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app.xml" ContentType="application/vnd.openxmlformats-officedocument.extended-properties+xml"/>
  <Override PartName="/xl/comments1.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9"/>
  <workbookPr defaultThemeVersion="124226"/>
  <mc:AlternateContent xmlns:mc="http://schemas.openxmlformats.org/markup-compatibility/2006">
    <mc:Choice Requires="x15">
      <x15ac:absPath xmlns:x15ac="http://schemas.microsoft.com/office/spreadsheetml/2010/11/ac" url="https://projects.nwnatural.com/sites/operations/RateCase/WA2021/Testimony and Exhibits/Cost_Service/Testimony Workpapers/"/>
    </mc:Choice>
  </mc:AlternateContent>
  <xr:revisionPtr revIDLastSave="0" documentId="13_ncr:1_{65BE95DB-1BDD-40D3-96B8-BF790283B3B5}" xr6:coauthVersionLast="36" xr6:coauthVersionMax="36" xr10:uidLastSave="{00000000-0000-0000-0000-000000000000}"/>
  <bookViews>
    <workbookView xWindow="0" yWindow="0" windowWidth="51600" windowHeight="17025" tabRatio="862" xr2:uid="{00000000-000D-0000-FFFF-FFFF00000000}"/>
  </bookViews>
  <sheets>
    <sheet name="Summary" sheetId="30" r:id="rId1"/>
    <sheet name="2018 Summary From Inputs" sheetId="25" r:id="rId2"/>
    <sheet name="Meter Reading" sheetId="5" r:id="rId3"/>
    <sheet name="Billing" sheetId="6" r:id="rId4"/>
    <sheet name="Payment Processing" sheetId="7" r:id="rId5"/>
    <sheet name="Collections" sheetId="8" r:id="rId6"/>
    <sheet name="FTE Alloc OR &amp; WA" sheetId="15" state="hidden" r:id="rId7"/>
    <sheet name="FTE Alloc OREGON" sheetId="22" state="hidden" r:id="rId8"/>
    <sheet name="Meter Read #'s" sheetId="16" state="hidden" r:id="rId9"/>
    <sheet name="BI DATA  Download" sheetId="27" r:id="rId10"/>
    <sheet name="2018 Projection Inputs" sheetId="23" r:id="rId11"/>
    <sheet name="ADDED INPUT DeepDive Bill Print" sheetId="26" r:id="rId12"/>
    <sheet name="2015Summary METER to CASH (Base" sheetId="4" r:id="rId13"/>
    <sheet name="Base 2015 actual for Cost Cente" sheetId="12" r:id="rId14"/>
    <sheet name="Customers" sheetId="28" r:id="rId15"/>
  </sheets>
  <definedNames>
    <definedName name="_xlnm._FilterDatabase" localSheetId="12" hidden="1">'2015Summary METER to CASH (Base'!$A$8:$R$30</definedName>
    <definedName name="_xlnm._FilterDatabase" localSheetId="1" hidden="1">'2018 Summary From Inputs'!$A$9:$R$31</definedName>
    <definedName name="_xlnm._FilterDatabase" localSheetId="13" hidden="1">'Base 2015 actual for Cost Cente'!$A$2:$F$374</definedName>
    <definedName name="_xlnm._FilterDatabase" localSheetId="9" hidden="1">'BI DATA  Download'!$B$33:$R$6492</definedName>
    <definedName name="_xlnm._FilterDatabase" localSheetId="3" hidden="1">Billing!$A$6:$AV$271</definedName>
    <definedName name="_xlnm._FilterDatabase" localSheetId="5" hidden="1">Collections!$A$6:$AU$272</definedName>
    <definedName name="_xlnm._FilterDatabase" localSheetId="2" hidden="1">'Meter Reading'!$A$6:$AU$183</definedName>
    <definedName name="_xlnm._FilterDatabase" localSheetId="4" hidden="1">'Payment Processing'!$A$6:$AU$6</definedName>
    <definedName name="_xlnm.Print_Area" localSheetId="12">'2015Summary METER to CASH (Base'!$A$1:$W$41</definedName>
    <definedName name="_xlnm.Print_Area" localSheetId="10">'2018 Projection Inputs'!$A$1:$K$36</definedName>
    <definedName name="_xlnm.Print_Area" localSheetId="1">'2018 Summary From Inputs'!$A$1:$W$45</definedName>
    <definedName name="_xlnm.Print_Area" localSheetId="11">'ADDED INPUT DeepDive Bill Print'!$A$1:$L$32</definedName>
    <definedName name="_xlnm.Print_Area" localSheetId="3">Billing!$A$3:$AL$264</definedName>
    <definedName name="_xlnm.Print_Area" localSheetId="5">Collections!$A$3:$AL$267</definedName>
    <definedName name="_xlnm.Print_Area" localSheetId="6">'FTE Alloc OR &amp; WA'!$A$25:$R$48</definedName>
    <definedName name="_xlnm.Print_Area" localSheetId="7">'FTE Alloc OREGON'!$A$25:$R$48</definedName>
    <definedName name="_xlnm.Print_Area" localSheetId="2">'Meter Reading'!$A$3:$AL$178</definedName>
    <definedName name="_xlnm.Print_Area" localSheetId="4">'Payment Processing'!$A$3:$AL$134</definedName>
  </definedNames>
  <calcPr calcId="191029" iterate="1"/>
</workbook>
</file>

<file path=xl/calcChain.xml><?xml version="1.0" encoding="utf-8"?>
<calcChain xmlns="http://schemas.openxmlformats.org/spreadsheetml/2006/main">
  <c r="V7" i="25" l="1"/>
  <c r="U7" i="25"/>
  <c r="T7" i="25"/>
  <c r="A17" i="27" l="1"/>
  <c r="A18" i="27"/>
  <c r="K15" i="28" l="1"/>
  <c r="K14" i="28"/>
  <c r="L10" i="28"/>
  <c r="J10" i="28"/>
  <c r="I10" i="28"/>
  <c r="H10" i="28"/>
  <c r="G10" i="28"/>
  <c r="F10" i="28"/>
  <c r="E10" i="28"/>
  <c r="D10" i="28"/>
  <c r="O9" i="28"/>
  <c r="N9" i="28"/>
  <c r="M9" i="28"/>
  <c r="K9" i="28"/>
  <c r="O8" i="28"/>
  <c r="N8" i="28"/>
  <c r="M8" i="28"/>
  <c r="M10" i="28" s="1"/>
  <c r="K8" i="28"/>
  <c r="A915" i="27"/>
  <c r="A899" i="27"/>
  <c r="K10" i="28" l="1"/>
  <c r="N10" i="28"/>
  <c r="O10" i="28"/>
  <c r="F7" i="23"/>
  <c r="F10" i="23"/>
  <c r="F11" i="23"/>
  <c r="F12" i="23"/>
  <c r="F13" i="23"/>
  <c r="F14" i="23"/>
  <c r="F15" i="23"/>
  <c r="F16" i="23"/>
  <c r="F17" i="23"/>
  <c r="F18" i="23"/>
  <c r="F19" i="23"/>
  <c r="F20" i="23"/>
  <c r="F21" i="23"/>
  <c r="F6" i="23"/>
  <c r="K6" i="23" s="1"/>
  <c r="A4" i="27"/>
  <c r="A5" i="27"/>
  <c r="A6" i="27"/>
  <c r="A7" i="27"/>
  <c r="A8" i="27"/>
  <c r="A9" i="27"/>
  <c r="A10" i="27"/>
  <c r="A11" i="27"/>
  <c r="A12" i="27"/>
  <c r="A13" i="27"/>
  <c r="A14" i="27"/>
  <c r="A15" i="27"/>
  <c r="A16" i="27"/>
  <c r="A3" i="27"/>
  <c r="A3880" i="27"/>
  <c r="A3879" i="27"/>
  <c r="A3878" i="27"/>
  <c r="A3877" i="27"/>
  <c r="A3876" i="27"/>
  <c r="A3875" i="27"/>
  <c r="A3874" i="27"/>
  <c r="A3873" i="27"/>
  <c r="A3872" i="27"/>
  <c r="A3871" i="27"/>
  <c r="A3870" i="27"/>
  <c r="A3869" i="27"/>
  <c r="A3868" i="27"/>
  <c r="A3867" i="27"/>
  <c r="A3866" i="27"/>
  <c r="A3865" i="27"/>
  <c r="A3864" i="27"/>
  <c r="A3863" i="27"/>
  <c r="A3862" i="27"/>
  <c r="A3861" i="27"/>
  <c r="A3860" i="27"/>
  <c r="A3859" i="27"/>
  <c r="A3858" i="27"/>
  <c r="A3857" i="27"/>
  <c r="A3856" i="27"/>
  <c r="A3855" i="27"/>
  <c r="A3854" i="27"/>
  <c r="A3853" i="27"/>
  <c r="A3852" i="27"/>
  <c r="A3851" i="27"/>
  <c r="A3850" i="27"/>
  <c r="A3849" i="27"/>
  <c r="A3848" i="27"/>
  <c r="A3847" i="27"/>
  <c r="A3846" i="27"/>
  <c r="A3845" i="27"/>
  <c r="A3844" i="27"/>
  <c r="A3843" i="27"/>
  <c r="A3633" i="27"/>
  <c r="A3632" i="27"/>
  <c r="A3631" i="27"/>
  <c r="A3630" i="27"/>
  <c r="A3629" i="27"/>
  <c r="A3628" i="27"/>
  <c r="A3627" i="27"/>
  <c r="A3626" i="27"/>
  <c r="A3625" i="27"/>
  <c r="A3624" i="27"/>
  <c r="A3623" i="27"/>
  <c r="A3622" i="27"/>
  <c r="A3621" i="27"/>
  <c r="A3620" i="27"/>
  <c r="A3619" i="27"/>
  <c r="A3618" i="27"/>
  <c r="A3617" i="27"/>
  <c r="A3616" i="27"/>
  <c r="A3615" i="27"/>
  <c r="A3614" i="27"/>
  <c r="A3613" i="27"/>
  <c r="A3612" i="27"/>
  <c r="A3611" i="27"/>
  <c r="A3610" i="27"/>
  <c r="A3609" i="27"/>
  <c r="A3608" i="27"/>
  <c r="A3607" i="27"/>
  <c r="A3606" i="27"/>
  <c r="A3605" i="27"/>
  <c r="A3604" i="27"/>
  <c r="A3603" i="27"/>
  <c r="A3602" i="27"/>
  <c r="A3601" i="27"/>
  <c r="A3600" i="27"/>
  <c r="A3599" i="27"/>
  <c r="A3598" i="27"/>
  <c r="A3597" i="27"/>
  <c r="A3596" i="27"/>
  <c r="A3595" i="27"/>
  <c r="A3594" i="27"/>
  <c r="A3593" i="27"/>
  <c r="A3592" i="27"/>
  <c r="A3591" i="27"/>
  <c r="A3590" i="27"/>
  <c r="A3589" i="27"/>
  <c r="A3588" i="27"/>
  <c r="A3587" i="27"/>
  <c r="A3586" i="27"/>
  <c r="A3585" i="27"/>
  <c r="A3584" i="27"/>
  <c r="A3583" i="27"/>
  <c r="A3582" i="27"/>
  <c r="A3581" i="27"/>
  <c r="A3580" i="27"/>
  <c r="A3579" i="27"/>
  <c r="A3578" i="27"/>
  <c r="A3577" i="27"/>
  <c r="A3576" i="27"/>
  <c r="A3575" i="27"/>
  <c r="A3574" i="27"/>
  <c r="A3573" i="27"/>
  <c r="A3572" i="27"/>
  <c r="A3571" i="27"/>
  <c r="A3570" i="27"/>
  <c r="A3569" i="27"/>
  <c r="A3568" i="27"/>
  <c r="A3567" i="27"/>
  <c r="A3566" i="27"/>
  <c r="A3565" i="27"/>
  <c r="A3564" i="27"/>
  <c r="A3563" i="27"/>
  <c r="A3562" i="27"/>
  <c r="A3561" i="27"/>
  <c r="A3560" i="27"/>
  <c r="A3559" i="27"/>
  <c r="A3558" i="27"/>
  <c r="A3453" i="27"/>
  <c r="A3452" i="27"/>
  <c r="A3451" i="27"/>
  <c r="A3450" i="27"/>
  <c r="A3449" i="27"/>
  <c r="A3448" i="27"/>
  <c r="A3447" i="27"/>
  <c r="A3446" i="27"/>
  <c r="A3445" i="27"/>
  <c r="A3444" i="27"/>
  <c r="A3443" i="27"/>
  <c r="A3442" i="27"/>
  <c r="A3441" i="27"/>
  <c r="A3440" i="27"/>
  <c r="A3439" i="27"/>
  <c r="A3438" i="27"/>
  <c r="A3437" i="27"/>
  <c r="A3436" i="27"/>
  <c r="A3435" i="27"/>
  <c r="A3434" i="27"/>
  <c r="A3433" i="27"/>
  <c r="A3432" i="27"/>
  <c r="A3431" i="27"/>
  <c r="A3430" i="27"/>
  <c r="A3429" i="27"/>
  <c r="A3428" i="27"/>
  <c r="A3427" i="27"/>
  <c r="A3426" i="27"/>
  <c r="A3425" i="27"/>
  <c r="A3424" i="27"/>
  <c r="A3423" i="27"/>
  <c r="A3422" i="27"/>
  <c r="A3421" i="27"/>
  <c r="A3420" i="27"/>
  <c r="A3419" i="27"/>
  <c r="A3418" i="27"/>
  <c r="A3417" i="27"/>
  <c r="A3416" i="27"/>
  <c r="A3415" i="27"/>
  <c r="A3414" i="27"/>
  <c r="A3413" i="27"/>
  <c r="A3412" i="27"/>
  <c r="A3411" i="27"/>
  <c r="A3410" i="27"/>
  <c r="A3409" i="27"/>
  <c r="A3408" i="27"/>
  <c r="A3407" i="27"/>
  <c r="A3406" i="27"/>
  <c r="A3405" i="27"/>
  <c r="A3404" i="27"/>
  <c r="A3403" i="27"/>
  <c r="A3402" i="27"/>
  <c r="A3401" i="27"/>
  <c r="A3400" i="27"/>
  <c r="A3399" i="27"/>
  <c r="A3398" i="27"/>
  <c r="A3397" i="27"/>
  <c r="A3396" i="27"/>
  <c r="A3395" i="27"/>
  <c r="A3394" i="27"/>
  <c r="A3393" i="27"/>
  <c r="A3392" i="27"/>
  <c r="A3391" i="27"/>
  <c r="A3390" i="27"/>
  <c r="A3389" i="27"/>
  <c r="A3388" i="27"/>
  <c r="A3387" i="27"/>
  <c r="A3386" i="27"/>
  <c r="A3385" i="27"/>
  <c r="A3384" i="27"/>
  <c r="A3383" i="27"/>
  <c r="A3382" i="27"/>
  <c r="A3266" i="27"/>
  <c r="A3265" i="27"/>
  <c r="A3264" i="27"/>
  <c r="A3263" i="27"/>
  <c r="A3262" i="27"/>
  <c r="A3261" i="27"/>
  <c r="A3260" i="27"/>
  <c r="A3259" i="27"/>
  <c r="A3258" i="27"/>
  <c r="A3257" i="27"/>
  <c r="A3256" i="27"/>
  <c r="A3255" i="27"/>
  <c r="A3254" i="27"/>
  <c r="A3253" i="27"/>
  <c r="A3252" i="27"/>
  <c r="A3251" i="27"/>
  <c r="A3250" i="27"/>
  <c r="A3249" i="27"/>
  <c r="A3248" i="27"/>
  <c r="A3247" i="27"/>
  <c r="A3246" i="27"/>
  <c r="A3245" i="27"/>
  <c r="A3244" i="27"/>
  <c r="A3243" i="27"/>
  <c r="A3242" i="27"/>
  <c r="A3241" i="27"/>
  <c r="A3240" i="27"/>
  <c r="A3239" i="27"/>
  <c r="A3238" i="27"/>
  <c r="A3237" i="27"/>
  <c r="A3236" i="27"/>
  <c r="A3235" i="27"/>
  <c r="A3234" i="27"/>
  <c r="A3233" i="27"/>
  <c r="A3232" i="27"/>
  <c r="A3231" i="27"/>
  <c r="A3230" i="27"/>
  <c r="A3229" i="27"/>
  <c r="A3228" i="27"/>
  <c r="A3227" i="27"/>
  <c r="A3226" i="27"/>
  <c r="A3225" i="27"/>
  <c r="A3224" i="27"/>
  <c r="A3223" i="27"/>
  <c r="A3222" i="27"/>
  <c r="A3221" i="27"/>
  <c r="A3220" i="27"/>
  <c r="A3219" i="27"/>
  <c r="A3218" i="27"/>
  <c r="A3217" i="27"/>
  <c r="A3216" i="27"/>
  <c r="A3215" i="27"/>
  <c r="A3214" i="27"/>
  <c r="A3213" i="27"/>
  <c r="A3212" i="27"/>
  <c r="A3211" i="27"/>
  <c r="A3210" i="27"/>
  <c r="A3209" i="27"/>
  <c r="A3208" i="27"/>
  <c r="A3207" i="27"/>
  <c r="A3206" i="27"/>
  <c r="A3205" i="27"/>
  <c r="A3204" i="27"/>
  <c r="A3203" i="27"/>
  <c r="A3202" i="27"/>
  <c r="A3201" i="27"/>
  <c r="A3200" i="27"/>
  <c r="A3199" i="27"/>
  <c r="A3198" i="27"/>
  <c r="A3197" i="27"/>
  <c r="A3196" i="27"/>
  <c r="A3195" i="27"/>
  <c r="A3194" i="27"/>
  <c r="A3193" i="27"/>
  <c r="A3192" i="27"/>
  <c r="A3191" i="27"/>
  <c r="A3190" i="27"/>
  <c r="A3189" i="27"/>
  <c r="A3188" i="27"/>
  <c r="A3187" i="27"/>
  <c r="A3186" i="27"/>
  <c r="A3185" i="27"/>
  <c r="A3184" i="27"/>
  <c r="A3183" i="27"/>
  <c r="A3182" i="27"/>
  <c r="A3181" i="27"/>
  <c r="A3180" i="27"/>
  <c r="A3179" i="27"/>
  <c r="A3178" i="27"/>
  <c r="A3177"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34" i="27"/>
  <c r="A24" i="27"/>
  <c r="A25" i="27"/>
  <c r="A26" i="27"/>
  <c r="A23"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160" i="27"/>
  <c r="A161" i="27"/>
  <c r="A162" i="27"/>
  <c r="A163" i="27"/>
  <c r="A164" i="27"/>
  <c r="A165" i="27"/>
  <c r="A166" i="27"/>
  <c r="A167" i="27"/>
  <c r="A168" i="27"/>
  <c r="A169" i="27"/>
  <c r="A170" i="27"/>
  <c r="A171" i="27"/>
  <c r="A172" i="27"/>
  <c r="A173" i="27"/>
  <c r="A174"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1" i="27"/>
  <c r="A252" i="27"/>
  <c r="A253" i="27"/>
  <c r="A254" i="27"/>
  <c r="A255" i="27"/>
  <c r="A256" i="27"/>
  <c r="A257" i="27"/>
  <c r="A258" i="27"/>
  <c r="A259" i="27"/>
  <c r="A260" i="27"/>
  <c r="A261" i="27"/>
  <c r="A262" i="27"/>
  <c r="A263" i="27"/>
  <c r="A264" i="27"/>
  <c r="A265" i="27"/>
  <c r="A266" i="27"/>
  <c r="A267" i="27"/>
  <c r="A268" i="27"/>
  <c r="A269" i="27"/>
  <c r="A270" i="27"/>
  <c r="A271" i="27"/>
  <c r="A272" i="27"/>
  <c r="A273" i="27"/>
  <c r="A274" i="27"/>
  <c r="A275" i="27"/>
  <c r="A276" i="27"/>
  <c r="A277" i="27"/>
  <c r="A278" i="27"/>
  <c r="A279" i="27"/>
  <c r="A280" i="27"/>
  <c r="A281" i="27"/>
  <c r="A282" i="27"/>
  <c r="A283" i="27"/>
  <c r="A284" i="27"/>
  <c r="A285" i="27"/>
  <c r="A286" i="27"/>
  <c r="A287" i="27"/>
  <c r="A288" i="27"/>
  <c r="A289" i="27"/>
  <c r="A290" i="27"/>
  <c r="A291" i="27"/>
  <c r="A292" i="27"/>
  <c r="A293" i="27"/>
  <c r="A294" i="27"/>
  <c r="A295" i="27"/>
  <c r="A296" i="27"/>
  <c r="A297" i="27"/>
  <c r="A298" i="27"/>
  <c r="A299" i="27"/>
  <c r="A300" i="27"/>
  <c r="A301" i="27"/>
  <c r="A302" i="27"/>
  <c r="A303" i="27"/>
  <c r="A304" i="27"/>
  <c r="A305" i="27"/>
  <c r="A306" i="27"/>
  <c r="A307" i="27"/>
  <c r="A308" i="27"/>
  <c r="A309" i="27"/>
  <c r="A310" i="27"/>
  <c r="A311" i="27"/>
  <c r="A312" i="27"/>
  <c r="A313" i="27"/>
  <c r="A314" i="27"/>
  <c r="A315" i="27"/>
  <c r="A316" i="27"/>
  <c r="A317" i="27"/>
  <c r="A318" i="27"/>
  <c r="A319" i="27"/>
  <c r="A320" i="27"/>
  <c r="A321" i="27"/>
  <c r="A322" i="27"/>
  <c r="A323" i="27"/>
  <c r="A324" i="27"/>
  <c r="A325" i="27"/>
  <c r="A326" i="27"/>
  <c r="A327" i="27"/>
  <c r="A328" i="27"/>
  <c r="A329" i="27"/>
  <c r="A330" i="27"/>
  <c r="A331" i="27"/>
  <c r="A332" i="27"/>
  <c r="A333" i="27"/>
  <c r="A334" i="27"/>
  <c r="A335" i="27"/>
  <c r="A336" i="27"/>
  <c r="A337" i="27"/>
  <c r="A338" i="27"/>
  <c r="A339" i="27"/>
  <c r="A340" i="27"/>
  <c r="A341" i="27"/>
  <c r="A342" i="27"/>
  <c r="A343" i="27"/>
  <c r="A344" i="27"/>
  <c r="A345" i="27"/>
  <c r="A346" i="27"/>
  <c r="A347" i="27"/>
  <c r="A348" i="27"/>
  <c r="A349" i="27"/>
  <c r="A350" i="27"/>
  <c r="A351" i="27"/>
  <c r="A352" i="27"/>
  <c r="A18" i="23"/>
  <c r="A19" i="23"/>
  <c r="A20" i="23"/>
  <c r="A21" i="23"/>
  <c r="AJ141" i="7" l="1"/>
  <c r="AJ67" i="8"/>
  <c r="AJ65" i="8"/>
  <c r="AJ41" i="7"/>
  <c r="AJ64" i="5"/>
  <c r="AJ17" i="5"/>
  <c r="AJ230" i="6"/>
  <c r="AJ229" i="6"/>
  <c r="AJ202" i="6"/>
  <c r="AJ201" i="6"/>
  <c r="AJ200" i="6"/>
  <c r="AJ195" i="6"/>
  <c r="AJ164" i="6"/>
  <c r="AJ160" i="6"/>
  <c r="AJ159" i="6"/>
  <c r="AJ158" i="6"/>
  <c r="AJ157" i="6"/>
  <c r="AJ146" i="6"/>
  <c r="AJ145" i="6"/>
  <c r="AJ144" i="6"/>
  <c r="AJ67" i="6"/>
  <c r="AJ65" i="6"/>
  <c r="B98" i="8" l="1"/>
  <c r="D98" i="8"/>
  <c r="B99" i="8"/>
  <c r="J99" i="8"/>
  <c r="I99" i="8" s="1"/>
  <c r="AD99" i="8"/>
  <c r="AC99" i="8" s="1"/>
  <c r="B100" i="8"/>
  <c r="B50" i="8"/>
  <c r="D50" i="8"/>
  <c r="B51" i="8"/>
  <c r="L51" i="8"/>
  <c r="V51" i="8"/>
  <c r="AF51" i="8"/>
  <c r="B52" i="8"/>
  <c r="L52" i="8"/>
  <c r="V52" i="8"/>
  <c r="AF52" i="8"/>
  <c r="B50" i="6"/>
  <c r="D50" i="6"/>
  <c r="B51" i="6"/>
  <c r="L51" i="6"/>
  <c r="V51" i="6"/>
  <c r="AF51" i="6"/>
  <c r="B52" i="6"/>
  <c r="L52" i="6"/>
  <c r="V52" i="6"/>
  <c r="AF52" i="6"/>
  <c r="B112" i="8"/>
  <c r="B65" i="7"/>
  <c r="B195" i="6"/>
  <c r="AG99" i="8" l="1"/>
  <c r="M99" i="8"/>
  <c r="O2" i="7"/>
  <c r="A387" i="12"/>
  <c r="A386" i="12"/>
  <c r="AD131" i="6"/>
  <c r="AC131" i="6" s="1"/>
  <c r="AC132" i="6"/>
  <c r="AC133" i="6"/>
  <c r="AJ133" i="6" s="1"/>
  <c r="M153" i="5"/>
  <c r="AG153" i="5"/>
  <c r="AG152" i="5"/>
  <c r="AC152" i="5"/>
  <c r="W153" i="5"/>
  <c r="W152" i="5"/>
  <c r="M152" i="5"/>
  <c r="AC153" i="5" l="1"/>
  <c r="AD110" i="8"/>
  <c r="T109" i="6"/>
  <c r="Y29" i="28" l="1"/>
  <c r="L29" i="28"/>
  <c r="V6" i="4" s="1"/>
  <c r="Y28" i="28"/>
  <c r="L28" i="28"/>
  <c r="U6" i="4" s="1"/>
  <c r="Y27" i="28"/>
  <c r="Y30" i="28" s="1"/>
  <c r="L27" i="28"/>
  <c r="T6" i="4" s="1"/>
  <c r="L30" i="28" l="1"/>
  <c r="W6" i="4"/>
  <c r="U6" i="25"/>
  <c r="T6" i="25"/>
  <c r="H29" i="23" l="1"/>
  <c r="I29" i="23"/>
  <c r="G29" i="23"/>
  <c r="AC6" i="7"/>
  <c r="S6" i="7"/>
  <c r="I6" i="7"/>
  <c r="AC6" i="6"/>
  <c r="S6" i="6"/>
  <c r="I6" i="6"/>
  <c r="AC6" i="5"/>
  <c r="S6" i="5"/>
  <c r="I6" i="5"/>
  <c r="E5" i="4"/>
  <c r="F5" i="4"/>
  <c r="E6" i="4"/>
  <c r="F6" i="4"/>
  <c r="D6" i="4"/>
  <c r="D5" i="4"/>
  <c r="M5" i="4"/>
  <c r="N5" i="4"/>
  <c r="M6" i="4"/>
  <c r="N6" i="4"/>
  <c r="L6" i="4"/>
  <c r="L5" i="4"/>
  <c r="I5" i="4"/>
  <c r="J5" i="4"/>
  <c r="I6" i="4"/>
  <c r="J6" i="4"/>
  <c r="H6" i="4"/>
  <c r="H5" i="4"/>
  <c r="N6" i="25"/>
  <c r="N7" i="25"/>
  <c r="L7" i="25"/>
  <c r="L6" i="25"/>
  <c r="I6" i="25"/>
  <c r="J6" i="25"/>
  <c r="I7" i="25"/>
  <c r="J7" i="25"/>
  <c r="H7" i="25"/>
  <c r="H6" i="25"/>
  <c r="E6" i="25"/>
  <c r="F6" i="25"/>
  <c r="E7" i="25"/>
  <c r="F7" i="25"/>
  <c r="D7" i="25"/>
  <c r="D6" i="25"/>
  <c r="R6" i="25"/>
  <c r="N15" i="28"/>
  <c r="Q7" i="25" s="1"/>
  <c r="R7" i="25"/>
  <c r="P7" i="25"/>
  <c r="P6" i="25"/>
  <c r="M4" i="28"/>
  <c r="M3" i="28"/>
  <c r="P5" i="4" s="1"/>
  <c r="D5" i="28"/>
  <c r="N3" i="28"/>
  <c r="Q5" i="4" s="1"/>
  <c r="O3" i="28"/>
  <c r="AC6" i="8" s="1"/>
  <c r="N4" i="28"/>
  <c r="Q6" i="4" s="1"/>
  <c r="O4" i="28"/>
  <c r="R6" i="4" s="1"/>
  <c r="V6" i="28"/>
  <c r="U6" i="28"/>
  <c r="T6" i="28"/>
  <c r="Q7" i="4" l="1"/>
  <c r="P8" i="25"/>
  <c r="R8" i="25"/>
  <c r="O16" i="28"/>
  <c r="M5" i="28"/>
  <c r="P6" i="4"/>
  <c r="P7" i="4" s="1"/>
  <c r="I6" i="8"/>
  <c r="N16" i="28"/>
  <c r="Q6" i="25"/>
  <c r="Q8" i="25" s="1"/>
  <c r="O5" i="28"/>
  <c r="R5" i="4"/>
  <c r="R7" i="4" s="1"/>
  <c r="N5" i="28"/>
  <c r="S6" i="8"/>
  <c r="J52" i="8" s="1"/>
  <c r="T52" i="6"/>
  <c r="T51" i="6"/>
  <c r="AD52" i="6"/>
  <c r="AD51" i="6"/>
  <c r="J52" i="6"/>
  <c r="J51" i="6"/>
  <c r="J147" i="5"/>
  <c r="W7" i="25"/>
  <c r="J29" i="23"/>
  <c r="M16" i="28"/>
  <c r="M7" i="25"/>
  <c r="M6" i="25"/>
  <c r="M86" i="28"/>
  <c r="M85" i="28"/>
  <c r="T52" i="8" l="1"/>
  <c r="S52" i="8" s="1"/>
  <c r="AD52" i="8"/>
  <c r="T51" i="8"/>
  <c r="W51" i="8" s="1"/>
  <c r="J51" i="8"/>
  <c r="AD51" i="8"/>
  <c r="AC51" i="8" s="1"/>
  <c r="AC52" i="8"/>
  <c r="AG52" i="8"/>
  <c r="M51" i="8"/>
  <c r="I51" i="8"/>
  <c r="I52" i="8"/>
  <c r="M52" i="8"/>
  <c r="AG51" i="6"/>
  <c r="AC51" i="6"/>
  <c r="AG52" i="6"/>
  <c r="AC52" i="6"/>
  <c r="M51" i="6"/>
  <c r="I51" i="6"/>
  <c r="W51" i="6"/>
  <c r="S51" i="6"/>
  <c r="I52" i="6"/>
  <c r="M52" i="6"/>
  <c r="S52" i="6"/>
  <c r="W52" i="6"/>
  <c r="E16" i="28"/>
  <c r="F16" i="28"/>
  <c r="G16" i="28"/>
  <c r="H16" i="28"/>
  <c r="I16" i="28"/>
  <c r="J16" i="28"/>
  <c r="K16" i="28"/>
  <c r="L16" i="28"/>
  <c r="D16" i="28"/>
  <c r="L5" i="28"/>
  <c r="K5" i="28"/>
  <c r="J5" i="28"/>
  <c r="I5" i="28"/>
  <c r="H5" i="28"/>
  <c r="G5" i="28"/>
  <c r="F5" i="28"/>
  <c r="E5" i="28"/>
  <c r="AG51" i="8" l="1"/>
  <c r="W52" i="8"/>
  <c r="S51" i="8"/>
  <c r="AJ52" i="8"/>
  <c r="AJ51" i="8"/>
  <c r="AJ52" i="6"/>
  <c r="AJ51" i="6"/>
  <c r="D8" i="25"/>
  <c r="O40" i="23" l="1"/>
  <c r="N40" i="23"/>
  <c r="L40" i="23"/>
  <c r="K40" i="23"/>
  <c r="J40" i="23"/>
  <c r="G40" i="23"/>
  <c r="H40" i="23"/>
  <c r="F40" i="23"/>
  <c r="C40" i="23"/>
  <c r="D40" i="23"/>
  <c r="B40" i="23"/>
  <c r="F391" i="12" l="1"/>
  <c r="F390" i="12"/>
  <c r="E391" i="12"/>
  <c r="E390" i="12"/>
  <c r="B30" i="23" l="1"/>
  <c r="B43" i="23" s="1"/>
  <c r="H28" i="27"/>
  <c r="H9" i="23" s="1"/>
  <c r="H27" i="27"/>
  <c r="H8" i="23" s="1"/>
  <c r="N43" i="23" l="1"/>
  <c r="J43" i="23"/>
  <c r="F43" i="23"/>
  <c r="H22" i="23"/>
  <c r="K20" i="23" l="1"/>
  <c r="K30" i="26"/>
  <c r="K27" i="26"/>
  <c r="K29" i="26"/>
  <c r="K28" i="26"/>
  <c r="K7" i="23" l="1"/>
  <c r="K19" i="23"/>
  <c r="K15" i="23"/>
  <c r="K11" i="23"/>
  <c r="K18" i="23"/>
  <c r="K14" i="23"/>
  <c r="K10" i="23"/>
  <c r="K17" i="23"/>
  <c r="K13" i="23"/>
  <c r="K16" i="23"/>
  <c r="K12" i="23"/>
  <c r="I7" i="23" l="1"/>
  <c r="I21" i="23"/>
  <c r="K21" i="23"/>
  <c r="I6" i="23"/>
  <c r="F28" i="27"/>
  <c r="F27" i="27"/>
  <c r="F5" i="27" s="1"/>
  <c r="F8" i="23" l="1"/>
  <c r="F6" i="27"/>
  <c r="F9" i="23" s="1"/>
  <c r="K9" i="23" s="1"/>
  <c r="O2" i="8"/>
  <c r="O2" i="6"/>
  <c r="O2" i="5"/>
  <c r="F19" i="27" l="1"/>
  <c r="K8" i="23"/>
  <c r="K22" i="23" s="1"/>
  <c r="F22" i="23"/>
  <c r="I20" i="23"/>
  <c r="I19" i="23"/>
  <c r="I18" i="23"/>
  <c r="N8" i="25"/>
  <c r="M8" i="25"/>
  <c r="L8" i="25"/>
  <c r="J8" i="25"/>
  <c r="I8" i="25"/>
  <c r="H8" i="25"/>
  <c r="F8" i="25"/>
  <c r="E8" i="25"/>
  <c r="C30" i="23" l="1"/>
  <c r="D30" i="23"/>
  <c r="E28" i="23"/>
  <c r="E30" i="23" s="1"/>
  <c r="I8" i="23"/>
  <c r="I9" i="23"/>
  <c r="I10" i="23"/>
  <c r="I11" i="23"/>
  <c r="I12" i="23"/>
  <c r="I13" i="23"/>
  <c r="I14" i="23"/>
  <c r="I15" i="23"/>
  <c r="I16" i="23"/>
  <c r="I17" i="23"/>
  <c r="C43" i="23" l="1"/>
  <c r="O43" i="23"/>
  <c r="K43" i="23"/>
  <c r="G43" i="23"/>
  <c r="H43" i="23"/>
  <c r="D43" i="23"/>
  <c r="P43" i="23"/>
  <c r="L43" i="23"/>
  <c r="T146" i="5"/>
  <c r="U193" i="6"/>
  <c r="J193" i="6"/>
  <c r="AQ193" i="6"/>
  <c r="AS195" i="6" s="1"/>
  <c r="AU195" i="6" s="1"/>
  <c r="AD146" i="5" l="1"/>
  <c r="AC146" i="5" s="1"/>
  <c r="S146" i="5"/>
  <c r="I146" i="5"/>
  <c r="AC152" i="6"/>
  <c r="T152" i="6"/>
  <c r="S152" i="6" s="1"/>
  <c r="J152" i="6"/>
  <c r="I152" i="6" s="1"/>
  <c r="AJ152" i="6" s="1"/>
  <c r="T143" i="6"/>
  <c r="W143" i="6" s="1"/>
  <c r="J143" i="6"/>
  <c r="M143" i="6" s="1"/>
  <c r="AC143" i="6"/>
  <c r="AJ146" i="5" l="1"/>
  <c r="I143" i="6"/>
  <c r="M146" i="5"/>
  <c r="AG146" i="5"/>
  <c r="W146" i="5"/>
  <c r="S143" i="6"/>
  <c r="M152" i="6"/>
  <c r="AG143" i="6"/>
  <c r="AJ143" i="6" l="1"/>
  <c r="E40" i="12"/>
  <c r="E53" i="12"/>
  <c r="F53" i="12"/>
  <c r="F40" i="12"/>
  <c r="AG203" i="8" l="1"/>
  <c r="AG202" i="8"/>
  <c r="AG201" i="8"/>
  <c r="AG200" i="8"/>
  <c r="W203" i="8"/>
  <c r="W202" i="8"/>
  <c r="W201" i="8"/>
  <c r="W200" i="8"/>
  <c r="AG217" i="8"/>
  <c r="W217" i="8"/>
  <c r="M217" i="8"/>
  <c r="AG217" i="6"/>
  <c r="W217" i="6"/>
  <c r="M217" i="6"/>
  <c r="AG169" i="5"/>
  <c r="W169" i="5"/>
  <c r="M169" i="5"/>
  <c r="M160" i="5"/>
  <c r="I160" i="5"/>
  <c r="M159" i="5"/>
  <c r="M155" i="5"/>
  <c r="M154" i="5"/>
  <c r="AD109" i="8" l="1"/>
  <c r="AC109" i="8" s="1"/>
  <c r="T109" i="8"/>
  <c r="W109" i="8" s="1"/>
  <c r="AD62" i="7"/>
  <c r="AG62" i="7" s="1"/>
  <c r="T62" i="7"/>
  <c r="W62" i="7" s="1"/>
  <c r="AD109" i="6"/>
  <c r="AG109" i="6" s="1"/>
  <c r="W109" i="6"/>
  <c r="J109" i="6"/>
  <c r="I109" i="6" s="1"/>
  <c r="S109" i="8" l="1"/>
  <c r="M109" i="6"/>
  <c r="J61" i="5" l="1"/>
  <c r="C45" i="15"/>
  <c r="C46" i="15"/>
  <c r="C47" i="15"/>
  <c r="C44" i="15"/>
  <c r="P20" i="15"/>
  <c r="P21" i="15"/>
  <c r="P22" i="15"/>
  <c r="P16" i="15"/>
  <c r="P17" i="15"/>
  <c r="P11" i="15"/>
  <c r="O54" i="15"/>
  <c r="O55" i="15" s="1"/>
  <c r="N54" i="15"/>
  <c r="N55" i="15" s="1"/>
  <c r="N20" i="15" s="1"/>
  <c r="M54" i="15"/>
  <c r="M55" i="15" s="1"/>
  <c r="L54" i="15"/>
  <c r="L55" i="15" s="1"/>
  <c r="L23" i="15" s="1"/>
  <c r="K54" i="15"/>
  <c r="K55" i="15" s="1"/>
  <c r="K23" i="15" s="1"/>
  <c r="J54" i="15"/>
  <c r="J55" i="15" s="1"/>
  <c r="J23" i="15" s="1"/>
  <c r="I54" i="15"/>
  <c r="I55" i="15" s="1"/>
  <c r="I16" i="15" s="1"/>
  <c r="H54" i="15"/>
  <c r="H55" i="15" s="1"/>
  <c r="H20" i="15" s="1"/>
  <c r="G54" i="15"/>
  <c r="G55" i="15" s="1"/>
  <c r="E54" i="15"/>
  <c r="E55" i="15" s="1"/>
  <c r="E16" i="15" s="1"/>
  <c r="F54" i="15"/>
  <c r="F55" i="15" s="1"/>
  <c r="D54" i="15"/>
  <c r="D55" i="15" s="1"/>
  <c r="D21" i="15" s="1"/>
  <c r="M47" i="22"/>
  <c r="L47" i="22"/>
  <c r="K47" i="22"/>
  <c r="J47" i="22"/>
  <c r="G47" i="22"/>
  <c r="E47" i="22"/>
  <c r="E47" i="15" s="1"/>
  <c r="D47" i="22"/>
  <c r="C47" i="22"/>
  <c r="P46" i="22"/>
  <c r="O46" i="22"/>
  <c r="N46" i="22"/>
  <c r="M46" i="22"/>
  <c r="L46" i="22"/>
  <c r="K46" i="22"/>
  <c r="J46" i="22"/>
  <c r="I46" i="22"/>
  <c r="H46" i="22"/>
  <c r="G46" i="22"/>
  <c r="F46" i="22"/>
  <c r="E46" i="22"/>
  <c r="D46" i="22"/>
  <c r="C46" i="22"/>
  <c r="P45" i="22"/>
  <c r="O45" i="22"/>
  <c r="N45" i="22"/>
  <c r="M45" i="22"/>
  <c r="L45" i="22"/>
  <c r="K45" i="22"/>
  <c r="J45" i="22"/>
  <c r="I45" i="22"/>
  <c r="H45" i="22"/>
  <c r="G45" i="22"/>
  <c r="F45" i="22"/>
  <c r="E45" i="22"/>
  <c r="D45" i="22"/>
  <c r="C45" i="22"/>
  <c r="P44" i="22"/>
  <c r="O44" i="22"/>
  <c r="N44" i="22"/>
  <c r="M44" i="22"/>
  <c r="L44" i="22"/>
  <c r="K44" i="22"/>
  <c r="J44" i="22"/>
  <c r="I44" i="22"/>
  <c r="H44" i="22"/>
  <c r="G44" i="22"/>
  <c r="F44" i="22"/>
  <c r="F44" i="15" s="1"/>
  <c r="E44" i="22"/>
  <c r="D44" i="22"/>
  <c r="C44" i="22"/>
  <c r="P41" i="22"/>
  <c r="O41" i="22"/>
  <c r="N41" i="22"/>
  <c r="M41" i="22"/>
  <c r="L41" i="22"/>
  <c r="K41" i="22"/>
  <c r="J41" i="22"/>
  <c r="I41" i="22"/>
  <c r="H41" i="22"/>
  <c r="G41" i="22"/>
  <c r="F41" i="22"/>
  <c r="E41" i="22"/>
  <c r="E41" i="15" s="1"/>
  <c r="D41" i="22"/>
  <c r="C41" i="22"/>
  <c r="P40" i="22"/>
  <c r="O40" i="22"/>
  <c r="N40" i="22"/>
  <c r="M40" i="22"/>
  <c r="L40" i="22"/>
  <c r="K40" i="22"/>
  <c r="J40" i="22"/>
  <c r="I40" i="22"/>
  <c r="H40" i="22"/>
  <c r="G40" i="22"/>
  <c r="F40" i="22"/>
  <c r="E40" i="22"/>
  <c r="D40" i="22"/>
  <c r="C40" i="22"/>
  <c r="P37" i="22"/>
  <c r="O37" i="22"/>
  <c r="N37" i="22"/>
  <c r="M37" i="22"/>
  <c r="L37" i="22"/>
  <c r="K37" i="22"/>
  <c r="J37" i="22"/>
  <c r="I37" i="22"/>
  <c r="H37" i="22"/>
  <c r="G37" i="22"/>
  <c r="F37" i="22"/>
  <c r="E37" i="22"/>
  <c r="D37" i="22"/>
  <c r="C37" i="22"/>
  <c r="P35" i="22"/>
  <c r="O35" i="22"/>
  <c r="N35" i="22"/>
  <c r="M35" i="22"/>
  <c r="L35" i="22"/>
  <c r="K35" i="22"/>
  <c r="J35" i="22"/>
  <c r="I35" i="22"/>
  <c r="H35" i="22"/>
  <c r="G35" i="22"/>
  <c r="F35" i="22"/>
  <c r="F35" i="15" s="1"/>
  <c r="E35" i="22"/>
  <c r="D35" i="22"/>
  <c r="C35" i="22"/>
  <c r="P33" i="22"/>
  <c r="P33" i="15" s="1"/>
  <c r="O33" i="22"/>
  <c r="N33" i="22"/>
  <c r="M33" i="22"/>
  <c r="L33" i="22"/>
  <c r="K33" i="22"/>
  <c r="J33" i="22"/>
  <c r="I33" i="22"/>
  <c r="H33" i="22"/>
  <c r="G33" i="22"/>
  <c r="F33" i="22"/>
  <c r="E33" i="22"/>
  <c r="E33" i="15" s="1"/>
  <c r="D33" i="22"/>
  <c r="C33" i="22"/>
  <c r="P32" i="22"/>
  <c r="P32" i="15" s="1"/>
  <c r="O32" i="22"/>
  <c r="N32" i="22"/>
  <c r="M32" i="22"/>
  <c r="L32" i="22"/>
  <c r="K32" i="22"/>
  <c r="J32" i="22"/>
  <c r="I32" i="22"/>
  <c r="H32" i="22"/>
  <c r="G32" i="22"/>
  <c r="F32" i="22"/>
  <c r="E32" i="22"/>
  <c r="D32" i="22"/>
  <c r="C32" i="22"/>
  <c r="P31" i="22"/>
  <c r="P31" i="15" s="1"/>
  <c r="O31" i="22"/>
  <c r="N31" i="22"/>
  <c r="M31" i="22"/>
  <c r="L31" i="22"/>
  <c r="K31" i="22"/>
  <c r="J31" i="22"/>
  <c r="I31" i="22"/>
  <c r="H31" i="22"/>
  <c r="G31" i="22"/>
  <c r="F31" i="22"/>
  <c r="E31" i="22"/>
  <c r="E31" i="15" s="1"/>
  <c r="D31" i="22"/>
  <c r="C31" i="22"/>
  <c r="P23" i="22"/>
  <c r="P47" i="22" s="1"/>
  <c r="O23" i="22"/>
  <c r="O47" i="22" s="1"/>
  <c r="N23" i="22"/>
  <c r="N47" i="22" s="1"/>
  <c r="I23" i="22"/>
  <c r="H23" i="22"/>
  <c r="H47" i="22" s="1"/>
  <c r="F23" i="22"/>
  <c r="Q22" i="22"/>
  <c r="Q21" i="22"/>
  <c r="Q20" i="22"/>
  <c r="Q17" i="22"/>
  <c r="Q16" i="22"/>
  <c r="Q13" i="22"/>
  <c r="Q11" i="22"/>
  <c r="Q9" i="22"/>
  <c r="Q8" i="22"/>
  <c r="Q7" i="22"/>
  <c r="J8" i="5"/>
  <c r="T8" i="5"/>
  <c r="F40" i="15" l="1"/>
  <c r="F46" i="15"/>
  <c r="N31" i="15"/>
  <c r="N33" i="15"/>
  <c r="N37" i="15"/>
  <c r="N41" i="15"/>
  <c r="T100" i="8" s="1"/>
  <c r="N45" i="15"/>
  <c r="N47" i="15"/>
  <c r="N32" i="15"/>
  <c r="J35" i="15"/>
  <c r="N35" i="15"/>
  <c r="N40" i="15"/>
  <c r="T99" i="8" s="1"/>
  <c r="N44" i="15"/>
  <c r="N46" i="15"/>
  <c r="K31" i="15"/>
  <c r="K33" i="15"/>
  <c r="K37" i="15"/>
  <c r="K41" i="15"/>
  <c r="K45" i="15"/>
  <c r="K47" i="15"/>
  <c r="K32" i="15"/>
  <c r="K35" i="15"/>
  <c r="K40" i="15"/>
  <c r="K44" i="15"/>
  <c r="K46" i="15"/>
  <c r="F37" i="15"/>
  <c r="M47" i="15"/>
  <c r="I23" i="15"/>
  <c r="Q32" i="22"/>
  <c r="R32" i="22" s="1"/>
  <c r="I32" i="15"/>
  <c r="Q35" i="22"/>
  <c r="R35" i="22" s="1"/>
  <c r="I35" i="15"/>
  <c r="Q40" i="22"/>
  <c r="R40" i="22" s="1"/>
  <c r="I40" i="15"/>
  <c r="Q44" i="22"/>
  <c r="R44" i="22" s="1"/>
  <c r="I44" i="15"/>
  <c r="Q46" i="22"/>
  <c r="R46" i="22" s="1"/>
  <c r="I46" i="15"/>
  <c r="F23" i="15"/>
  <c r="I31" i="15"/>
  <c r="I33" i="15"/>
  <c r="M33" i="15"/>
  <c r="M37" i="15"/>
  <c r="I41" i="15"/>
  <c r="M41" i="15"/>
  <c r="M45" i="15"/>
  <c r="H47" i="15"/>
  <c r="D32" i="15"/>
  <c r="H32" i="15"/>
  <c r="L32" i="15"/>
  <c r="D35" i="15"/>
  <c r="H35" i="15"/>
  <c r="L35" i="15"/>
  <c r="D40" i="15"/>
  <c r="H40" i="15"/>
  <c r="L40" i="15"/>
  <c r="D44" i="15"/>
  <c r="H44" i="15"/>
  <c r="L44" i="15"/>
  <c r="D46" i="15"/>
  <c r="H46" i="15"/>
  <c r="L46" i="15"/>
  <c r="D31" i="15"/>
  <c r="H31" i="15"/>
  <c r="L31" i="15"/>
  <c r="D33" i="15"/>
  <c r="H33" i="15"/>
  <c r="L33" i="15"/>
  <c r="D37" i="15"/>
  <c r="H37" i="15"/>
  <c r="L37" i="15"/>
  <c r="D41" i="15"/>
  <c r="H41" i="15"/>
  <c r="L41" i="15"/>
  <c r="D45" i="15"/>
  <c r="H45" i="15"/>
  <c r="T110" i="6" s="1"/>
  <c r="L45" i="15"/>
  <c r="D47" i="15"/>
  <c r="L47" i="15"/>
  <c r="E11" i="15"/>
  <c r="H16" i="15"/>
  <c r="E23" i="15"/>
  <c r="L21" i="15"/>
  <c r="K11" i="15"/>
  <c r="L17" i="15"/>
  <c r="D20" i="15"/>
  <c r="P23" i="15"/>
  <c r="L22" i="15"/>
  <c r="L20" i="15"/>
  <c r="N13" i="15"/>
  <c r="L16" i="15"/>
  <c r="F8" i="15"/>
  <c r="F33" i="15"/>
  <c r="F41" i="15"/>
  <c r="F32" i="15"/>
  <c r="F20" i="15"/>
  <c r="F21" i="15"/>
  <c r="F22" i="15"/>
  <c r="F16" i="15"/>
  <c r="F11" i="15"/>
  <c r="F31" i="15"/>
  <c r="F17" i="15"/>
  <c r="F45" i="15"/>
  <c r="M32" i="15"/>
  <c r="I37" i="15"/>
  <c r="E40" i="15"/>
  <c r="I47" i="22"/>
  <c r="I47" i="15" s="1"/>
  <c r="J45" i="15"/>
  <c r="L11" i="15"/>
  <c r="D17" i="15"/>
  <c r="K17" i="15"/>
  <c r="E17" i="15"/>
  <c r="K16" i="15"/>
  <c r="D23" i="15"/>
  <c r="N23" i="15"/>
  <c r="K22" i="15"/>
  <c r="E22" i="15"/>
  <c r="K21" i="15"/>
  <c r="E21" i="15"/>
  <c r="K20" i="15"/>
  <c r="E20" i="15"/>
  <c r="E32" i="15"/>
  <c r="I45" i="15"/>
  <c r="Q31" i="22"/>
  <c r="R31" i="22" s="1"/>
  <c r="Q33" i="22"/>
  <c r="R33" i="22" s="1"/>
  <c r="Q37" i="22"/>
  <c r="R37" i="22" s="1"/>
  <c r="Q41" i="22"/>
  <c r="R41" i="22" s="1"/>
  <c r="Q45" i="22"/>
  <c r="R45" i="22" s="1"/>
  <c r="G35" i="15"/>
  <c r="H11" i="15"/>
  <c r="N11" i="15"/>
  <c r="I17" i="15"/>
  <c r="J16" i="15"/>
  <c r="D22" i="15"/>
  <c r="H23" i="15"/>
  <c r="N22" i="15"/>
  <c r="I22" i="15"/>
  <c r="I21" i="15"/>
  <c r="I20" i="15"/>
  <c r="E35" i="15"/>
  <c r="E44" i="15"/>
  <c r="F47" i="22"/>
  <c r="F47" i="15" s="1"/>
  <c r="I11" i="15"/>
  <c r="N17" i="15"/>
  <c r="H17" i="15"/>
  <c r="N16" i="15"/>
  <c r="D16" i="15"/>
  <c r="M22" i="15"/>
  <c r="H22" i="15"/>
  <c r="N21" i="15"/>
  <c r="H21" i="15"/>
  <c r="E37" i="15"/>
  <c r="E46" i="15"/>
  <c r="E45" i="15"/>
  <c r="G20" i="15"/>
  <c r="G31" i="15"/>
  <c r="G44" i="15"/>
  <c r="M13" i="15"/>
  <c r="J17" i="15"/>
  <c r="M16" i="15"/>
  <c r="M23" i="15"/>
  <c r="G21" i="15"/>
  <c r="J20" i="15"/>
  <c r="G32" i="15"/>
  <c r="J31" i="15"/>
  <c r="M35" i="15"/>
  <c r="J40" i="15"/>
  <c r="J46" i="15"/>
  <c r="J44" i="15"/>
  <c r="G40" i="15"/>
  <c r="G46" i="15"/>
  <c r="M11" i="15"/>
  <c r="M17" i="15"/>
  <c r="G22" i="15"/>
  <c r="J21" i="15"/>
  <c r="M20" i="15"/>
  <c r="G33" i="15"/>
  <c r="J32" i="15"/>
  <c r="M31" i="15"/>
  <c r="G37" i="15"/>
  <c r="G41" i="15"/>
  <c r="M40" i="15"/>
  <c r="J100" i="8" s="1"/>
  <c r="G47" i="15"/>
  <c r="M46" i="15"/>
  <c r="G45" i="15"/>
  <c r="M44" i="15"/>
  <c r="G11" i="15"/>
  <c r="G17" i="15"/>
  <c r="J11" i="15"/>
  <c r="G16" i="15"/>
  <c r="G23" i="15"/>
  <c r="J22" i="15"/>
  <c r="M21" i="15"/>
  <c r="J33" i="15"/>
  <c r="J37" i="15"/>
  <c r="J41" i="15"/>
  <c r="J47" i="15"/>
  <c r="E8" i="15"/>
  <c r="E7" i="15"/>
  <c r="E9" i="15"/>
  <c r="J8" i="15"/>
  <c r="J7" i="15"/>
  <c r="J9" i="15"/>
  <c r="N8" i="15"/>
  <c r="N7" i="15"/>
  <c r="N9" i="15"/>
  <c r="I8" i="15"/>
  <c r="I7" i="15"/>
  <c r="I9" i="15"/>
  <c r="G7" i="15"/>
  <c r="G9" i="15"/>
  <c r="G8" i="15"/>
  <c r="M8" i="15"/>
  <c r="M7" i="15"/>
  <c r="M9" i="15"/>
  <c r="K7" i="15"/>
  <c r="K9" i="15"/>
  <c r="K8" i="15"/>
  <c r="D11" i="15"/>
  <c r="D9" i="15"/>
  <c r="D7" i="15"/>
  <c r="D8" i="15"/>
  <c r="H7" i="15"/>
  <c r="H9" i="15"/>
  <c r="H8" i="15"/>
  <c r="L7" i="15"/>
  <c r="L9" i="15"/>
  <c r="L8" i="15"/>
  <c r="F9" i="15"/>
  <c r="F7" i="15"/>
  <c r="Q23" i="22"/>
  <c r="B19" i="5"/>
  <c r="S62" i="5"/>
  <c r="W62" i="5"/>
  <c r="B63" i="5"/>
  <c r="S17" i="8"/>
  <c r="AC17" i="8"/>
  <c r="AC17" i="7"/>
  <c r="S17" i="7"/>
  <c r="I17" i="7"/>
  <c r="AC17" i="6"/>
  <c r="S17" i="6"/>
  <c r="I17" i="6"/>
  <c r="J109" i="8"/>
  <c r="I109" i="8" s="1"/>
  <c r="AJ109" i="8" s="1"/>
  <c r="D7" i="6"/>
  <c r="AJ17" i="7" l="1"/>
  <c r="AD62" i="5"/>
  <c r="I100" i="8"/>
  <c r="M100" i="8"/>
  <c r="S100" i="8"/>
  <c r="W100" i="8"/>
  <c r="AJ17" i="8"/>
  <c r="W99" i="8"/>
  <c r="S99" i="8"/>
  <c r="AJ99" i="8" s="1"/>
  <c r="AJ17" i="6"/>
  <c r="Q47" i="22"/>
  <c r="R47" i="22" s="1"/>
  <c r="G5" i="5"/>
  <c r="F5" i="5"/>
  <c r="E5" i="5"/>
  <c r="Q17" i="15"/>
  <c r="Q16" i="15"/>
  <c r="Q13" i="15"/>
  <c r="Q11" i="15"/>
  <c r="Q9" i="15"/>
  <c r="Q8" i="15"/>
  <c r="Q7" i="15"/>
  <c r="P46" i="15"/>
  <c r="P45" i="15"/>
  <c r="P44" i="15"/>
  <c r="T18" i="6"/>
  <c r="J18" i="6"/>
  <c r="P41" i="15"/>
  <c r="O41" i="15"/>
  <c r="T53" i="7"/>
  <c r="AD100" i="6"/>
  <c r="T100" i="6"/>
  <c r="AD52" i="5"/>
  <c r="C41" i="15"/>
  <c r="P40" i="15"/>
  <c r="O40" i="15"/>
  <c r="AD100" i="8" s="1"/>
  <c r="AD99" i="6"/>
  <c r="T99" i="6"/>
  <c r="AD51" i="5"/>
  <c r="C40" i="15"/>
  <c r="P37" i="15"/>
  <c r="T9" i="8"/>
  <c r="J9" i="8"/>
  <c r="J9" i="7"/>
  <c r="C37" i="15"/>
  <c r="P35" i="15"/>
  <c r="C35" i="15"/>
  <c r="J11" i="7"/>
  <c r="T11" i="6"/>
  <c r="S11" i="6" s="1"/>
  <c r="J11" i="6"/>
  <c r="I11" i="6" s="1"/>
  <c r="T11" i="5"/>
  <c r="S11" i="5" s="1"/>
  <c r="J11" i="5"/>
  <c r="C33" i="15"/>
  <c r="J11" i="8"/>
  <c r="AD10" i="7"/>
  <c r="T10" i="7"/>
  <c r="J10" i="7"/>
  <c r="T10" i="6"/>
  <c r="J10" i="6"/>
  <c r="AD11" i="5"/>
  <c r="AC11" i="5" s="1"/>
  <c r="T10" i="5"/>
  <c r="C32" i="15"/>
  <c r="T18" i="5"/>
  <c r="J8" i="7"/>
  <c r="T8" i="6"/>
  <c r="J8" i="6"/>
  <c r="C31" i="15"/>
  <c r="P47" i="15"/>
  <c r="Q22" i="15"/>
  <c r="Q21" i="15"/>
  <c r="Q20" i="15"/>
  <c r="AC100" i="8" l="1"/>
  <c r="AJ100" i="8" s="1"/>
  <c r="AG100" i="8"/>
  <c r="J63" i="7"/>
  <c r="T110" i="8"/>
  <c r="J10" i="5"/>
  <c r="Q45" i="15"/>
  <c r="R45" i="15" s="1"/>
  <c r="AD110" i="6"/>
  <c r="J8" i="8"/>
  <c r="J10" i="8"/>
  <c r="Q44" i="15"/>
  <c r="R44" i="15" s="1"/>
  <c r="Q46" i="15"/>
  <c r="R46" i="15" s="1"/>
  <c r="Q31" i="15"/>
  <c r="R31" i="15" s="1"/>
  <c r="Q33" i="15"/>
  <c r="R33" i="15" s="1"/>
  <c r="Q41" i="15"/>
  <c r="R41" i="15" s="1"/>
  <c r="Q37" i="15"/>
  <c r="R37" i="15" s="1"/>
  <c r="Q32" i="15"/>
  <c r="R32" i="15" s="1"/>
  <c r="Q35" i="15"/>
  <c r="R35" i="15" s="1"/>
  <c r="Q40" i="15"/>
  <c r="R40" i="15" s="1"/>
  <c r="Q47" i="15"/>
  <c r="R47" i="15" s="1"/>
  <c r="Q23" i="15"/>
  <c r="AC62" i="5" l="1"/>
  <c r="AG62" i="5"/>
  <c r="P40" i="23" l="1"/>
  <c r="U7" i="16"/>
  <c r="S7" i="16"/>
  <c r="Q7" i="16"/>
  <c r="P7" i="16"/>
  <c r="N7" i="16"/>
  <c r="L7" i="16"/>
  <c r="K7" i="16"/>
  <c r="I7" i="16"/>
  <c r="G7" i="16"/>
  <c r="F7" i="16"/>
  <c r="D7" i="16"/>
  <c r="B7" i="16"/>
  <c r="U6" i="16"/>
  <c r="S6" i="16"/>
  <c r="Q6" i="16"/>
  <c r="P6" i="16"/>
  <c r="N6" i="16"/>
  <c r="L6" i="16"/>
  <c r="K6" i="16"/>
  <c r="I6" i="16"/>
  <c r="G6" i="16"/>
  <c r="F6" i="16"/>
  <c r="D6" i="16"/>
  <c r="B6" i="16"/>
  <c r="J84" i="8" l="1"/>
  <c r="B72" i="8"/>
  <c r="B71" i="8"/>
  <c r="B70" i="8"/>
  <c r="B69" i="8"/>
  <c r="B68" i="8"/>
  <c r="B66" i="8"/>
  <c r="B65" i="8"/>
  <c r="B64" i="8"/>
  <c r="B63" i="8"/>
  <c r="B62" i="8"/>
  <c r="B61" i="8"/>
  <c r="B60" i="8"/>
  <c r="B59" i="8"/>
  <c r="B58" i="8"/>
  <c r="B57" i="8"/>
  <c r="B56" i="8"/>
  <c r="B55" i="8"/>
  <c r="B54" i="8"/>
  <c r="B53" i="8"/>
  <c r="B53" i="6"/>
  <c r="B61" i="6"/>
  <c r="B62" i="6"/>
  <c r="B63" i="6"/>
  <c r="B64" i="6"/>
  <c r="B65" i="6"/>
  <c r="AC123" i="7" l="1"/>
  <c r="S123" i="7"/>
  <c r="I123" i="7"/>
  <c r="AJ123" i="7" s="1"/>
  <c r="B193" i="6"/>
  <c r="B194" i="8"/>
  <c r="AD195" i="8"/>
  <c r="AG195" i="8" s="1"/>
  <c r="AD194" i="8"/>
  <c r="AC194" i="8" s="1"/>
  <c r="T194" i="8"/>
  <c r="W194" i="8" s="1"/>
  <c r="J194" i="8"/>
  <c r="I194" i="8" s="1"/>
  <c r="AD193" i="6"/>
  <c r="AC193" i="6" s="1"/>
  <c r="W193" i="6"/>
  <c r="I193" i="6"/>
  <c r="AD194" i="6"/>
  <c r="AG194" i="6" s="1"/>
  <c r="AD147" i="5"/>
  <c r="AG147" i="5" s="1"/>
  <c r="T147" i="5"/>
  <c r="S147" i="5" s="1"/>
  <c r="S148" i="5" s="1"/>
  <c r="S149" i="5" s="1"/>
  <c r="M147" i="5"/>
  <c r="B108" i="8"/>
  <c r="B109" i="8"/>
  <c r="B61" i="7"/>
  <c r="B62" i="7"/>
  <c r="J62" i="7"/>
  <c r="M62" i="7" s="1"/>
  <c r="B108" i="6"/>
  <c r="B109" i="6"/>
  <c r="M61" i="5"/>
  <c r="W147" i="5" l="1"/>
  <c r="AC147" i="5"/>
  <c r="AC109" i="6"/>
  <c r="S194" i="8"/>
  <c r="AJ194" i="8" s="1"/>
  <c r="AC195" i="8"/>
  <c r="AC196" i="8" s="1"/>
  <c r="AC197" i="8" s="1"/>
  <c r="I62" i="7"/>
  <c r="AJ62" i="7" s="1"/>
  <c r="AC62" i="7"/>
  <c r="S62" i="7"/>
  <c r="AC194" i="6"/>
  <c r="AC196" i="6" s="1"/>
  <c r="AC197" i="6" s="1"/>
  <c r="S193" i="6"/>
  <c r="AJ193" i="6" s="1"/>
  <c r="M193" i="6"/>
  <c r="AG193" i="6"/>
  <c r="AG194" i="8"/>
  <c r="M194" i="8"/>
  <c r="I61" i="5"/>
  <c r="S109" i="6"/>
  <c r="B61" i="5"/>
  <c r="AJ109" i="6" l="1"/>
  <c r="J108" i="8"/>
  <c r="M108" i="8" s="1"/>
  <c r="J108" i="6"/>
  <c r="I108" i="6" s="1"/>
  <c r="J60" i="5"/>
  <c r="I60" i="5" s="1"/>
  <c r="AD60" i="5"/>
  <c r="AC60" i="5" l="1"/>
  <c r="AG60" i="5"/>
  <c r="I108" i="8"/>
  <c r="M108" i="6"/>
  <c r="AD53" i="5" l="1"/>
  <c r="AD61" i="5" s="1"/>
  <c r="T53" i="5"/>
  <c r="T185" i="8"/>
  <c r="W185" i="8" s="1"/>
  <c r="J185" i="8"/>
  <c r="J195" i="8" s="1"/>
  <c r="J184" i="6"/>
  <c r="T184" i="6"/>
  <c r="AD137" i="5"/>
  <c r="AC137" i="5" s="1"/>
  <c r="T137" i="5"/>
  <c r="S137" i="5" s="1"/>
  <c r="J137" i="5"/>
  <c r="I137" i="5" s="1"/>
  <c r="AC184" i="6"/>
  <c r="AG185" i="8"/>
  <c r="AC185" i="8"/>
  <c r="AG184" i="6"/>
  <c r="AJ137" i="5" l="1"/>
  <c r="W53" i="5"/>
  <c r="T61" i="5"/>
  <c r="S61" i="5" s="1"/>
  <c r="AG53" i="5"/>
  <c r="M195" i="8"/>
  <c r="I195" i="8"/>
  <c r="S185" i="8"/>
  <c r="T195" i="8"/>
  <c r="M185" i="8"/>
  <c r="M184" i="6"/>
  <c r="J194" i="6"/>
  <c r="W184" i="6"/>
  <c r="T194" i="6"/>
  <c r="M137" i="5"/>
  <c r="W137" i="5"/>
  <c r="AG137" i="5"/>
  <c r="S184" i="6"/>
  <c r="I196" i="8" l="1"/>
  <c r="I197" i="8" s="1"/>
  <c r="AG61" i="5"/>
  <c r="AC61" i="5"/>
  <c r="AC63" i="5" s="1"/>
  <c r="W61" i="5"/>
  <c r="M194" i="6"/>
  <c r="AQ194" i="6"/>
  <c r="AS193" i="6" s="1"/>
  <c r="AU193" i="6" s="1"/>
  <c r="S195" i="8"/>
  <c r="S196" i="8" s="1"/>
  <c r="S197" i="8" s="1"/>
  <c r="W195" i="8"/>
  <c r="S194" i="6"/>
  <c r="S196" i="6" s="1"/>
  <c r="S197" i="6" s="1"/>
  <c r="W194" i="6"/>
  <c r="AJ195" i="8" l="1"/>
  <c r="AJ61" i="5"/>
  <c r="AJ196" i="8"/>
  <c r="AJ197" i="8"/>
  <c r="M17" i="8"/>
  <c r="AG17" i="8"/>
  <c r="W17" i="8"/>
  <c r="AG17" i="7"/>
  <c r="W17" i="7"/>
  <c r="M17" i="7"/>
  <c r="AG17" i="6"/>
  <c r="W17" i="6"/>
  <c r="M17" i="6"/>
  <c r="B60" i="5"/>
  <c r="M60" i="5"/>
  <c r="M17" i="5"/>
  <c r="W17" i="5"/>
  <c r="AG17" i="5"/>
  <c r="AD18" i="5"/>
  <c r="AC18" i="5" s="1"/>
  <c r="AC19" i="5" s="1"/>
  <c r="AC20" i="5" s="1"/>
  <c r="AC21" i="5" s="1"/>
  <c r="B17" i="5"/>
  <c r="S18" i="5" l="1"/>
  <c r="S19" i="5" s="1"/>
  <c r="S20" i="5" s="1"/>
  <c r="S21" i="5" s="1"/>
  <c r="I194" i="6"/>
  <c r="AJ194" i="6" s="1"/>
  <c r="I147" i="5"/>
  <c r="I148" i="5" l="1"/>
  <c r="I149" i="5" s="1"/>
  <c r="AJ147" i="5"/>
  <c r="I196" i="6"/>
  <c r="S236" i="8"/>
  <c r="I236" i="8"/>
  <c r="S227" i="8"/>
  <c r="I197" i="6" l="1"/>
  <c r="AJ197" i="6" s="1"/>
  <c r="AJ196" i="6"/>
  <c r="F39" i="23"/>
  <c r="I110" i="6"/>
  <c r="I62" i="5"/>
  <c r="I110" i="8"/>
  <c r="AC236" i="8"/>
  <c r="AJ236" i="8" s="1"/>
  <c r="AC258" i="8"/>
  <c r="AC257" i="8"/>
  <c r="AC256" i="8"/>
  <c r="AC255" i="8"/>
  <c r="AC254" i="8"/>
  <c r="AC253" i="8"/>
  <c r="S258" i="8"/>
  <c r="S257" i="8"/>
  <c r="S256" i="8"/>
  <c r="S255" i="8"/>
  <c r="S254" i="8"/>
  <c r="S253" i="8"/>
  <c r="I258" i="8"/>
  <c r="I257" i="8"/>
  <c r="I256" i="8"/>
  <c r="I255" i="8"/>
  <c r="I254" i="8"/>
  <c r="I253" i="8"/>
  <c r="AC258" i="6"/>
  <c r="AC257" i="6"/>
  <c r="AC256" i="6"/>
  <c r="AC255" i="6"/>
  <c r="AC254" i="6"/>
  <c r="AC253" i="6"/>
  <c r="S258" i="6"/>
  <c r="S257" i="6"/>
  <c r="S256" i="6"/>
  <c r="S255" i="6"/>
  <c r="S254" i="6"/>
  <c r="S253" i="6"/>
  <c r="I256" i="6"/>
  <c r="AJ256" i="6" s="1"/>
  <c r="I257" i="6"/>
  <c r="AJ257" i="6" s="1"/>
  <c r="I258" i="6"/>
  <c r="AJ258" i="6" s="1"/>
  <c r="I255" i="6"/>
  <c r="AJ255" i="6" s="1"/>
  <c r="I254" i="6"/>
  <c r="I253" i="6"/>
  <c r="I248" i="6"/>
  <c r="AC248" i="6"/>
  <c r="AC249" i="6" s="1"/>
  <c r="AC243" i="8"/>
  <c r="AC242" i="8"/>
  <c r="AC241" i="8"/>
  <c r="S243" i="8"/>
  <c r="S242" i="8"/>
  <c r="S241" i="8"/>
  <c r="I243" i="8"/>
  <c r="I242" i="8"/>
  <c r="I241" i="8"/>
  <c r="AC243" i="6"/>
  <c r="AC242" i="6"/>
  <c r="AC241" i="6"/>
  <c r="S243" i="6"/>
  <c r="S242" i="6"/>
  <c r="S241" i="6"/>
  <c r="I242" i="6"/>
  <c r="I243" i="6"/>
  <c r="I241" i="6"/>
  <c r="AJ241" i="6" s="1"/>
  <c r="AC236" i="6"/>
  <c r="S236" i="6"/>
  <c r="I236" i="6"/>
  <c r="AC228" i="8"/>
  <c r="AC227" i="8"/>
  <c r="AC228" i="6"/>
  <c r="AC227" i="6"/>
  <c r="S228" i="8"/>
  <c r="S228" i="6"/>
  <c r="S227" i="6"/>
  <c r="AF106" i="7"/>
  <c r="V106" i="7"/>
  <c r="L106" i="7"/>
  <c r="I97" i="7"/>
  <c r="AC97" i="7"/>
  <c r="S97" i="7"/>
  <c r="J144" i="8"/>
  <c r="I144" i="8" s="1"/>
  <c r="J153" i="8"/>
  <c r="I153" i="8" s="1"/>
  <c r="T144" i="8"/>
  <c r="S144" i="8" s="1"/>
  <c r="S148" i="8" s="1"/>
  <c r="AD153" i="8"/>
  <c r="AC153" i="8" s="1"/>
  <c r="AD144" i="8"/>
  <c r="AC144" i="8" s="1"/>
  <c r="AC148" i="8" s="1"/>
  <c r="T153" i="8"/>
  <c r="S153" i="8" s="1"/>
  <c r="AD105" i="5"/>
  <c r="AC105" i="5" s="1"/>
  <c r="AD96" i="5"/>
  <c r="AC96" i="5" s="1"/>
  <c r="AC100" i="5" s="1"/>
  <c r="T105" i="5"/>
  <c r="S105" i="5" s="1"/>
  <c r="T96" i="5"/>
  <c r="S96" i="5" s="1"/>
  <c r="S100" i="5" s="1"/>
  <c r="J105" i="5"/>
  <c r="I105" i="5" s="1"/>
  <c r="J96" i="5"/>
  <c r="I96" i="5" s="1"/>
  <c r="AJ241" i="8" l="1"/>
  <c r="AJ242" i="6"/>
  <c r="AJ243" i="6"/>
  <c r="I111" i="8"/>
  <c r="AJ97" i="7"/>
  <c r="AJ242" i="8"/>
  <c r="AJ243" i="8"/>
  <c r="I249" i="6"/>
  <c r="I111" i="6"/>
  <c r="AJ253" i="6"/>
  <c r="AJ105" i="5"/>
  <c r="AJ236" i="6"/>
  <c r="AJ254" i="6"/>
  <c r="AJ153" i="8"/>
  <c r="I148" i="8"/>
  <c r="AJ148" i="8" s="1"/>
  <c r="AJ144" i="8"/>
  <c r="I100" i="5"/>
  <c r="AJ100" i="5" s="1"/>
  <c r="AJ96" i="5"/>
  <c r="I63" i="5"/>
  <c r="AJ62" i="5"/>
  <c r="N39" i="23"/>
  <c r="O39" i="23"/>
  <c r="P39" i="23"/>
  <c r="N7" i="4"/>
  <c r="L39" i="23"/>
  <c r="L7" i="4"/>
  <c r="J39" i="23"/>
  <c r="I7" i="4"/>
  <c r="G39" i="23"/>
  <c r="J7" i="4"/>
  <c r="H39" i="23"/>
  <c r="F7" i="4"/>
  <c r="D39" i="23"/>
  <c r="D41" i="23" s="1"/>
  <c r="D42" i="23" s="1"/>
  <c r="E7" i="4"/>
  <c r="C39" i="23"/>
  <c r="C41" i="23" s="1"/>
  <c r="C42" i="23" s="1"/>
  <c r="D7" i="4"/>
  <c r="B39" i="23"/>
  <c r="H7" i="4"/>
  <c r="AC106" i="7"/>
  <c r="I106" i="7"/>
  <c r="S106" i="7"/>
  <c r="I245" i="6"/>
  <c r="AC149" i="8"/>
  <c r="AC150" i="8" s="1"/>
  <c r="S149" i="8"/>
  <c r="S150" i="8" s="1"/>
  <c r="AC101" i="5"/>
  <c r="AC102" i="5" s="1"/>
  <c r="S101" i="5"/>
  <c r="S102" i="5" s="1"/>
  <c r="I149" i="8" l="1"/>
  <c r="I101" i="5"/>
  <c r="I102" i="5" s="1"/>
  <c r="AJ102" i="5" s="1"/>
  <c r="AJ106" i="7"/>
  <c r="I65" i="5"/>
  <c r="I66" i="5" s="1"/>
  <c r="I150" i="8"/>
  <c r="AJ150" i="8" s="1"/>
  <c r="AJ149" i="8"/>
  <c r="AF63" i="8"/>
  <c r="AD63" i="8" s="1"/>
  <c r="AC63" i="8" s="1"/>
  <c r="AF63" i="6"/>
  <c r="AD63" i="6" s="1"/>
  <c r="AC63" i="6" s="1"/>
  <c r="V63" i="8"/>
  <c r="T63" i="8" s="1"/>
  <c r="S63" i="8" s="1"/>
  <c r="V63" i="6"/>
  <c r="T63" i="6" s="1"/>
  <c r="S63" i="6" s="1"/>
  <c r="AF79" i="8"/>
  <c r="AD79" i="8" s="1"/>
  <c r="AG79" i="8" s="1"/>
  <c r="AF79" i="6"/>
  <c r="AD79" i="6" s="1"/>
  <c r="AG79" i="6" s="1"/>
  <c r="V79" i="8"/>
  <c r="T79" i="8" s="1"/>
  <c r="W79" i="8" s="1"/>
  <c r="V79" i="6"/>
  <c r="T79" i="6" s="1"/>
  <c r="W79" i="6" s="1"/>
  <c r="L79" i="8"/>
  <c r="J79" i="8" s="1"/>
  <c r="M79" i="8" s="1"/>
  <c r="L79" i="6"/>
  <c r="J79" i="6" s="1"/>
  <c r="I79" i="6" s="1"/>
  <c r="AF84" i="8"/>
  <c r="AD84" i="8"/>
  <c r="V84" i="8"/>
  <c r="T84" i="8"/>
  <c r="L84" i="8"/>
  <c r="AF84" i="6"/>
  <c r="AD84" i="6"/>
  <c r="V84" i="6"/>
  <c r="T84" i="6"/>
  <c r="L84" i="6"/>
  <c r="J84" i="6"/>
  <c r="AD72" i="8"/>
  <c r="T72" i="8"/>
  <c r="J72" i="8"/>
  <c r="L72" i="8"/>
  <c r="L72" i="6"/>
  <c r="J72" i="6"/>
  <c r="AF72" i="8"/>
  <c r="AF72" i="6"/>
  <c r="AD72" i="6"/>
  <c r="V72" i="8"/>
  <c r="S72" i="8" s="1"/>
  <c r="V72" i="6"/>
  <c r="T72" i="6"/>
  <c r="AF64" i="6"/>
  <c r="AD64" i="6" s="1"/>
  <c r="AG64" i="6" s="1"/>
  <c r="AF62" i="6"/>
  <c r="AD62" i="6" s="1"/>
  <c r="AC62" i="6" s="1"/>
  <c r="AF61" i="6"/>
  <c r="AD61" i="6" s="1"/>
  <c r="AF64" i="8"/>
  <c r="AF62" i="8"/>
  <c r="AD62" i="8" s="1"/>
  <c r="AG62" i="8" s="1"/>
  <c r="AF61" i="8"/>
  <c r="AD61" i="8" s="1"/>
  <c r="AC61" i="8" s="1"/>
  <c r="V64" i="6"/>
  <c r="T64" i="6" s="1"/>
  <c r="W64" i="6" s="1"/>
  <c r="V62" i="6"/>
  <c r="T62" i="6" s="1"/>
  <c r="V61" i="6"/>
  <c r="T61" i="6" s="1"/>
  <c r="V64" i="8"/>
  <c r="T64" i="8" s="1"/>
  <c r="W64" i="8" s="1"/>
  <c r="V62" i="8"/>
  <c r="T62" i="8" s="1"/>
  <c r="W62" i="8" s="1"/>
  <c r="V61" i="8"/>
  <c r="T61" i="8" s="1"/>
  <c r="S61" i="8" s="1"/>
  <c r="L64" i="6"/>
  <c r="J64" i="6" s="1"/>
  <c r="M64" i="6" s="1"/>
  <c r="L63" i="6"/>
  <c r="J63" i="6" s="1"/>
  <c r="I63" i="6" s="1"/>
  <c r="L62" i="6"/>
  <c r="J62" i="6" s="1"/>
  <c r="M62" i="6" s="1"/>
  <c r="L61" i="6"/>
  <c r="J61" i="6" s="1"/>
  <c r="L64" i="8"/>
  <c r="L63" i="8"/>
  <c r="J63" i="8" s="1"/>
  <c r="M63" i="8" s="1"/>
  <c r="L62" i="8"/>
  <c r="J62" i="8" s="1"/>
  <c r="L61" i="8"/>
  <c r="J61" i="8" s="1"/>
  <c r="AF55" i="6"/>
  <c r="AD55" i="6" s="1"/>
  <c r="AC55" i="6" s="1"/>
  <c r="AF54" i="6"/>
  <c r="AD54" i="6" s="1"/>
  <c r="AC54" i="6" s="1"/>
  <c r="AF53" i="6"/>
  <c r="AD53" i="6" s="1"/>
  <c r="AC53" i="6" s="1"/>
  <c r="AF55" i="8"/>
  <c r="AD55" i="8" s="1"/>
  <c r="AC55" i="8" s="1"/>
  <c r="AF54" i="8"/>
  <c r="AD54" i="8" s="1"/>
  <c r="AC54" i="8" s="1"/>
  <c r="AF53" i="8"/>
  <c r="AD53" i="8" s="1"/>
  <c r="AC53" i="8" s="1"/>
  <c r="V55" i="6"/>
  <c r="T55" i="6" s="1"/>
  <c r="S55" i="6" s="1"/>
  <c r="V54" i="6"/>
  <c r="T54" i="6" s="1"/>
  <c r="S54" i="6" s="1"/>
  <c r="V53" i="6"/>
  <c r="T53" i="6" s="1"/>
  <c r="S53" i="6" s="1"/>
  <c r="V55" i="8"/>
  <c r="T55" i="8" s="1"/>
  <c r="S55" i="8" s="1"/>
  <c r="V54" i="8"/>
  <c r="T54" i="8" s="1"/>
  <c r="S54" i="8" s="1"/>
  <c r="V53" i="8"/>
  <c r="T53" i="8" s="1"/>
  <c r="S53" i="8" s="1"/>
  <c r="L53" i="6"/>
  <c r="J53" i="6" s="1"/>
  <c r="I53" i="6" s="1"/>
  <c r="L54" i="6"/>
  <c r="J54" i="6" s="1"/>
  <c r="I54" i="6" s="1"/>
  <c r="L55" i="6"/>
  <c r="J55" i="6" s="1"/>
  <c r="M55" i="6" s="1"/>
  <c r="L53" i="8"/>
  <c r="J53" i="8" s="1"/>
  <c r="I53" i="8" s="1"/>
  <c r="L54" i="8"/>
  <c r="J54" i="8" s="1"/>
  <c r="I54" i="8" s="1"/>
  <c r="L55" i="8"/>
  <c r="J55" i="8" s="1"/>
  <c r="I55" i="8" s="1"/>
  <c r="B55" i="6"/>
  <c r="AG68" i="6"/>
  <c r="AG68" i="8"/>
  <c r="W68" i="6"/>
  <c r="W68" i="8"/>
  <c r="M68" i="6"/>
  <c r="M68" i="8"/>
  <c r="B8" i="8"/>
  <c r="B9" i="8"/>
  <c r="B10" i="8"/>
  <c r="B11" i="8"/>
  <c r="B12" i="8"/>
  <c r="B13" i="8"/>
  <c r="B14" i="8"/>
  <c r="B15" i="8"/>
  <c r="B16" i="8"/>
  <c r="B18" i="8"/>
  <c r="B20" i="8"/>
  <c r="B21" i="8"/>
  <c r="B22" i="8"/>
  <c r="B23" i="8"/>
  <c r="B24" i="8"/>
  <c r="B25" i="8"/>
  <c r="B26" i="8"/>
  <c r="B27" i="8"/>
  <c r="B28" i="8"/>
  <c r="B29" i="8"/>
  <c r="B30" i="8"/>
  <c r="B31" i="8"/>
  <c r="B32" i="8"/>
  <c r="B33" i="8"/>
  <c r="B34" i="8"/>
  <c r="B35" i="8"/>
  <c r="B36" i="8"/>
  <c r="B37" i="8"/>
  <c r="B38" i="8"/>
  <c r="B39" i="8"/>
  <c r="B40" i="8"/>
  <c r="B41" i="8"/>
  <c r="B42" i="8"/>
  <c r="B43" i="8"/>
  <c r="B44" i="8"/>
  <c r="B45" i="8"/>
  <c r="B46" i="8"/>
  <c r="B67" i="8"/>
  <c r="B73" i="8"/>
  <c r="B74" i="8"/>
  <c r="B75" i="8"/>
  <c r="B76" i="8"/>
  <c r="B77" i="8"/>
  <c r="B78" i="8"/>
  <c r="B79" i="8"/>
  <c r="B80" i="8"/>
  <c r="B81" i="8"/>
  <c r="B82" i="8"/>
  <c r="B83" i="8"/>
  <c r="B84" i="8"/>
  <c r="B85" i="8"/>
  <c r="B86" i="8"/>
  <c r="B87" i="8"/>
  <c r="B88" i="8"/>
  <c r="B89" i="8"/>
  <c r="B90" i="8"/>
  <c r="B91" i="8"/>
  <c r="B92" i="8"/>
  <c r="B93" i="8"/>
  <c r="B94" i="8"/>
  <c r="B101" i="8"/>
  <c r="B102" i="8"/>
  <c r="B103" i="8"/>
  <c r="B104" i="8"/>
  <c r="B105" i="8"/>
  <c r="B106" i="8"/>
  <c r="B107" i="8"/>
  <c r="B110"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4" i="8"/>
  <c r="B185" i="8"/>
  <c r="B186" i="8"/>
  <c r="B187" i="8"/>
  <c r="B188" i="8"/>
  <c r="B189" i="8"/>
  <c r="B190" i="8"/>
  <c r="B191" i="8"/>
  <c r="B192" i="8"/>
  <c r="B193"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8" i="7"/>
  <c r="B9" i="7"/>
  <c r="B10" i="7"/>
  <c r="B11" i="7"/>
  <c r="B12" i="7"/>
  <c r="B13" i="7"/>
  <c r="B14" i="7"/>
  <c r="B15" i="7"/>
  <c r="B16" i="7"/>
  <c r="B18" i="7"/>
  <c r="B20" i="7"/>
  <c r="B21" i="7"/>
  <c r="B22" i="7"/>
  <c r="B23" i="7"/>
  <c r="B24" i="7"/>
  <c r="B25" i="7"/>
  <c r="B26" i="7"/>
  <c r="B27" i="7"/>
  <c r="B28" i="7"/>
  <c r="B29" i="7"/>
  <c r="B30" i="7"/>
  <c r="B31" i="7"/>
  <c r="B32" i="7"/>
  <c r="B33" i="7"/>
  <c r="B34" i="7"/>
  <c r="B35" i="7"/>
  <c r="B36" i="7"/>
  <c r="B37" i="7"/>
  <c r="B38" i="7"/>
  <c r="B39" i="7"/>
  <c r="B40" i="7"/>
  <c r="B41" i="7"/>
  <c r="B42" i="7"/>
  <c r="B43" i="7"/>
  <c r="B44" i="7"/>
  <c r="B46" i="7"/>
  <c r="B47" i="7"/>
  <c r="B51" i="7"/>
  <c r="B52" i="7"/>
  <c r="B53" i="7"/>
  <c r="B54" i="7"/>
  <c r="B55" i="7"/>
  <c r="B56" i="7"/>
  <c r="B57" i="7"/>
  <c r="B58" i="7"/>
  <c r="B59" i="7"/>
  <c r="B60" i="7"/>
  <c r="B63" i="7"/>
  <c r="B66" i="7"/>
  <c r="B67" i="7"/>
  <c r="B68" i="7"/>
  <c r="B69" i="7"/>
  <c r="B70" i="7"/>
  <c r="B71" i="7"/>
  <c r="B72" i="7"/>
  <c r="B73" i="7"/>
  <c r="B74" i="7"/>
  <c r="B75" i="7"/>
  <c r="B76" i="7"/>
  <c r="B77" i="7"/>
  <c r="B78" i="7"/>
  <c r="B79" i="7"/>
  <c r="B80" i="7"/>
  <c r="B81" i="7"/>
  <c r="B82" i="7"/>
  <c r="B83" i="7"/>
  <c r="B84" i="7"/>
  <c r="B85" i="7"/>
  <c r="B86" i="7"/>
  <c r="B87" i="7"/>
  <c r="B88" i="7"/>
  <c r="B89" i="7"/>
  <c r="B90" i="7"/>
  <c r="B91" i="7"/>
  <c r="B92"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8" i="6"/>
  <c r="B9" i="6"/>
  <c r="B10" i="6"/>
  <c r="B11" i="6"/>
  <c r="B12" i="6"/>
  <c r="B13" i="6"/>
  <c r="B14" i="6"/>
  <c r="B15" i="6"/>
  <c r="B16" i="6"/>
  <c r="B18" i="6"/>
  <c r="B20" i="6"/>
  <c r="B21" i="6"/>
  <c r="B22" i="6"/>
  <c r="B23" i="6"/>
  <c r="B24" i="6"/>
  <c r="B25" i="6"/>
  <c r="B26" i="6"/>
  <c r="B27" i="6"/>
  <c r="B28" i="6"/>
  <c r="B29" i="6"/>
  <c r="B30" i="6"/>
  <c r="B31" i="6"/>
  <c r="B32" i="6"/>
  <c r="B33" i="6"/>
  <c r="B34" i="6"/>
  <c r="B35" i="6"/>
  <c r="B36" i="6"/>
  <c r="B37" i="6"/>
  <c r="B38" i="6"/>
  <c r="B39" i="6"/>
  <c r="B40" i="6"/>
  <c r="B41" i="6"/>
  <c r="B42" i="6"/>
  <c r="B43" i="6"/>
  <c r="B44" i="6"/>
  <c r="B45" i="6"/>
  <c r="B46" i="6"/>
  <c r="B54" i="6"/>
  <c r="B56" i="6"/>
  <c r="B57" i="6"/>
  <c r="B58" i="6"/>
  <c r="B59" i="6"/>
  <c r="B60"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8" i="6"/>
  <c r="B99" i="6"/>
  <c r="B100" i="6"/>
  <c r="B101" i="6"/>
  <c r="B102" i="6"/>
  <c r="B103" i="6"/>
  <c r="B104" i="6"/>
  <c r="B105" i="6"/>
  <c r="B106" i="6"/>
  <c r="B107" i="6"/>
  <c r="B110"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3" i="6"/>
  <c r="B184" i="6"/>
  <c r="B185" i="6"/>
  <c r="B186" i="6"/>
  <c r="B187" i="6"/>
  <c r="B188" i="6"/>
  <c r="B189" i="6"/>
  <c r="B190" i="6"/>
  <c r="B191" i="6"/>
  <c r="B192" i="6"/>
  <c r="B194"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7" i="8"/>
  <c r="B7" i="7"/>
  <c r="B7" i="6"/>
  <c r="AJ53" i="6" l="1"/>
  <c r="AJ53" i="8"/>
  <c r="AJ55" i="8"/>
  <c r="AJ63" i="6"/>
  <c r="AJ54" i="6"/>
  <c r="AJ101" i="5"/>
  <c r="AJ54" i="8"/>
  <c r="S84" i="6"/>
  <c r="I72" i="6"/>
  <c r="S84" i="8"/>
  <c r="I72" i="8"/>
  <c r="AC84" i="6"/>
  <c r="AC84" i="8"/>
  <c r="AC72" i="6"/>
  <c r="W62" i="6"/>
  <c r="S62" i="6"/>
  <c r="S72" i="6"/>
  <c r="I84" i="6"/>
  <c r="M62" i="8"/>
  <c r="I62" i="8"/>
  <c r="S64" i="8"/>
  <c r="I84" i="8"/>
  <c r="J64" i="8"/>
  <c r="M64" i="8" s="1"/>
  <c r="AD64" i="8"/>
  <c r="AG64" i="8" s="1"/>
  <c r="W55" i="8"/>
  <c r="I63" i="8"/>
  <c r="AJ63" i="8" s="1"/>
  <c r="M54" i="8"/>
  <c r="AG54" i="8"/>
  <c r="I62" i="6"/>
  <c r="S64" i="6"/>
  <c r="M53" i="6"/>
  <c r="W53" i="6"/>
  <c r="AG55" i="6"/>
  <c r="W63" i="6"/>
  <c r="M79" i="6"/>
  <c r="AC62" i="8"/>
  <c r="AC79" i="8"/>
  <c r="M53" i="8"/>
  <c r="AG53" i="8"/>
  <c r="AG63" i="8"/>
  <c r="I79" i="8"/>
  <c r="W53" i="8"/>
  <c r="W63" i="8"/>
  <c r="S62" i="8"/>
  <c r="S79" i="8"/>
  <c r="M55" i="8"/>
  <c r="W54" i="8"/>
  <c r="AG55" i="8"/>
  <c r="AG62" i="6"/>
  <c r="I55" i="6"/>
  <c r="AJ55" i="6" s="1"/>
  <c r="W55" i="6"/>
  <c r="AG53" i="6"/>
  <c r="W54" i="6"/>
  <c r="AC64" i="6"/>
  <c r="M54" i="6"/>
  <c r="AG54" i="6"/>
  <c r="AG63" i="6"/>
  <c r="M63" i="6"/>
  <c r="AC79" i="6"/>
  <c r="S79" i="6"/>
  <c r="I64" i="6"/>
  <c r="AC72" i="8"/>
  <c r="AG61" i="6"/>
  <c r="I61" i="8"/>
  <c r="AJ61" i="8" s="1"/>
  <c r="W61" i="8"/>
  <c r="AC61" i="6"/>
  <c r="AG61" i="8"/>
  <c r="W61" i="6"/>
  <c r="S61" i="6"/>
  <c r="M61" i="8"/>
  <c r="M61" i="6"/>
  <c r="I61" i="6"/>
  <c r="B28" i="5"/>
  <c r="B29" i="5"/>
  <c r="B8" i="5"/>
  <c r="B9" i="5"/>
  <c r="B10" i="5"/>
  <c r="B11" i="5"/>
  <c r="B12" i="5"/>
  <c r="B13" i="5"/>
  <c r="B14" i="5"/>
  <c r="B15" i="5"/>
  <c r="B16" i="5"/>
  <c r="B18" i="5"/>
  <c r="B20" i="5"/>
  <c r="B21" i="5"/>
  <c r="B22" i="5"/>
  <c r="B23" i="5"/>
  <c r="B24" i="5"/>
  <c r="B25" i="5"/>
  <c r="B26" i="5"/>
  <c r="B27" i="5"/>
  <c r="B30" i="5"/>
  <c r="B31" i="5"/>
  <c r="B32" i="5"/>
  <c r="B33" i="5"/>
  <c r="B34" i="5"/>
  <c r="B35" i="5"/>
  <c r="B36" i="5"/>
  <c r="B37" i="5"/>
  <c r="B38" i="5"/>
  <c r="B39" i="5"/>
  <c r="B40" i="5"/>
  <c r="B41" i="5"/>
  <c r="B42" i="5"/>
  <c r="B43" i="5"/>
  <c r="B44" i="5"/>
  <c r="B45" i="5"/>
  <c r="B46" i="5"/>
  <c r="B50" i="5"/>
  <c r="B51" i="5"/>
  <c r="B52" i="5"/>
  <c r="B53" i="5"/>
  <c r="B54" i="5"/>
  <c r="B55" i="5"/>
  <c r="B56" i="5"/>
  <c r="B57" i="5"/>
  <c r="B58" i="5"/>
  <c r="B59" i="5"/>
  <c r="B62"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6" i="5"/>
  <c r="B137" i="5"/>
  <c r="B138" i="5"/>
  <c r="B139" i="5"/>
  <c r="B140" i="5"/>
  <c r="B141" i="5"/>
  <c r="B142" i="5"/>
  <c r="B143" i="5"/>
  <c r="B144" i="5"/>
  <c r="B145"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7" i="5"/>
  <c r="AJ79" i="8" l="1"/>
  <c r="AJ84" i="6"/>
  <c r="AJ61" i="6"/>
  <c r="AJ79" i="6"/>
  <c r="AJ72" i="8"/>
  <c r="AJ72" i="6"/>
  <c r="AJ84" i="8"/>
  <c r="AJ64" i="6"/>
  <c r="AJ62" i="6"/>
  <c r="AJ62" i="8"/>
  <c r="S66" i="8"/>
  <c r="S68" i="8" s="1"/>
  <c r="S69" i="8" s="1"/>
  <c r="I64" i="8"/>
  <c r="S66" i="6"/>
  <c r="S68" i="6" s="1"/>
  <c r="S69" i="6" s="1"/>
  <c r="AC64" i="8"/>
  <c r="AC66" i="8" s="1"/>
  <c r="AC68" i="8" s="1"/>
  <c r="AC69" i="8" s="1"/>
  <c r="AC66" i="6"/>
  <c r="AC68" i="6" s="1"/>
  <c r="AC69" i="6" s="1"/>
  <c r="I66" i="6"/>
  <c r="I66" i="8" l="1"/>
  <c r="AJ64" i="8"/>
  <c r="I68" i="6"/>
  <c r="I69" i="6" s="1"/>
  <c r="AJ69" i="6" s="1"/>
  <c r="AJ66" i="6"/>
  <c r="AJ68" i="6"/>
  <c r="M7" i="4"/>
  <c r="K39" i="23"/>
  <c r="I18" i="8"/>
  <c r="AD63" i="7"/>
  <c r="T63" i="7"/>
  <c r="AD18" i="8"/>
  <c r="AC18" i="8" s="1"/>
  <c r="AC19" i="8" s="1"/>
  <c r="AC20" i="8" s="1"/>
  <c r="AC21" i="8" s="1"/>
  <c r="P41" i="23" s="1"/>
  <c r="P42" i="23" s="1"/>
  <c r="S18" i="8"/>
  <c r="S19" i="8" s="1"/>
  <c r="S20" i="8" s="1"/>
  <c r="S21" i="8" s="1"/>
  <c r="O41" i="23" s="1"/>
  <c r="O42" i="23" s="1"/>
  <c r="AD18" i="7"/>
  <c r="AC18" i="7" s="1"/>
  <c r="AC19" i="7" s="1"/>
  <c r="AC20" i="7" s="1"/>
  <c r="AC21" i="7" s="1"/>
  <c r="L41" i="23" s="1"/>
  <c r="L42" i="23" s="1"/>
  <c r="S18" i="7"/>
  <c r="S19" i="7" s="1"/>
  <c r="S20" i="7" s="1"/>
  <c r="S21" i="7" s="1"/>
  <c r="I18" i="7"/>
  <c r="AD18" i="6"/>
  <c r="AC18" i="6" s="1"/>
  <c r="AC19" i="6" s="1"/>
  <c r="AC20" i="6" s="1"/>
  <c r="AC21" i="6" s="1"/>
  <c r="H41" i="23" s="1"/>
  <c r="H42" i="23" s="1"/>
  <c r="S18" i="6"/>
  <c r="S19" i="6" s="1"/>
  <c r="S20" i="6" s="1"/>
  <c r="S21" i="6" s="1"/>
  <c r="G41" i="23" s="1"/>
  <c r="G42" i="23" s="1"/>
  <c r="I18" i="6"/>
  <c r="I18" i="5"/>
  <c r="AC41" i="5"/>
  <c r="AC40" i="5"/>
  <c r="AC39" i="5"/>
  <c r="AC38" i="5"/>
  <c r="AC37" i="5"/>
  <c r="AC36" i="5"/>
  <c r="S41" i="5"/>
  <c r="S40" i="5"/>
  <c r="S39" i="5"/>
  <c r="S38" i="5"/>
  <c r="S37" i="5"/>
  <c r="S36" i="5"/>
  <c r="I41" i="5"/>
  <c r="AD38" i="6"/>
  <c r="AD37" i="6"/>
  <c r="T38" i="6"/>
  <c r="T37" i="6"/>
  <c r="J38" i="6"/>
  <c r="J37" i="6"/>
  <c r="AD53" i="7"/>
  <c r="AD52" i="7"/>
  <c r="T52" i="7"/>
  <c r="J52" i="7"/>
  <c r="J100" i="6"/>
  <c r="J99" i="6"/>
  <c r="AD10" i="8"/>
  <c r="T10" i="8"/>
  <c r="AD10" i="6"/>
  <c r="AD10" i="5"/>
  <c r="AD9" i="8"/>
  <c r="AD9" i="7"/>
  <c r="T9" i="7"/>
  <c r="AD9" i="6"/>
  <c r="T9" i="6"/>
  <c r="S9" i="6" s="1"/>
  <c r="J9" i="6"/>
  <c r="AD9" i="5"/>
  <c r="T9" i="5"/>
  <c r="J9" i="5"/>
  <c r="AD11" i="8"/>
  <c r="AC11" i="8" s="1"/>
  <c r="AD8" i="8"/>
  <c r="T11" i="8"/>
  <c r="S11" i="8" s="1"/>
  <c r="T8" i="8"/>
  <c r="I11" i="8"/>
  <c r="AD11" i="7"/>
  <c r="AD8" i="7"/>
  <c r="T11" i="7"/>
  <c r="T8" i="7"/>
  <c r="I11" i="7"/>
  <c r="AD11" i="6"/>
  <c r="AC11" i="6" s="1"/>
  <c r="AJ11" i="6" s="1"/>
  <c r="AD8" i="6"/>
  <c r="AD8" i="5"/>
  <c r="I11" i="5"/>
  <c r="AJ11" i="5" s="1"/>
  <c r="I19" i="6" l="1"/>
  <c r="AJ18" i="6"/>
  <c r="I19" i="8"/>
  <c r="AJ18" i="8"/>
  <c r="I19" i="7"/>
  <c r="AJ18" i="7"/>
  <c r="AJ11" i="8"/>
  <c r="I68" i="8"/>
  <c r="AJ66" i="8"/>
  <c r="I19" i="5"/>
  <c r="AJ18" i="5"/>
  <c r="K41" i="23"/>
  <c r="K42" i="23" s="1"/>
  <c r="S9" i="5"/>
  <c r="S110" i="8"/>
  <c r="T108" i="8"/>
  <c r="AC110" i="8"/>
  <c r="AD108" i="8"/>
  <c r="AC63" i="7"/>
  <c r="AD61" i="7"/>
  <c r="I63" i="7"/>
  <c r="J61" i="7"/>
  <c r="S63" i="7"/>
  <c r="T61" i="7"/>
  <c r="S110" i="6"/>
  <c r="AC110" i="6"/>
  <c r="AD108" i="6"/>
  <c r="T60" i="5"/>
  <c r="I20" i="8" l="1"/>
  <c r="AJ20" i="8" s="1"/>
  <c r="AJ19" i="8"/>
  <c r="AJ110" i="6"/>
  <c r="I20" i="7"/>
  <c r="AJ19" i="7"/>
  <c r="AJ110" i="8"/>
  <c r="I20" i="6"/>
  <c r="AJ19" i="6"/>
  <c r="AJ63" i="7"/>
  <c r="AJ68" i="8"/>
  <c r="I69" i="8"/>
  <c r="AJ69" i="8" s="1"/>
  <c r="I20" i="5"/>
  <c r="AJ20" i="5" s="1"/>
  <c r="AJ19" i="5"/>
  <c r="J41" i="23"/>
  <c r="J42" i="23" s="1"/>
  <c r="F41" i="23"/>
  <c r="F42" i="23" s="1"/>
  <c r="W108" i="8"/>
  <c r="S108" i="8"/>
  <c r="AC108" i="8"/>
  <c r="AC111" i="8" s="1"/>
  <c r="AG108" i="8"/>
  <c r="M61" i="7"/>
  <c r="I61" i="7"/>
  <c r="W61" i="7"/>
  <c r="S61" i="7"/>
  <c r="S64" i="7" s="1"/>
  <c r="AG61" i="7"/>
  <c r="AC61" i="7"/>
  <c r="AC64" i="7" s="1"/>
  <c r="S108" i="6"/>
  <c r="W108" i="6"/>
  <c r="AG108" i="6"/>
  <c r="AC108" i="6"/>
  <c r="AC111" i="6" s="1"/>
  <c r="S60" i="5"/>
  <c r="W60" i="5"/>
  <c r="S36" i="6"/>
  <c r="S37" i="6"/>
  <c r="S38" i="6"/>
  <c r="S39" i="6"/>
  <c r="S40" i="6"/>
  <c r="S41" i="6"/>
  <c r="H3" i="6"/>
  <c r="H3" i="8"/>
  <c r="H3" i="5"/>
  <c r="AC72" i="5"/>
  <c r="AC71" i="5"/>
  <c r="AC70" i="5"/>
  <c r="AC69" i="5"/>
  <c r="I86" i="5"/>
  <c r="I85" i="5"/>
  <c r="I84" i="5"/>
  <c r="S131" i="6"/>
  <c r="I131" i="6"/>
  <c r="AC87" i="7"/>
  <c r="AC86" i="7"/>
  <c r="AC85" i="7"/>
  <c r="S87" i="7"/>
  <c r="S86" i="7"/>
  <c r="S85" i="7"/>
  <c r="I87" i="7"/>
  <c r="I86" i="7"/>
  <c r="I85" i="7"/>
  <c r="AC41" i="8"/>
  <c r="AC40" i="8"/>
  <c r="AC39" i="8"/>
  <c r="AC38" i="8"/>
  <c r="AC37" i="8"/>
  <c r="AC36" i="8"/>
  <c r="S41" i="8"/>
  <c r="S40" i="8"/>
  <c r="S39" i="8"/>
  <c r="S38" i="8"/>
  <c r="S37" i="8"/>
  <c r="S36" i="8"/>
  <c r="I41" i="8"/>
  <c r="I40" i="8"/>
  <c r="I39" i="8"/>
  <c r="I38" i="8"/>
  <c r="I37" i="8"/>
  <c r="I36" i="8"/>
  <c r="AC134" i="8"/>
  <c r="AC133" i="8"/>
  <c r="AC132" i="8"/>
  <c r="S134" i="8"/>
  <c r="S133" i="8"/>
  <c r="S132" i="8"/>
  <c r="I134" i="8"/>
  <c r="I133" i="8"/>
  <c r="I132" i="8"/>
  <c r="AC120" i="8"/>
  <c r="AC119" i="8"/>
  <c r="AC118" i="8"/>
  <c r="AC117" i="8"/>
  <c r="S120" i="8"/>
  <c r="S119" i="8"/>
  <c r="S118" i="8"/>
  <c r="S117" i="8"/>
  <c r="I120" i="8"/>
  <c r="AJ120" i="8" s="1"/>
  <c r="I119" i="8"/>
  <c r="I118" i="8"/>
  <c r="I117" i="8"/>
  <c r="AC27" i="8"/>
  <c r="AC26" i="8"/>
  <c r="AC25" i="8"/>
  <c r="AC24" i="8"/>
  <c r="S27" i="8"/>
  <c r="S26" i="8"/>
  <c r="S25" i="8"/>
  <c r="S24" i="8"/>
  <c r="I27" i="8"/>
  <c r="I26" i="8"/>
  <c r="I25" i="8"/>
  <c r="I24" i="8"/>
  <c r="AC119" i="6"/>
  <c r="AC118" i="6"/>
  <c r="AC117" i="6"/>
  <c r="AC116" i="6"/>
  <c r="S119" i="6"/>
  <c r="S118" i="6"/>
  <c r="S117" i="6"/>
  <c r="S116" i="6"/>
  <c r="I119" i="6"/>
  <c r="I118" i="6"/>
  <c r="I117" i="6"/>
  <c r="I116" i="6"/>
  <c r="S72" i="5"/>
  <c r="S71" i="5"/>
  <c r="S70" i="5"/>
  <c r="S69" i="5"/>
  <c r="I72" i="5"/>
  <c r="AJ72" i="5" s="1"/>
  <c r="I71" i="5"/>
  <c r="I70" i="5"/>
  <c r="I69" i="5"/>
  <c r="AC73" i="7"/>
  <c r="AC72" i="7"/>
  <c r="AC71" i="7"/>
  <c r="AC70" i="7"/>
  <c r="S73" i="7"/>
  <c r="S72" i="7"/>
  <c r="S71" i="7"/>
  <c r="S70" i="7"/>
  <c r="I73" i="7"/>
  <c r="I72" i="7"/>
  <c r="I71" i="7"/>
  <c r="I70" i="7"/>
  <c r="AC27" i="7"/>
  <c r="AC26" i="7"/>
  <c r="AC25" i="7"/>
  <c r="AC24" i="7"/>
  <c r="S27" i="7"/>
  <c r="S26" i="7"/>
  <c r="S25" i="7"/>
  <c r="S24" i="7"/>
  <c r="I27" i="7"/>
  <c r="I26" i="7"/>
  <c r="I25" i="7"/>
  <c r="I24" i="7"/>
  <c r="AC41" i="6"/>
  <c r="I41" i="6"/>
  <c r="AJ41" i="6" s="1"/>
  <c r="AC27" i="6"/>
  <c r="AC26" i="6"/>
  <c r="AC25" i="6"/>
  <c r="AC24" i="6"/>
  <c r="S27" i="6"/>
  <c r="S26" i="6"/>
  <c r="S25" i="6"/>
  <c r="S24" i="6"/>
  <c r="I27" i="6"/>
  <c r="I26" i="6"/>
  <c r="AJ26" i="6" s="1"/>
  <c r="I25" i="6"/>
  <c r="AJ25" i="6" s="1"/>
  <c r="I24" i="6"/>
  <c r="AC27" i="5"/>
  <c r="AC26" i="5"/>
  <c r="AC25" i="5"/>
  <c r="AC24" i="5"/>
  <c r="S27" i="5"/>
  <c r="S26" i="5"/>
  <c r="S25" i="5"/>
  <c r="AJ25" i="5" s="1"/>
  <c r="S24" i="5"/>
  <c r="I27" i="5"/>
  <c r="I26" i="5"/>
  <c r="I24" i="5"/>
  <c r="AJ27" i="6" l="1"/>
  <c r="I64" i="7"/>
  <c r="AJ64" i="7" s="1"/>
  <c r="AJ61" i="7"/>
  <c r="AJ20" i="6"/>
  <c r="I21" i="6"/>
  <c r="AJ21" i="6" s="1"/>
  <c r="S111" i="6"/>
  <c r="AJ111" i="6" s="1"/>
  <c r="AJ108" i="6"/>
  <c r="AJ20" i="7"/>
  <c r="I21" i="7"/>
  <c r="AJ21" i="7" s="1"/>
  <c r="AJ26" i="5"/>
  <c r="AJ69" i="5"/>
  <c r="AJ116" i="6"/>
  <c r="AJ117" i="8"/>
  <c r="AJ131" i="6"/>
  <c r="S111" i="8"/>
  <c r="AJ111" i="8" s="1"/>
  <c r="AJ108" i="8"/>
  <c r="AJ27" i="5"/>
  <c r="AJ117" i="6"/>
  <c r="AJ118" i="8"/>
  <c r="AJ119" i="6"/>
  <c r="AJ24" i="6"/>
  <c r="AJ71" i="5"/>
  <c r="AJ118" i="6"/>
  <c r="AJ119" i="8"/>
  <c r="AJ24" i="5"/>
  <c r="AJ70" i="5"/>
  <c r="S63" i="5"/>
  <c r="AJ63" i="5" s="1"/>
  <c r="AJ60" i="5"/>
  <c r="AC40" i="7"/>
  <c r="AC39" i="7"/>
  <c r="AC38" i="7"/>
  <c r="AC37" i="7"/>
  <c r="AC36" i="7"/>
  <c r="S40" i="7"/>
  <c r="S39" i="7"/>
  <c r="S38" i="7"/>
  <c r="S37" i="7"/>
  <c r="S36" i="7"/>
  <c r="I40" i="7"/>
  <c r="I39" i="7"/>
  <c r="AJ39" i="7" s="1"/>
  <c r="I38" i="7"/>
  <c r="I37" i="7"/>
  <c r="I36" i="7"/>
  <c r="AC40" i="6"/>
  <c r="AC39" i="6"/>
  <c r="AC38" i="6"/>
  <c r="AC37" i="6"/>
  <c r="AC36" i="6"/>
  <c r="I40" i="6"/>
  <c r="I39" i="6"/>
  <c r="I38" i="6"/>
  <c r="I37" i="6"/>
  <c r="I36" i="6"/>
  <c r="I37" i="5"/>
  <c r="I36" i="5"/>
  <c r="I38" i="5"/>
  <c r="I39" i="5"/>
  <c r="I40" i="5"/>
  <c r="AJ40" i="7" l="1"/>
  <c r="AJ40" i="6"/>
  <c r="AJ38" i="7"/>
  <c r="AJ36" i="6"/>
  <c r="AJ37" i="6"/>
  <c r="AJ38" i="6"/>
  <c r="AJ36" i="7"/>
  <c r="AJ39" i="6"/>
  <c r="AJ37" i="7"/>
  <c r="M24" i="5"/>
  <c r="A232" i="12" l="1"/>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4" i="12"/>
  <c r="AC259" i="8" l="1"/>
  <c r="I259" i="8"/>
  <c r="S259" i="8"/>
  <c r="AG249" i="8"/>
  <c r="W249" i="8"/>
  <c r="M249" i="8"/>
  <c r="AG248" i="8"/>
  <c r="AC248" i="8"/>
  <c r="W248" i="8"/>
  <c r="S248" i="8"/>
  <c r="S249" i="8" s="1"/>
  <c r="M248" i="8"/>
  <c r="I248" i="8"/>
  <c r="S245" i="8"/>
  <c r="AC245" i="8"/>
  <c r="AG237" i="8"/>
  <c r="AC237" i="8"/>
  <c r="AC238" i="8" s="1"/>
  <c r="AH238" i="8" s="1"/>
  <c r="W237" i="8"/>
  <c r="M237" i="8"/>
  <c r="I237" i="8"/>
  <c r="AG236" i="8"/>
  <c r="W236" i="8"/>
  <c r="S237" i="8"/>
  <c r="S238" i="8" s="1"/>
  <c r="X238" i="8" s="1"/>
  <c r="M236" i="8"/>
  <c r="AG232" i="8"/>
  <c r="W232" i="8"/>
  <c r="M232" i="8"/>
  <c r="AG230" i="8"/>
  <c r="AC230" i="8"/>
  <c r="W230" i="8"/>
  <c r="S230" i="8"/>
  <c r="M230" i="8"/>
  <c r="I230" i="8"/>
  <c r="AG229" i="8"/>
  <c r="AC229" i="8"/>
  <c r="W229" i="8"/>
  <c r="S229" i="8"/>
  <c r="M229" i="8"/>
  <c r="I229" i="8"/>
  <c r="AG228" i="8"/>
  <c r="W228" i="8"/>
  <c r="M228" i="8"/>
  <c r="I228" i="8"/>
  <c r="AG227" i="8"/>
  <c r="W227" i="8"/>
  <c r="M227" i="8"/>
  <c r="I227" i="8"/>
  <c r="AJ227" i="8" s="1"/>
  <c r="AG208" i="8"/>
  <c r="W208" i="8"/>
  <c r="M208" i="8"/>
  <c r="AG207" i="8"/>
  <c r="AC207" i="8"/>
  <c r="AC208" i="8" s="1"/>
  <c r="AC209" i="8" s="1"/>
  <c r="AH209" i="8" s="1"/>
  <c r="W207" i="8"/>
  <c r="S207" i="8"/>
  <c r="M207" i="8"/>
  <c r="S204" i="8"/>
  <c r="M203" i="8"/>
  <c r="M202" i="8"/>
  <c r="M201" i="8"/>
  <c r="AC204" i="8"/>
  <c r="M200" i="8"/>
  <c r="AG196" i="8"/>
  <c r="W196" i="8"/>
  <c r="X197" i="8"/>
  <c r="M196" i="8"/>
  <c r="AH197" i="8"/>
  <c r="N197" i="8"/>
  <c r="AG190" i="8"/>
  <c r="W190" i="8"/>
  <c r="M190" i="8"/>
  <c r="AG188" i="8"/>
  <c r="AC188" i="8"/>
  <c r="W188" i="8"/>
  <c r="S188" i="8"/>
  <c r="M188" i="8"/>
  <c r="I188" i="8"/>
  <c r="AG187" i="8"/>
  <c r="AC187" i="8"/>
  <c r="W187" i="8"/>
  <c r="S187" i="8"/>
  <c r="M187" i="8"/>
  <c r="I187" i="8"/>
  <c r="AG186" i="8"/>
  <c r="AC186" i="8"/>
  <c r="W186" i="8"/>
  <c r="S186" i="8"/>
  <c r="M186" i="8"/>
  <c r="I186" i="8"/>
  <c r="I185" i="8"/>
  <c r="AJ185" i="8" s="1"/>
  <c r="AG175" i="8"/>
  <c r="W175" i="8"/>
  <c r="M175" i="8"/>
  <c r="AG166" i="8"/>
  <c r="W166" i="8"/>
  <c r="M166" i="8"/>
  <c r="AG165" i="8"/>
  <c r="W165" i="8"/>
  <c r="S166" i="8"/>
  <c r="M165" i="8"/>
  <c r="I166" i="8"/>
  <c r="AC162" i="8"/>
  <c r="AG161" i="8"/>
  <c r="W161" i="8"/>
  <c r="M161" i="8"/>
  <c r="AG160" i="8"/>
  <c r="W160" i="8"/>
  <c r="M160" i="8"/>
  <c r="AG159" i="8"/>
  <c r="W159" i="8"/>
  <c r="M159" i="8"/>
  <c r="AG158" i="8"/>
  <c r="W158" i="8"/>
  <c r="S162" i="8"/>
  <c r="M158" i="8"/>
  <c r="AG154" i="8"/>
  <c r="AC154" i="8"/>
  <c r="AC155" i="8" s="1"/>
  <c r="AC181" i="8" s="1"/>
  <c r="R19" i="4" s="1"/>
  <c r="W154" i="8"/>
  <c r="M154" i="8"/>
  <c r="I154" i="8"/>
  <c r="AG153" i="8"/>
  <c r="W153" i="8"/>
  <c r="S154" i="8"/>
  <c r="S155" i="8" s="1"/>
  <c r="S181" i="8" s="1"/>
  <c r="Q19" i="4" s="1"/>
  <c r="M153" i="8"/>
  <c r="AG149" i="8"/>
  <c r="W149" i="8"/>
  <c r="M149" i="8"/>
  <c r="AG147" i="8"/>
  <c r="W147" i="8"/>
  <c r="M147" i="8"/>
  <c r="AG146" i="8"/>
  <c r="W146" i="8"/>
  <c r="M146" i="8"/>
  <c r="AG145" i="8"/>
  <c r="W145" i="8"/>
  <c r="M145" i="8"/>
  <c r="AG144" i="8"/>
  <c r="W144" i="8"/>
  <c r="M144" i="8"/>
  <c r="AG125" i="8"/>
  <c r="W125" i="8"/>
  <c r="M125" i="8"/>
  <c r="AG124" i="8"/>
  <c r="AC124" i="8"/>
  <c r="W124" i="8"/>
  <c r="S124" i="8"/>
  <c r="S125" i="8" s="1"/>
  <c r="S126" i="8" s="1"/>
  <c r="X126" i="8" s="1"/>
  <c r="M124" i="8"/>
  <c r="I124" i="8"/>
  <c r="I125" i="8" s="1"/>
  <c r="AG120" i="8"/>
  <c r="W120" i="8"/>
  <c r="M120" i="8"/>
  <c r="AG119" i="8"/>
  <c r="W119" i="8"/>
  <c r="M119" i="8"/>
  <c r="AG118" i="8"/>
  <c r="W118" i="8"/>
  <c r="M118" i="8"/>
  <c r="AG117" i="8"/>
  <c r="AC121" i="8"/>
  <c r="W117" i="8"/>
  <c r="S121" i="8"/>
  <c r="M117" i="8"/>
  <c r="AG113" i="8"/>
  <c r="AC113" i="8"/>
  <c r="W113" i="8"/>
  <c r="M113" i="8"/>
  <c r="I113" i="8"/>
  <c r="AG110" i="8"/>
  <c r="W110" i="8"/>
  <c r="S113" i="8"/>
  <c r="M110" i="8"/>
  <c r="AG104" i="8"/>
  <c r="W104" i="8"/>
  <c r="M104" i="8"/>
  <c r="AG102" i="8"/>
  <c r="AC102" i="8"/>
  <c r="W102" i="8"/>
  <c r="S102" i="8"/>
  <c r="M102" i="8"/>
  <c r="I102" i="8"/>
  <c r="AG101" i="8"/>
  <c r="AC101" i="8"/>
  <c r="W101" i="8"/>
  <c r="S101" i="8"/>
  <c r="M101" i="8"/>
  <c r="I101" i="8"/>
  <c r="AJ101" i="8" s="1"/>
  <c r="AC131" i="8"/>
  <c r="S131" i="8"/>
  <c r="I131" i="8"/>
  <c r="AC129" i="8"/>
  <c r="S129" i="8"/>
  <c r="I129" i="8"/>
  <c r="AG89" i="8"/>
  <c r="W89" i="8"/>
  <c r="M89" i="8"/>
  <c r="I90" i="8"/>
  <c r="S90" i="8"/>
  <c r="AG80" i="8"/>
  <c r="W80" i="8"/>
  <c r="M80" i="8"/>
  <c r="AC80" i="8"/>
  <c r="AC81" i="8" s="1"/>
  <c r="AH81" i="8" s="1"/>
  <c r="S80" i="8"/>
  <c r="I80" i="8"/>
  <c r="W75" i="8"/>
  <c r="AC76" i="8"/>
  <c r="S76" i="8"/>
  <c r="AH69" i="8"/>
  <c r="N69" i="8"/>
  <c r="X69" i="8"/>
  <c r="AG57" i="8"/>
  <c r="W57" i="8"/>
  <c r="M57" i="8"/>
  <c r="I42" i="8"/>
  <c r="S42" i="8"/>
  <c r="AG32" i="8"/>
  <c r="W32" i="8"/>
  <c r="M32" i="8"/>
  <c r="AG31" i="8"/>
  <c r="AC31" i="8"/>
  <c r="AC32" i="8" s="1"/>
  <c r="AC33" i="8" s="1"/>
  <c r="W31" i="8"/>
  <c r="S31" i="8"/>
  <c r="S32" i="8" s="1"/>
  <c r="M31" i="8"/>
  <c r="I31" i="8"/>
  <c r="I32" i="8" s="1"/>
  <c r="S28" i="8"/>
  <c r="AG27" i="8"/>
  <c r="W27" i="8"/>
  <c r="M27" i="8"/>
  <c r="AG26" i="8"/>
  <c r="W26" i="8"/>
  <c r="M26" i="8"/>
  <c r="AG25" i="8"/>
  <c r="W25" i="8"/>
  <c r="M25" i="8"/>
  <c r="AG24" i="8"/>
  <c r="AC28" i="8"/>
  <c r="W24" i="8"/>
  <c r="M24" i="8"/>
  <c r="AG20" i="8"/>
  <c r="W20" i="8"/>
  <c r="X21" i="8"/>
  <c r="M20" i="8"/>
  <c r="AG18" i="8"/>
  <c r="AH21" i="8"/>
  <c r="W18" i="8"/>
  <c r="M18" i="8"/>
  <c r="I21" i="8"/>
  <c r="AJ21" i="8" s="1"/>
  <c r="AG13" i="8"/>
  <c r="W13" i="8"/>
  <c r="M13" i="8"/>
  <c r="AG11" i="8"/>
  <c r="W11" i="8"/>
  <c r="M11" i="8"/>
  <c r="AG10" i="8"/>
  <c r="AC10" i="8"/>
  <c r="W10" i="8"/>
  <c r="S10" i="8"/>
  <c r="M10" i="8"/>
  <c r="I10" i="8"/>
  <c r="AJ10" i="8" s="1"/>
  <c r="AG9" i="8"/>
  <c r="AC9" i="8"/>
  <c r="W9" i="8"/>
  <c r="S9" i="8"/>
  <c r="M9" i="8"/>
  <c r="I9" i="8"/>
  <c r="AJ9" i="8" s="1"/>
  <c r="AG8" i="8"/>
  <c r="AC8" i="8"/>
  <c r="W8" i="8"/>
  <c r="S8" i="8"/>
  <c r="M8" i="8"/>
  <c r="I8" i="8"/>
  <c r="AG128" i="7"/>
  <c r="AC129" i="7"/>
  <c r="W128" i="7"/>
  <c r="M128" i="7"/>
  <c r="I129" i="7"/>
  <c r="S129" i="7"/>
  <c r="AG119" i="7"/>
  <c r="W119" i="7"/>
  <c r="M119" i="7"/>
  <c r="AG118" i="7"/>
  <c r="AC119" i="7"/>
  <c r="AC120" i="7" s="1"/>
  <c r="W118" i="7"/>
  <c r="M118" i="7"/>
  <c r="I119" i="7"/>
  <c r="AG114" i="7"/>
  <c r="AG113" i="7"/>
  <c r="AG112" i="7"/>
  <c r="AC115" i="7"/>
  <c r="AG111" i="7"/>
  <c r="S115" i="7"/>
  <c r="AG107" i="7"/>
  <c r="W107" i="7"/>
  <c r="S107" i="7"/>
  <c r="S108" i="7" s="1"/>
  <c r="X108" i="7" s="1"/>
  <c r="M107" i="7"/>
  <c r="AG106" i="7"/>
  <c r="AC107" i="7"/>
  <c r="AC108" i="7" s="1"/>
  <c r="AH108" i="7" s="1"/>
  <c r="W106" i="7"/>
  <c r="M106" i="7"/>
  <c r="I107" i="7"/>
  <c r="AG102" i="7"/>
  <c r="W102" i="7"/>
  <c r="M102" i="7"/>
  <c r="AG100" i="7"/>
  <c r="W100" i="7"/>
  <c r="M100" i="7"/>
  <c r="AG99" i="7"/>
  <c r="W99" i="7"/>
  <c r="M99" i="7"/>
  <c r="AG98" i="7"/>
  <c r="W98" i="7"/>
  <c r="M98" i="7"/>
  <c r="AG97" i="7"/>
  <c r="W97" i="7"/>
  <c r="M97" i="7"/>
  <c r="AG78" i="7"/>
  <c r="W78" i="7"/>
  <c r="M78" i="7"/>
  <c r="AG77" i="7"/>
  <c r="AC77" i="7"/>
  <c r="W77" i="7"/>
  <c r="S77" i="7"/>
  <c r="S78" i="7" s="1"/>
  <c r="M77" i="7"/>
  <c r="I77" i="7"/>
  <c r="I78" i="7" s="1"/>
  <c r="AC74" i="7"/>
  <c r="AG73" i="7"/>
  <c r="W73" i="7"/>
  <c r="M73" i="7"/>
  <c r="AG72" i="7"/>
  <c r="W72" i="7"/>
  <c r="M72" i="7"/>
  <c r="AG71" i="7"/>
  <c r="W71" i="7"/>
  <c r="M71" i="7"/>
  <c r="AG70" i="7"/>
  <c r="W70" i="7"/>
  <c r="S74" i="7"/>
  <c r="M70" i="7"/>
  <c r="AG66" i="7"/>
  <c r="AC66" i="7"/>
  <c r="W66" i="7"/>
  <c r="M66" i="7"/>
  <c r="I66" i="7"/>
  <c r="AG63" i="7"/>
  <c r="W63" i="7"/>
  <c r="S66" i="7"/>
  <c r="M63" i="7"/>
  <c r="AG57" i="7"/>
  <c r="W57" i="7"/>
  <c r="M57" i="7"/>
  <c r="AG55" i="7"/>
  <c r="AC55" i="7"/>
  <c r="W55" i="7"/>
  <c r="S55" i="7"/>
  <c r="M55" i="7"/>
  <c r="I55" i="7"/>
  <c r="AG54" i="7"/>
  <c r="AC54" i="7"/>
  <c r="W54" i="7"/>
  <c r="S54" i="7"/>
  <c r="M54" i="7"/>
  <c r="I54" i="7"/>
  <c r="AG53" i="7"/>
  <c r="AC53" i="7"/>
  <c r="AC84" i="7" s="1"/>
  <c r="W53" i="7"/>
  <c r="S53" i="7"/>
  <c r="S84" i="7" s="1"/>
  <c r="M53" i="7"/>
  <c r="I53" i="7"/>
  <c r="AG52" i="7"/>
  <c r="AC52" i="7"/>
  <c r="AC82" i="7" s="1"/>
  <c r="W52" i="7"/>
  <c r="S52" i="7"/>
  <c r="S82" i="7" s="1"/>
  <c r="M52" i="7"/>
  <c r="I52" i="7"/>
  <c r="S42" i="7"/>
  <c r="AG32" i="7"/>
  <c r="W32" i="7"/>
  <c r="M32" i="7"/>
  <c r="AG31" i="7"/>
  <c r="AC31" i="7"/>
  <c r="W31" i="7"/>
  <c r="S31" i="7"/>
  <c r="S32" i="7" s="1"/>
  <c r="S33" i="7" s="1"/>
  <c r="X33" i="7" s="1"/>
  <c r="M31" i="7"/>
  <c r="I31" i="7"/>
  <c r="AG27" i="7"/>
  <c r="W27" i="7"/>
  <c r="M27" i="7"/>
  <c r="AG26" i="7"/>
  <c r="W26" i="7"/>
  <c r="M26" i="7"/>
  <c r="AG25" i="7"/>
  <c r="W25" i="7"/>
  <c r="M25" i="7"/>
  <c r="AG24" i="7"/>
  <c r="AC28" i="7"/>
  <c r="W24" i="7"/>
  <c r="S28" i="7"/>
  <c r="M24" i="7"/>
  <c r="AG20" i="7"/>
  <c r="AH21" i="7"/>
  <c r="W20" i="7"/>
  <c r="M20" i="7"/>
  <c r="N21" i="7"/>
  <c r="AG18" i="7"/>
  <c r="W18" i="7"/>
  <c r="X21" i="7"/>
  <c r="M18" i="7"/>
  <c r="AG13" i="7"/>
  <c r="W13" i="7"/>
  <c r="M13" i="7"/>
  <c r="AG11" i="7"/>
  <c r="AC11" i="7"/>
  <c r="W11" i="7"/>
  <c r="S11" i="7"/>
  <c r="M11" i="7"/>
  <c r="AG10" i="7"/>
  <c r="AC10" i="7"/>
  <c r="W10" i="7"/>
  <c r="S10" i="7"/>
  <c r="M10" i="7"/>
  <c r="I10" i="7"/>
  <c r="AG9" i="7"/>
  <c r="AC9" i="7"/>
  <c r="W9" i="7"/>
  <c r="S9" i="7"/>
  <c r="M9" i="7"/>
  <c r="I9" i="7"/>
  <c r="AJ9" i="7" s="1"/>
  <c r="AG8" i="7"/>
  <c r="AC8" i="7"/>
  <c r="W8" i="7"/>
  <c r="S8" i="7"/>
  <c r="M8" i="7"/>
  <c r="I8" i="7"/>
  <c r="AJ8" i="7" s="1"/>
  <c r="AG160" i="5"/>
  <c r="W160" i="5"/>
  <c r="AG159" i="5"/>
  <c r="AC159" i="5"/>
  <c r="AC160" i="5" s="1"/>
  <c r="AC161" i="5" s="1"/>
  <c r="AH161" i="5" s="1"/>
  <c r="W159" i="5"/>
  <c r="S159" i="5"/>
  <c r="S160" i="5" s="1"/>
  <c r="S161" i="5" s="1"/>
  <c r="X161" i="5" s="1"/>
  <c r="AG155" i="5"/>
  <c r="AC155" i="5"/>
  <c r="W155" i="5"/>
  <c r="S155" i="5"/>
  <c r="AG154" i="5"/>
  <c r="W154" i="5"/>
  <c r="AG148" i="5"/>
  <c r="W148" i="5"/>
  <c r="M148" i="5"/>
  <c r="AC148" i="5"/>
  <c r="AJ148" i="5" s="1"/>
  <c r="X149" i="5"/>
  <c r="N149" i="5"/>
  <c r="AG142" i="5"/>
  <c r="W142" i="5"/>
  <c r="M142" i="5"/>
  <c r="AG140" i="5"/>
  <c r="AC140" i="5"/>
  <c r="W140" i="5"/>
  <c r="S140" i="5"/>
  <c r="M140" i="5"/>
  <c r="I140" i="5"/>
  <c r="AG139" i="5"/>
  <c r="AC139" i="5"/>
  <c r="W139" i="5"/>
  <c r="S139" i="5"/>
  <c r="M139" i="5"/>
  <c r="I139" i="5"/>
  <c r="AG138" i="5"/>
  <c r="AC138" i="5"/>
  <c r="W138" i="5"/>
  <c r="S138" i="5"/>
  <c r="M138" i="5"/>
  <c r="I138" i="5"/>
  <c r="AG127" i="5"/>
  <c r="W127" i="5"/>
  <c r="M127" i="5"/>
  <c r="AG118" i="5"/>
  <c r="W118" i="5"/>
  <c r="M118" i="5"/>
  <c r="AG117" i="5"/>
  <c r="AC118" i="5"/>
  <c r="AC119" i="5" s="1"/>
  <c r="AH119" i="5" s="1"/>
  <c r="W117" i="5"/>
  <c r="M117" i="5"/>
  <c r="I118" i="5"/>
  <c r="AG113" i="5"/>
  <c r="W113" i="5"/>
  <c r="M113" i="5"/>
  <c r="AG112" i="5"/>
  <c r="W112" i="5"/>
  <c r="M112" i="5"/>
  <c r="AG111" i="5"/>
  <c r="W111" i="5"/>
  <c r="M111" i="5"/>
  <c r="AG110" i="5"/>
  <c r="W110" i="5"/>
  <c r="M110" i="5"/>
  <c r="AG106" i="5"/>
  <c r="W106" i="5"/>
  <c r="M106" i="5"/>
  <c r="AG105" i="5"/>
  <c r="AC106" i="5"/>
  <c r="AC107" i="5" s="1"/>
  <c r="AC133" i="5" s="1"/>
  <c r="F19" i="4" s="1"/>
  <c r="W105" i="5"/>
  <c r="S106" i="5"/>
  <c r="S107" i="5" s="1"/>
  <c r="S133" i="5" s="1"/>
  <c r="E19" i="4" s="1"/>
  <c r="M105" i="5"/>
  <c r="I106" i="5"/>
  <c r="AG101" i="5"/>
  <c r="W101" i="5"/>
  <c r="M101" i="5"/>
  <c r="AG99" i="5"/>
  <c r="W99" i="5"/>
  <c r="M99" i="5"/>
  <c r="AG98" i="5"/>
  <c r="W98" i="5"/>
  <c r="M98" i="5"/>
  <c r="AG97" i="5"/>
  <c r="W97" i="5"/>
  <c r="M97" i="5"/>
  <c r="AG96" i="5"/>
  <c r="W96" i="5"/>
  <c r="M96" i="5"/>
  <c r="AG77" i="5"/>
  <c r="W77" i="5"/>
  <c r="M77" i="5"/>
  <c r="AG76" i="5"/>
  <c r="AC76" i="5"/>
  <c r="W76" i="5"/>
  <c r="S76" i="5"/>
  <c r="S77" i="5" s="1"/>
  <c r="M76" i="5"/>
  <c r="I76" i="5"/>
  <c r="AG72" i="5"/>
  <c r="W72" i="5"/>
  <c r="M72" i="5"/>
  <c r="AG71" i="5"/>
  <c r="W71" i="5"/>
  <c r="M71" i="5"/>
  <c r="AG70" i="5"/>
  <c r="W70" i="5"/>
  <c r="M70" i="5"/>
  <c r="AG69" i="5"/>
  <c r="W69" i="5"/>
  <c r="M69" i="5"/>
  <c r="AG65" i="5"/>
  <c r="W65" i="5"/>
  <c r="M65" i="5"/>
  <c r="AC65" i="5"/>
  <c r="S65" i="5"/>
  <c r="M62" i="5"/>
  <c r="N66" i="5"/>
  <c r="AG56" i="5"/>
  <c r="W56" i="5"/>
  <c r="M56" i="5"/>
  <c r="AG54" i="5"/>
  <c r="AC54" i="5"/>
  <c r="W54" i="5"/>
  <c r="S54" i="5"/>
  <c r="M54" i="5"/>
  <c r="I54" i="5"/>
  <c r="AC53" i="5"/>
  <c r="S53" i="5"/>
  <c r="M53" i="5"/>
  <c r="I53" i="5"/>
  <c r="AG52" i="5"/>
  <c r="AC52" i="5"/>
  <c r="AC83" i="5" s="1"/>
  <c r="W52" i="5"/>
  <c r="S52" i="5"/>
  <c r="S83" i="5" s="1"/>
  <c r="M52" i="5"/>
  <c r="I52" i="5"/>
  <c r="AG51" i="5"/>
  <c r="AC51" i="5"/>
  <c r="AC81" i="5" s="1"/>
  <c r="W51" i="5"/>
  <c r="S51" i="5"/>
  <c r="S81" i="5" s="1"/>
  <c r="M51" i="5"/>
  <c r="I51" i="5"/>
  <c r="S42" i="5"/>
  <c r="AG32" i="5"/>
  <c r="W32" i="5"/>
  <c r="M32" i="5"/>
  <c r="AG31" i="5"/>
  <c r="AC31" i="5"/>
  <c r="AC32" i="5" s="1"/>
  <c r="AC33" i="5" s="1"/>
  <c r="W31" i="5"/>
  <c r="S31" i="5"/>
  <c r="S32" i="5" s="1"/>
  <c r="M31" i="5"/>
  <c r="I31" i="5"/>
  <c r="AG27" i="5"/>
  <c r="W27" i="5"/>
  <c r="M27" i="5"/>
  <c r="AG26" i="5"/>
  <c r="W26" i="5"/>
  <c r="M26" i="5"/>
  <c r="AG25" i="5"/>
  <c r="W25" i="5"/>
  <c r="M25" i="5"/>
  <c r="AG24" i="5"/>
  <c r="W24" i="5"/>
  <c r="AG20" i="5"/>
  <c r="W20" i="5"/>
  <c r="M20" i="5"/>
  <c r="AG18" i="5"/>
  <c r="AH21" i="5"/>
  <c r="W18" i="5"/>
  <c r="X21" i="5"/>
  <c r="M18" i="5"/>
  <c r="I21" i="5"/>
  <c r="AJ21" i="5" s="1"/>
  <c r="AG13" i="5"/>
  <c r="W13" i="5"/>
  <c r="M13" i="5"/>
  <c r="AG11" i="5"/>
  <c r="W11" i="5"/>
  <c r="M11" i="5"/>
  <c r="AG10" i="5"/>
  <c r="AC10" i="5"/>
  <c r="W10" i="5"/>
  <c r="S10" i="5"/>
  <c r="M10" i="5"/>
  <c r="I10" i="5"/>
  <c r="AG9" i="5"/>
  <c r="W9" i="5"/>
  <c r="M9" i="5"/>
  <c r="I9" i="5"/>
  <c r="AJ9" i="5" s="1"/>
  <c r="AG8" i="5"/>
  <c r="AC8" i="5"/>
  <c r="W8" i="5"/>
  <c r="S8" i="5"/>
  <c r="M8" i="5"/>
  <c r="I8" i="5"/>
  <c r="AJ8" i="5" s="1"/>
  <c r="W230" i="6"/>
  <c r="AC8" i="6"/>
  <c r="AG8" i="6"/>
  <c r="AC9" i="6"/>
  <c r="AG9" i="6"/>
  <c r="AC10" i="6"/>
  <c r="AG10" i="6"/>
  <c r="AG11" i="6"/>
  <c r="AG13" i="6"/>
  <c r="AH21" i="6"/>
  <c r="AG18" i="6"/>
  <c r="AG20" i="6"/>
  <c r="AG24" i="6"/>
  <c r="AG25" i="6"/>
  <c r="AG26" i="6"/>
  <c r="AG27" i="6"/>
  <c r="AC31" i="6"/>
  <c r="AC32" i="6" s="1"/>
  <c r="AC33" i="6" s="1"/>
  <c r="AG31" i="6"/>
  <c r="AG32" i="6"/>
  <c r="AG57" i="6"/>
  <c r="AH69" i="6"/>
  <c r="AC80" i="6"/>
  <c r="AC81" i="6" s="1"/>
  <c r="AG80" i="6"/>
  <c r="AG89" i="6"/>
  <c r="AC99" i="6"/>
  <c r="AC128" i="6" s="1"/>
  <c r="AG99" i="6"/>
  <c r="AC100" i="6"/>
  <c r="AC130" i="6" s="1"/>
  <c r="AG100" i="6"/>
  <c r="AC101" i="6"/>
  <c r="AG101" i="6"/>
  <c r="AC102" i="6"/>
  <c r="AG102" i="6"/>
  <c r="AG104" i="6"/>
  <c r="AC112" i="6"/>
  <c r="AG110" i="6"/>
  <c r="AG112" i="6"/>
  <c r="AG116" i="6"/>
  <c r="AG117" i="6"/>
  <c r="AG118" i="6"/>
  <c r="AG119" i="6"/>
  <c r="AC123" i="6"/>
  <c r="AC124" i="6" s="1"/>
  <c r="AC125" i="6" s="1"/>
  <c r="AG123" i="6"/>
  <c r="AG124" i="6"/>
  <c r="AG144" i="6"/>
  <c r="AG145" i="6"/>
  <c r="AG146" i="6"/>
  <c r="AG148" i="6"/>
  <c r="AC153" i="6"/>
  <c r="AC154" i="6" s="1"/>
  <c r="AG152" i="6"/>
  <c r="AG153" i="6"/>
  <c r="AG157" i="6"/>
  <c r="AG158" i="6"/>
  <c r="AG159" i="6"/>
  <c r="AG160" i="6"/>
  <c r="AC165" i="6"/>
  <c r="AC166" i="6" s="1"/>
  <c r="G166" i="6" s="1"/>
  <c r="AG164" i="6"/>
  <c r="AG165" i="6"/>
  <c r="AG174" i="6"/>
  <c r="AC185" i="6"/>
  <c r="AG185" i="6"/>
  <c r="AC186" i="6"/>
  <c r="AG186" i="6"/>
  <c r="AC187" i="6"/>
  <c r="AG187" i="6"/>
  <c r="AG189" i="6"/>
  <c r="AH197" i="6"/>
  <c r="AG196" i="6"/>
  <c r="AG200" i="6"/>
  <c r="AG201" i="6"/>
  <c r="AG202" i="6"/>
  <c r="AC203" i="6"/>
  <c r="AG203" i="6"/>
  <c r="AC207" i="6"/>
  <c r="AC208" i="6" s="1"/>
  <c r="AC209" i="6" s="1"/>
  <c r="AG207" i="6"/>
  <c r="AG208" i="6"/>
  <c r="AG227" i="6"/>
  <c r="AG228" i="6"/>
  <c r="AG229" i="6"/>
  <c r="AG230" i="6"/>
  <c r="AG232" i="6"/>
  <c r="AC237" i="6"/>
  <c r="AC238" i="6" s="1"/>
  <c r="AH238" i="6" s="1"/>
  <c r="AG236" i="6"/>
  <c r="AG237" i="6"/>
  <c r="AC250" i="6"/>
  <c r="AG248" i="6"/>
  <c r="AG249" i="6"/>
  <c r="W187" i="6"/>
  <c r="S187" i="6"/>
  <c r="W146" i="6"/>
  <c r="W102" i="6"/>
  <c r="S102" i="6"/>
  <c r="W11" i="6"/>
  <c r="M230" i="6"/>
  <c r="M187" i="6"/>
  <c r="I187" i="6"/>
  <c r="M146" i="6"/>
  <c r="M102" i="6"/>
  <c r="I102" i="6"/>
  <c r="W249" i="6"/>
  <c r="W248" i="6"/>
  <c r="S248" i="6"/>
  <c r="W237" i="6"/>
  <c r="W236" i="6"/>
  <c r="S237" i="6"/>
  <c r="S238" i="6" s="1"/>
  <c r="X238" i="6" s="1"/>
  <c r="W232" i="6"/>
  <c r="W229" i="6"/>
  <c r="W228" i="6"/>
  <c r="W227" i="6"/>
  <c r="W208" i="6"/>
  <c r="W207" i="6"/>
  <c r="S207" i="6"/>
  <c r="W203" i="6"/>
  <c r="S203" i="6"/>
  <c r="AJ203" i="6" s="1"/>
  <c r="W202" i="6"/>
  <c r="W201" i="6"/>
  <c r="W200" i="6"/>
  <c r="W196" i="6"/>
  <c r="X197" i="6"/>
  <c r="W189" i="6"/>
  <c r="W186" i="6"/>
  <c r="S186" i="6"/>
  <c r="W185" i="6"/>
  <c r="S185" i="6"/>
  <c r="W174" i="6"/>
  <c r="W165" i="6"/>
  <c r="W164" i="6"/>
  <c r="S165" i="6"/>
  <c r="W160" i="6"/>
  <c r="W159" i="6"/>
  <c r="W158" i="6"/>
  <c r="W157" i="6"/>
  <c r="W153" i="6"/>
  <c r="W152" i="6"/>
  <c r="S153" i="6"/>
  <c r="S154" i="6" s="1"/>
  <c r="X154" i="6" s="1"/>
  <c r="W148" i="6"/>
  <c r="W145" i="6"/>
  <c r="W144" i="6"/>
  <c r="W124" i="6"/>
  <c r="W123" i="6"/>
  <c r="S123" i="6"/>
  <c r="W119" i="6"/>
  <c r="W118" i="6"/>
  <c r="W117" i="6"/>
  <c r="W116" i="6"/>
  <c r="W112" i="6"/>
  <c r="W110" i="6"/>
  <c r="S112" i="6"/>
  <c r="W104" i="6"/>
  <c r="W101" i="6"/>
  <c r="S101" i="6"/>
  <c r="W100" i="6"/>
  <c r="S100" i="6"/>
  <c r="S130" i="6" s="1"/>
  <c r="W99" i="6"/>
  <c r="S99" i="6"/>
  <c r="S128" i="6" s="1"/>
  <c r="W89" i="6"/>
  <c r="W80" i="6"/>
  <c r="S80" i="6"/>
  <c r="W75" i="6"/>
  <c r="X69" i="6"/>
  <c r="W57" i="6"/>
  <c r="S42" i="6"/>
  <c r="W32" i="6"/>
  <c r="W31" i="6"/>
  <c r="S31" i="6"/>
  <c r="S32" i="6" s="1"/>
  <c r="W27" i="6"/>
  <c r="W26" i="6"/>
  <c r="W25" i="6"/>
  <c r="W24" i="6"/>
  <c r="W20" i="6"/>
  <c r="W18" i="6"/>
  <c r="X21" i="6"/>
  <c r="W13" i="6"/>
  <c r="W10" i="6"/>
  <c r="S10" i="6"/>
  <c r="W9" i="6"/>
  <c r="W8" i="6"/>
  <c r="S8" i="6"/>
  <c r="I259" i="6"/>
  <c r="M249" i="6"/>
  <c r="M248" i="6"/>
  <c r="M237" i="6"/>
  <c r="M236" i="6"/>
  <c r="I237" i="6"/>
  <c r="M232" i="6"/>
  <c r="M229" i="6"/>
  <c r="M228" i="6"/>
  <c r="I228" i="6"/>
  <c r="AJ228" i="6" s="1"/>
  <c r="M227" i="6"/>
  <c r="I227" i="6"/>
  <c r="AJ227" i="6" s="1"/>
  <c r="M208" i="6"/>
  <c r="M207" i="6"/>
  <c r="M203" i="6"/>
  <c r="M202" i="6"/>
  <c r="M201" i="6"/>
  <c r="M200" i="6"/>
  <c r="M196" i="6"/>
  <c r="M189" i="6"/>
  <c r="M186" i="6"/>
  <c r="I186" i="6"/>
  <c r="M185" i="6"/>
  <c r="I185" i="6"/>
  <c r="I184" i="6"/>
  <c r="AJ184" i="6" s="1"/>
  <c r="M174" i="6"/>
  <c r="M165" i="6"/>
  <c r="M164" i="6"/>
  <c r="I165" i="6"/>
  <c r="M160" i="6"/>
  <c r="M159" i="6"/>
  <c r="M158" i="6"/>
  <c r="M157" i="6"/>
  <c r="M153" i="6"/>
  <c r="I153" i="6"/>
  <c r="M148" i="6"/>
  <c r="M145" i="6"/>
  <c r="M144" i="6"/>
  <c r="M124" i="6"/>
  <c r="M123" i="6"/>
  <c r="I124" i="6"/>
  <c r="M119" i="6"/>
  <c r="M118" i="6"/>
  <c r="M117" i="6"/>
  <c r="M116" i="6"/>
  <c r="M112" i="6"/>
  <c r="M110" i="6"/>
  <c r="I112" i="6"/>
  <c r="M104" i="6"/>
  <c r="M101" i="6"/>
  <c r="I101" i="6"/>
  <c r="AJ101" i="6" s="1"/>
  <c r="M100" i="6"/>
  <c r="I100" i="6"/>
  <c r="M99" i="6"/>
  <c r="I99" i="6"/>
  <c r="M89" i="6"/>
  <c r="M80" i="6"/>
  <c r="I80" i="6"/>
  <c r="M57" i="6"/>
  <c r="I31" i="6"/>
  <c r="M32" i="6"/>
  <c r="M20" i="6"/>
  <c r="M13" i="6"/>
  <c r="I10" i="6"/>
  <c r="AJ10" i="6" s="1"/>
  <c r="I9" i="6"/>
  <c r="AJ9" i="6" s="1"/>
  <c r="I8" i="6"/>
  <c r="AJ8" i="6" s="1"/>
  <c r="M31" i="6"/>
  <c r="M27" i="6"/>
  <c r="M26" i="6"/>
  <c r="M25" i="6"/>
  <c r="M24" i="6"/>
  <c r="M18" i="6"/>
  <c r="M9" i="6"/>
  <c r="M10" i="6"/>
  <c r="M11" i="6"/>
  <c r="M8" i="6"/>
  <c r="AJ80" i="6" l="1"/>
  <c r="AJ102" i="6"/>
  <c r="AJ54" i="7"/>
  <c r="AJ186" i="8"/>
  <c r="AJ185" i="6"/>
  <c r="I32" i="7"/>
  <c r="I33" i="7" s="1"/>
  <c r="AJ31" i="7"/>
  <c r="I84" i="7"/>
  <c r="AJ84" i="7" s="1"/>
  <c r="AJ53" i="7"/>
  <c r="S208" i="8"/>
  <c r="AJ207" i="8"/>
  <c r="AJ186" i="6"/>
  <c r="S208" i="6"/>
  <c r="AJ208" i="6" s="1"/>
  <c r="AJ207" i="6"/>
  <c r="AJ187" i="6"/>
  <c r="S49" i="7"/>
  <c r="M11" i="4" s="1"/>
  <c r="AJ66" i="7"/>
  <c r="AJ8" i="8"/>
  <c r="AJ248" i="8"/>
  <c r="I130" i="6"/>
  <c r="AJ130" i="6" s="1"/>
  <c r="AJ100" i="6"/>
  <c r="AJ11" i="7"/>
  <c r="I82" i="7"/>
  <c r="AJ82" i="7" s="1"/>
  <c r="AJ52" i="7"/>
  <c r="AJ188" i="8"/>
  <c r="I128" i="6"/>
  <c r="AJ128" i="6" s="1"/>
  <c r="AJ99" i="6"/>
  <c r="I32" i="6"/>
  <c r="AJ32" i="6" s="1"/>
  <c r="AJ31" i="6"/>
  <c r="S249" i="6"/>
  <c r="AJ249" i="6" s="1"/>
  <c r="AJ248" i="6"/>
  <c r="AJ10" i="7"/>
  <c r="AJ102" i="8"/>
  <c r="AJ259" i="8"/>
  <c r="S124" i="6"/>
  <c r="AJ124" i="6" s="1"/>
  <c r="AJ123" i="6"/>
  <c r="AJ54" i="5"/>
  <c r="AJ55" i="7"/>
  <c r="AJ129" i="7"/>
  <c r="AJ187" i="8"/>
  <c r="AJ10" i="5"/>
  <c r="AJ31" i="5"/>
  <c r="I83" i="5"/>
  <c r="AJ83" i="5" s="1"/>
  <c r="AJ52" i="5"/>
  <c r="I81" i="5"/>
  <c r="AJ81" i="5" s="1"/>
  <c r="AJ51" i="5"/>
  <c r="AJ53" i="5"/>
  <c r="I77" i="5"/>
  <c r="I78" i="5" s="1"/>
  <c r="AJ76" i="5"/>
  <c r="AJ131" i="8"/>
  <c r="AH120" i="7"/>
  <c r="AC135" i="7"/>
  <c r="N29" i="4" s="1"/>
  <c r="I238" i="8"/>
  <c r="AJ237" i="8"/>
  <c r="I113" i="6"/>
  <c r="AJ112" i="6"/>
  <c r="AJ65" i="5"/>
  <c r="AJ129" i="8"/>
  <c r="I155" i="8"/>
  <c r="N155" i="8" s="1"/>
  <c r="AJ154" i="8"/>
  <c r="I238" i="6"/>
  <c r="AJ238" i="6" s="1"/>
  <c r="AJ237" i="6"/>
  <c r="AJ165" i="6"/>
  <c r="I154" i="6"/>
  <c r="AJ154" i="6" s="1"/>
  <c r="AJ153" i="6"/>
  <c r="I107" i="5"/>
  <c r="AJ106" i="5"/>
  <c r="I108" i="7"/>
  <c r="AJ107" i="7"/>
  <c r="AJ80" i="8"/>
  <c r="AJ113" i="8"/>
  <c r="S209" i="8"/>
  <c r="AJ208" i="8"/>
  <c r="E259" i="6"/>
  <c r="AH33" i="8"/>
  <c r="AH154" i="6"/>
  <c r="AC122" i="5"/>
  <c r="AC128" i="5" s="1"/>
  <c r="AH33" i="5"/>
  <c r="S103" i="6"/>
  <c r="S104" i="6" s="1"/>
  <c r="AC149" i="5"/>
  <c r="AJ149" i="5" s="1"/>
  <c r="AC114" i="8"/>
  <c r="I114" i="8"/>
  <c r="S114" i="8"/>
  <c r="AC67" i="7"/>
  <c r="S67" i="7"/>
  <c r="I67" i="7"/>
  <c r="AC113" i="6"/>
  <c r="S113" i="6"/>
  <c r="AC66" i="5"/>
  <c r="S66" i="5"/>
  <c r="N21" i="8"/>
  <c r="N41" i="23"/>
  <c r="N42" i="23" s="1"/>
  <c r="N21" i="5"/>
  <c r="B41" i="23"/>
  <c r="B42" i="23" s="1"/>
  <c r="AH209" i="6"/>
  <c r="AH155" i="8"/>
  <c r="X155" i="8"/>
  <c r="AH107" i="5"/>
  <c r="X107" i="5"/>
  <c r="X42" i="5"/>
  <c r="F42" i="5"/>
  <c r="X76" i="8"/>
  <c r="F76" i="8"/>
  <c r="X90" i="8"/>
  <c r="F90" i="8"/>
  <c r="AH28" i="8"/>
  <c r="G28" i="8"/>
  <c r="AH121" i="8"/>
  <c r="G121" i="8"/>
  <c r="AH162" i="8"/>
  <c r="G162" i="8"/>
  <c r="AH204" i="8"/>
  <c r="G204" i="8"/>
  <c r="X204" i="8"/>
  <c r="F204" i="8"/>
  <c r="X42" i="8"/>
  <c r="F42" i="8"/>
  <c r="AH76" i="8"/>
  <c r="G76" i="8"/>
  <c r="N90" i="8"/>
  <c r="E90" i="8"/>
  <c r="S103" i="8"/>
  <c r="S104" i="8" s="1"/>
  <c r="S189" i="8"/>
  <c r="S190" i="8" s="1"/>
  <c r="S191" i="8" s="1"/>
  <c r="S223" i="8" s="1"/>
  <c r="Q22" i="4" s="1"/>
  <c r="AH245" i="8"/>
  <c r="G245" i="8"/>
  <c r="X245" i="8"/>
  <c r="F245" i="8"/>
  <c r="N259" i="8"/>
  <c r="E259" i="8"/>
  <c r="AH259" i="8"/>
  <c r="G259" i="8"/>
  <c r="X28" i="8"/>
  <c r="F28" i="8"/>
  <c r="X259" i="8"/>
  <c r="F259" i="8"/>
  <c r="N42" i="8"/>
  <c r="E42" i="8"/>
  <c r="X121" i="8"/>
  <c r="F121" i="8"/>
  <c r="X162" i="8"/>
  <c r="F162" i="8"/>
  <c r="X28" i="7"/>
  <c r="F28" i="7"/>
  <c r="N129" i="7"/>
  <c r="E129" i="7"/>
  <c r="AH129" i="7"/>
  <c r="G129" i="7"/>
  <c r="AH28" i="7"/>
  <c r="G28" i="7"/>
  <c r="X42" i="7"/>
  <c r="F42" i="7"/>
  <c r="X74" i="7"/>
  <c r="F74" i="7"/>
  <c r="AH74" i="7"/>
  <c r="G74" i="7"/>
  <c r="X115" i="7"/>
  <c r="F115" i="7"/>
  <c r="AH115" i="7"/>
  <c r="G115" i="7"/>
  <c r="X129" i="7"/>
  <c r="F129" i="7"/>
  <c r="I12" i="7"/>
  <c r="AC12" i="7"/>
  <c r="AC13" i="7" s="1"/>
  <c r="AC14" i="7" s="1"/>
  <c r="AC48" i="7" s="1"/>
  <c r="N10" i="4" s="1"/>
  <c r="S101" i="7"/>
  <c r="S102" i="7" s="1"/>
  <c r="S103" i="7" s="1"/>
  <c r="S134" i="7" s="1"/>
  <c r="I56" i="7"/>
  <c r="X42" i="6"/>
  <c r="F42" i="6"/>
  <c r="AC90" i="6"/>
  <c r="AC56" i="7"/>
  <c r="AC57" i="7" s="1"/>
  <c r="AC58" i="7" s="1"/>
  <c r="S56" i="7"/>
  <c r="S57" i="7" s="1"/>
  <c r="S58" i="7" s="1"/>
  <c r="AC12" i="8"/>
  <c r="AC13" i="8" s="1"/>
  <c r="AC14" i="8" s="1"/>
  <c r="AC47" i="8" s="1"/>
  <c r="R10" i="4" s="1"/>
  <c r="S12" i="8"/>
  <c r="S13" i="8" s="1"/>
  <c r="S14" i="8" s="1"/>
  <c r="S47" i="8" s="1"/>
  <c r="Q10" i="4" s="1"/>
  <c r="I12" i="5"/>
  <c r="AC90" i="8"/>
  <c r="AC96" i="8" s="1"/>
  <c r="R14" i="4" s="1"/>
  <c r="AC189" i="8"/>
  <c r="AC190" i="8" s="1"/>
  <c r="AC191" i="8" s="1"/>
  <c r="AC223" i="8" s="1"/>
  <c r="R22" i="4" s="1"/>
  <c r="S231" i="8"/>
  <c r="S232" i="8" s="1"/>
  <c r="S233" i="8" s="1"/>
  <c r="S264" i="8" s="1"/>
  <c r="Q25" i="4" s="1"/>
  <c r="AC101" i="7"/>
  <c r="AC102" i="7" s="1"/>
  <c r="AC103" i="7" s="1"/>
  <c r="AC134" i="7" s="1"/>
  <c r="AC42" i="8"/>
  <c r="AC48" i="8" s="1"/>
  <c r="R11" i="4" s="1"/>
  <c r="I56" i="8"/>
  <c r="AC56" i="8"/>
  <c r="AC57" i="8" s="1"/>
  <c r="AC58" i="8" s="1"/>
  <c r="AC95" i="8" s="1"/>
  <c r="R13" i="4" s="1"/>
  <c r="S56" i="8"/>
  <c r="S57" i="8" s="1"/>
  <c r="S58" i="8" s="1"/>
  <c r="S95" i="8" s="1"/>
  <c r="Q13" i="4" s="1"/>
  <c r="I209" i="8"/>
  <c r="N209" i="8" s="1"/>
  <c r="S250" i="8"/>
  <c r="I12" i="8"/>
  <c r="I103" i="8"/>
  <c r="AC103" i="8"/>
  <c r="AC104" i="8" s="1"/>
  <c r="AC105" i="8" s="1"/>
  <c r="I231" i="8"/>
  <c r="AC231" i="8"/>
  <c r="AC232" i="8" s="1"/>
  <c r="AC233" i="8" s="1"/>
  <c r="AC264" i="8" s="1"/>
  <c r="R25" i="4" s="1"/>
  <c r="I42" i="7"/>
  <c r="AJ42" i="7" s="1"/>
  <c r="S12" i="7"/>
  <c r="S13" i="7" s="1"/>
  <c r="S14" i="7" s="1"/>
  <c r="AC42" i="7"/>
  <c r="S141" i="5"/>
  <c r="S142" i="5" s="1"/>
  <c r="S143" i="5" s="1"/>
  <c r="E245" i="6"/>
  <c r="AC161" i="6"/>
  <c r="AC188" i="6"/>
  <c r="AC189" i="6" s="1"/>
  <c r="AC12" i="6"/>
  <c r="AC13" i="6" s="1"/>
  <c r="AC120" i="6"/>
  <c r="I76" i="6"/>
  <c r="S28" i="6"/>
  <c r="S76" i="6"/>
  <c r="S120" i="6"/>
  <c r="S204" i="6"/>
  <c r="S259" i="6"/>
  <c r="AC259" i="6"/>
  <c r="S147" i="6"/>
  <c r="S90" i="6"/>
  <c r="AC147" i="6"/>
  <c r="AC148" i="6" s="1"/>
  <c r="S56" i="6"/>
  <c r="S57" i="6" s="1"/>
  <c r="S58" i="6" s="1"/>
  <c r="AC56" i="6"/>
  <c r="AC57" i="6" s="1"/>
  <c r="AC58" i="6" s="1"/>
  <c r="AC95" i="6" s="1"/>
  <c r="J13" i="4" s="1"/>
  <c r="I231" i="6"/>
  <c r="AC245" i="6"/>
  <c r="AC204" i="6"/>
  <c r="AC103" i="6"/>
  <c r="AC104" i="6" s="1"/>
  <c r="AC105" i="6" s="1"/>
  <c r="AC42" i="6"/>
  <c r="S12" i="6"/>
  <c r="S13" i="6" s="1"/>
  <c r="S14" i="6" s="1"/>
  <c r="S47" i="6" s="1"/>
  <c r="I10" i="4" s="1"/>
  <c r="S161" i="6"/>
  <c r="AC231" i="6"/>
  <c r="AC232" i="6" s="1"/>
  <c r="AC233" i="6" s="1"/>
  <c r="AC264" i="6" s="1"/>
  <c r="J25" i="4" s="1"/>
  <c r="I204" i="6"/>
  <c r="AC76" i="6"/>
  <c r="AC28" i="6"/>
  <c r="S12" i="5"/>
  <c r="S13" i="5" s="1"/>
  <c r="S14" i="5" s="1"/>
  <c r="S47" i="5" s="1"/>
  <c r="E10" i="4" s="1"/>
  <c r="AC12" i="5"/>
  <c r="AC13" i="5" s="1"/>
  <c r="AC14" i="5" s="1"/>
  <c r="AC47" i="5" s="1"/>
  <c r="F10" i="4" s="1"/>
  <c r="S114" i="5"/>
  <c r="AC114" i="5"/>
  <c r="AC42" i="5"/>
  <c r="AC141" i="5"/>
  <c r="AC142" i="5" s="1"/>
  <c r="AC143" i="5" s="1"/>
  <c r="I156" i="5"/>
  <c r="AC156" i="5"/>
  <c r="I28" i="5"/>
  <c r="S156" i="5"/>
  <c r="S28" i="5"/>
  <c r="AC28" i="5"/>
  <c r="I32" i="5"/>
  <c r="I42" i="5"/>
  <c r="I55" i="5"/>
  <c r="AC55" i="5"/>
  <c r="AC56" i="5" s="1"/>
  <c r="AC57" i="5" s="1"/>
  <c r="S55" i="5"/>
  <c r="S56" i="5" s="1"/>
  <c r="S57" i="5" s="1"/>
  <c r="S73" i="5"/>
  <c r="AC73" i="5"/>
  <c r="I141" i="5"/>
  <c r="I28" i="8"/>
  <c r="AJ28" i="8" s="1"/>
  <c r="I76" i="8"/>
  <c r="AJ76" i="8" s="1"/>
  <c r="I245" i="8"/>
  <c r="AJ245" i="8" s="1"/>
  <c r="I33" i="8"/>
  <c r="I121" i="8"/>
  <c r="AJ121" i="8" s="1"/>
  <c r="I162" i="8"/>
  <c r="AJ162" i="8" s="1"/>
  <c r="I204" i="8"/>
  <c r="AJ204" i="8" s="1"/>
  <c r="I74" i="7"/>
  <c r="AJ74" i="7" s="1"/>
  <c r="I115" i="7"/>
  <c r="AJ115" i="7" s="1"/>
  <c r="I120" i="7"/>
  <c r="I28" i="7"/>
  <c r="AJ28" i="7" s="1"/>
  <c r="I161" i="5"/>
  <c r="S78" i="5"/>
  <c r="X78" i="5" s="1"/>
  <c r="S33" i="6"/>
  <c r="S125" i="6"/>
  <c r="X125" i="6" s="1"/>
  <c r="I120" i="6"/>
  <c r="I161" i="6"/>
  <c r="S166" i="6"/>
  <c r="S33" i="8"/>
  <c r="S48" i="8" s="1"/>
  <c r="Q11" i="4" s="1"/>
  <c r="I126" i="8"/>
  <c r="I249" i="8"/>
  <c r="AC249" i="8"/>
  <c r="AC250" i="8" s="1"/>
  <c r="AC125" i="8"/>
  <c r="AC126" i="8" s="1"/>
  <c r="AH126" i="8" s="1"/>
  <c r="AC166" i="8"/>
  <c r="AC167" i="8" s="1"/>
  <c r="AH167" i="8" s="1"/>
  <c r="I81" i="8"/>
  <c r="S81" i="8"/>
  <c r="X81" i="8" s="1"/>
  <c r="S167" i="8"/>
  <c r="X167" i="8" s="1"/>
  <c r="I167" i="8"/>
  <c r="I189" i="8"/>
  <c r="AC78" i="7"/>
  <c r="AC79" i="7" s="1"/>
  <c r="AH79" i="7" s="1"/>
  <c r="AC32" i="7"/>
  <c r="AC33" i="7" s="1"/>
  <c r="AH33" i="7" s="1"/>
  <c r="S79" i="7"/>
  <c r="X79" i="7" s="1"/>
  <c r="I79" i="7"/>
  <c r="I101" i="7"/>
  <c r="AJ101" i="7" s="1"/>
  <c r="S119" i="7"/>
  <c r="S120" i="7" s="1"/>
  <c r="S33" i="5"/>
  <c r="I73" i="5"/>
  <c r="AC77" i="5"/>
  <c r="AC78" i="5" s="1"/>
  <c r="AH78" i="5" s="1"/>
  <c r="I114" i="5"/>
  <c r="I119" i="5"/>
  <c r="S118" i="5"/>
  <c r="S119" i="5" s="1"/>
  <c r="X119" i="5" s="1"/>
  <c r="S231" i="6"/>
  <c r="S232" i="6" s="1"/>
  <c r="AH125" i="6"/>
  <c r="AH166" i="6"/>
  <c r="S188" i="6"/>
  <c r="S189" i="6" s="1"/>
  <c r="S190" i="6" s="1"/>
  <c r="S223" i="6" s="1"/>
  <c r="I22" i="4" s="1"/>
  <c r="AH33" i="6"/>
  <c r="AH81" i="6"/>
  <c r="AH250" i="6"/>
  <c r="S209" i="6"/>
  <c r="S245" i="6"/>
  <c r="AJ245" i="6" s="1"/>
  <c r="S81" i="6"/>
  <c r="X81" i="6" s="1"/>
  <c r="I188" i="6"/>
  <c r="I147" i="6"/>
  <c r="I103" i="6"/>
  <c r="I56" i="6"/>
  <c r="I250" i="6"/>
  <c r="I209" i="6"/>
  <c r="I166" i="6"/>
  <c r="I125" i="6"/>
  <c r="I81" i="6"/>
  <c r="D226" i="8"/>
  <c r="D184" i="8"/>
  <c r="D143" i="8"/>
  <c r="D7" i="8"/>
  <c r="D96" i="7"/>
  <c r="D51" i="7"/>
  <c r="D7" i="7"/>
  <c r="D226" i="6"/>
  <c r="D183" i="6"/>
  <c r="D142" i="6"/>
  <c r="D98" i="6"/>
  <c r="D136" i="5"/>
  <c r="D95" i="5"/>
  <c r="D50" i="5"/>
  <c r="D7" i="5"/>
  <c r="AJ147" i="6" l="1"/>
  <c r="AC134" i="5"/>
  <c r="F20" i="4" s="1"/>
  <c r="AJ259" i="6"/>
  <c r="AC139" i="6"/>
  <c r="J16" i="4" s="1"/>
  <c r="AJ189" i="8"/>
  <c r="AJ209" i="6"/>
  <c r="AJ42" i="5"/>
  <c r="I232" i="8"/>
  <c r="AJ232" i="8" s="1"/>
  <c r="AJ231" i="8"/>
  <c r="I57" i="8"/>
  <c r="AJ57" i="8" s="1"/>
  <c r="AJ56" i="8"/>
  <c r="I57" i="6"/>
  <c r="I58" i="6" s="1"/>
  <c r="AJ56" i="6"/>
  <c r="E161" i="6"/>
  <c r="AJ161" i="6"/>
  <c r="E204" i="6"/>
  <c r="AJ204" i="6"/>
  <c r="I232" i="6"/>
  <c r="I233" i="6" s="1"/>
  <c r="AJ231" i="6"/>
  <c r="I13" i="7"/>
  <c r="I14" i="7" s="1"/>
  <c r="N14" i="7" s="1"/>
  <c r="AJ12" i="7"/>
  <c r="I13" i="8"/>
  <c r="AJ13" i="8" s="1"/>
  <c r="AJ12" i="8"/>
  <c r="AC96" i="6"/>
  <c r="J14" i="4" s="1"/>
  <c r="I104" i="6"/>
  <c r="AJ104" i="6" s="1"/>
  <c r="AJ103" i="6"/>
  <c r="E120" i="6"/>
  <c r="AJ120" i="6"/>
  <c r="AJ81" i="6"/>
  <c r="I189" i="6"/>
  <c r="I190" i="6" s="1"/>
  <c r="I212" i="6" s="1"/>
  <c r="AJ188" i="6"/>
  <c r="AJ90" i="8"/>
  <c r="AJ125" i="6"/>
  <c r="S250" i="6"/>
  <c r="X250" i="6" s="1"/>
  <c r="S96" i="6"/>
  <c r="I14" i="4" s="1"/>
  <c r="E76" i="6"/>
  <c r="AJ76" i="6"/>
  <c r="AJ42" i="8"/>
  <c r="I104" i="8"/>
  <c r="AJ103" i="8"/>
  <c r="AJ33" i="8"/>
  <c r="I57" i="7"/>
  <c r="AJ57" i="7" s="1"/>
  <c r="AJ56" i="7"/>
  <c r="I56" i="5"/>
  <c r="I57" i="5" s="1"/>
  <c r="N57" i="5" s="1"/>
  <c r="AJ55" i="5"/>
  <c r="AJ73" i="5"/>
  <c r="AJ156" i="5"/>
  <c r="AJ28" i="5"/>
  <c r="AJ114" i="5"/>
  <c r="I142" i="5"/>
  <c r="I143" i="5" s="1"/>
  <c r="AJ141" i="5"/>
  <c r="I13" i="5"/>
  <c r="AJ13" i="5" s="1"/>
  <c r="AJ12" i="5"/>
  <c r="N238" i="8"/>
  <c r="AJ238" i="8"/>
  <c r="N119" i="5"/>
  <c r="AJ119" i="5"/>
  <c r="I250" i="8"/>
  <c r="AJ250" i="8" s="1"/>
  <c r="AJ249" i="8"/>
  <c r="I33" i="5"/>
  <c r="AJ33" i="5" s="1"/>
  <c r="AJ32" i="5"/>
  <c r="X209" i="8"/>
  <c r="AJ209" i="8"/>
  <c r="I133" i="5"/>
  <c r="AJ107" i="5"/>
  <c r="AJ113" i="6"/>
  <c r="I105" i="6"/>
  <c r="X120" i="7"/>
  <c r="S135" i="7"/>
  <c r="M29" i="4" s="1"/>
  <c r="N167" i="8"/>
  <c r="AJ167" i="8"/>
  <c r="N126" i="8"/>
  <c r="AJ126" i="8"/>
  <c r="N161" i="5"/>
  <c r="AJ161" i="5"/>
  <c r="AC92" i="5"/>
  <c r="F16" i="4" s="1"/>
  <c r="I49" i="7"/>
  <c r="I105" i="8"/>
  <c r="N105" i="8" s="1"/>
  <c r="AJ104" i="8"/>
  <c r="N28" i="4"/>
  <c r="AC93" i="7"/>
  <c r="N16" i="4" s="1"/>
  <c r="I58" i="7"/>
  <c r="N107" i="5"/>
  <c r="AJ77" i="5"/>
  <c r="I265" i="6"/>
  <c r="AJ189" i="6"/>
  <c r="N79" i="7"/>
  <c r="AJ79" i="7"/>
  <c r="N33" i="7"/>
  <c r="AJ33" i="7"/>
  <c r="N120" i="7"/>
  <c r="AJ120" i="7"/>
  <c r="I135" i="7"/>
  <c r="I233" i="8"/>
  <c r="N233" i="8" s="1"/>
  <c r="N81" i="8"/>
  <c r="AJ81" i="8"/>
  <c r="S93" i="7"/>
  <c r="M16" i="4" s="1"/>
  <c r="N108" i="7"/>
  <c r="AJ108" i="7"/>
  <c r="I181" i="8"/>
  <c r="AJ155" i="8"/>
  <c r="E166" i="6"/>
  <c r="AJ166" i="6"/>
  <c r="S95" i="6"/>
  <c r="I13" i="4" s="1"/>
  <c r="M28" i="4"/>
  <c r="AJ66" i="5"/>
  <c r="AJ67" i="7"/>
  <c r="AJ114" i="8"/>
  <c r="AJ32" i="7"/>
  <c r="N78" i="5"/>
  <c r="AJ78" i="5"/>
  <c r="AC48" i="5"/>
  <c r="F11" i="4" s="1"/>
  <c r="AC164" i="5"/>
  <c r="AC170" i="5" s="1"/>
  <c r="AC176" i="5" s="1"/>
  <c r="F23" i="4" s="1"/>
  <c r="AC175" i="5"/>
  <c r="S164" i="5"/>
  <c r="S170" i="5" s="1"/>
  <c r="S176" i="5" s="1"/>
  <c r="E23" i="4" s="1"/>
  <c r="S175" i="5"/>
  <c r="E22" i="4" s="1"/>
  <c r="AC265" i="6"/>
  <c r="J26" i="4" s="1"/>
  <c r="AC48" i="6"/>
  <c r="J11" i="4" s="1"/>
  <c r="X250" i="8"/>
  <c r="S265" i="8"/>
  <c r="Q26" i="4" s="1"/>
  <c r="AH250" i="8"/>
  <c r="AC265" i="8"/>
  <c r="R26" i="4" s="1"/>
  <c r="AC140" i="8"/>
  <c r="N114" i="8"/>
  <c r="AH114" i="8"/>
  <c r="X114" i="8"/>
  <c r="I96" i="8"/>
  <c r="S96" i="8"/>
  <c r="Q14" i="4" s="1"/>
  <c r="N33" i="8"/>
  <c r="I48" i="8"/>
  <c r="X33" i="8"/>
  <c r="S46" i="7"/>
  <c r="S50" i="7" s="1"/>
  <c r="S48" i="7"/>
  <c r="M10" i="4" s="1"/>
  <c r="AH67" i="7"/>
  <c r="N67" i="7"/>
  <c r="AC46" i="7"/>
  <c r="AC50" i="7" s="1"/>
  <c r="AC49" i="7"/>
  <c r="N11" i="4" s="1"/>
  <c r="X67" i="7"/>
  <c r="I148" i="6"/>
  <c r="S148" i="6"/>
  <c r="S149" i="6" s="1"/>
  <c r="S180" i="6" s="1"/>
  <c r="I19" i="4" s="1"/>
  <c r="AH113" i="6"/>
  <c r="X58" i="6"/>
  <c r="X113" i="6"/>
  <c r="X33" i="6"/>
  <c r="S48" i="6"/>
  <c r="I11" i="4" s="1"/>
  <c r="AH149" i="5"/>
  <c r="S92" i="5"/>
  <c r="E16" i="4" s="1"/>
  <c r="X66" i="5"/>
  <c r="X33" i="5"/>
  <c r="S48" i="5"/>
  <c r="E11" i="4" s="1"/>
  <c r="AH66" i="5"/>
  <c r="S105" i="6"/>
  <c r="S139" i="6" s="1"/>
  <c r="I16" i="4" s="1"/>
  <c r="S212" i="8"/>
  <c r="S218" i="8" s="1"/>
  <c r="S224" i="8" s="1"/>
  <c r="Q23" i="4" s="1"/>
  <c r="AC212" i="8"/>
  <c r="AC218" i="8" s="1"/>
  <c r="AC224" i="8" s="1"/>
  <c r="R23" i="4" s="1"/>
  <c r="S212" i="6"/>
  <c r="S218" i="6" s="1"/>
  <c r="S224" i="6" s="1"/>
  <c r="I23" i="4" s="1"/>
  <c r="X209" i="6"/>
  <c r="S170" i="8"/>
  <c r="S176" i="8" s="1"/>
  <c r="AC170" i="8"/>
  <c r="AC176" i="8" s="1"/>
  <c r="I170" i="8"/>
  <c r="S122" i="5"/>
  <c r="S128" i="5" s="1"/>
  <c r="S134" i="5" s="1"/>
  <c r="E20" i="4" s="1"/>
  <c r="I122" i="5"/>
  <c r="I128" i="5" s="1"/>
  <c r="S105" i="8"/>
  <c r="S140" i="8" s="1"/>
  <c r="AC190" i="6"/>
  <c r="N156" i="5"/>
  <c r="E156" i="5"/>
  <c r="AH114" i="5"/>
  <c r="G114" i="5"/>
  <c r="X73" i="5"/>
  <c r="F73" i="5"/>
  <c r="AH28" i="5"/>
  <c r="G28" i="5"/>
  <c r="AH42" i="5"/>
  <c r="G42" i="5"/>
  <c r="X114" i="5"/>
  <c r="F114" i="5"/>
  <c r="N114" i="5"/>
  <c r="E114" i="5"/>
  <c r="AH128" i="5"/>
  <c r="G128" i="5"/>
  <c r="N42" i="5"/>
  <c r="E42" i="5"/>
  <c r="X156" i="5"/>
  <c r="F156" i="5"/>
  <c r="AH156" i="5"/>
  <c r="G156" i="5"/>
  <c r="AH73" i="5"/>
  <c r="G73" i="5"/>
  <c r="N73" i="5"/>
  <c r="E73" i="5"/>
  <c r="X28" i="5"/>
  <c r="F28" i="5"/>
  <c r="N28" i="5"/>
  <c r="E28" i="5"/>
  <c r="N162" i="8"/>
  <c r="E162" i="8"/>
  <c r="N76" i="8"/>
  <c r="E76" i="8"/>
  <c r="AH42" i="8"/>
  <c r="G42" i="8"/>
  <c r="N28" i="8"/>
  <c r="E28" i="8"/>
  <c r="AH90" i="8"/>
  <c r="G90" i="8"/>
  <c r="N245" i="8"/>
  <c r="E245" i="8"/>
  <c r="N121" i="8"/>
  <c r="E121" i="8"/>
  <c r="N204" i="8"/>
  <c r="E204" i="8"/>
  <c r="N28" i="7"/>
  <c r="E28" i="7"/>
  <c r="AH42" i="7"/>
  <c r="G42" i="7"/>
  <c r="N115" i="7"/>
  <c r="E115" i="7"/>
  <c r="N42" i="7"/>
  <c r="E42" i="7"/>
  <c r="N74" i="7"/>
  <c r="E74" i="7"/>
  <c r="X245" i="6"/>
  <c r="F245" i="6"/>
  <c r="X259" i="6"/>
  <c r="F259" i="6"/>
  <c r="AH204" i="6"/>
  <c r="G204" i="6"/>
  <c r="X204" i="6"/>
  <c r="F204" i="6"/>
  <c r="AH245" i="6"/>
  <c r="G245" i="6"/>
  <c r="AH259" i="6"/>
  <c r="G259" i="6"/>
  <c r="X76" i="6"/>
  <c r="F76" i="6"/>
  <c r="AH76" i="6"/>
  <c r="G76" i="6"/>
  <c r="AH161" i="6"/>
  <c r="G161" i="6"/>
  <c r="AH90" i="6"/>
  <c r="G90" i="6"/>
  <c r="X166" i="6"/>
  <c r="F166" i="6"/>
  <c r="X161" i="6"/>
  <c r="F161" i="6"/>
  <c r="X90" i="6"/>
  <c r="F90" i="6"/>
  <c r="AH28" i="6"/>
  <c r="G28" i="6"/>
  <c r="AH42" i="6"/>
  <c r="G42" i="6"/>
  <c r="X28" i="6"/>
  <c r="F28" i="6"/>
  <c r="AH120" i="6"/>
  <c r="G120" i="6"/>
  <c r="X120" i="6"/>
  <c r="F120" i="6"/>
  <c r="S45" i="5"/>
  <c r="AC14" i="6"/>
  <c r="AC149" i="6"/>
  <c r="AC262" i="6"/>
  <c r="AC93" i="6"/>
  <c r="AC97" i="6" s="1"/>
  <c r="AC93" i="8"/>
  <c r="AC97" i="8" s="1"/>
  <c r="AH58" i="8"/>
  <c r="AC45" i="8"/>
  <c r="AC49" i="8" s="1"/>
  <c r="AH14" i="8"/>
  <c r="AH105" i="8"/>
  <c r="X14" i="8"/>
  <c r="S45" i="8"/>
  <c r="S49" i="8" s="1"/>
  <c r="AC262" i="8"/>
  <c r="AH233" i="8"/>
  <c r="N150" i="8"/>
  <c r="X191" i="8"/>
  <c r="X150" i="8"/>
  <c r="X58" i="8"/>
  <c r="S93" i="8"/>
  <c r="AH191" i="8"/>
  <c r="S262" i="8"/>
  <c r="X233" i="8"/>
  <c r="I190" i="8"/>
  <c r="AH150" i="8"/>
  <c r="AH58" i="7"/>
  <c r="AH103" i="7"/>
  <c r="AC132" i="7"/>
  <c r="X58" i="7"/>
  <c r="S132" i="7"/>
  <c r="X103" i="7"/>
  <c r="X14" i="7"/>
  <c r="AH14" i="7"/>
  <c r="I102" i="7"/>
  <c r="X143" i="5"/>
  <c r="AH57" i="5"/>
  <c r="X102" i="5"/>
  <c r="AH143" i="5"/>
  <c r="X14" i="5"/>
  <c r="N102" i="5"/>
  <c r="AH102" i="5"/>
  <c r="AC131" i="5"/>
  <c r="AC135" i="5" s="1"/>
  <c r="X57" i="5"/>
  <c r="AH14" i="5"/>
  <c r="AC45" i="5"/>
  <c r="S233" i="6"/>
  <c r="AH233" i="6"/>
  <c r="AH105" i="6"/>
  <c r="AH58" i="6"/>
  <c r="S45" i="6"/>
  <c r="X14" i="6"/>
  <c r="X190" i="6"/>
  <c r="S93" i="6"/>
  <c r="S97" i="6" s="1"/>
  <c r="I14" i="8" l="1"/>
  <c r="I45" i="8" s="1"/>
  <c r="I58" i="8"/>
  <c r="N58" i="8" s="1"/>
  <c r="I262" i="8"/>
  <c r="I265" i="8"/>
  <c r="N250" i="8"/>
  <c r="N262" i="8" s="1"/>
  <c r="O233" i="8" s="1"/>
  <c r="AC47" i="7"/>
  <c r="S265" i="6"/>
  <c r="I26" i="4" s="1"/>
  <c r="N33" i="5"/>
  <c r="AJ105" i="8"/>
  <c r="AJ142" i="5"/>
  <c r="A377" i="12"/>
  <c r="N143" i="5"/>
  <c r="AJ56" i="5"/>
  <c r="I14" i="5"/>
  <c r="I45" i="5" s="1"/>
  <c r="I49" i="5" s="1"/>
  <c r="AJ13" i="7"/>
  <c r="AJ250" i="6"/>
  <c r="AC138" i="7"/>
  <c r="AJ45" i="8"/>
  <c r="AJ57" i="6"/>
  <c r="AJ232" i="6"/>
  <c r="I164" i="5"/>
  <c r="I170" i="5" s="1"/>
  <c r="AJ128" i="5"/>
  <c r="S133" i="7"/>
  <c r="S136" i="7"/>
  <c r="P11" i="4"/>
  <c r="P12" i="25" s="1"/>
  <c r="AJ48" i="8"/>
  <c r="AC179" i="5"/>
  <c r="F22" i="4"/>
  <c r="S138" i="7"/>
  <c r="H26" i="4"/>
  <c r="H27" i="25" s="1"/>
  <c r="AJ265" i="6"/>
  <c r="AJ58" i="7"/>
  <c r="I93" i="7"/>
  <c r="AJ49" i="7"/>
  <c r="L11" i="4"/>
  <c r="AJ133" i="5"/>
  <c r="D19" i="4"/>
  <c r="I48" i="7"/>
  <c r="AJ14" i="7"/>
  <c r="I46" i="7"/>
  <c r="AJ46" i="7" s="1"/>
  <c r="N58" i="7"/>
  <c r="AC133" i="7"/>
  <c r="AC136" i="7"/>
  <c r="I191" i="8"/>
  <c r="I212" i="8" s="1"/>
  <c r="I218" i="8" s="1"/>
  <c r="AJ190" i="8"/>
  <c r="I176" i="8"/>
  <c r="AJ176" i="8" s="1"/>
  <c r="AJ170" i="8"/>
  <c r="I149" i="6"/>
  <c r="AJ149" i="6" s="1"/>
  <c r="AJ148" i="6"/>
  <c r="AJ58" i="6"/>
  <c r="I95" i="6"/>
  <c r="I264" i="8"/>
  <c r="AJ233" i="8"/>
  <c r="I139" i="6"/>
  <c r="AJ105" i="6"/>
  <c r="AC268" i="8"/>
  <c r="R16" i="4"/>
  <c r="I47" i="8"/>
  <c r="AJ14" i="8"/>
  <c r="I95" i="8"/>
  <c r="AJ58" i="8"/>
  <c r="I47" i="5"/>
  <c r="I175" i="5"/>
  <c r="AJ143" i="5"/>
  <c r="I103" i="7"/>
  <c r="N103" i="7" s="1"/>
  <c r="AJ102" i="7"/>
  <c r="AJ262" i="8"/>
  <c r="I93" i="8"/>
  <c r="AJ93" i="8" s="1"/>
  <c r="I218" i="6"/>
  <c r="AJ265" i="8"/>
  <c r="P26" i="4"/>
  <c r="P27" i="25" s="1"/>
  <c r="N14" i="8"/>
  <c r="N45" i="8" s="1"/>
  <c r="S268" i="8"/>
  <c r="Q16" i="4"/>
  <c r="B377" i="12"/>
  <c r="I48" i="5"/>
  <c r="AJ96" i="8"/>
  <c r="P14" i="4"/>
  <c r="P15" i="25" s="1"/>
  <c r="I140" i="8"/>
  <c r="I92" i="5"/>
  <c r="AJ57" i="5"/>
  <c r="AJ181" i="8"/>
  <c r="P19" i="4"/>
  <c r="AJ135" i="7"/>
  <c r="L29" i="4"/>
  <c r="L30" i="25" s="1"/>
  <c r="I223" i="6"/>
  <c r="AJ190" i="6"/>
  <c r="I264" i="6"/>
  <c r="AJ233" i="6"/>
  <c r="S179" i="5"/>
  <c r="S262" i="6"/>
  <c r="S264" i="6"/>
  <c r="AC263" i="6"/>
  <c r="AC266" i="6"/>
  <c r="AC212" i="6"/>
  <c r="AJ212" i="6" s="1"/>
  <c r="AC223" i="6"/>
  <c r="J22" i="4" s="1"/>
  <c r="AC263" i="8"/>
  <c r="AC266" i="8"/>
  <c r="S263" i="8"/>
  <c r="S266" i="8"/>
  <c r="I263" i="8"/>
  <c r="I266" i="8"/>
  <c r="S179" i="8"/>
  <c r="S182" i="8"/>
  <c r="Q20" i="4" s="1"/>
  <c r="AC179" i="8"/>
  <c r="AC182" i="8"/>
  <c r="R20" i="4" s="1"/>
  <c r="I94" i="8"/>
  <c r="I97" i="8"/>
  <c r="S94" i="8"/>
  <c r="S97" i="8"/>
  <c r="I49" i="8"/>
  <c r="AJ49" i="8" s="1"/>
  <c r="I46" i="8"/>
  <c r="S46" i="8"/>
  <c r="AC46" i="8"/>
  <c r="AC94" i="8"/>
  <c r="G50" i="8"/>
  <c r="S47" i="7"/>
  <c r="X149" i="6"/>
  <c r="AC169" i="6"/>
  <c r="AC175" i="6" s="1"/>
  <c r="AC181" i="6" s="1"/>
  <c r="J20" i="4" s="1"/>
  <c r="AC180" i="6"/>
  <c r="J19" i="4" s="1"/>
  <c r="X218" i="6"/>
  <c r="X221" i="6" s="1"/>
  <c r="S169" i="6"/>
  <c r="S175" i="6" s="1"/>
  <c r="S181" i="6" s="1"/>
  <c r="I20" i="4" s="1"/>
  <c r="S94" i="6"/>
  <c r="AC45" i="6"/>
  <c r="AC47" i="6"/>
  <c r="J10" i="4" s="1"/>
  <c r="S46" i="6"/>
  <c r="S49" i="6"/>
  <c r="AC94" i="6"/>
  <c r="G50" i="6"/>
  <c r="AC132" i="5"/>
  <c r="S131" i="5"/>
  <c r="S135" i="5" s="1"/>
  <c r="I131" i="5"/>
  <c r="I134" i="5"/>
  <c r="S46" i="5"/>
  <c r="S49" i="5"/>
  <c r="AC46" i="5"/>
  <c r="AC49" i="5"/>
  <c r="A379" i="12"/>
  <c r="S129" i="6" s="1"/>
  <c r="S134" i="6" s="1"/>
  <c r="S140" i="6" s="1"/>
  <c r="I17" i="4" s="1"/>
  <c r="X105" i="6"/>
  <c r="I12" i="25"/>
  <c r="R27" i="25"/>
  <c r="R12" i="25"/>
  <c r="N12" i="25"/>
  <c r="E12" i="25"/>
  <c r="R30" i="25"/>
  <c r="M30" i="25"/>
  <c r="N30" i="25"/>
  <c r="Q27" i="25"/>
  <c r="M12" i="25"/>
  <c r="Q12" i="25"/>
  <c r="R15" i="25"/>
  <c r="Q15" i="25"/>
  <c r="AH218" i="8"/>
  <c r="AH221" i="8" s="1"/>
  <c r="AI191" i="8" s="1"/>
  <c r="G218" i="8"/>
  <c r="AC221" i="8"/>
  <c r="F218" i="8"/>
  <c r="S221" i="8"/>
  <c r="X218" i="8"/>
  <c r="X221" i="8" s="1"/>
  <c r="Y191" i="8" s="1"/>
  <c r="X170" i="5"/>
  <c r="X173" i="5" s="1"/>
  <c r="F170" i="5"/>
  <c r="S173" i="5"/>
  <c r="S177" i="5" s="1"/>
  <c r="AH170" i="5"/>
  <c r="AH173" i="5" s="1"/>
  <c r="AI143" i="5" s="1"/>
  <c r="G170" i="5"/>
  <c r="AC173" i="5"/>
  <c r="AC177" i="5" s="1"/>
  <c r="X105" i="8"/>
  <c r="F218" i="6"/>
  <c r="S221" i="6"/>
  <c r="S225" i="6" s="1"/>
  <c r="N128" i="5"/>
  <c r="N131" i="5" s="1"/>
  <c r="E128" i="5"/>
  <c r="U11" i="4"/>
  <c r="G176" i="8"/>
  <c r="AH176" i="8"/>
  <c r="AH179" i="8" s="1"/>
  <c r="F176" i="8"/>
  <c r="X176" i="8"/>
  <c r="X179" i="8" s="1"/>
  <c r="X128" i="5"/>
  <c r="X131" i="5" s="1"/>
  <c r="Y102" i="5" s="1"/>
  <c r="F128" i="5"/>
  <c r="AH190" i="6"/>
  <c r="X93" i="6"/>
  <c r="E45" i="8"/>
  <c r="G45" i="8"/>
  <c r="F45" i="8"/>
  <c r="F46" i="7"/>
  <c r="G46" i="7"/>
  <c r="AH262" i="6"/>
  <c r="AI250" i="6" s="1"/>
  <c r="F45" i="5"/>
  <c r="G45" i="5"/>
  <c r="G45" i="6"/>
  <c r="F45" i="6"/>
  <c r="AH149" i="6"/>
  <c r="AH14" i="6"/>
  <c r="AH45" i="6" s="1"/>
  <c r="AI14" i="6" s="1"/>
  <c r="X233" i="6"/>
  <c r="X262" i="6" s="1"/>
  <c r="Y233" i="6" s="1"/>
  <c r="N93" i="8"/>
  <c r="X93" i="8"/>
  <c r="X45" i="8"/>
  <c r="Y14" i="8" s="1"/>
  <c r="AH45" i="8"/>
  <c r="AI14" i="8" s="1"/>
  <c r="AH262" i="8"/>
  <c r="AI233" i="8" s="1"/>
  <c r="X262" i="8"/>
  <c r="AH93" i="8"/>
  <c r="X46" i="7"/>
  <c r="Y14" i="7" s="1"/>
  <c r="X132" i="7"/>
  <c r="Y103" i="7" s="1"/>
  <c r="AH132" i="7"/>
  <c r="AI103" i="7" s="1"/>
  <c r="N46" i="7"/>
  <c r="AH46" i="7"/>
  <c r="AH131" i="5"/>
  <c r="AH45" i="5"/>
  <c r="AI14" i="5" s="1"/>
  <c r="X45" i="5"/>
  <c r="AH93" i="6"/>
  <c r="X45" i="6"/>
  <c r="Y14" i="6" s="1"/>
  <c r="N259" i="6"/>
  <c r="N238" i="6"/>
  <c r="N197" i="6"/>
  <c r="N154" i="6"/>
  <c r="N113" i="6"/>
  <c r="I90" i="6"/>
  <c r="N81" i="6"/>
  <c r="N76" i="6"/>
  <c r="N58" i="6"/>
  <c r="I42" i="6"/>
  <c r="AJ42" i="6" s="1"/>
  <c r="E45" i="5" l="1"/>
  <c r="N14" i="5"/>
  <c r="I46" i="5"/>
  <c r="I50" i="7"/>
  <c r="AJ50" i="7" s="1"/>
  <c r="I47" i="7"/>
  <c r="AJ47" i="7" s="1"/>
  <c r="N45" i="5"/>
  <c r="O33" i="5" s="1"/>
  <c r="E176" i="8"/>
  <c r="AJ45" i="5"/>
  <c r="AJ14" i="5"/>
  <c r="AJ46" i="5"/>
  <c r="I180" i="6"/>
  <c r="H19" i="4" s="1"/>
  <c r="N191" i="8"/>
  <c r="I96" i="6"/>
  <c r="AJ90" i="6"/>
  <c r="AJ164" i="5"/>
  <c r="I169" i="6"/>
  <c r="I175" i="6" s="1"/>
  <c r="E46" i="7"/>
  <c r="AJ170" i="5"/>
  <c r="I173" i="5"/>
  <c r="AJ173" i="5" s="1"/>
  <c r="AC218" i="6"/>
  <c r="AC224" i="6" s="1"/>
  <c r="J23" i="4" s="1"/>
  <c r="I179" i="8"/>
  <c r="AJ179" i="8" s="1"/>
  <c r="I224" i="8"/>
  <c r="AJ218" i="8"/>
  <c r="AJ134" i="5"/>
  <c r="D20" i="4"/>
  <c r="I176" i="5"/>
  <c r="I224" i="6"/>
  <c r="AJ103" i="7"/>
  <c r="I134" i="7"/>
  <c r="D10" i="4"/>
  <c r="AJ47" i="5"/>
  <c r="P10" i="4"/>
  <c r="AJ47" i="8"/>
  <c r="H16" i="4"/>
  <c r="AJ139" i="6"/>
  <c r="L10" i="4"/>
  <c r="AJ48" i="7"/>
  <c r="I132" i="7"/>
  <c r="N170" i="5"/>
  <c r="N173" i="5" s="1"/>
  <c r="O156" i="5" s="1"/>
  <c r="AJ131" i="5"/>
  <c r="E170" i="5"/>
  <c r="E218" i="6"/>
  <c r="AJ46" i="8"/>
  <c r="AJ97" i="8"/>
  <c r="I182" i="8"/>
  <c r="AJ266" i="8"/>
  <c r="H22" i="4"/>
  <c r="AJ223" i="6"/>
  <c r="AJ93" i="7"/>
  <c r="L16" i="4"/>
  <c r="S268" i="6"/>
  <c r="I25" i="4"/>
  <c r="AJ264" i="6"/>
  <c r="H25" i="4"/>
  <c r="D16" i="4"/>
  <c r="AJ92" i="5"/>
  <c r="D11" i="4"/>
  <c r="D12" i="25" s="1"/>
  <c r="AJ48" i="5"/>
  <c r="H13" i="4"/>
  <c r="AJ95" i="6"/>
  <c r="AJ140" i="8"/>
  <c r="P16" i="4"/>
  <c r="AJ49" i="5"/>
  <c r="AJ94" i="8"/>
  <c r="N176" i="8"/>
  <c r="N179" i="8" s="1"/>
  <c r="O150" i="8" s="1"/>
  <c r="AJ263" i="8"/>
  <c r="I179" i="5"/>
  <c r="AJ179" i="5" s="1"/>
  <c r="AJ175" i="5"/>
  <c r="D22" i="4"/>
  <c r="AJ95" i="8"/>
  <c r="P13" i="4"/>
  <c r="P25" i="4"/>
  <c r="AJ264" i="8"/>
  <c r="I223" i="8"/>
  <c r="AJ191" i="8"/>
  <c r="AC83" i="7"/>
  <c r="AC88" i="7" s="1"/>
  <c r="AC94" i="7" s="1"/>
  <c r="AC178" i="6"/>
  <c r="AC182" i="6" s="1"/>
  <c r="S269" i="6"/>
  <c r="AC268" i="6"/>
  <c r="S263" i="6"/>
  <c r="S266" i="6"/>
  <c r="S222" i="8"/>
  <c r="S225" i="8"/>
  <c r="AC222" i="8"/>
  <c r="AC225" i="8"/>
  <c r="AC180" i="8"/>
  <c r="AC183" i="8"/>
  <c r="S180" i="8"/>
  <c r="S183" i="8"/>
  <c r="Y58" i="8"/>
  <c r="F50" i="8"/>
  <c r="O58" i="8"/>
  <c r="E50" i="8"/>
  <c r="X175" i="6"/>
  <c r="X178" i="6" s="1"/>
  <c r="Y149" i="6" s="1"/>
  <c r="G175" i="6"/>
  <c r="V20" i="4" s="1"/>
  <c r="F175" i="6"/>
  <c r="I21" i="25" s="1"/>
  <c r="F221" i="6"/>
  <c r="S178" i="6"/>
  <c r="S182" i="6" s="1"/>
  <c r="AH175" i="6"/>
  <c r="AH178" i="6" s="1"/>
  <c r="Y58" i="6"/>
  <c r="F50" i="6"/>
  <c r="AC49" i="6"/>
  <c r="AC46" i="6"/>
  <c r="S174" i="5"/>
  <c r="AC174" i="5"/>
  <c r="S132" i="5"/>
  <c r="I132" i="5"/>
  <c r="I135" i="5"/>
  <c r="AJ135" i="5" s="1"/>
  <c r="S83" i="7"/>
  <c r="S88" i="7" s="1"/>
  <c r="S94" i="7" s="1"/>
  <c r="S130" i="8"/>
  <c r="S135" i="8" s="1"/>
  <c r="S141" i="8" s="1"/>
  <c r="I82" i="5"/>
  <c r="I129" i="6"/>
  <c r="I130" i="8"/>
  <c r="F134" i="6"/>
  <c r="I18" i="25" s="1"/>
  <c r="X134" i="6"/>
  <c r="X137" i="6" s="1"/>
  <c r="Y105" i="6" s="1"/>
  <c r="S137" i="6"/>
  <c r="AC82" i="5"/>
  <c r="AC87" i="5" s="1"/>
  <c r="AC93" i="5" s="1"/>
  <c r="AC129" i="6"/>
  <c r="AC134" i="6" s="1"/>
  <c r="AC140" i="6" s="1"/>
  <c r="AC130" i="8"/>
  <c r="AC135" i="8" s="1"/>
  <c r="AC141" i="8" s="1"/>
  <c r="S82" i="5"/>
  <c r="S87" i="5" s="1"/>
  <c r="S93" i="5" s="1"/>
  <c r="I83" i="7"/>
  <c r="T27" i="25"/>
  <c r="T26" i="4"/>
  <c r="J12" i="25"/>
  <c r="F21" i="25"/>
  <c r="U14" i="4"/>
  <c r="I15" i="25"/>
  <c r="U15" i="25" s="1"/>
  <c r="L12" i="25"/>
  <c r="U26" i="4"/>
  <c r="I27" i="25"/>
  <c r="U27" i="25" s="1"/>
  <c r="E21" i="25"/>
  <c r="Q21" i="25"/>
  <c r="I24" i="25"/>
  <c r="R24" i="25"/>
  <c r="V26" i="4"/>
  <c r="J27" i="25"/>
  <c r="V27" i="25" s="1"/>
  <c r="R21" i="25"/>
  <c r="E24" i="25"/>
  <c r="F12" i="25"/>
  <c r="J15" i="25"/>
  <c r="V15" i="25" s="1"/>
  <c r="F24" i="25"/>
  <c r="Q24" i="25"/>
  <c r="V30" i="25"/>
  <c r="U30" i="25"/>
  <c r="U12" i="25"/>
  <c r="E218" i="8"/>
  <c r="I221" i="8"/>
  <c r="AJ221" i="8" s="1"/>
  <c r="N218" i="8"/>
  <c r="G221" i="6"/>
  <c r="U23" i="4"/>
  <c r="S222" i="6"/>
  <c r="V29" i="4"/>
  <c r="U29" i="4"/>
  <c r="Y81" i="6"/>
  <c r="V14" i="4"/>
  <c r="V11" i="4"/>
  <c r="Y76" i="6"/>
  <c r="Y90" i="6"/>
  <c r="Y69" i="6"/>
  <c r="AI233" i="6"/>
  <c r="AI259" i="6"/>
  <c r="AI245" i="6"/>
  <c r="AI238" i="6"/>
  <c r="E7" i="5"/>
  <c r="N90" i="6"/>
  <c r="E90" i="6"/>
  <c r="N42" i="6"/>
  <c r="E42" i="6"/>
  <c r="N21" i="6"/>
  <c r="Y250" i="8"/>
  <c r="Y238" i="8"/>
  <c r="Y245" i="8"/>
  <c r="Y259" i="8"/>
  <c r="O33" i="8"/>
  <c r="O28" i="8"/>
  <c r="O42" i="8"/>
  <c r="O21" i="8"/>
  <c r="O245" i="8"/>
  <c r="O259" i="8"/>
  <c r="O238" i="8"/>
  <c r="O250" i="8"/>
  <c r="Y233" i="8"/>
  <c r="AI245" i="8"/>
  <c r="AI238" i="8"/>
  <c r="AI259" i="8"/>
  <c r="AI250" i="8"/>
  <c r="O14" i="8"/>
  <c r="Y28" i="8"/>
  <c r="Y42" i="8"/>
  <c r="Y21" i="8"/>
  <c r="Y33" i="8"/>
  <c r="Y197" i="8"/>
  <c r="Y204" i="8"/>
  <c r="Y209" i="8"/>
  <c r="Y218" i="8"/>
  <c r="O90" i="8"/>
  <c r="O69" i="8"/>
  <c r="O76" i="8"/>
  <c r="O81" i="8"/>
  <c r="AI90" i="8"/>
  <c r="AI69" i="8"/>
  <c r="AI76" i="8"/>
  <c r="AI81" i="8"/>
  <c r="Y162" i="8"/>
  <c r="Y155" i="8"/>
  <c r="Y176" i="8"/>
  <c r="Y167" i="8"/>
  <c r="AI155" i="8"/>
  <c r="AI162" i="8"/>
  <c r="AI176" i="8"/>
  <c r="AI167" i="8"/>
  <c r="AI21" i="8"/>
  <c r="AI33" i="8"/>
  <c r="AI42" i="8"/>
  <c r="AI28" i="8"/>
  <c r="AI58" i="8"/>
  <c r="AI209" i="8"/>
  <c r="AI204" i="8"/>
  <c r="AI218" i="8"/>
  <c r="AI197" i="8"/>
  <c r="Y150" i="8"/>
  <c r="Y69" i="8"/>
  <c r="Y76" i="8"/>
  <c r="Y90" i="8"/>
  <c r="Y81" i="8"/>
  <c r="AI150" i="8"/>
  <c r="O21" i="7"/>
  <c r="O28" i="7"/>
  <c r="O42" i="7"/>
  <c r="O33" i="7"/>
  <c r="AI108" i="7"/>
  <c r="AI129" i="7"/>
  <c r="AI120" i="7"/>
  <c r="AI115" i="7"/>
  <c r="Y108" i="7"/>
  <c r="Y115" i="7"/>
  <c r="Y129" i="7"/>
  <c r="Y120" i="7"/>
  <c r="AI21" i="7"/>
  <c r="AI28" i="7"/>
  <c r="AI42" i="7"/>
  <c r="AI33" i="7"/>
  <c r="AI14" i="7"/>
  <c r="O14" i="7"/>
  <c r="Y21" i="7"/>
  <c r="Y42" i="7"/>
  <c r="Y28" i="7"/>
  <c r="Y33" i="7"/>
  <c r="N132" i="7"/>
  <c r="O103" i="7" s="1"/>
  <c r="O128" i="5"/>
  <c r="O107" i="5"/>
  <c r="O114" i="5"/>
  <c r="O119" i="5"/>
  <c r="Y114" i="5"/>
  <c r="Y107" i="5"/>
  <c r="Y128" i="5"/>
  <c r="Y119" i="5"/>
  <c r="O28" i="5"/>
  <c r="O42" i="5"/>
  <c r="O149" i="5"/>
  <c r="Y42" i="5"/>
  <c r="Y28" i="5"/>
  <c r="Y21" i="5"/>
  <c r="Y33" i="5"/>
  <c r="Y156" i="5"/>
  <c r="Y170" i="5"/>
  <c r="Y149" i="5"/>
  <c r="Y161" i="5"/>
  <c r="AI128" i="5"/>
  <c r="AI114" i="5"/>
  <c r="AI107" i="5"/>
  <c r="AI119" i="5"/>
  <c r="Y14" i="5"/>
  <c r="O102" i="5"/>
  <c r="Y143" i="5"/>
  <c r="AI21" i="5"/>
  <c r="AI33" i="5"/>
  <c r="AI28" i="5"/>
  <c r="AI42" i="5"/>
  <c r="AI149" i="5"/>
  <c r="AI161" i="5"/>
  <c r="AI170" i="5"/>
  <c r="AI156" i="5"/>
  <c r="AI102" i="5"/>
  <c r="AI42" i="6"/>
  <c r="AI21" i="6"/>
  <c r="AI28" i="6"/>
  <c r="AI33" i="6"/>
  <c r="AI90" i="6"/>
  <c r="AI76" i="6"/>
  <c r="AI69" i="6"/>
  <c r="AI81" i="6"/>
  <c r="AI58" i="6"/>
  <c r="Y218" i="6"/>
  <c r="Y197" i="6"/>
  <c r="Y204" i="6"/>
  <c r="Y209" i="6"/>
  <c r="Y21" i="6"/>
  <c r="Y28" i="6"/>
  <c r="Y33" i="6"/>
  <c r="Y42" i="6"/>
  <c r="Y238" i="6"/>
  <c r="Y259" i="6"/>
  <c r="Y250" i="6"/>
  <c r="Y245" i="6"/>
  <c r="Y190" i="6"/>
  <c r="N161" i="6"/>
  <c r="I28" i="6"/>
  <c r="AJ28" i="6" s="1"/>
  <c r="N209" i="6"/>
  <c r="N218" i="6"/>
  <c r="N69" i="6"/>
  <c r="I93" i="6"/>
  <c r="AJ93" i="6" s="1"/>
  <c r="I12" i="6"/>
  <c r="N120" i="6"/>
  <c r="N125" i="6"/>
  <c r="N166" i="6"/>
  <c r="I33" i="6"/>
  <c r="AJ33" i="6" s="1"/>
  <c r="N204" i="6"/>
  <c r="N245" i="6"/>
  <c r="N250" i="6"/>
  <c r="O21" i="5" l="1"/>
  <c r="O14" i="5"/>
  <c r="O167" i="8"/>
  <c r="I177" i="5"/>
  <c r="AJ177" i="5" s="1"/>
  <c r="I174" i="5"/>
  <c r="AC179" i="6"/>
  <c r="N221" i="8"/>
  <c r="O191" i="8" s="1"/>
  <c r="AJ180" i="6"/>
  <c r="AJ169" i="6"/>
  <c r="N175" i="6"/>
  <c r="I181" i="6"/>
  <c r="H20" i="4" s="1"/>
  <c r="I13" i="6"/>
  <c r="AJ13" i="6" s="1"/>
  <c r="AJ12" i="6"/>
  <c r="AC221" i="6"/>
  <c r="AC225" i="6" s="1"/>
  <c r="AJ218" i="6"/>
  <c r="H14" i="4"/>
  <c r="T14" i="4" s="1"/>
  <c r="W14" i="4" s="1"/>
  <c r="AJ96" i="6"/>
  <c r="O170" i="5"/>
  <c r="G218" i="6"/>
  <c r="E136" i="5"/>
  <c r="I183" i="8"/>
  <c r="AJ183" i="8" s="1"/>
  <c r="O161" i="5"/>
  <c r="AH218" i="6"/>
  <c r="AH221" i="6" s="1"/>
  <c r="AI190" i="6" s="1"/>
  <c r="O143" i="5"/>
  <c r="G88" i="7"/>
  <c r="AJ132" i="5"/>
  <c r="I180" i="8"/>
  <c r="AJ180" i="8" s="1"/>
  <c r="I135" i="8"/>
  <c r="AJ135" i="8" s="1"/>
  <c r="AJ130" i="8"/>
  <c r="AC269" i="8"/>
  <c r="R17" i="4"/>
  <c r="AC139" i="7"/>
  <c r="N17" i="4"/>
  <c r="N18" i="25" s="1"/>
  <c r="N33" i="25" s="1"/>
  <c r="O155" i="8"/>
  <c r="D21" i="25"/>
  <c r="I88" i="7"/>
  <c r="E88" i="7" s="1"/>
  <c r="AJ83" i="7"/>
  <c r="AC269" i="6"/>
  <c r="J17" i="4"/>
  <c r="I87" i="5"/>
  <c r="AJ87" i="5" s="1"/>
  <c r="AJ82" i="5"/>
  <c r="AJ174" i="5"/>
  <c r="P20" i="4"/>
  <c r="P21" i="25" s="1"/>
  <c r="AJ182" i="8"/>
  <c r="AJ224" i="6"/>
  <c r="H23" i="4"/>
  <c r="H24" i="25" s="1"/>
  <c r="S139" i="7"/>
  <c r="M17" i="4"/>
  <c r="AJ134" i="7"/>
  <c r="L28" i="4"/>
  <c r="I138" i="7"/>
  <c r="O162" i="8"/>
  <c r="I132" i="6"/>
  <c r="AJ129" i="6"/>
  <c r="AC91" i="7"/>
  <c r="AC92" i="7" s="1"/>
  <c r="O176" i="8"/>
  <c r="S180" i="5"/>
  <c r="E17" i="4"/>
  <c r="AC180" i="5"/>
  <c r="F17" i="4"/>
  <c r="AH88" i="7"/>
  <c r="AH91" i="7" s="1"/>
  <c r="AI79" i="7" s="1"/>
  <c r="S269" i="8"/>
  <c r="Q17" i="4"/>
  <c r="I268" i="8"/>
  <c r="AJ268" i="8" s="1"/>
  <c r="P22" i="4"/>
  <c r="AJ223" i="8"/>
  <c r="E175" i="6"/>
  <c r="AJ175" i="6"/>
  <c r="I133" i="7"/>
  <c r="AJ133" i="7" s="1"/>
  <c r="AJ132" i="7"/>
  <c r="I136" i="7"/>
  <c r="AJ136" i="7" s="1"/>
  <c r="D23" i="4"/>
  <c r="D24" i="25" s="1"/>
  <c r="AJ176" i="5"/>
  <c r="AJ224" i="8"/>
  <c r="P23" i="4"/>
  <c r="P24" i="25" s="1"/>
  <c r="Y154" i="6"/>
  <c r="Y161" i="6"/>
  <c r="Y166" i="6"/>
  <c r="I222" i="8"/>
  <c r="AJ222" i="8" s="1"/>
  <c r="I225" i="8"/>
  <c r="AJ225" i="8" s="1"/>
  <c r="S138" i="8"/>
  <c r="S142" i="8" s="1"/>
  <c r="S270" i="8" s="1"/>
  <c r="F88" i="7"/>
  <c r="J21" i="25"/>
  <c r="V21" i="25" s="1"/>
  <c r="F178" i="6"/>
  <c r="Y175" i="6"/>
  <c r="S179" i="6"/>
  <c r="AI149" i="6"/>
  <c r="AI178" i="6" s="1"/>
  <c r="AI161" i="6"/>
  <c r="AI175" i="6"/>
  <c r="AI154" i="6"/>
  <c r="AI166" i="6"/>
  <c r="G178" i="6"/>
  <c r="F137" i="6"/>
  <c r="S141" i="6"/>
  <c r="S270" i="6" s="1"/>
  <c r="I94" i="6"/>
  <c r="AJ94" i="6" s="1"/>
  <c r="I97" i="6"/>
  <c r="AJ97" i="6" s="1"/>
  <c r="N33" i="6"/>
  <c r="I48" i="6"/>
  <c r="X135" i="8"/>
  <c r="X138" i="8" s="1"/>
  <c r="F98" i="8" s="1"/>
  <c r="F135" i="8"/>
  <c r="S91" i="7"/>
  <c r="X88" i="7"/>
  <c r="X91" i="7" s="1"/>
  <c r="Y67" i="7" s="1"/>
  <c r="I33" i="25"/>
  <c r="I32" i="4"/>
  <c r="S138" i="6"/>
  <c r="G137" i="6"/>
  <c r="F87" i="5"/>
  <c r="S90" i="5"/>
  <c r="S94" i="5" s="1"/>
  <c r="S181" i="5" s="1"/>
  <c r="X87" i="5"/>
  <c r="AC138" i="8"/>
  <c r="AC142" i="8" s="1"/>
  <c r="AC270" i="8" s="1"/>
  <c r="G135" i="8"/>
  <c r="AH135" i="8"/>
  <c r="Y134" i="6"/>
  <c r="G134" i="6"/>
  <c r="AC137" i="6"/>
  <c r="AC141" i="6" s="1"/>
  <c r="AH134" i="6"/>
  <c r="AH87" i="5"/>
  <c r="AC90" i="5"/>
  <c r="AC94" i="5" s="1"/>
  <c r="AC181" i="5" s="1"/>
  <c r="G87" i="5"/>
  <c r="Y120" i="6"/>
  <c r="Y113" i="6"/>
  <c r="Y125" i="6"/>
  <c r="W26" i="4"/>
  <c r="J23" i="26" s="1"/>
  <c r="U20" i="4"/>
  <c r="W27" i="25"/>
  <c r="K23" i="26" s="1"/>
  <c r="U24" i="25"/>
  <c r="J24" i="25"/>
  <c r="V12" i="25"/>
  <c r="U21" i="25"/>
  <c r="V23" i="4"/>
  <c r="Y93" i="6"/>
  <c r="AI262" i="6"/>
  <c r="N93" i="6"/>
  <c r="N28" i="6"/>
  <c r="E28" i="6"/>
  <c r="AI221" i="8"/>
  <c r="AI45" i="8"/>
  <c r="O262" i="8"/>
  <c r="Y131" i="5"/>
  <c r="Y179" i="8"/>
  <c r="Y45" i="8"/>
  <c r="AI262" i="8"/>
  <c r="Y262" i="8"/>
  <c r="Y93" i="8"/>
  <c r="O93" i="8"/>
  <c r="Y221" i="8"/>
  <c r="Y46" i="7"/>
  <c r="Y132" i="7"/>
  <c r="AI132" i="7"/>
  <c r="AI46" i="7"/>
  <c r="AI173" i="5"/>
  <c r="AI45" i="5"/>
  <c r="O45" i="5"/>
  <c r="O204" i="8"/>
  <c r="O218" i="8"/>
  <c r="AI93" i="8"/>
  <c r="AI179" i="8"/>
  <c r="O45" i="8"/>
  <c r="O108" i="7"/>
  <c r="O129" i="7"/>
  <c r="O115" i="7"/>
  <c r="O120" i="7"/>
  <c r="O46" i="7"/>
  <c r="AI131" i="5"/>
  <c r="Y173" i="5"/>
  <c r="O131" i="5"/>
  <c r="Y45" i="5"/>
  <c r="AI45" i="6"/>
  <c r="Y262" i="6"/>
  <c r="Y45" i="6"/>
  <c r="AI93" i="6"/>
  <c r="Y221" i="6"/>
  <c r="P12" i="4"/>
  <c r="I178" i="6"/>
  <c r="N149" i="6"/>
  <c r="I262" i="6"/>
  <c r="AJ262" i="6" s="1"/>
  <c r="N233" i="6"/>
  <c r="N105" i="6"/>
  <c r="O209" i="8" l="1"/>
  <c r="O197" i="8"/>
  <c r="O221" i="8" s="1"/>
  <c r="I141" i="8"/>
  <c r="N135" i="8"/>
  <c r="N138" i="8" s="1"/>
  <c r="E98" i="8" s="1"/>
  <c r="E135" i="8"/>
  <c r="AJ181" i="6"/>
  <c r="I14" i="6"/>
  <c r="AJ14" i="6" s="1"/>
  <c r="E32" i="4"/>
  <c r="H21" i="25"/>
  <c r="T21" i="25" s="1"/>
  <c r="W21" i="25" s="1"/>
  <c r="F32" i="4"/>
  <c r="AC270" i="6"/>
  <c r="O173" i="5"/>
  <c r="AI218" i="6"/>
  <c r="AI209" i="6"/>
  <c r="R32" i="4"/>
  <c r="AI204" i="6"/>
  <c r="AI197" i="6"/>
  <c r="H15" i="25"/>
  <c r="T15" i="25" s="1"/>
  <c r="W15" i="25" s="1"/>
  <c r="T20" i="4"/>
  <c r="W20" i="4" s="1"/>
  <c r="M18" i="25"/>
  <c r="M33" i="25" s="1"/>
  <c r="N32" i="4"/>
  <c r="AC222" i="6"/>
  <c r="I138" i="8"/>
  <c r="AJ138" i="8" s="1"/>
  <c r="Q32" i="4"/>
  <c r="AC95" i="7"/>
  <c r="AC140" i="7" s="1"/>
  <c r="E87" i="5"/>
  <c r="AI74" i="7"/>
  <c r="T23" i="4"/>
  <c r="W23" i="4" s="1"/>
  <c r="J32" i="4"/>
  <c r="N87" i="5"/>
  <c r="N90" i="5" s="1"/>
  <c r="O57" i="5" s="1"/>
  <c r="O90" i="5" s="1"/>
  <c r="O179" i="8"/>
  <c r="I94" i="7"/>
  <c r="AJ88" i="7"/>
  <c r="I91" i="7"/>
  <c r="I92" i="7" s="1"/>
  <c r="AI67" i="7"/>
  <c r="I93" i="5"/>
  <c r="I134" i="6"/>
  <c r="AJ132" i="6"/>
  <c r="AJ48" i="6"/>
  <c r="H11" i="4"/>
  <c r="T11" i="4" s="1"/>
  <c r="W11" i="4" s="1"/>
  <c r="I269" i="8"/>
  <c r="AJ269" i="8" s="1"/>
  <c r="P17" i="4"/>
  <c r="P32" i="4" s="1"/>
  <c r="AJ141" i="8"/>
  <c r="I182" i="6"/>
  <c r="AJ182" i="6" s="1"/>
  <c r="AJ178" i="6"/>
  <c r="N88" i="7"/>
  <c r="N91" i="7" s="1"/>
  <c r="O88" i="7" s="1"/>
  <c r="AI88" i="7"/>
  <c r="AI58" i="7"/>
  <c r="AI91" i="7" s="1"/>
  <c r="I90" i="5"/>
  <c r="I94" i="5" s="1"/>
  <c r="F138" i="8"/>
  <c r="I263" i="6"/>
  <c r="AJ263" i="6" s="1"/>
  <c r="I266" i="6"/>
  <c r="AJ266" i="6" s="1"/>
  <c r="Y114" i="8"/>
  <c r="O126" i="8"/>
  <c r="O121" i="8"/>
  <c r="G138" i="8"/>
  <c r="Y121" i="8"/>
  <c r="G98" i="8"/>
  <c r="R15" i="4" s="1"/>
  <c r="S139" i="8"/>
  <c r="O114" i="8"/>
  <c r="O105" i="8"/>
  <c r="O138" i="8" s="1"/>
  <c r="Y135" i="8"/>
  <c r="Y105" i="8"/>
  <c r="Y126" i="8"/>
  <c r="AC139" i="8"/>
  <c r="S92" i="7"/>
  <c r="S95" i="7"/>
  <c r="S140" i="7" s="1"/>
  <c r="M32" i="4"/>
  <c r="Y74" i="7"/>
  <c r="AC138" i="6"/>
  <c r="E50" i="6"/>
  <c r="H12" i="4" s="1"/>
  <c r="H14" i="25" s="1"/>
  <c r="I45" i="6"/>
  <c r="AJ45" i="6" s="1"/>
  <c r="I47" i="6"/>
  <c r="Q18" i="25"/>
  <c r="Q33" i="25" s="1"/>
  <c r="Y88" i="7"/>
  <c r="Y79" i="7"/>
  <c r="Y58" i="7"/>
  <c r="AC91" i="5"/>
  <c r="F91" i="7"/>
  <c r="G91" i="7"/>
  <c r="U17" i="4"/>
  <c r="AH137" i="6"/>
  <c r="AI134" i="6" s="1"/>
  <c r="F18" i="25"/>
  <c r="F33" i="25" s="1"/>
  <c r="V17" i="4"/>
  <c r="AH138" i="8"/>
  <c r="AI135" i="8" s="1"/>
  <c r="X90" i="5"/>
  <c r="Y87" i="5" s="1"/>
  <c r="J18" i="25"/>
  <c r="J33" i="25" s="1"/>
  <c r="R18" i="25"/>
  <c r="R33" i="25" s="1"/>
  <c r="G90" i="5"/>
  <c r="S91" i="5"/>
  <c r="F90" i="5"/>
  <c r="AH90" i="5"/>
  <c r="AI87" i="5" s="1"/>
  <c r="E18" i="25"/>
  <c r="Y137" i="6"/>
  <c r="T30" i="25"/>
  <c r="W30" i="25" s="1"/>
  <c r="V24" i="25"/>
  <c r="T24" i="25"/>
  <c r="AI221" i="6"/>
  <c r="T29" i="4"/>
  <c r="W29" i="4" s="1"/>
  <c r="O69" i="6"/>
  <c r="O81" i="6"/>
  <c r="I179" i="6"/>
  <c r="AJ179" i="6" s="1"/>
  <c r="E178" i="6"/>
  <c r="O58" i="6"/>
  <c r="O76" i="6"/>
  <c r="O90" i="6"/>
  <c r="O132" i="7"/>
  <c r="G7" i="8"/>
  <c r="R9" i="4" s="1"/>
  <c r="G184" i="8"/>
  <c r="R21" i="4" s="1"/>
  <c r="F7" i="8"/>
  <c r="Q9" i="4" s="1"/>
  <c r="R12" i="4"/>
  <c r="G226" i="8"/>
  <c r="R24" i="4" s="1"/>
  <c r="G96" i="7"/>
  <c r="N27" i="4" s="1"/>
  <c r="G7" i="7"/>
  <c r="N9" i="4" s="1"/>
  <c r="N14" i="6"/>
  <c r="N190" i="6"/>
  <c r="I221" i="6"/>
  <c r="AJ221" i="6" s="1"/>
  <c r="G142" i="6"/>
  <c r="J18" i="4" s="1"/>
  <c r="N178" i="6"/>
  <c r="O149" i="6" s="1"/>
  <c r="N262" i="6"/>
  <c r="J12" i="4"/>
  <c r="F142" i="6"/>
  <c r="I18" i="4" s="1"/>
  <c r="G98" i="6"/>
  <c r="J15" i="4" s="1"/>
  <c r="H12" i="25" l="1"/>
  <c r="O135" i="8"/>
  <c r="H13" i="25"/>
  <c r="E91" i="7"/>
  <c r="O87" i="5"/>
  <c r="E138" i="8"/>
  <c r="I142" i="8"/>
  <c r="I270" i="8" s="1"/>
  <c r="I139" i="8"/>
  <c r="AJ139" i="8" s="1"/>
  <c r="AJ92" i="7"/>
  <c r="O73" i="5"/>
  <c r="U32" i="4"/>
  <c r="O66" i="5"/>
  <c r="O78" i="5"/>
  <c r="I181" i="5"/>
  <c r="AJ94" i="5"/>
  <c r="E90" i="5"/>
  <c r="AJ90" i="5"/>
  <c r="I180" i="5"/>
  <c r="AJ180" i="5" s="1"/>
  <c r="AJ93" i="5"/>
  <c r="D17" i="4"/>
  <c r="I91" i="5"/>
  <c r="AJ91" i="5" s="1"/>
  <c r="P18" i="25"/>
  <c r="P33" i="25" s="1"/>
  <c r="I140" i="6"/>
  <c r="AJ134" i="6"/>
  <c r="N134" i="6"/>
  <c r="N137" i="6" s="1"/>
  <c r="O113" i="6" s="1"/>
  <c r="I137" i="6"/>
  <c r="E134" i="6"/>
  <c r="I95" i="7"/>
  <c r="AJ91" i="7"/>
  <c r="I268" i="6"/>
  <c r="AJ268" i="6" s="1"/>
  <c r="AJ47" i="6"/>
  <c r="H10" i="4"/>
  <c r="I139" i="7"/>
  <c r="AJ139" i="7" s="1"/>
  <c r="AJ94" i="7"/>
  <c r="L17" i="4"/>
  <c r="Y138" i="8"/>
  <c r="I225" i="6"/>
  <c r="AJ225" i="6" s="1"/>
  <c r="E45" i="6"/>
  <c r="I49" i="6"/>
  <c r="AJ49" i="6" s="1"/>
  <c r="I46" i="6"/>
  <c r="AJ46" i="6" s="1"/>
  <c r="Y91" i="7"/>
  <c r="E33" i="25"/>
  <c r="U33" i="25" s="1"/>
  <c r="T12" i="25"/>
  <c r="W12" i="25" s="1"/>
  <c r="V32" i="4"/>
  <c r="U18" i="25"/>
  <c r="V33" i="25"/>
  <c r="V18" i="25"/>
  <c r="AI113" i="6"/>
  <c r="AI105" i="6"/>
  <c r="AI120" i="6"/>
  <c r="AI125" i="6"/>
  <c r="AI57" i="5"/>
  <c r="AI73" i="5"/>
  <c r="AI66" i="5"/>
  <c r="AI78" i="5"/>
  <c r="Y66" i="5"/>
  <c r="Y57" i="5"/>
  <c r="Y78" i="5"/>
  <c r="Y73" i="5"/>
  <c r="AI121" i="8"/>
  <c r="AI126" i="8"/>
  <c r="AI114" i="8"/>
  <c r="AI105" i="8"/>
  <c r="O58" i="7"/>
  <c r="O79" i="7"/>
  <c r="O67" i="7"/>
  <c r="O74" i="7"/>
  <c r="P14" i="25"/>
  <c r="P13" i="25" s="1"/>
  <c r="W24" i="25"/>
  <c r="R26" i="25"/>
  <c r="R25" i="25" s="1"/>
  <c r="R14" i="25"/>
  <c r="R13" i="25" s="1"/>
  <c r="J14" i="25"/>
  <c r="J13" i="25" s="1"/>
  <c r="I20" i="25"/>
  <c r="I19" i="25" s="1"/>
  <c r="O93" i="6"/>
  <c r="I222" i="6"/>
  <c r="AJ222" i="6" s="1"/>
  <c r="E221" i="6"/>
  <c r="E96" i="7"/>
  <c r="L27" i="4" s="1"/>
  <c r="E184" i="8"/>
  <c r="P21" i="4" s="1"/>
  <c r="G143" i="8"/>
  <c r="R18" i="4" s="1"/>
  <c r="R33" i="4" s="1"/>
  <c r="E143" i="8"/>
  <c r="P18" i="4" s="1"/>
  <c r="E226" i="8"/>
  <c r="P24" i="4" s="1"/>
  <c r="F184" i="8"/>
  <c r="Q21" i="4" s="1"/>
  <c r="F143" i="8"/>
  <c r="Q18" i="4" s="1"/>
  <c r="F96" i="7"/>
  <c r="M27" i="4" s="1"/>
  <c r="G51" i="7"/>
  <c r="N15" i="4" s="1"/>
  <c r="E51" i="7"/>
  <c r="L15" i="4" s="1"/>
  <c r="E226" i="6"/>
  <c r="H24" i="4" s="1"/>
  <c r="O238" i="6"/>
  <c r="O259" i="6"/>
  <c r="O250" i="6"/>
  <c r="O245" i="6"/>
  <c r="F226" i="6"/>
  <c r="I24" i="4" s="1"/>
  <c r="F98" i="6"/>
  <c r="I15" i="4" s="1"/>
  <c r="I12" i="4"/>
  <c r="F7" i="6"/>
  <c r="I9" i="4" s="1"/>
  <c r="E142" i="6"/>
  <c r="H18" i="4" s="1"/>
  <c r="O175" i="6"/>
  <c r="O161" i="6"/>
  <c r="O154" i="6"/>
  <c r="O166" i="6"/>
  <c r="G226" i="6"/>
  <c r="J24" i="4" s="1"/>
  <c r="G183" i="6"/>
  <c r="J21" i="4" s="1"/>
  <c r="N221" i="6"/>
  <c r="N45" i="6"/>
  <c r="G7" i="6"/>
  <c r="J9" i="4" s="1"/>
  <c r="O233" i="6"/>
  <c r="F183" i="6"/>
  <c r="I21" i="4" s="1"/>
  <c r="G95" i="5"/>
  <c r="F18" i="4" s="1"/>
  <c r="E98" i="6" l="1"/>
  <c r="H15" i="4" s="1"/>
  <c r="AJ142" i="8"/>
  <c r="O120" i="6"/>
  <c r="O125" i="6"/>
  <c r="O105" i="6"/>
  <c r="O134" i="6"/>
  <c r="L32" i="4"/>
  <c r="L18" i="25"/>
  <c r="L33" i="25" s="1"/>
  <c r="I140" i="7"/>
  <c r="AJ95" i="7"/>
  <c r="H17" i="4"/>
  <c r="T17" i="4" s="1"/>
  <c r="W17" i="4" s="1"/>
  <c r="AJ140" i="6"/>
  <c r="I269" i="6"/>
  <c r="AJ269" i="6" s="1"/>
  <c r="D18" i="25"/>
  <c r="D32" i="4"/>
  <c r="I141" i="6"/>
  <c r="AJ141" i="6" s="1"/>
  <c r="AJ137" i="6"/>
  <c r="E137" i="6"/>
  <c r="I138" i="6"/>
  <c r="AJ138" i="6" s="1"/>
  <c r="I272" i="8"/>
  <c r="AJ270" i="8"/>
  <c r="I183" i="5"/>
  <c r="AJ181" i="5"/>
  <c r="J33" i="4"/>
  <c r="J36" i="4" s="1"/>
  <c r="I33" i="4"/>
  <c r="I36" i="4" s="1"/>
  <c r="N33" i="4"/>
  <c r="N36" i="4" s="1"/>
  <c r="AI90" i="5"/>
  <c r="AI137" i="6"/>
  <c r="Y90" i="5"/>
  <c r="AI138" i="8"/>
  <c r="O91" i="7"/>
  <c r="J20" i="25"/>
  <c r="J19" i="25" s="1"/>
  <c r="R23" i="25"/>
  <c r="R22" i="25" s="1"/>
  <c r="P26" i="25"/>
  <c r="P25" i="25" s="1"/>
  <c r="I14" i="25"/>
  <c r="I13" i="25" s="1"/>
  <c r="H26" i="25"/>
  <c r="H25" i="25" s="1"/>
  <c r="V28" i="4"/>
  <c r="Q23" i="25"/>
  <c r="Q22" i="25" s="1"/>
  <c r="R36" i="4"/>
  <c r="Q11" i="25"/>
  <c r="N29" i="25"/>
  <c r="N28" i="25" s="1"/>
  <c r="R17" i="25"/>
  <c r="R16" i="25" s="1"/>
  <c r="R11" i="25"/>
  <c r="N11" i="25"/>
  <c r="J17" i="25"/>
  <c r="J16" i="25" s="1"/>
  <c r="R31" i="4"/>
  <c r="V18" i="4"/>
  <c r="N31" i="4"/>
  <c r="O14" i="6"/>
  <c r="E7" i="6"/>
  <c r="H9" i="4" s="1"/>
  <c r="O137" i="6"/>
  <c r="G136" i="5"/>
  <c r="F21" i="4" s="1"/>
  <c r="F136" i="5"/>
  <c r="E21" i="4" s="1"/>
  <c r="Q12" i="4"/>
  <c r="F226" i="8"/>
  <c r="Q24" i="4" s="1"/>
  <c r="E7" i="8"/>
  <c r="P9" i="4" s="1"/>
  <c r="P15" i="4"/>
  <c r="Q15" i="4"/>
  <c r="F51" i="7"/>
  <c r="M15" i="4" s="1"/>
  <c r="F7" i="7"/>
  <c r="M9" i="4" s="1"/>
  <c r="E7" i="7"/>
  <c r="L9" i="4" s="1"/>
  <c r="E183" i="6"/>
  <c r="H21" i="4" s="1"/>
  <c r="O209" i="6"/>
  <c r="O197" i="6"/>
  <c r="O218" i="6"/>
  <c r="O204" i="6"/>
  <c r="O28" i="6"/>
  <c r="O42" i="6"/>
  <c r="O21" i="6"/>
  <c r="O33" i="6"/>
  <c r="O262" i="6"/>
  <c r="O190" i="6"/>
  <c r="G7" i="5"/>
  <c r="F9" i="4" s="1"/>
  <c r="F7" i="5"/>
  <c r="E95" i="5"/>
  <c r="D18" i="4" s="1"/>
  <c r="G50" i="5"/>
  <c r="F15" i="4" s="1"/>
  <c r="F50" i="5"/>
  <c r="E15" i="4" s="1"/>
  <c r="E50" i="5"/>
  <c r="D15" i="4" s="1"/>
  <c r="I270" i="6" l="1"/>
  <c r="AJ270" i="6" s="1"/>
  <c r="I142" i="7"/>
  <c r="AJ140" i="7"/>
  <c r="D33" i="25"/>
  <c r="H32" i="4"/>
  <c r="T32" i="4" s="1"/>
  <c r="W32" i="4" s="1"/>
  <c r="H18" i="25"/>
  <c r="H33" i="25" s="1"/>
  <c r="J31" i="4"/>
  <c r="P33" i="4"/>
  <c r="I31" i="4"/>
  <c r="R10" i="25"/>
  <c r="N10" i="25"/>
  <c r="Q10" i="25"/>
  <c r="Q33" i="4"/>
  <c r="Q36" i="4" s="1"/>
  <c r="L33" i="4"/>
  <c r="H33" i="4"/>
  <c r="I23" i="25"/>
  <c r="I22" i="25" s="1"/>
  <c r="V25" i="4"/>
  <c r="F20" i="25"/>
  <c r="F19" i="25" s="1"/>
  <c r="P23" i="25"/>
  <c r="P22" i="25" s="1"/>
  <c r="H20" i="25"/>
  <c r="H19" i="25" s="1"/>
  <c r="J26" i="25"/>
  <c r="J25" i="25" s="1"/>
  <c r="V27" i="4"/>
  <c r="V24" i="4"/>
  <c r="I26" i="25"/>
  <c r="I25" i="25" s="1"/>
  <c r="J23" i="25"/>
  <c r="J22" i="25" s="1"/>
  <c r="Q26" i="25"/>
  <c r="Q25" i="25" s="1"/>
  <c r="V13" i="4"/>
  <c r="U28" i="4"/>
  <c r="E17" i="25"/>
  <c r="E16" i="25" s="1"/>
  <c r="F17" i="25"/>
  <c r="F16" i="25" s="1"/>
  <c r="D20" i="25"/>
  <c r="D19" i="25" s="1"/>
  <c r="V29" i="25"/>
  <c r="V28" i="25" s="1"/>
  <c r="T25" i="4"/>
  <c r="I11" i="25"/>
  <c r="M29" i="25"/>
  <c r="M28" i="25" s="1"/>
  <c r="J11" i="25"/>
  <c r="N17" i="25"/>
  <c r="N32" i="25" s="1"/>
  <c r="Q20" i="25"/>
  <c r="Q19" i="25" s="1"/>
  <c r="L17" i="25"/>
  <c r="L16" i="25" s="1"/>
  <c r="V19" i="4"/>
  <c r="R20" i="25"/>
  <c r="R32" i="25" s="1"/>
  <c r="I17" i="25"/>
  <c r="I16" i="25" s="1"/>
  <c r="L29" i="25"/>
  <c r="L28" i="25" s="1"/>
  <c r="P20" i="25"/>
  <c r="P19" i="25" s="1"/>
  <c r="H17" i="25"/>
  <c r="V9" i="4"/>
  <c r="T15" i="4"/>
  <c r="V21" i="4"/>
  <c r="V15" i="4"/>
  <c r="U21" i="4"/>
  <c r="T18" i="4"/>
  <c r="L31" i="4"/>
  <c r="U15" i="4"/>
  <c r="O45" i="6"/>
  <c r="O221" i="6"/>
  <c r="D21" i="4"/>
  <c r="E9" i="4"/>
  <c r="F95" i="5"/>
  <c r="E18" i="4" s="1"/>
  <c r="D9" i="4"/>
  <c r="I272" i="6" l="1"/>
  <c r="T33" i="25"/>
  <c r="W33" i="25" s="1"/>
  <c r="H16" i="25"/>
  <c r="T18" i="25"/>
  <c r="W18" i="25" s="1"/>
  <c r="P31" i="4"/>
  <c r="P36" i="4"/>
  <c r="P34" i="4"/>
  <c r="L36" i="4"/>
  <c r="H36" i="4"/>
  <c r="H34" i="4"/>
  <c r="Q31" i="4"/>
  <c r="H31" i="4"/>
  <c r="I10" i="25"/>
  <c r="I34" i="25" s="1"/>
  <c r="I32" i="25"/>
  <c r="J10" i="25"/>
  <c r="J34" i="25" s="1"/>
  <c r="J32" i="25"/>
  <c r="M33" i="4"/>
  <c r="M36" i="4" s="1"/>
  <c r="P11" i="25"/>
  <c r="F31" i="4"/>
  <c r="V31" i="4" s="1"/>
  <c r="F33" i="4"/>
  <c r="F36" i="4" s="1"/>
  <c r="T24" i="4"/>
  <c r="R19" i="25"/>
  <c r="R34" i="25" s="1"/>
  <c r="N16" i="25"/>
  <c r="N34" i="25" s="1"/>
  <c r="H11" i="25"/>
  <c r="V26" i="25"/>
  <c r="V25" i="25" s="1"/>
  <c r="V12" i="4"/>
  <c r="T19" i="4"/>
  <c r="U13" i="4"/>
  <c r="H23" i="25"/>
  <c r="H22" i="25" s="1"/>
  <c r="U12" i="4"/>
  <c r="T28" i="4"/>
  <c r="W28" i="4" s="1"/>
  <c r="V16" i="4"/>
  <c r="U27" i="4"/>
  <c r="U29" i="25"/>
  <c r="U28" i="25" s="1"/>
  <c r="U25" i="4"/>
  <c r="W25" i="4" s="1"/>
  <c r="J22" i="26" s="1"/>
  <c r="T26" i="25"/>
  <c r="T25" i="25" s="1"/>
  <c r="V13" i="25"/>
  <c r="V14" i="25"/>
  <c r="V20" i="25"/>
  <c r="V19" i="25" s="1"/>
  <c r="U22" i="4"/>
  <c r="E23" i="25"/>
  <c r="D17" i="25"/>
  <c r="D16" i="25" s="1"/>
  <c r="Q14" i="25"/>
  <c r="V17" i="25"/>
  <c r="V16" i="25" s="1"/>
  <c r="L11" i="25"/>
  <c r="L32" i="25" s="1"/>
  <c r="M11" i="25"/>
  <c r="P17" i="25"/>
  <c r="F11" i="25"/>
  <c r="M17" i="25"/>
  <c r="M16" i="25" s="1"/>
  <c r="V22" i="4"/>
  <c r="F23" i="25"/>
  <c r="Q17" i="25"/>
  <c r="Q16" i="25" s="1"/>
  <c r="T20" i="25"/>
  <c r="T19" i="25" s="1"/>
  <c r="U16" i="4"/>
  <c r="U9" i="4"/>
  <c r="T16" i="4"/>
  <c r="T21" i="4"/>
  <c r="W21" i="4" s="1"/>
  <c r="V10" i="4"/>
  <c r="T9" i="4"/>
  <c r="W15" i="4"/>
  <c r="U18" i="4"/>
  <c r="W18" i="4" s="1"/>
  <c r="L34" i="4" l="1"/>
  <c r="D33" i="4"/>
  <c r="E33" i="4"/>
  <c r="E36" i="4" s="1"/>
  <c r="F32" i="25"/>
  <c r="V32" i="25" s="1"/>
  <c r="Q13" i="25"/>
  <c r="Q34" i="25" s="1"/>
  <c r="Q32" i="25"/>
  <c r="H10" i="25"/>
  <c r="H34" i="25" s="1"/>
  <c r="H35" i="25" s="1"/>
  <c r="H32" i="25"/>
  <c r="P10" i="25"/>
  <c r="P32" i="25"/>
  <c r="M10" i="25"/>
  <c r="M34" i="25" s="1"/>
  <c r="M32" i="25"/>
  <c r="F10" i="25"/>
  <c r="E31" i="4"/>
  <c r="T10" i="4"/>
  <c r="M31" i="4"/>
  <c r="N37" i="25"/>
  <c r="I37" i="25"/>
  <c r="J37" i="25"/>
  <c r="R37" i="25"/>
  <c r="V23" i="25"/>
  <c r="V22" i="25" s="1"/>
  <c r="F22" i="25"/>
  <c r="U23" i="25"/>
  <c r="U22" i="25" s="1"/>
  <c r="E22" i="25"/>
  <c r="P16" i="25"/>
  <c r="J24" i="26"/>
  <c r="L10" i="25"/>
  <c r="L34" i="25" s="1"/>
  <c r="V33" i="4"/>
  <c r="V36" i="4" s="1"/>
  <c r="T13" i="4"/>
  <c r="W13" i="4" s="1"/>
  <c r="T27" i="4"/>
  <c r="W27" i="4" s="1"/>
  <c r="T12" i="4"/>
  <c r="W12" i="4" s="1"/>
  <c r="U17" i="25"/>
  <c r="U16" i="25" s="1"/>
  <c r="U24" i="4"/>
  <c r="W24" i="4" s="1"/>
  <c r="U26" i="25"/>
  <c r="T14" i="25"/>
  <c r="T13" i="25"/>
  <c r="T29" i="25"/>
  <c r="T17" i="25"/>
  <c r="T16" i="25" s="1"/>
  <c r="E11" i="25"/>
  <c r="V11" i="25"/>
  <c r="V10" i="25" s="1"/>
  <c r="D11" i="25"/>
  <c r="U19" i="4"/>
  <c r="W19" i="4" s="1"/>
  <c r="E20" i="25"/>
  <c r="T22" i="4"/>
  <c r="W22" i="4" s="1"/>
  <c r="D23" i="25"/>
  <c r="U14" i="25"/>
  <c r="W9" i="4"/>
  <c r="W16" i="4"/>
  <c r="U10" i="4"/>
  <c r="L35" i="25" l="1"/>
  <c r="D36" i="4"/>
  <c r="D34" i="4"/>
  <c r="W10" i="4"/>
  <c r="D31" i="4"/>
  <c r="T31" i="4" s="1"/>
  <c r="F34" i="25"/>
  <c r="V34" i="25" s="1"/>
  <c r="U13" i="25"/>
  <c r="W13" i="25" s="1"/>
  <c r="D10" i="25"/>
  <c r="D32" i="25"/>
  <c r="T32" i="25" s="1"/>
  <c r="E10" i="25"/>
  <c r="E32" i="25"/>
  <c r="U32" i="25" s="1"/>
  <c r="P34" i="25"/>
  <c r="H37" i="25"/>
  <c r="M37" i="25"/>
  <c r="L37" i="25"/>
  <c r="Q37" i="25"/>
  <c r="T33" i="4"/>
  <c r="T36" i="4" s="1"/>
  <c r="U33" i="4"/>
  <c r="U36" i="4" s="1"/>
  <c r="W16" i="25"/>
  <c r="U20" i="25"/>
  <c r="U19" i="25" s="1"/>
  <c r="W19" i="25" s="1"/>
  <c r="E19" i="25"/>
  <c r="T23" i="25"/>
  <c r="W23" i="25" s="1"/>
  <c r="D22" i="25"/>
  <c r="W26" i="25"/>
  <c r="K22" i="26" s="1"/>
  <c r="K24" i="26" s="1"/>
  <c r="K32" i="26" s="1"/>
  <c r="U25" i="25"/>
  <c r="W25" i="25" s="1"/>
  <c r="W29" i="25"/>
  <c r="T28" i="25"/>
  <c r="W28" i="25" s="1"/>
  <c r="U31" i="4"/>
  <c r="W17" i="25"/>
  <c r="W14" i="25"/>
  <c r="T11" i="25"/>
  <c r="T10" i="25" s="1"/>
  <c r="U11" i="25"/>
  <c r="U10" i="25" s="1"/>
  <c r="P37" i="25" l="1"/>
  <c r="P35" i="25"/>
  <c r="F37" i="25"/>
  <c r="E34" i="25"/>
  <c r="E37" i="25" s="1"/>
  <c r="D34" i="25"/>
  <c r="V37" i="25"/>
  <c r="W33" i="4"/>
  <c r="W36" i="4" s="1"/>
  <c r="W20" i="25"/>
  <c r="T22" i="25"/>
  <c r="W22" i="25" s="1"/>
  <c r="W10" i="25"/>
  <c r="W31" i="4"/>
  <c r="W32" i="25"/>
  <c r="W11" i="25"/>
  <c r="T34" i="25" l="1"/>
  <c r="T37" i="25" s="1"/>
  <c r="D35" i="25"/>
  <c r="U34" i="25"/>
  <c r="U37" i="25" s="1"/>
  <c r="D37" i="25"/>
  <c r="W34" i="25" l="1"/>
  <c r="W37"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Wahlman, Nels</author>
  </authors>
  <commentList>
    <comment ref="G11" authorId="0" shapeId="0" xr:uid="{00000000-0006-0000-0D00-000001000000}">
      <text>
        <r>
          <rPr>
            <b/>
            <sz val="8"/>
            <color indexed="81"/>
            <rFont val="Tahoma"/>
            <family val="2"/>
          </rPr>
          <t xml:space="preserve">Standard Envelope
</t>
        </r>
      </text>
    </comment>
    <comment ref="G12" authorId="0" shapeId="0" xr:uid="{00000000-0006-0000-0D00-000002000000}">
      <text>
        <r>
          <rPr>
            <b/>
            <sz val="8"/>
            <color indexed="81"/>
            <rFont val="Tahoma"/>
            <family val="2"/>
          </rPr>
          <t xml:space="preserve">Bill Stock Envelope
</t>
        </r>
      </text>
    </comment>
    <comment ref="A23" authorId="0" shapeId="0" xr:uid="{00000000-0006-0000-0D00-000003000000}">
      <text>
        <r>
          <rPr>
            <b/>
            <sz val="8"/>
            <color indexed="81"/>
            <rFont val="Tahoma"/>
            <family val="2"/>
          </rPr>
          <t xml:space="preserve">Held Static for all options
</t>
        </r>
      </text>
    </comment>
  </commentList>
</comments>
</file>

<file path=xl/sharedStrings.xml><?xml version="1.0" encoding="utf-8"?>
<sst xmlns="http://schemas.openxmlformats.org/spreadsheetml/2006/main" count="24866" uniqueCount="941">
  <si>
    <t>Meter Read</t>
  </si>
  <si>
    <t>Billing</t>
  </si>
  <si>
    <t>Payment</t>
  </si>
  <si>
    <t>Collections</t>
  </si>
  <si>
    <t>Contact Center</t>
  </si>
  <si>
    <t>MAST</t>
  </si>
  <si>
    <t>RMC</t>
  </si>
  <si>
    <t>Office Service</t>
  </si>
  <si>
    <t>Account Services</t>
  </si>
  <si>
    <t>* Bill exception work
* Rebills
* Bill controls</t>
  </si>
  <si>
    <t>Treasury</t>
  </si>
  <si>
    <t>* Print, insert &amp; mail bills
* Printer &amp; Inserter equipment maint</t>
  </si>
  <si>
    <t xml:space="preserve">* Review delinquent notices batches
* Plan arrangements with customers
</t>
  </si>
  <si>
    <t>* Pick up payments on credit orders &amp; deliver to resource centers</t>
  </si>
  <si>
    <t>* Read routes
* Investigate, repair or replace non-operable meters and ERTs</t>
  </si>
  <si>
    <t>* Initiate corrective action for non-reporting readers (Talon)</t>
  </si>
  <si>
    <t>* Meter reading office (route mgmt)
* Develop meter reading schedule</t>
  </si>
  <si>
    <t>* Bill exception work
* Rebills
* Bill controls
* Bill paper stock &amp; envelopes
* Postage</t>
  </si>
  <si>
    <t>Residential</t>
  </si>
  <si>
    <t>S. L. Commercial Indust.</t>
  </si>
  <si>
    <t>L.Commercial Indust.</t>
  </si>
  <si>
    <t>Basic Firm Sales Service Non-Residential</t>
  </si>
  <si>
    <t>SCH 2</t>
  </si>
  <si>
    <t>SCH 3</t>
  </si>
  <si>
    <t>SCH 32</t>
  </si>
  <si>
    <r>
      <t xml:space="preserve">Non-Residential Firm Sales and Firm </t>
    </r>
    <r>
      <rPr>
        <b/>
        <sz val="11"/>
        <color theme="1"/>
        <rFont val="Calibri"/>
        <family val="2"/>
        <scheme val="minor"/>
      </rPr>
      <t>Transportation</t>
    </r>
    <r>
      <rPr>
        <sz val="11"/>
        <color theme="1"/>
        <rFont val="Calibri"/>
        <family val="2"/>
        <scheme val="minor"/>
      </rPr>
      <t xml:space="preserve"> Service</t>
    </r>
  </si>
  <si>
    <t>Number of Meters</t>
  </si>
  <si>
    <t>COST ELEMENTS</t>
  </si>
  <si>
    <t>TOTALS</t>
  </si>
  <si>
    <t>%</t>
  </si>
  <si>
    <t>Notes &amp; Questions</t>
  </si>
  <si>
    <t>LABOR: NON-SUPERVISORY</t>
  </si>
  <si>
    <t>Total Wages</t>
  </si>
  <si>
    <t>Benefits</t>
  </si>
  <si>
    <t>Total</t>
  </si>
  <si>
    <t>LABOR: SUPERVISORY</t>
  </si>
  <si>
    <t>EQUIPMENT</t>
  </si>
  <si>
    <t>Total Equipment</t>
  </si>
  <si>
    <t>IS SUPPORT</t>
  </si>
  <si>
    <t>Analyst Labor</t>
  </si>
  <si>
    <t>Analyst Benefits</t>
  </si>
  <si>
    <t>Total IS</t>
  </si>
  <si>
    <t>OTHER</t>
  </si>
  <si>
    <t>Fleet, MMD, M&amp;T, PNC</t>
  </si>
  <si>
    <t>Corporate Express (to bank)</t>
  </si>
  <si>
    <t>Total Other</t>
  </si>
  <si>
    <t>PER YEAR</t>
  </si>
  <si>
    <t>PER PAYMENT</t>
  </si>
  <si>
    <t xml:space="preserve"> </t>
  </si>
  <si>
    <t>Residential    Shedule 2</t>
  </si>
  <si>
    <t>.</t>
  </si>
  <si>
    <t>METER READING</t>
  </si>
  <si>
    <t>CFS</t>
  </si>
  <si>
    <t>SCH 31, 32 &amp; Other</t>
  </si>
  <si>
    <t>2015 YTD ACTUAL AMOUNT (C)</t>
  </si>
  <si>
    <t>Cost Center</t>
  </si>
  <si>
    <t>G/L Account</t>
  </si>
  <si>
    <t>* 1,000 $</t>
  </si>
  <si>
    <t>Overall Result</t>
  </si>
  <si>
    <t>SALARY PAYROLL</t>
  </si>
  <si>
    <t>500100</t>
  </si>
  <si>
    <t>VACATION, SICK &amp; HOL</t>
  </si>
  <si>
    <t>500900</t>
  </si>
  <si>
    <t>PAYROLL OVERHEAD</t>
  </si>
  <si>
    <t>501000</t>
  </si>
  <si>
    <t>SALARY PAYROLL ZTFSO</t>
  </si>
  <si>
    <t>588105</t>
  </si>
  <si>
    <t>Payroll</t>
  </si>
  <si>
    <t>PAYROLL</t>
  </si>
  <si>
    <t>EDUCATION</t>
  </si>
  <si>
    <t>501100</t>
  </si>
  <si>
    <t>P CARD UNCODED CHARG</t>
  </si>
  <si>
    <t>502466</t>
  </si>
  <si>
    <t>OFFICE SUPPLIES</t>
  </si>
  <si>
    <t>503000</t>
  </si>
  <si>
    <t>MEALS AND ENTERTAIN</t>
  </si>
  <si>
    <t>512100</t>
  </si>
  <si>
    <t>CONFERENCE TRAVEL</t>
  </si>
  <si>
    <t>513100</t>
  </si>
  <si>
    <t>BUSINESS TRAVEL</t>
  </si>
  <si>
    <t>513200</t>
  </si>
  <si>
    <t>EMPLOYEE AWARDS</t>
  </si>
  <si>
    <t>522000</t>
  </si>
  <si>
    <t>MISC. EXPENSE BUDGET</t>
  </si>
  <si>
    <t>599900</t>
  </si>
  <si>
    <t>Non-Payroll</t>
  </si>
  <si>
    <t>NON-PAYROLL</t>
  </si>
  <si>
    <t>EXPENSE ACCOUNTS</t>
  </si>
  <si>
    <t>ACCOUNT SERVICES</t>
  </si>
  <si>
    <t>HOURLY DOUBLE PAY</t>
  </si>
  <si>
    <t>500301</t>
  </si>
  <si>
    <t>HOURLY REGULAR  PAY</t>
  </si>
  <si>
    <t>500305</t>
  </si>
  <si>
    <t>HOURLY OVERTIME PAY</t>
  </si>
  <si>
    <t>500306</t>
  </si>
  <si>
    <t>HOURLY BONUS PAYROLL</t>
  </si>
  <si>
    <t>500700</t>
  </si>
  <si>
    <t>HRLY - OT ZTFSO</t>
  </si>
  <si>
    <t>588306</t>
  </si>
  <si>
    <t>MATERIALS</t>
  </si>
  <si>
    <t>501400</t>
  </si>
  <si>
    <t>OTHER CONTRACT WORK</t>
  </si>
  <si>
    <t>502100</t>
  </si>
  <si>
    <t>MISCELLANEOUS</t>
  </si>
  <si>
    <t>502400</t>
  </si>
  <si>
    <t>BANK CHARGES</t>
  </si>
  <si>
    <t>502500</t>
  </si>
  <si>
    <t>TELEPHONE</t>
  </si>
  <si>
    <t>502700</t>
  </si>
  <si>
    <t>POSTAGE</t>
  </si>
  <si>
    <t>502800</t>
  </si>
  <si>
    <t>PRINTING</t>
  </si>
  <si>
    <t>503100</t>
  </si>
  <si>
    <t>REFRESHMENTS</t>
  </si>
  <si>
    <t>503300</t>
  </si>
  <si>
    <t>PAYSTATION COMMISSIO</t>
  </si>
  <si>
    <t>504100</t>
  </si>
  <si>
    <t>CASH RECEIPTS</t>
  </si>
  <si>
    <t>504300</t>
  </si>
  <si>
    <t>COLLECTION FEES</t>
  </si>
  <si>
    <t>505700</t>
  </si>
  <si>
    <t>TRAVEL IN TERRITORY</t>
  </si>
  <si>
    <t>512200</t>
  </si>
  <si>
    <t>EMPLOYEE AWRDS MLS &amp;</t>
  </si>
  <si>
    <t>522100</t>
  </si>
  <si>
    <t>NON EMPLOYEE GIFTS</t>
  </si>
  <si>
    <t>522200</t>
  </si>
  <si>
    <t>Units</t>
  </si>
  <si>
    <t>Rate</t>
  </si>
  <si>
    <t>Overheads</t>
  </si>
  <si>
    <t>2015 YTD BUDGET AMOUNT (K)</t>
  </si>
  <si>
    <t>$ VAR BUDGET YTD (C-K)</t>
  </si>
  <si>
    <t>% VAR BUDGET YTD (C/K)</t>
  </si>
  <si>
    <t>CUST SEG SRVC</t>
  </si>
  <si>
    <t>SALARY BONUS PAYROLL</t>
  </si>
  <si>
    <t>500500</t>
  </si>
  <si>
    <t>0</t>
  </si>
  <si>
    <t>MILEAGE REIMBURSE</t>
  </si>
  <si>
    <t>501500</t>
  </si>
  <si>
    <t>DUES/MEMBERSHIP</t>
  </si>
  <si>
    <t>501900</t>
  </si>
  <si>
    <t>BOOKS AND MAGAZINES</t>
  </si>
  <si>
    <t>503200</t>
  </si>
  <si>
    <t>DEALER RELATIONS</t>
  </si>
  <si>
    <t>504600</t>
  </si>
  <si>
    <t>PARKING</t>
  </si>
  <si>
    <t>504700</t>
  </si>
  <si>
    <t>LAUNDRY</t>
  </si>
  <si>
    <t>504800</t>
  </si>
  <si>
    <t>PROFESSIONAL SERVICE</t>
  </si>
  <si>
    <t>505100</t>
  </si>
  <si>
    <t>PERMITS AND FEES</t>
  </si>
  <si>
    <t>506200</t>
  </si>
  <si>
    <t>CORPORATE IDENTITY</t>
  </si>
  <si>
    <t>507500</t>
  </si>
  <si>
    <t>MAJ ACCT SERV TEAM</t>
  </si>
  <si>
    <t>NWN/580105</t>
  </si>
  <si>
    <t>580105</t>
  </si>
  <si>
    <t>CUST CONTACT CENTER</t>
  </si>
  <si>
    <t>P/T HOURLY PAYROLL</t>
  </si>
  <si>
    <t>500400</t>
  </si>
  <si>
    <t>NWN/580306</t>
  </si>
  <si>
    <t>580306</t>
  </si>
  <si>
    <t>HRLY - REGULAR ZTFSO</t>
  </si>
  <si>
    <t>588305</t>
  </si>
  <si>
    <t>MATERIALS - CONS INV</t>
  </si>
  <si>
    <t>501401</t>
  </si>
  <si>
    <t>FURNITURE &lt; 500</t>
  </si>
  <si>
    <t>501800</t>
  </si>
  <si>
    <t>OFFICE CONTRACT WORK</t>
  </si>
  <si>
    <t>502000</t>
  </si>
  <si>
    <t>CUSTOMER RECOVERY</t>
  </si>
  <si>
    <t>505300</t>
  </si>
  <si>
    <t>MEAL TICKETS</t>
  </si>
  <si>
    <t>505800</t>
  </si>
  <si>
    <t>UNLEADED FUEL</t>
  </si>
  <si>
    <t>506500</t>
  </si>
  <si>
    <t>CUST FIELD SERVICES</t>
  </si>
  <si>
    <t>HOURLY PAYROLL</t>
  </si>
  <si>
    <t>500300</t>
  </si>
  <si>
    <t>COMMISSIONS</t>
  </si>
  <si>
    <t>501300</t>
  </si>
  <si>
    <t>NWN/580301</t>
  </si>
  <si>
    <t>580301</t>
  </si>
  <si>
    <t>NWN/580305</t>
  </si>
  <si>
    <t>580305</t>
  </si>
  <si>
    <t>HRL - DBL TIME ZTFSO</t>
  </si>
  <si>
    <t>588301</t>
  </si>
  <si>
    <t>MATERIALS -CONS PIPE</t>
  </si>
  <si>
    <t>501402</t>
  </si>
  <si>
    <t>TRANSPORTATION</t>
  </si>
  <si>
    <t>501600</t>
  </si>
  <si>
    <t>501700</t>
  </si>
  <si>
    <t>FLAGGING</t>
  </si>
  <si>
    <t>502170</t>
  </si>
  <si>
    <t>ASPHALT PAVING</t>
  </si>
  <si>
    <t>502180</t>
  </si>
  <si>
    <t>SAW CUTS</t>
  </si>
  <si>
    <t>502195</t>
  </si>
  <si>
    <t>COMPANY GAS USE</t>
  </si>
  <si>
    <t>502900</t>
  </si>
  <si>
    <t>TOOL EXPENSE</t>
  </si>
  <si>
    <t>503400</t>
  </si>
  <si>
    <t>UNIFORMS</t>
  </si>
  <si>
    <t>504900</t>
  </si>
  <si>
    <t>REPAIRS AND MAINT</t>
  </si>
  <si>
    <t>505500</t>
  </si>
  <si>
    <t>SMALL TOOLS</t>
  </si>
  <si>
    <t>507700</t>
  </si>
  <si>
    <t>NWN/581500</t>
  </si>
  <si>
    <t>581500</t>
  </si>
  <si>
    <t>NWN/585800</t>
  </si>
  <si>
    <t>585800</t>
  </si>
  <si>
    <t>MILEAGE REIMB ZTFSO</t>
  </si>
  <si>
    <t>589500</t>
  </si>
  <si>
    <t>MEAL TICKETS ZTFSO</t>
  </si>
  <si>
    <t>589800</t>
  </si>
  <si>
    <t>RESOURCE MGMT CTR</t>
  </si>
  <si>
    <t>TRACKHOE</t>
  </si>
  <si>
    <t>502116</t>
  </si>
  <si>
    <t xml:space="preserve">Combined </t>
  </si>
  <si>
    <r>
      <t>Calculated Payroll Increases From Proposed Payroll Budget Shown on "</t>
    </r>
    <r>
      <rPr>
        <b/>
        <sz val="11"/>
        <color rgb="FFFF0000"/>
        <rFont val="Calibri"/>
        <family val="2"/>
        <scheme val="minor"/>
      </rPr>
      <t>Rate Incr Payroll &amp; NonPayroll  Sheet</t>
    </r>
    <r>
      <rPr>
        <b/>
        <sz val="11"/>
        <color theme="1"/>
        <rFont val="Calibri"/>
        <family val="2"/>
        <scheme val="minor"/>
      </rPr>
      <t>"</t>
    </r>
  </si>
  <si>
    <t>Payroll Increase from Base Year</t>
  </si>
  <si>
    <t xml:space="preserve">Small Commercial &amp; Industrial    Shedule 3 &amp; 27 </t>
  </si>
  <si>
    <t>Small Commercial &amp; Industrial    Shedule 3 &amp; 27</t>
  </si>
  <si>
    <t>ACCT SRVCS</t>
  </si>
  <si>
    <t xml:space="preserve">BILLING </t>
  </si>
  <si>
    <t>PAYMENT PROCESSING</t>
  </si>
  <si>
    <t>COLLECTIONS</t>
  </si>
  <si>
    <t>Postage</t>
  </si>
  <si>
    <t>Envelopes</t>
  </si>
  <si>
    <t>Bill  Stock</t>
  </si>
  <si>
    <t>Pay Station Fees</t>
  </si>
  <si>
    <t>Bankcard Fees</t>
  </si>
  <si>
    <t>Lockbox PO Box Fee</t>
  </si>
  <si>
    <t>Armored Car Service</t>
  </si>
  <si>
    <t>Coll Agency Fees</t>
  </si>
  <si>
    <t>Refund Check Stock</t>
  </si>
  <si>
    <t>Misc</t>
  </si>
  <si>
    <t>Accountant (Grade 145)</t>
  </si>
  <si>
    <t>Sr Coll Rep (Grade 140)</t>
  </si>
  <si>
    <t>Biller (Grade 125)</t>
  </si>
  <si>
    <t>Sr Biller/ PP Clerk (Grade 135)</t>
  </si>
  <si>
    <t>MAST Rep (Grade 145)</t>
  </si>
  <si>
    <t>Op Supp 2 (Grade 125)</t>
  </si>
  <si>
    <t>Total FTE</t>
  </si>
  <si>
    <t>System Percentages</t>
  </si>
  <si>
    <t>% Allocated</t>
  </si>
  <si>
    <t>Meter Reading</t>
  </si>
  <si>
    <t>Payment Processing</t>
  </si>
  <si>
    <t>Collection</t>
  </si>
  <si>
    <t>Other Activities</t>
  </si>
  <si>
    <t>Brief Explanation of Allocation</t>
  </si>
  <si>
    <t>Res/RS02</t>
  </si>
  <si>
    <t>Com/RS03</t>
  </si>
  <si>
    <t>Other</t>
  </si>
  <si>
    <t>Acct Services</t>
  </si>
  <si>
    <t>Biller</t>
  </si>
  <si>
    <t>Functional allocation based on current workload. Residential / non-residential split based on Oregon customer ratio of 90.7%Res/9.3%Non-Res%.</t>
  </si>
  <si>
    <t>Sr Biller</t>
  </si>
  <si>
    <t>Accountant</t>
  </si>
  <si>
    <t>Sr Payment Proc</t>
  </si>
  <si>
    <t>Ratio of Oregon customer base.</t>
  </si>
  <si>
    <t>Sr Coll Rep</t>
  </si>
  <si>
    <t>Year 2015 count accounts written off.</t>
  </si>
  <si>
    <t>MAST Rep</t>
  </si>
  <si>
    <t>About 0.60FTE (20%) of MAST time spent on service related work; 0.25FTE (8%)  on collection activities, 0.30FTE (10%) on meter reading activites (primarily troubleshooting issues) and the balance (62%) on billing activities.</t>
  </si>
  <si>
    <t xml:space="preserve">Nancy provides 1 hr (12.5%) to support PP (autopay) and slightly more (20%) for MAST billing; all other time spent in other areas. </t>
  </si>
  <si>
    <t>Mgmt</t>
  </si>
  <si>
    <t>Superv - Acct Svcs</t>
  </si>
  <si>
    <t>Superv - MAST</t>
  </si>
  <si>
    <t>Oreg FTE</t>
  </si>
  <si>
    <r>
      <t>Oregon FTE Based on 12/2015 Customer Count Ratio</t>
    </r>
    <r>
      <rPr>
        <b/>
        <vertAlign val="superscript"/>
        <sz val="11"/>
        <color theme="1"/>
        <rFont val="Calibri"/>
        <family val="2"/>
        <scheme val="minor"/>
      </rPr>
      <t xml:space="preserve"> 1/</t>
    </r>
  </si>
  <si>
    <t>FTE Allocated</t>
  </si>
  <si>
    <t>Closed Collection</t>
  </si>
  <si>
    <t>Check</t>
  </si>
  <si>
    <r>
      <rPr>
        <i/>
        <vertAlign val="superscript"/>
        <sz val="10"/>
        <color theme="1"/>
        <rFont val="Calibri"/>
        <family val="2"/>
        <scheme val="minor"/>
      </rPr>
      <t>1/</t>
    </r>
    <r>
      <rPr>
        <i/>
        <sz val="10"/>
        <color theme="1"/>
        <rFont val="Calibri"/>
        <family val="2"/>
        <scheme val="minor"/>
      </rPr>
      <t xml:space="preserve"> December 2015: Oregon customers (637,388) / System customers (714,414) =</t>
    </r>
  </si>
  <si>
    <t>Op Support 2</t>
  </si>
  <si>
    <t>12 MONTHS ENDING 12/2015</t>
  </si>
  <si>
    <t>Paid by Office Serivce</t>
  </si>
  <si>
    <t>Allocated based on direct reports</t>
  </si>
  <si>
    <t>Allocated based on direct reports. G=Brandon; Y=Jon</t>
  </si>
  <si>
    <t>40%=Billing; 25%=Pymt Proc; 25%=Collections; 10%=Other</t>
  </si>
  <si>
    <t>PER BILL</t>
  </si>
  <si>
    <t>PER CUSTOMER</t>
  </si>
  <si>
    <t>AWIS</t>
  </si>
  <si>
    <t>1480 = 2015 Ind Bill Stock Total (90%=OR)</t>
  </si>
  <si>
    <t>$6,462 = 2015 Misc Total (90%=OR)</t>
  </si>
  <si>
    <t>Paid (mostly) by Acct Svcs above</t>
  </si>
  <si>
    <t>Non- Payroll</t>
  </si>
  <si>
    <t>Cust Svc 3/Operat Sppt 2  (4)</t>
  </si>
  <si>
    <t>Customer Service 2  (34)</t>
  </si>
  <si>
    <t>Customer Service 3  (35)</t>
  </si>
  <si>
    <t>Customer Service 4  (18)</t>
  </si>
  <si>
    <t>Operational Support 1</t>
  </si>
  <si>
    <t>hrs avg per year</t>
  </si>
  <si>
    <t>Customer Contact Ctr Sr Manager</t>
  </si>
  <si>
    <t>Accounting Supervisor</t>
  </si>
  <si>
    <t>Customer Contact Ctr Supervisor (7)</t>
  </si>
  <si>
    <t>Customer Contact Ctr Analyst 2 (1) @ 33%</t>
  </si>
  <si>
    <t>Telephone, Office Supplies, Printing, &amp; Other</t>
  </si>
  <si>
    <t>Contract Labor- Telesource  (33%)</t>
  </si>
  <si>
    <t>Business Syst Info Svc Spec 3</t>
  </si>
  <si>
    <t>* Process all incoming payments
* Courier service
* Process all exception work and returned items
* Review &amp; process refunds
* Payment Controls</t>
  </si>
  <si>
    <t>* Bad debt exception work
* Liaison to collecting agencies
* Collection agency fees
* Paper Stock</t>
  </si>
  <si>
    <t>* Review delinquent notices batches
* Call ahead reminders
* Plan arrangements with customers
* Notice envelopes
* Postage
* Work non-deliverable mailed bill/ notices 
* Bill documentation for collections process  
* Billing investigation and complaint resolution such as with WARM bills
* PUC Complaints
* Pre and post curb valve notice
* Bankruptcy
* NSF checks
* Energy assistance resolution (medical assistance)
* Non-sufficient funds</t>
  </si>
  <si>
    <t>* Plan &amp; assign all routes to field personnel</t>
  </si>
  <si>
    <t xml:space="preserve">* Forecast, plan &amp; assign all turn of and reconnects.
* Dispatch meter investigation and curb valve installation orders to field personnel
</t>
  </si>
  <si>
    <t>* Terminate gas service or pick up payment on credit orders
* Meter Investigation</t>
  </si>
  <si>
    <t>* Print, insert &amp; mail delinquent notices
* Printer &amp; Inserter equipment maint
* RFQ</t>
  </si>
  <si>
    <t xml:space="preserve">* General credit policy &amp; overall operational oversight
* Bankruptcy
</t>
  </si>
  <si>
    <t>Resource Mgmt Supv</t>
  </si>
  <si>
    <t>Reso Mgmt Spec (Grade 18)</t>
  </si>
  <si>
    <t>Credit/Collections 3(Grade 20?)</t>
  </si>
  <si>
    <t>Computer Support 1</t>
  </si>
  <si>
    <t>Office Services 1</t>
  </si>
  <si>
    <t xml:space="preserve">Salary </t>
  </si>
  <si>
    <t>Inserter</t>
  </si>
  <si>
    <t>Printer</t>
  </si>
  <si>
    <t>Meter bases</t>
  </si>
  <si>
    <t>Salary</t>
  </si>
  <si>
    <t>% of Non-Payroll based on YR actuals</t>
  </si>
  <si>
    <t>CUST SEG SRVCPayroll</t>
  </si>
  <si>
    <t>CUST SEG SRVCNon-Payroll</t>
  </si>
  <si>
    <t>MAJ ACCT SERV TEAMPayroll</t>
  </si>
  <si>
    <t>MAJ ACCT SERV TEAMNon-Payroll</t>
  </si>
  <si>
    <t>CUST CONTACT CENTERPayroll</t>
  </si>
  <si>
    <t>CUST CONTACT CENTERNon-Payroll</t>
  </si>
  <si>
    <t>ACCOUNT SERVICESPayroll</t>
  </si>
  <si>
    <t>ACCOUNT SERVICESNon-Payroll</t>
  </si>
  <si>
    <t>CUST FIELD SERVICESPayroll</t>
  </si>
  <si>
    <t>CUST FIELD SERVICESNon-Payroll</t>
  </si>
  <si>
    <t>RESOURCE MGMT CTRPayroll</t>
  </si>
  <si>
    <t>RESOURCE MGMT CTRNon-Payroll</t>
  </si>
  <si>
    <t xml:space="preserve">Non-Payroll </t>
  </si>
  <si>
    <t>* Payment Process Management
* Bank Fees</t>
  </si>
  <si>
    <t>Totals</t>
  </si>
  <si>
    <t>Grand Total</t>
  </si>
  <si>
    <t xml:space="preserve">* Respond to customer billing questions
* Request for rebill to accounting
* Work non-delivered e-bills
* Work non-deliverable mailed bills
* Review daily temperature values
</t>
  </si>
  <si>
    <t>&amp; MAS</t>
  </si>
  <si>
    <t>Utilility Support  2 &amp; 3</t>
  </si>
  <si>
    <t>Customer Field Services 2 &amp; 3</t>
  </si>
  <si>
    <t>Utility Support 3 &amp; CFS 2</t>
  </si>
  <si>
    <t>Customer Field Service 4</t>
  </si>
  <si>
    <t>MAS Supervisor(Grade 21)</t>
  </si>
  <si>
    <t>Supervisor MAST (Grade 20)</t>
  </si>
  <si>
    <t>Manager (Grade 23)</t>
  </si>
  <si>
    <t>Utility Support Supervisor (Grade 20)</t>
  </si>
  <si>
    <t>Gas Operations Supervisor (Grade 21)</t>
  </si>
  <si>
    <t>Manager (Grade 22)</t>
  </si>
  <si>
    <t>Bank Card &amp; Checking Fees</t>
  </si>
  <si>
    <t>Contract Labor- Telesource  (16%)</t>
  </si>
  <si>
    <t>Customer Contact Ctr Analyst 2 (1) @ 16%</t>
  </si>
  <si>
    <t>OR Reads/Bills/Process/Collection</t>
  </si>
  <si>
    <t>WA Reads/Bills/Process/Collection</t>
  </si>
  <si>
    <t>            Count of Reads/Bills/Process/Collection OR</t>
  </si>
  <si>
    <t>Count of Reads/Bills/Process/Collection WA</t>
  </si>
  <si>
    <t>Avg Number of Meters OR 2015</t>
  </si>
  <si>
    <t>Avg Number of Meters WA 2015</t>
  </si>
  <si>
    <r>
      <t xml:space="preserve">SCH </t>
    </r>
    <r>
      <rPr>
        <sz val="11"/>
        <color rgb="FF1F497D"/>
        <rFont val="Calibri"/>
        <family val="2"/>
      </rPr>
      <t xml:space="preserve">1, </t>
    </r>
    <r>
      <rPr>
        <sz val="11"/>
        <color rgb="FF000000"/>
        <rFont val="Calibri"/>
        <family val="2"/>
      </rPr>
      <t>2</t>
    </r>
    <r>
      <rPr>
        <sz val="11"/>
        <color rgb="FF1F497D"/>
        <rFont val="Calibri"/>
        <family val="2"/>
      </rPr>
      <t>, 27</t>
    </r>
  </si>
  <si>
    <t>Avg Reads Per Month</t>
  </si>
  <si>
    <t>Avg Bill's Per Month</t>
  </si>
  <si>
    <t>Avg Payments Per Month</t>
  </si>
  <si>
    <t>Avg Collections Per Month</t>
  </si>
  <si>
    <t>OR</t>
  </si>
  <si>
    <t>Mgr - Acct Svcs</t>
  </si>
  <si>
    <t>Mgr - MAS</t>
  </si>
  <si>
    <t>Magr - Acct Svcs</t>
  </si>
  <si>
    <t>Magr - MAS</t>
  </si>
  <si>
    <t>% of Cost Center Non-Payroll based on Payroll allocated to 2015 cost center payroll</t>
  </si>
  <si>
    <t>Sub Total</t>
  </si>
  <si>
    <t>Details</t>
  </si>
  <si>
    <t>Accounting Manager</t>
  </si>
  <si>
    <t>Supervisor</t>
  </si>
  <si>
    <t>Multiply to get Total Company</t>
  </si>
  <si>
    <t>Company</t>
  </si>
  <si>
    <t>Order type</t>
  </si>
  <si>
    <t>Northwest Natural Gas Com</t>
  </si>
  <si>
    <t>O&amp;M</t>
  </si>
  <si>
    <t>$ VARIANCE YTD (C-K)</t>
  </si>
  <si>
    <t>2015 ANNUAL BUDGET AMOUNT</t>
  </si>
  <si>
    <t>$</t>
  </si>
  <si>
    <t>FIELD SERVICES</t>
  </si>
  <si>
    <t>* field orders” (i.e., Turnons, turnoffs, DR inspections)</t>
  </si>
  <si>
    <t>* Plan &amp; assign all routes to field personnel (i.e., Turnons, turnoffs, inspections)</t>
  </si>
  <si>
    <t>Total hrs</t>
  </si>
  <si>
    <t>supervisor</t>
  </si>
  <si>
    <t>Hrs for manager</t>
  </si>
  <si>
    <t>Percent to this work (for Contact Center)</t>
  </si>
  <si>
    <t>Adjustment Calculation Factor</t>
  </si>
  <si>
    <t>OR Reads/Bills/Process/Collection #'s Per YR</t>
  </si>
  <si>
    <t>WA Reads/Bills/Process/Collection #'s PER YR</t>
  </si>
  <si>
    <t>WA Reads/Bills/Process/Collection #'s Per YR</t>
  </si>
  <si>
    <t>OR Reads/Bills/Process/Collection #'s Per Yr</t>
  </si>
  <si>
    <t>WA Reads/Bills/Process/Collection #'s Per Yr</t>
  </si>
  <si>
    <t>OFFICE SERVICES</t>
  </si>
  <si>
    <t>TREASURY</t>
  </si>
  <si>
    <t>OR Reads/Bills/Process/Collection #'s PER YR</t>
  </si>
  <si>
    <t>Net Write-off (non collectible) Projections</t>
  </si>
  <si>
    <r>
      <rPr>
        <b/>
        <sz val="26"/>
        <rFont val="Calibri"/>
        <family val="2"/>
        <scheme val="minor"/>
      </rPr>
      <t>Meter to Cash</t>
    </r>
    <r>
      <rPr>
        <b/>
        <sz val="26"/>
        <color rgb="FFFF0000"/>
        <rFont val="Calibri"/>
        <family val="2"/>
        <scheme val="minor"/>
      </rPr>
      <t xml:space="preserve"> </t>
    </r>
    <r>
      <rPr>
        <b/>
        <sz val="26"/>
        <rFont val="Calibri"/>
        <family val="2"/>
        <scheme val="minor"/>
      </rPr>
      <t>Matrix (2015 Data)</t>
    </r>
  </si>
  <si>
    <t>Overhead 2015</t>
  </si>
  <si>
    <t>13400</t>
  </si>
  <si>
    <t>13600</t>
  </si>
  <si>
    <t>13510</t>
  </si>
  <si>
    <t>13520</t>
  </si>
  <si>
    <t>11348</t>
  </si>
  <si>
    <t>11325</t>
  </si>
  <si>
    <t>42030</t>
  </si>
  <si>
    <t>TREASURY (CASH MANAGEMENT)</t>
  </si>
  <si>
    <t>16400</t>
  </si>
  <si>
    <t>Cost Center #</t>
  </si>
  <si>
    <t>16400 AND 42030</t>
  </si>
  <si>
    <t>Print Stream Costs</t>
  </si>
  <si>
    <t>Impression Costs (Click)</t>
  </si>
  <si>
    <t>Ink Costs</t>
  </si>
  <si>
    <t>Paper Cost</t>
  </si>
  <si>
    <t>Mailing Envelope</t>
  </si>
  <si>
    <t>$/Unit</t>
  </si>
  <si>
    <t>Annual Total</t>
  </si>
  <si>
    <t>Bill Print/Mailing Envelope</t>
  </si>
  <si>
    <t>Bill Print (Extra Pages)</t>
  </si>
  <si>
    <t>Bill Print (Return  Envelope)</t>
  </si>
  <si>
    <t>n/c</t>
  </si>
  <si>
    <t>Duplicate Bills</t>
  </si>
  <si>
    <t>Duplicate Bill Return Envelope</t>
  </si>
  <si>
    <t>Notices/Mailing Envelope</t>
  </si>
  <si>
    <t>Notice Return Envelope</t>
  </si>
  <si>
    <t>CIS Letter &amp; Envelope</t>
  </si>
  <si>
    <t>Welcome Letter &amp; Envelope</t>
  </si>
  <si>
    <t>Common</t>
  </si>
  <si>
    <t>Maintenance contract (Annual)</t>
  </si>
  <si>
    <t>Annual Print supplies</t>
  </si>
  <si>
    <t>Inserter Maint. &amp; Supplies (Annual)</t>
  </si>
  <si>
    <t>Annual Comp SW Maint Fee</t>
  </si>
  <si>
    <t>Annual Electrical Costs (Printer/Inserter)</t>
  </si>
  <si>
    <t>Offsite DR Provider (Annual)</t>
  </si>
  <si>
    <t>Labor Costs</t>
  </si>
  <si>
    <t>sq/ft costs</t>
  </si>
  <si>
    <t>Common Total</t>
  </si>
  <si>
    <t>In Meter to Cash Analysis for 2015</t>
  </si>
  <si>
    <t>Comparison of Office Service Bill Print Analysis 2017 to Meter to Cash Values 2015</t>
  </si>
  <si>
    <t>Labor Cost</t>
  </si>
  <si>
    <t>Meter to Cash Values 2015 Comparison to Bill Print Analysis  (x$1000)</t>
  </si>
  <si>
    <t>Comparison Total</t>
  </si>
  <si>
    <t xml:space="preserve"> Items not incl. in 2015 analysis</t>
  </si>
  <si>
    <t>Electricity</t>
  </si>
  <si>
    <t>DR provider</t>
  </si>
  <si>
    <t>Rent (sq/ft)</t>
  </si>
  <si>
    <t>Total with adders</t>
  </si>
  <si>
    <r>
      <t xml:space="preserve">Est. 12K for </t>
    </r>
    <r>
      <rPr>
        <b/>
        <sz val="11"/>
        <color rgb="FFFF0000"/>
        <rFont val="Calibri"/>
        <family val="2"/>
        <scheme val="minor"/>
      </rPr>
      <t>"Welcome Letters"</t>
    </r>
    <r>
      <rPr>
        <sz val="11"/>
        <color theme="1"/>
        <rFont val="Calibri"/>
        <family val="2"/>
        <scheme val="minor"/>
      </rPr>
      <t xml:space="preserve"> to Compare with Bill Print Analysis</t>
    </r>
  </si>
  <si>
    <t>Office Service Current Bill Print Cost</t>
  </si>
  <si>
    <t>Est. 40K for "Insert Cost of addl inserts" for Comparison with Bill Print Analysis</t>
  </si>
  <si>
    <t>Forecast O&amp;M from BI for Rate Projection</t>
  </si>
  <si>
    <t>Cost Centers</t>
  </si>
  <si>
    <t>$ VAR BUDGET</t>
  </si>
  <si>
    <t>% VAR
BUDGET</t>
  </si>
  <si>
    <t>$ VAR
FORECAST</t>
  </si>
  <si>
    <t>% VAR
FORECAST</t>
  </si>
  <si>
    <t>$ VAR BUDGET
YTD (C-K)</t>
  </si>
  <si>
    <t>% VAR BUDGET
YTD (C/K)</t>
  </si>
  <si>
    <t>$ VAR
FORECAST YTD</t>
  </si>
  <si>
    <t>% VAR
FORECAST YTD</t>
  </si>
  <si>
    <t>WELDING</t>
  </si>
  <si>
    <t>502129</t>
  </si>
  <si>
    <t>RENTS AND LEASES</t>
  </si>
  <si>
    <t>502300</t>
  </si>
  <si>
    <t>COPIER LEASE/MAINT</t>
  </si>
  <si>
    <t>503600</t>
  </si>
  <si>
    <t>Variance  (Forecast - 2015 Actuals)</t>
  </si>
  <si>
    <t>Forecast</t>
  </si>
  <si>
    <t>11320</t>
  </si>
  <si>
    <t>11325; 11348; 13400; 13600; 13510; 13520; 16400; 42030; 11320</t>
  </si>
  <si>
    <t>MAJ ACCT SERV TEAM &amp; Field Sevices</t>
  </si>
  <si>
    <t>11348 , 11320</t>
  </si>
  <si>
    <t>Forecasting Data Inputs for Summary Sheet</t>
  </si>
  <si>
    <t>add Budget in Forecast Calculator for 2017</t>
  </si>
  <si>
    <t>Value comes from Rate Projection Calculator</t>
  </si>
  <si>
    <t>CASH DISCOUNT</t>
  </si>
  <si>
    <t>504000</t>
  </si>
  <si>
    <t>HARDWARE MAINT</t>
  </si>
  <si>
    <t>505900</t>
  </si>
  <si>
    <t>CELLULAR PHONES</t>
  </si>
  <si>
    <t>506300</t>
  </si>
  <si>
    <t>DONATIONS</t>
  </si>
  <si>
    <t>506400</t>
  </si>
  <si>
    <t>BENEFITS</t>
  </si>
  <si>
    <t>502200</t>
  </si>
  <si>
    <t>NO INPUTS ON THIS PAGE - MONTH END AVERAGE CALCULATIONS ARE DONE HERE</t>
  </si>
  <si>
    <t>Avg Count Per Month</t>
  </si>
  <si>
    <t># 2016 Payments:</t>
  </si>
  <si>
    <t>                                                OR                          WA</t>
  </si>
  <si>
    <t>From Chuck:</t>
  </si>
  <si>
    <t>Residential                          6,102,732                    746,554</t>
  </si>
  <si>
    <t>Non-residential                     654,517                     67,414</t>
  </si>
  <si>
    <t>yr total from Sean Padget</t>
  </si>
  <si>
    <t xml:space="preserve">Previous 2015 Data </t>
  </si>
  <si>
    <t>*  These estimates were based on PCAD, Call Center and SAP data along with the vetting of the data with the supervisors and managers of the Cost Centers.  The groups identified as part of the meter to cash were identified by the cost centers and were confirmed if should be included by rates based on if direct cost would be significant enough and the groups would only be included if additional forecasted customer would make a significant cost change within the cost center.  Cost that were not included per Rates request was IT computer cost (Computer Overhead cost and system maintenance), Office Space cost, also System Ops cost that have minor cost in general maintence of meters and some reads.</t>
  </si>
  <si>
    <r>
      <rPr>
        <b/>
        <sz val="14"/>
        <color theme="1"/>
        <rFont val="Calibri"/>
        <family val="2"/>
        <scheme val="minor"/>
      </rPr>
      <t>Directions:</t>
    </r>
    <r>
      <rPr>
        <sz val="14"/>
        <color theme="1"/>
        <rFont val="Calibri"/>
        <family val="2"/>
        <scheme val="minor"/>
      </rPr>
      <t xml:space="preserve">  Forecast inputs - only use yellow shaded cells.</t>
    </r>
  </si>
  <si>
    <t>Average Total Cost per OR &amp; WA Customer</t>
  </si>
  <si>
    <t>2015 Average Customers</t>
  </si>
  <si>
    <t>n</t>
  </si>
  <si>
    <t>SCH 31-42 &amp; Other</t>
  </si>
  <si>
    <t>Customer Count Data with Rates Detail</t>
  </si>
  <si>
    <t>Revenue by Rate Schedule by State for 2015/12 - 2015/12</t>
  </si>
  <si>
    <t>Sales/Tpx</t>
  </si>
  <si>
    <t>#Services</t>
  </si>
  <si>
    <t>#Heat</t>
  </si>
  <si>
    <t>State</t>
  </si>
  <si>
    <t>Month</t>
  </si>
  <si>
    <t>Therms</t>
  </si>
  <si>
    <t>Amount</t>
  </si>
  <si>
    <t>Price</t>
  </si>
  <si>
    <t>SALES</t>
  </si>
  <si>
    <t>R02</t>
  </si>
  <si>
    <t>C03</t>
  </si>
  <si>
    <t>C27</t>
  </si>
  <si>
    <t>C31</t>
  </si>
  <si>
    <t>C32</t>
  </si>
  <si>
    <t>I03</t>
  </si>
  <si>
    <t>I31</t>
  </si>
  <si>
    <t>I32</t>
  </si>
  <si>
    <t>X32</t>
  </si>
  <si>
    <t>TRANS</t>
  </si>
  <si>
    <t>I61</t>
  </si>
  <si>
    <t>I63</t>
  </si>
  <si>
    <t>I65</t>
  </si>
  <si>
    <t>I69</t>
  </si>
  <si>
    <t>I70</t>
  </si>
  <si>
    <t>I76</t>
  </si>
  <si>
    <t>X67</t>
  </si>
  <si>
    <t>R01</t>
  </si>
  <si>
    <t>WA</t>
  </si>
  <si>
    <t>C01</t>
  </si>
  <si>
    <t>C41</t>
  </si>
  <si>
    <t>C42</t>
  </si>
  <si>
    <t>I41</t>
  </si>
  <si>
    <t>I42</t>
  </si>
  <si>
    <t>X42</t>
  </si>
  <si>
    <t xml:space="preserve">Summary </t>
  </si>
  <si>
    <t>Revenue by Rate Schedule by State for 2016/12 - 2016/12</t>
  </si>
  <si>
    <t>Res</t>
  </si>
  <si>
    <t>31, 32, 41, 42</t>
  </si>
  <si>
    <t xml:space="preserve">cost Includes Transportation </t>
  </si>
  <si>
    <t>Printing</t>
  </si>
  <si>
    <t>Manager</t>
  </si>
  <si>
    <t>MAS</t>
  </si>
  <si>
    <t>Manager Non Payroll</t>
  </si>
  <si>
    <t>MAS NonPayroll</t>
  </si>
  <si>
    <t>MAST Payroll</t>
  </si>
  <si>
    <t>Non- Payroll  (incl. Vehicles etc)</t>
  </si>
  <si>
    <t xml:space="preserve">* IT Cost including annual software fees associated with the Meter to Cash processes were not included due to not for seeing that they would be considered incremental to adding new customers.  </t>
  </si>
  <si>
    <t xml:space="preserve">Non Payroll </t>
  </si>
  <si>
    <t>Total Expense</t>
  </si>
  <si>
    <t xml:space="preserve">Total Payroll </t>
  </si>
  <si>
    <t>Total Non Payroll</t>
  </si>
  <si>
    <t>Total for Process</t>
  </si>
  <si>
    <t>Overall Total for Process</t>
  </si>
  <si>
    <t>Sub Totals</t>
  </si>
  <si>
    <t>OFFICE SERVICESNon-Payroll</t>
  </si>
  <si>
    <t>DEC 2018  ACTUAL AMOUNT (A)</t>
  </si>
  <si>
    <t>DEC 2018  BUDGET AMOUNT (I)</t>
  </si>
  <si>
    <t>DEC 2018 
FORECAST AMOUNT (S)</t>
  </si>
  <si>
    <t>2018 YTD ACTUAL AMOUNT (C)</t>
  </si>
  <si>
    <t>2018 YTD BUDGET AMOUNT (K)</t>
  </si>
  <si>
    <t>2018 YTD
FORECAST AMOUNT (T)</t>
  </si>
  <si>
    <t>NW NATURAL</t>
  </si>
  <si>
    <t>SALARY  OVERTIME</t>
  </si>
  <si>
    <t>500106</t>
  </si>
  <si>
    <t>SALARY P/T PAYROLL</t>
  </si>
  <si>
    <t>500800</t>
  </si>
  <si>
    <t>PAYROLL OH - OFFICER</t>
  </si>
  <si>
    <t>501005</t>
  </si>
  <si>
    <t>NWN/580106</t>
  </si>
  <si>
    <t>580106</t>
  </si>
  <si>
    <t>NWN/580800</t>
  </si>
  <si>
    <t>580800</t>
  </si>
  <si>
    <t>SAL - OVERTIME ZTFSO</t>
  </si>
  <si>
    <t>588106</t>
  </si>
  <si>
    <t>P/T  HRLY PAY ZTFSO</t>
  </si>
  <si>
    <t>588400</t>
  </si>
  <si>
    <t>SALARY P/T PAY ZTFSO</t>
  </si>
  <si>
    <t>588800</t>
  </si>
  <si>
    <t>AUTO ALLOWANCE</t>
  </si>
  <si>
    <t>501200</t>
  </si>
  <si>
    <t>MAT CONS -PIPE SCRAP</t>
  </si>
  <si>
    <t>501403</t>
  </si>
  <si>
    <t>MATERIALS - GRAVEL</t>
  </si>
  <si>
    <t>501414</t>
  </si>
  <si>
    <t>MATERIALS - OTHER</t>
  </si>
  <si>
    <t>501415</t>
  </si>
  <si>
    <t>MATERIALS - FTGS &amp; V</t>
  </si>
  <si>
    <t>501416</t>
  </si>
  <si>
    <t>MATERIALS - AGGREG</t>
  </si>
  <si>
    <t>501459</t>
  </si>
  <si>
    <t>MATERIALS - SAND</t>
  </si>
  <si>
    <t>501470</t>
  </si>
  <si>
    <t>EQ - NAT GAS COMPRES</t>
  </si>
  <si>
    <t>501720</t>
  </si>
  <si>
    <t>FURNITURE</t>
  </si>
  <si>
    <t>ENVIRONMENTAL</t>
  </si>
  <si>
    <t>502106</t>
  </si>
  <si>
    <t>WATER SUPPLY</t>
  </si>
  <si>
    <t>502107</t>
  </si>
  <si>
    <t>TRUCKING AND HAULING</t>
  </si>
  <si>
    <t>502114</t>
  </si>
  <si>
    <t>SIDEBOOM</t>
  </si>
  <si>
    <t>502115</t>
  </si>
  <si>
    <t>BID MAIN WORK</t>
  </si>
  <si>
    <t>502125</t>
  </si>
  <si>
    <t>FENCING</t>
  </si>
  <si>
    <t>502127</t>
  </si>
  <si>
    <t>CONCRETE PAVING</t>
  </si>
  <si>
    <t>502134</t>
  </si>
  <si>
    <t>VACUUM TRUCK</t>
  </si>
  <si>
    <t>502160</t>
  </si>
  <si>
    <t>DUMP TRUCK</t>
  </si>
  <si>
    <t>502165</t>
  </si>
  <si>
    <t>GEO LOGICAL  SVC</t>
  </si>
  <si>
    <t>502171</t>
  </si>
  <si>
    <t>TOOLS AND EQUIP RENT</t>
  </si>
  <si>
    <t>502302</t>
  </si>
  <si>
    <t>LARGE EQUIPMENT RENT</t>
  </si>
  <si>
    <t>502357</t>
  </si>
  <si>
    <t>STORAGE LEASES</t>
  </si>
  <si>
    <t>502390</t>
  </si>
  <si>
    <t>CIAC RECEIPTS</t>
  </si>
  <si>
    <t>502401</t>
  </si>
  <si>
    <t>UTILITIES</t>
  </si>
  <si>
    <t>502600</t>
  </si>
  <si>
    <t>MOTOR OIL</t>
  </si>
  <si>
    <t>503500</t>
  </si>
  <si>
    <t>TAXES</t>
  </si>
  <si>
    <t>503800</t>
  </si>
  <si>
    <t>INSURANCE</t>
  </si>
  <si>
    <t>503900</t>
  </si>
  <si>
    <t xml:space="preserve"> REGULATORY DEFEERAL</t>
  </si>
  <si>
    <t>504200</t>
  </si>
  <si>
    <t>AMORTIZATION</t>
  </si>
  <si>
    <t>504400</t>
  </si>
  <si>
    <t>BAD DEBT EXPENSE</t>
  </si>
  <si>
    <t>504500</t>
  </si>
  <si>
    <t>CLOTHING</t>
  </si>
  <si>
    <t>504950</t>
  </si>
  <si>
    <t>LEGAL FEES</t>
  </si>
  <si>
    <t>505000</t>
  </si>
  <si>
    <t>ADVERTISING</t>
  </si>
  <si>
    <t>505200</t>
  </si>
  <si>
    <t>CLEARING</t>
  </si>
  <si>
    <t>505400</t>
  </si>
  <si>
    <t>SOFTWARE MAINT</t>
  </si>
  <si>
    <t>505600</t>
  </si>
  <si>
    <t>PENSION CONTRIBUTION</t>
  </si>
  <si>
    <t>506000</t>
  </si>
  <si>
    <t>SECURITY</t>
  </si>
  <si>
    <t>506100</t>
  </si>
  <si>
    <t>DIESEL FUEL</t>
  </si>
  <si>
    <t>506600</t>
  </si>
  <si>
    <t>CNG FUEL</t>
  </si>
  <si>
    <t>506700</t>
  </si>
  <si>
    <t>INVENTORY ADJUSTMENT</t>
  </si>
  <si>
    <t>506800</t>
  </si>
  <si>
    <t>PLANT TRANSFERS</t>
  </si>
  <si>
    <t>506801</t>
  </si>
  <si>
    <t>DAMAGES</t>
  </si>
  <si>
    <t>506810</t>
  </si>
  <si>
    <t>REBATES</t>
  </si>
  <si>
    <t>507000</t>
  </si>
  <si>
    <t xml:space="preserve"> RESEARCH AND DEV</t>
  </si>
  <si>
    <t>507100</t>
  </si>
  <si>
    <t>DIRECTOR FEES</t>
  </si>
  <si>
    <t>507400</t>
  </si>
  <si>
    <t>ADMINISTRATIVE EXPEN</t>
  </si>
  <si>
    <t>508400</t>
  </si>
  <si>
    <t>SHARED SERVICES COST</t>
  </si>
  <si>
    <t>508410</t>
  </si>
  <si>
    <t xml:space="preserve"> INVENTORY DIFF</t>
  </si>
  <si>
    <t>509100</t>
  </si>
  <si>
    <t>BUILDER SIGNS</t>
  </si>
  <si>
    <t>524100</t>
  </si>
  <si>
    <t>CLAIMS &amp; ACCRUALS</t>
  </si>
  <si>
    <t>524200</t>
  </si>
  <si>
    <t>AFUDC DEBT</t>
  </si>
  <si>
    <t>531200</t>
  </si>
  <si>
    <t>AFUDC EQUITY</t>
  </si>
  <si>
    <t>531201</t>
  </si>
  <si>
    <t>COMMODITY CHARGES</t>
  </si>
  <si>
    <t>540200</t>
  </si>
  <si>
    <t>LNG</t>
  </si>
  <si>
    <t>540600</t>
  </si>
  <si>
    <t>UNDERGROUND STORAGE</t>
  </si>
  <si>
    <t>540900</t>
  </si>
  <si>
    <t>DMG Write-Offs</t>
  </si>
  <si>
    <t>561000</t>
  </si>
  <si>
    <t>ORDERS NOT SOLD W/O</t>
  </si>
  <si>
    <t>562000</t>
  </si>
  <si>
    <t>P CARD SUSPENSE</t>
  </si>
  <si>
    <t>566666</t>
  </si>
  <si>
    <t>NWN/586100</t>
  </si>
  <si>
    <t>586100</t>
  </si>
  <si>
    <t>Northwest Natural Ga</t>
  </si>
  <si>
    <t>INCOME STATMNT DETAI</t>
  </si>
  <si>
    <t>COST OF GAS</t>
  </si>
  <si>
    <t>TOTAL DEPARTMENTAL</t>
  </si>
  <si>
    <t>FRANK BURKHARTSMEYER</t>
  </si>
  <si>
    <t>FINANCE DIVISION</t>
  </si>
  <si>
    <t>INVESTOR RELATIONS</t>
  </si>
  <si>
    <t>BUSINESS PLANNING</t>
  </si>
  <si>
    <t>PROJECT OFFICE</t>
  </si>
  <si>
    <t>FIN PLANNING &amp; BUDGE</t>
  </si>
  <si>
    <t>BUSINESS ANALYSIS</t>
  </si>
  <si>
    <t>BRODY WILSON, CONTRO</t>
  </si>
  <si>
    <t>PURCHASING</t>
  </si>
  <si>
    <t>STORES OBS INV</t>
  </si>
  <si>
    <t>STORES</t>
  </si>
  <si>
    <t>CASH MANAGEMENT</t>
  </si>
  <si>
    <t>MID OFFICE</t>
  </si>
  <si>
    <t>TAX</t>
  </si>
  <si>
    <t>GENERAL CORPORATE</t>
  </si>
  <si>
    <t>ACCOUNTING DEPT</t>
  </si>
  <si>
    <t>SEC REPORTING</t>
  </si>
  <si>
    <t>GAS ACCOUNTING</t>
  </si>
  <si>
    <t>CAPITAL ACCOUNTING</t>
  </si>
  <si>
    <t>SOX &amp; GENERAL ACCOUN</t>
  </si>
  <si>
    <t>ACCOUNTING</t>
  </si>
  <si>
    <t>SARBANES OXLEY</t>
  </si>
  <si>
    <t>OPERATIONAL ACCTG</t>
  </si>
  <si>
    <t>JUSTIN PALFREYMAN, V</t>
  </si>
  <si>
    <t>STRATEGIC PLANNING</t>
  </si>
  <si>
    <t>INTEG RESOURCE PLAN</t>
  </si>
  <si>
    <t>BUSINESS DEVELOPMENT</t>
  </si>
  <si>
    <t>STRATEGIC PROJECTS</t>
  </si>
  <si>
    <t>JIM DOWNING, VP &amp; CI</t>
  </si>
  <si>
    <t>INFORMATION TECHNOLO</t>
  </si>
  <si>
    <t>NETWORK CNTRL SYSTMS</t>
  </si>
  <si>
    <t>INF SECUR COMP &amp; QA</t>
  </si>
  <si>
    <t>INFRASTRUCTURE</t>
  </si>
  <si>
    <t>ENT APPLICATIONS</t>
  </si>
  <si>
    <t>IT&amp;S LEADERSHIP TEAM</t>
  </si>
  <si>
    <t>IT CUSTOMER SERVICE</t>
  </si>
  <si>
    <t>ENT ARCHITECTURE</t>
  </si>
  <si>
    <t>INFORMATION MGMT</t>
  </si>
  <si>
    <t>MELINDA ROGERS, VP,</t>
  </si>
  <si>
    <t>OCCUPATIONAL SAFETY</t>
  </si>
  <si>
    <t>HUMAN RESOURCES</t>
  </si>
  <si>
    <t>TRIMET TICKET-TUIT R</t>
  </si>
  <si>
    <t>OD &amp; TRAINING</t>
  </si>
  <si>
    <t>CO SUPPORTED ACTIONS</t>
  </si>
  <si>
    <t>DATA &amp; PROJ MGMT</t>
  </si>
  <si>
    <t>RETIREMENT BENEFITS</t>
  </si>
  <si>
    <t>HR ADMINISTRATION</t>
  </si>
  <si>
    <t>EMPLOYMENT</t>
  </si>
  <si>
    <t>DRUG &amp; ALCOHOL</t>
  </si>
  <si>
    <t>EE&amp;LABOR RELATIONS</t>
  </si>
  <si>
    <t>TOM IMESON, PUBLIC A</t>
  </si>
  <si>
    <t>CONSR RELATIONS-EVT</t>
  </si>
  <si>
    <t>PUB POLICY &amp; GVRM AF</t>
  </si>
  <si>
    <t>COMM &amp; CIVIC AFFAIRS</t>
  </si>
  <si>
    <t>LEGACY ENV. PROGRAM</t>
  </si>
  <si>
    <t>ENVIRON MGMT</t>
  </si>
  <si>
    <t>ENVIRONMENTAL POLICY</t>
  </si>
  <si>
    <t>ENV POLICY AND SUSTN</t>
  </si>
  <si>
    <t>ENERGY EFFICIENCY</t>
  </si>
  <si>
    <t>SMART ENERGY</t>
  </si>
  <si>
    <t>OR LOW INCME WTHZN</t>
  </si>
  <si>
    <t>WA LOW INCOME EE</t>
  </si>
  <si>
    <t>WA ENERGY EFFICIENCY</t>
  </si>
  <si>
    <t>DAVE WEBER, INTERSTA</t>
  </si>
  <si>
    <t>GAS ACQ &amp; PIPE SVCE</t>
  </si>
  <si>
    <t>KIM HEITING, SVP UTI</t>
  </si>
  <si>
    <t>UNIDENTIFIED VACANCI</t>
  </si>
  <si>
    <t>CONSMR INFO-INTNT SR</t>
  </si>
  <si>
    <t>CORPORATE COMMUNICAT</t>
  </si>
  <si>
    <t>DIR, ACQUIRE CUSTOME</t>
  </si>
  <si>
    <t>ACQUIRE CUSTOMERS</t>
  </si>
  <si>
    <t>APPLIANCE CENTER</t>
  </si>
  <si>
    <t>SERVICE SOLUTIONS</t>
  </si>
  <si>
    <t>RES CONSUMER SERVICE</t>
  </si>
  <si>
    <t>CUSTOMER EXPERIENCE</t>
  </si>
  <si>
    <t>VANCOUVER CUST ACQ</t>
  </si>
  <si>
    <t>CUST EXPRNCE NEW</t>
  </si>
  <si>
    <t>CUST EXPRNCE CONV</t>
  </si>
  <si>
    <t>CUSTOMER ACQUISITION</t>
  </si>
  <si>
    <t>CUST ACQ MRKTG CONV</t>
  </si>
  <si>
    <t>CUST ACQ MRKTG NEW</t>
  </si>
  <si>
    <t>MAJOR ACCOUNT SERVIC</t>
  </si>
  <si>
    <t>LORI RUSSELL, VP UTI</t>
  </si>
  <si>
    <t>BUSINESS SYSTEMS</t>
  </si>
  <si>
    <t>DIR, UTILITY SVCS</t>
  </si>
  <si>
    <t>MARK LILLY, UTILITY</t>
  </si>
  <si>
    <t>COMPLIANCE SERVICES</t>
  </si>
  <si>
    <t>DIR TECH SERVICES</t>
  </si>
  <si>
    <t>GENERAL MAINT</t>
  </si>
  <si>
    <t>METER SHOP</t>
  </si>
  <si>
    <t>OPS TECHNICAL SVCES</t>
  </si>
  <si>
    <t>JON HUDDLESTON, VP U</t>
  </si>
  <si>
    <t>RESEARCH &amp; DEVELOP</t>
  </si>
  <si>
    <t>CODE COMPLIANCE</t>
  </si>
  <si>
    <t>EE PROTECTION EQUIP</t>
  </si>
  <si>
    <t>DIR, UTILITY OPS</t>
  </si>
  <si>
    <t>GAS CONTROL</t>
  </si>
  <si>
    <t>GAS STORAGE</t>
  </si>
  <si>
    <t>GAS STORAGE OPS</t>
  </si>
  <si>
    <t>NEWPORT LNG</t>
  </si>
  <si>
    <t>PORTLAND LNG</t>
  </si>
  <si>
    <t>MIST UGS</t>
  </si>
  <si>
    <t>N MIST UGS</t>
  </si>
  <si>
    <t>DIR ENGINEERING SERV</t>
  </si>
  <si>
    <t>ENGINEERING SVCES WA</t>
  </si>
  <si>
    <t>ENGINEERING SVCES OR</t>
  </si>
  <si>
    <t>PIPELINE INTEGRITY</t>
  </si>
  <si>
    <t>UTILITY OPERATIONS</t>
  </si>
  <si>
    <t>SYSTEM OPS</t>
  </si>
  <si>
    <t>CNG MAINTENANCE</t>
  </si>
  <si>
    <t>CONTRACT SERVICES</t>
  </si>
  <si>
    <t>GAS OPERATIONS</t>
  </si>
  <si>
    <t>TRANSMISSION</t>
  </si>
  <si>
    <t>CORE DISTRIB - WA</t>
  </si>
  <si>
    <t>CORE DISTRIB - OR</t>
  </si>
  <si>
    <t>PERIMETER DISTRIBUT</t>
  </si>
  <si>
    <t>MARDILYN SAATHOFF SR</t>
  </si>
  <si>
    <t>BUSINESS CONTINUITY</t>
  </si>
  <si>
    <t>CORPORATE SECURITY</t>
  </si>
  <si>
    <t>REGULATORY AFFAIRS</t>
  </si>
  <si>
    <t>LEGAL DEPARTMENT - M</t>
  </si>
  <si>
    <t>LEGAL</t>
  </si>
  <si>
    <t>LEGAL FEES BIZ DEVEL</t>
  </si>
  <si>
    <t>LEGAL FEES - HR</t>
  </si>
  <si>
    <t>LEGAL FEES - RATES</t>
  </si>
  <si>
    <t>LEGAL FEES - RISK</t>
  </si>
  <si>
    <t>LEGAL FEES GAS SPLY</t>
  </si>
  <si>
    <t>LEGAL FEES - HOLDCO</t>
  </si>
  <si>
    <t>LEGAL - SPECIAL PROJ</t>
  </si>
  <si>
    <t>FACILITIES MGMNT</t>
  </si>
  <si>
    <t>250TAYLOR-FACILITIES</t>
  </si>
  <si>
    <t>MTSCOTT - FACILITIES</t>
  </si>
  <si>
    <t>ASTORIA - FACILITIES</t>
  </si>
  <si>
    <t>PARKROSE- FACILITIES</t>
  </si>
  <si>
    <t>LINC CITY - FACILITI</t>
  </si>
  <si>
    <t>TUALATIN- FACILITIES</t>
  </si>
  <si>
    <t>SHERWOOD-FACILITIES</t>
  </si>
  <si>
    <t>VANCOUVER - FACILITI</t>
  </si>
  <si>
    <t>SALEM - FACILITIES</t>
  </si>
  <si>
    <t>SUNSET - FACILITIES</t>
  </si>
  <si>
    <t>ALBANY - FACILITIES</t>
  </si>
  <si>
    <t>CENTRAL - FACILITIES</t>
  </si>
  <si>
    <t>EUGENE - FACILITIES</t>
  </si>
  <si>
    <t>MIST - FACILITIES</t>
  </si>
  <si>
    <t>THE DALLES - FACILIT</t>
  </si>
  <si>
    <t>NEWPORT - FACILITIES</t>
  </si>
  <si>
    <t>PDX LNG - FACILITIES</t>
  </si>
  <si>
    <t>COOS BAY - FACILITIE</t>
  </si>
  <si>
    <t>SHAWN FILIPPI, VP CO</t>
  </si>
  <si>
    <t>RISK, ENVIR AND LAND</t>
  </si>
  <si>
    <t>LAND OVERHEAD</t>
  </si>
  <si>
    <t>CORPORATE SECRETARY</t>
  </si>
  <si>
    <t>CORP SEC TAX</t>
  </si>
  <si>
    <t>CORP SEC LEGAL FEES</t>
  </si>
  <si>
    <t>CORP SECRETARY</t>
  </si>
  <si>
    <t>SHAREHOLDER SVCS</t>
  </si>
  <si>
    <t>CORP ETHICS &amp; COMPL</t>
  </si>
  <si>
    <t>DAVID ANDERSON, EXEC</t>
  </si>
  <si>
    <t>INTERNAL AUDITING</t>
  </si>
  <si>
    <t>EXECUTIVES</t>
  </si>
  <si>
    <t>ASST TO CEO &amp; STRAT</t>
  </si>
  <si>
    <t>PRESIDENT &amp; CEO</t>
  </si>
  <si>
    <t>FORMER CEO</t>
  </si>
  <si>
    <t>VP, UTILITY OPERATIO</t>
  </si>
  <si>
    <t>SVP UTIL &amp; CHF MKTG</t>
  </si>
  <si>
    <t>VP, UTILITY SERVICES</t>
  </si>
  <si>
    <t>VP &amp; CORPORATE SECTY</t>
  </si>
  <si>
    <t>CHIEF FINANCIAL OFFI</t>
  </si>
  <si>
    <t>CONTROLLER</t>
  </si>
  <si>
    <t>PRES GAS STORAGE LLC</t>
  </si>
  <si>
    <t>VP, I.T. &amp; CIO</t>
  </si>
  <si>
    <t>VP, PUBLIC AFFAIRS</t>
  </si>
  <si>
    <t>SR VP &amp; GEN COUNSEL</t>
  </si>
  <si>
    <t>SR VP, CHF ADMIN OFF</t>
  </si>
  <si>
    <t>VP, BUSINESS DEVELOP</t>
  </si>
  <si>
    <t>GEN ADMIN STAFF</t>
  </si>
  <si>
    <t>OFFICERS PAYROLL</t>
  </si>
  <si>
    <t>SENIOR DIRECTORS</t>
  </si>
  <si>
    <t>TARGETED REDUCTIONS</t>
  </si>
  <si>
    <t>UNIDENTIFIED PAYROLL</t>
  </si>
  <si>
    <t>SHARED SERVICES</t>
  </si>
  <si>
    <t>SHARED SERVICES OFFS</t>
  </si>
  <si>
    <t>HR, PAYROLL</t>
  </si>
  <si>
    <t>CORPORATE</t>
  </si>
  <si>
    <t>BENEFIT ALLOCATION</t>
  </si>
  <si>
    <t>CREDIT FOR PAYRL TAX</t>
  </si>
  <si>
    <t>FAS 87</t>
  </si>
  <si>
    <t>POH ADJUSTMENTS</t>
  </si>
  <si>
    <t>FAS 106 PST RET MEDC</t>
  </si>
  <si>
    <t>BONUS</t>
  </si>
  <si>
    <t>KEY GOALS</t>
  </si>
  <si>
    <t>PERFORMANCE</t>
  </si>
  <si>
    <t>OTHER ADMIN ACCOUNTS</t>
  </si>
  <si>
    <t>CLAIMS ACCRUALS</t>
  </si>
  <si>
    <t>SHARED SERVICES OH</t>
  </si>
  <si>
    <t>ADMIN TRANSFER</t>
  </si>
  <si>
    <t>SEVERANCE</t>
  </si>
  <si>
    <t>MULTI FAMILY HOUSING</t>
  </si>
  <si>
    <t>PENSION BALANCING-OR</t>
  </si>
  <si>
    <t>UNCOLL ACCOUNTS</t>
  </si>
  <si>
    <t>BUDGET CONTINGENCY</t>
  </si>
  <si>
    <t>EXECUTIVE BENEFITS</t>
  </si>
  <si>
    <t>STOCK EXPENSE</t>
  </si>
  <si>
    <t>LTIP</t>
  </si>
  <si>
    <t>SERP AND ESRIP</t>
  </si>
  <si>
    <t>WEBER, INTERSTATE ST</t>
  </si>
  <si>
    <t>ISF OPS &amp; OPTMZTN</t>
  </si>
  <si>
    <t>Currently Referencing 2018 Budget Numbers</t>
  </si>
  <si>
    <t>Place BI Dump Here:  Currently Referencing 2018 Budget</t>
  </si>
  <si>
    <r>
      <rPr>
        <b/>
        <sz val="26"/>
        <rFont val="Calibri"/>
        <family val="2"/>
        <scheme val="minor"/>
      </rPr>
      <t>Meter to Cash</t>
    </r>
    <r>
      <rPr>
        <b/>
        <sz val="26"/>
        <color rgb="FFFF0000"/>
        <rFont val="Calibri"/>
        <family val="2"/>
        <scheme val="minor"/>
      </rPr>
      <t xml:space="preserve"> 2018 </t>
    </r>
    <r>
      <rPr>
        <b/>
        <sz val="26"/>
        <rFont val="Calibri"/>
        <family val="2"/>
        <scheme val="minor"/>
      </rPr>
      <t xml:space="preserve">Matrix Sheet </t>
    </r>
  </si>
  <si>
    <t>These were Adjusted  for 2018</t>
  </si>
  <si>
    <t>2015 Avg Customers Values</t>
  </si>
  <si>
    <t>2018 Average Customers</t>
  </si>
  <si>
    <t xml:space="preserve">* The 2018 O&amp;M dollars for each of the Cost Centers were used to develop a multiplier/ratio to the 2015 O&amp;M. This multiplier/ratio was applied to the Cost Centers cost identified in the 2015 analysis as a way to show what the inflationary value would be for 2018. (The 2015 analysis took approx 8 months of meeting with all of the SME's and coming to an agreement to what items should be included in Meter to Cash and then collection of the data). </t>
  </si>
  <si>
    <t>Total from below</t>
  </si>
  <si>
    <t>Don’t adjust from 98.59%</t>
  </si>
  <si>
    <r>
      <t>2018 Average Customer</t>
    </r>
    <r>
      <rPr>
        <sz val="24"/>
        <color rgb="FF1F497D"/>
        <rFont val="Calibri"/>
        <family val="2"/>
      </rPr>
      <t xml:space="preserve"> bills per month</t>
    </r>
  </si>
  <si>
    <t xml:space="preserve">SCH 2 </t>
  </si>
  <si>
    <t xml:space="preserve"> SCH 3 </t>
  </si>
  <si>
    <t xml:space="preserve">Total </t>
  </si>
  <si>
    <r>
      <t xml:space="preserve">(Projecting results using new inputs for </t>
    </r>
    <r>
      <rPr>
        <b/>
        <sz val="11"/>
        <color theme="1"/>
        <rFont val="Calibri"/>
        <family val="2"/>
        <scheme val="minor"/>
      </rPr>
      <t>PAYROLL &amp; NON-PAYROLL</t>
    </r>
    <r>
      <rPr>
        <sz val="11"/>
        <color theme="1"/>
        <rFont val="Calibri"/>
        <family val="2"/>
        <scheme val="minor"/>
      </rPr>
      <t xml:space="preserve"> and or using Customer </t>
    </r>
    <r>
      <rPr>
        <b/>
        <sz val="11"/>
        <color theme="1"/>
        <rFont val="Calibri"/>
        <family val="2"/>
        <scheme val="minor"/>
      </rPr>
      <t>SCHEDULE # PROJECTIONS</t>
    </r>
    <r>
      <rPr>
        <sz val="11"/>
        <color theme="1"/>
        <rFont val="Calibri"/>
        <family val="2"/>
        <scheme val="minor"/>
      </rPr>
      <t xml:space="preserve">) </t>
    </r>
  </si>
  <si>
    <t>Projection Based on Avg Customers Values</t>
  </si>
  <si>
    <t>Customer Count Projection (change #'s to simulate new numbers in 2018 Summary Proj. don't adjust O&amp;M values if changing these values)</t>
  </si>
  <si>
    <t>Budget (For calculating an adjustment factor) Currently 2018 actuals</t>
  </si>
  <si>
    <t>NW Natural</t>
  </si>
  <si>
    <t>Note: Employee-specific data have been anonymized.</t>
  </si>
  <si>
    <t>Large Commercial &amp; Industial  Shedule 31, 32, 33, 41, 42 &amp; Others</t>
  </si>
  <si>
    <t>Large Commercial &amp; Industial  Shedule 31, 32, 33, 41, 42 &amp; Other</t>
  </si>
  <si>
    <t>Large Commercial Industial  Shedule 31, 32, 33, 41, 42 &amp; Others</t>
  </si>
  <si>
    <t>Washington Jurisdiction Rate Case</t>
  </si>
  <si>
    <t>Test Year Based on Twelve Months Ended September 30, 2020</t>
  </si>
  <si>
    <t>Workpaper: 2018 Meter-to-Cash Study for EmCOSS</t>
  </si>
  <si>
    <t>"20XXXX-NWN-Exh-RJW-2-Wyman-WP5-12-18-2020"</t>
  </si>
  <si>
    <t>This file contains inputs from the following workpaper(s)*:</t>
  </si>
  <si>
    <t>&lt;  None  &gt;</t>
  </si>
  <si>
    <t>* Workpaper connections are described in individual tabs.</t>
  </si>
  <si>
    <t>This file provides inputs to the following workpaper(s):</t>
  </si>
  <si>
    <t>"20XXXX-NWN-Exh-RJW-2-Wyman-WP6-12-18-2020."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</si>
</sst>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quot;$&quot;#,##0.000"/>
    <numFmt numFmtId="167" formatCode="0.0%"/>
    <numFmt numFmtId="168" formatCode="&quot;$&quot;#,##0.00"/>
    <numFmt numFmtId="169" formatCode="&quot;$&quot;#,##0.000_);[Red]\(&quot;$&quot;#,##0.000\)"/>
    <numFmt numFmtId="170" formatCode="_(* #,##0.000_);_(* \(#,##0.000\);_(* &quot;-&quot;??_);_(@_)"/>
    <numFmt numFmtId="171" formatCode="#,##0;\-#,##0;#,##0;@"/>
    <numFmt numFmtId="172" formatCode="_(* #,##0.0_);_(* \(#,##0.0\);_(* &quot;-&quot;??_);_(@_)"/>
    <numFmt numFmtId="173" formatCode="#,##0%;\-#,##0%;#,##0;@"/>
    <numFmt numFmtId="174" formatCode="_(&quot;$&quot;* #,##0_);_(&quot;$&quot;* \(#,##0\);_(&quot;$&quot;* &quot;-&quot;??_);_(@_)"/>
    <numFmt numFmtId="175" formatCode="#,##0.000"/>
    <numFmt numFmtId="176" formatCode="&quot;$&quot;#,##0.0"/>
    <numFmt numFmtId="177" formatCode="#,##0;&quot;(&quot;#,##0&quot;)&quot;;#,##0;@"/>
    <numFmt numFmtId="178" formatCode="#,##0.00;&quot;(&quot;#,##0.00&quot;)&quot;;#,##0.00;@"/>
    <numFmt numFmtId="179" formatCode="#,##0.0;\-#,##0.0;#,##0.0;@"/>
    <numFmt numFmtId="180" formatCode="_(&quot;$&quot;* #,##0.00000_);_(&quot;$&quot;* \(#,##0.00000\);_(&quot;$&quot;* &quot;-&quot;??_);_(@_)"/>
    <numFmt numFmtId="181" formatCode="#,##0.00;\-#,##0.00;#,##0.00;@"/>
    <numFmt numFmtId="182" formatCode="#,##0.000;\-#,##0.000;#,##0.000;@"/>
  </numFmts>
  <fonts count="80" x14ac:knownFonts="1">
    <font>
      <sz val="11"/>
      <color theme="1"/>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b/>
      <sz val="16"/>
      <color theme="0"/>
      <name val="Calibri"/>
      <family val="2"/>
      <scheme val="minor"/>
    </font>
    <font>
      <sz val="9"/>
      <name val="Arial"/>
      <family val="2"/>
    </font>
    <font>
      <b/>
      <i/>
      <sz val="10"/>
      <name val="Arial"/>
      <family val="2"/>
    </font>
    <font>
      <b/>
      <sz val="10"/>
      <name val="Arial"/>
      <family val="2"/>
    </font>
    <font>
      <b/>
      <i/>
      <sz val="9"/>
      <name val="Arial"/>
      <family val="2"/>
    </font>
    <font>
      <sz val="8"/>
      <name val="Arial"/>
      <family val="2"/>
    </font>
    <font>
      <u/>
      <sz val="9"/>
      <name val="Arial"/>
      <family val="2"/>
    </font>
    <font>
      <u/>
      <sz val="10"/>
      <name val="Arial"/>
      <family val="2"/>
    </font>
    <font>
      <b/>
      <sz val="9"/>
      <name val="Arial"/>
      <family val="2"/>
    </font>
    <font>
      <b/>
      <sz val="8"/>
      <name val="Arial"/>
      <family val="2"/>
    </font>
    <font>
      <b/>
      <sz val="16"/>
      <name val="Calibri"/>
      <family val="2"/>
      <scheme val="minor"/>
    </font>
    <font>
      <sz val="10"/>
      <color theme="1"/>
      <name val="Calibri"/>
      <family val="2"/>
      <scheme val="minor"/>
    </font>
    <font>
      <b/>
      <i/>
      <sz val="11"/>
      <name val="Arial"/>
      <family val="2"/>
    </font>
    <font>
      <sz val="11"/>
      <name val="Arial"/>
      <family val="2"/>
    </font>
    <font>
      <b/>
      <sz val="11"/>
      <name val="Arial"/>
      <family val="2"/>
    </font>
    <font>
      <sz val="11"/>
      <color theme="0"/>
      <name val="Arial"/>
      <family val="2"/>
    </font>
    <font>
      <sz val="12"/>
      <name val="Calibri"/>
      <family val="2"/>
      <scheme val="minor"/>
    </font>
    <font>
      <sz val="8"/>
      <color rgb="FF000000"/>
      <name val="Arial"/>
      <family val="2"/>
    </font>
    <font>
      <b/>
      <sz val="11"/>
      <color rgb="FFFF0000"/>
      <name val="Calibri"/>
      <family val="2"/>
      <scheme val="minor"/>
    </font>
    <font>
      <b/>
      <sz val="8"/>
      <color rgb="FF000000"/>
      <name val="Arial"/>
      <family val="2"/>
    </font>
    <font>
      <b/>
      <sz val="7.5"/>
      <color rgb="FFFF0000"/>
      <name val="Arial"/>
      <family val="2"/>
    </font>
    <font>
      <sz val="9"/>
      <color theme="1"/>
      <name val="Calibri"/>
      <family val="2"/>
      <scheme val="minor"/>
    </font>
    <font>
      <b/>
      <sz val="9"/>
      <color theme="1"/>
      <name val="Calibri"/>
      <family val="2"/>
      <scheme val="minor"/>
    </font>
    <font>
      <b/>
      <sz val="10"/>
      <color theme="1"/>
      <name val="Calibri"/>
      <family val="2"/>
      <scheme val="minor"/>
    </font>
    <font>
      <b/>
      <sz val="10"/>
      <color theme="0"/>
      <name val="Calibri"/>
      <family val="2"/>
      <scheme val="minor"/>
    </font>
    <font>
      <b/>
      <sz val="12"/>
      <color theme="1"/>
      <name val="Calibri"/>
      <family val="2"/>
      <scheme val="minor"/>
    </font>
    <font>
      <b/>
      <sz val="14"/>
      <color rgb="FFFF0000"/>
      <name val="Calibri"/>
      <family val="2"/>
      <scheme val="minor"/>
    </font>
    <font>
      <b/>
      <sz val="18"/>
      <color rgb="FFFF0000"/>
      <name val="Calibri"/>
      <family val="2"/>
      <scheme val="minor"/>
    </font>
    <font>
      <b/>
      <vertAlign val="superscript"/>
      <sz val="11"/>
      <color theme="1"/>
      <name val="Calibri"/>
      <family val="2"/>
      <scheme val="minor"/>
    </font>
    <font>
      <b/>
      <i/>
      <sz val="12"/>
      <color theme="1"/>
      <name val="Calibri"/>
      <family val="2"/>
      <scheme val="minor"/>
    </font>
    <font>
      <i/>
      <sz val="10"/>
      <color theme="1"/>
      <name val="Calibri"/>
      <family val="2"/>
      <scheme val="minor"/>
    </font>
    <font>
      <i/>
      <vertAlign val="superscript"/>
      <sz val="10"/>
      <color theme="1"/>
      <name val="Calibri"/>
      <family val="2"/>
      <scheme val="minor"/>
    </font>
    <font>
      <i/>
      <sz val="11"/>
      <color theme="1"/>
      <name val="Calibri"/>
      <family val="2"/>
      <scheme val="minor"/>
    </font>
    <font>
      <i/>
      <sz val="9"/>
      <color theme="1"/>
      <name val="Calibri"/>
      <family val="2"/>
      <scheme val="minor"/>
    </font>
    <font>
      <sz val="12"/>
      <color theme="0" tint="-0.249977111117893"/>
      <name val="Calibri"/>
      <family val="2"/>
      <scheme val="minor"/>
    </font>
    <font>
      <sz val="11"/>
      <color theme="0" tint="-0.249977111117893"/>
      <name val="Calibri"/>
      <family val="2"/>
      <scheme val="minor"/>
    </font>
    <font>
      <sz val="12"/>
      <color theme="1"/>
      <name val="Times New Roman"/>
      <family val="1"/>
    </font>
    <font>
      <sz val="11"/>
      <color rgb="FF000000"/>
      <name val="Calibri"/>
      <family val="2"/>
    </font>
    <font>
      <sz val="10"/>
      <color theme="1"/>
      <name val="Times New Roman"/>
      <family val="1"/>
    </font>
    <font>
      <sz val="11"/>
      <color rgb="FF1F497D"/>
      <name val="Calibri"/>
      <family val="2"/>
    </font>
    <font>
      <sz val="9"/>
      <color theme="1"/>
      <name val="Arial"/>
      <family val="2"/>
    </font>
    <font>
      <sz val="16"/>
      <color rgb="FF000000"/>
      <name val="Calibri"/>
      <family val="2"/>
    </font>
    <font>
      <b/>
      <sz val="16"/>
      <color rgb="FF1F497D"/>
      <name val="Calibri"/>
      <family val="2"/>
    </font>
    <font>
      <b/>
      <sz val="16"/>
      <color rgb="FF000000"/>
      <name val="Calibri"/>
      <family val="2"/>
    </font>
    <font>
      <sz val="24"/>
      <color theme="1"/>
      <name val="Calibri"/>
      <family val="2"/>
      <scheme val="minor"/>
    </font>
    <font>
      <sz val="12"/>
      <name val="Arial"/>
      <family val="2"/>
    </font>
    <font>
      <b/>
      <sz val="12"/>
      <name val="Calibri"/>
      <family val="2"/>
      <scheme val="minor"/>
    </font>
    <font>
      <b/>
      <sz val="14"/>
      <color theme="1"/>
      <name val="Calibri"/>
      <family val="2"/>
      <scheme val="minor"/>
    </font>
    <font>
      <b/>
      <sz val="18"/>
      <color theme="0"/>
      <name val="Calibri"/>
      <family val="2"/>
      <scheme val="minor"/>
    </font>
    <font>
      <sz val="14"/>
      <color theme="1"/>
      <name val="Calibri"/>
      <family val="2"/>
      <scheme val="minor"/>
    </font>
    <font>
      <b/>
      <sz val="9"/>
      <color rgb="FF000000"/>
      <name val="Arial"/>
      <family val="2"/>
    </font>
    <font>
      <b/>
      <sz val="26"/>
      <color rgb="FFFF0000"/>
      <name val="Calibri"/>
      <family val="2"/>
      <scheme val="minor"/>
    </font>
    <font>
      <b/>
      <sz val="26"/>
      <name val="Calibri"/>
      <family val="2"/>
      <scheme val="minor"/>
    </font>
    <font>
      <b/>
      <sz val="8"/>
      <color indexed="81"/>
      <name val="Tahoma"/>
      <family val="2"/>
    </font>
    <font>
      <sz val="8"/>
      <color theme="1"/>
      <name val="Calibri"/>
      <family val="2"/>
      <scheme val="minor"/>
    </font>
    <font>
      <b/>
      <sz val="22"/>
      <color theme="1"/>
      <name val="Calibri"/>
      <family val="2"/>
      <scheme val="minor"/>
    </font>
    <font>
      <sz val="10"/>
      <color rgb="FF000000"/>
      <name val="Arial"/>
      <family val="2"/>
    </font>
    <font>
      <b/>
      <sz val="16"/>
      <color rgb="FFFF0000"/>
      <name val="Calibri"/>
      <family val="2"/>
      <scheme val="minor"/>
    </font>
    <font>
      <b/>
      <sz val="11"/>
      <color rgb="FF1F497D"/>
      <name val="Calibri"/>
      <family val="2"/>
      <scheme val="minor"/>
    </font>
    <font>
      <sz val="11"/>
      <color rgb="FF000000"/>
      <name val="Calibri"/>
      <family val="2"/>
      <scheme val="minor"/>
    </font>
    <font>
      <i/>
      <sz val="10"/>
      <name val="Arial"/>
      <family val="2"/>
    </font>
    <font>
      <b/>
      <sz val="10"/>
      <color rgb="FF000000"/>
      <name val="Arial"/>
      <family val="2"/>
    </font>
    <font>
      <sz val="11"/>
      <color rgb="FF000000"/>
      <name val="Arial"/>
      <family val="2"/>
    </font>
    <font>
      <sz val="14"/>
      <color rgb="FF000000"/>
      <name val="Arial"/>
      <family val="2"/>
    </font>
    <font>
      <sz val="24"/>
      <color rgb="FF000000"/>
      <name val="Calibri"/>
      <family val="2"/>
    </font>
    <font>
      <sz val="24"/>
      <color rgb="FF1F497D"/>
      <name val="Calibri"/>
      <family val="2"/>
    </font>
    <font>
      <b/>
      <sz val="11"/>
      <color rgb="FF000000"/>
      <name val="Calibri"/>
      <family val="2"/>
    </font>
    <font>
      <b/>
      <sz val="9"/>
      <color theme="1"/>
      <name val="Arial"/>
      <family val="2"/>
    </font>
    <font>
      <b/>
      <sz val="10"/>
      <name val="Tahoma"/>
      <family val="2"/>
    </font>
    <font>
      <sz val="8"/>
      <name val="Tahoma"/>
      <family val="2"/>
    </font>
    <font>
      <sz val="9"/>
      <name val="Tahoma"/>
      <family val="2"/>
    </font>
    <font>
      <sz val="10"/>
      <name val="Tahoma"/>
      <family val="2"/>
    </font>
  </fonts>
  <fills count="34">
    <fill>
      <patternFill patternType="none"/>
    </fill>
    <fill>
      <patternFill patternType="gray125"/>
    </fill>
    <fill>
      <patternFill patternType="solid">
        <fgColor theme="0" tint="-0.14999847407452621"/>
        <bgColor indexed="64"/>
      </patternFill>
    </fill>
    <fill>
      <patternFill patternType="solid">
        <fgColor theme="1" tint="0.499984740745262"/>
        <bgColor indexed="64"/>
      </patternFill>
    </fill>
    <fill>
      <patternFill patternType="solid">
        <fgColor theme="0"/>
        <bgColor indexed="64"/>
      </patternFill>
    </fill>
    <fill>
      <patternFill patternType="solid">
        <fgColor theme="2" tint="-0.249977111117893"/>
        <bgColor indexed="64"/>
      </patternFill>
    </fill>
    <fill>
      <patternFill patternType="solid">
        <fgColor theme="9"/>
        <bgColor indexed="64"/>
      </patternFill>
    </fill>
    <fill>
      <patternFill patternType="solid">
        <fgColor theme="6"/>
        <bgColor indexed="64"/>
      </patternFill>
    </fill>
    <fill>
      <patternFill patternType="solid">
        <fgColor rgb="FFFFFFFF"/>
        <bgColor indexed="64"/>
      </patternFill>
    </fill>
    <fill>
      <patternFill patternType="solid">
        <fgColor rgb="FFC6C4C4"/>
        <bgColor indexed="64"/>
      </patternFill>
    </fill>
    <fill>
      <patternFill patternType="solid">
        <fgColor rgb="FFFFF843"/>
        <bgColor indexed="64"/>
      </patternFill>
    </fill>
    <fill>
      <patternFill patternType="solid">
        <fgColor rgb="FFB7CFE8"/>
        <bgColor indexed="64"/>
      </patternFill>
    </fill>
    <fill>
      <patternFill patternType="solid">
        <fgColor rgb="FFD5E3F2"/>
        <bgColor indexed="64"/>
      </patternFill>
    </fill>
    <fill>
      <patternFill patternType="solid">
        <fgColor rgb="FFE9EEF4"/>
        <bgColor indexed="64"/>
      </patternFill>
    </fill>
    <fill>
      <patternFill patternType="solid">
        <fgColor rgb="FFC3D6EB"/>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66FF66"/>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4.9989318521683403E-2"/>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double">
        <color indexed="64"/>
      </right>
      <top/>
      <bottom style="thin">
        <color indexed="64"/>
      </bottom>
      <diagonal/>
    </border>
    <border>
      <left/>
      <right style="thin">
        <color indexed="64"/>
      </right>
      <top/>
      <bottom/>
      <diagonal/>
    </border>
    <border>
      <left/>
      <right style="double">
        <color indexed="64"/>
      </right>
      <top/>
      <bottom/>
      <diagonal/>
    </border>
    <border>
      <left style="thin">
        <color indexed="64"/>
      </left>
      <right/>
      <top/>
      <bottom/>
      <diagonal/>
    </border>
    <border>
      <left/>
      <right style="thin">
        <color indexed="64"/>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top style="medium">
        <color rgb="FFAEAEAE"/>
      </top>
      <bottom style="medium">
        <color rgb="FFAEAEAE"/>
      </bottom>
      <diagonal/>
    </border>
    <border>
      <left style="double">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rgb="FFAEAEAE"/>
      </left>
      <right/>
      <top/>
      <bottom/>
      <diagonal/>
    </border>
    <border>
      <left style="double">
        <color indexed="64"/>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medium">
        <color indexed="64"/>
      </top>
      <bottom style="thick">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thick">
        <color indexed="64"/>
      </left>
      <right style="thick">
        <color indexed="64"/>
      </right>
      <top/>
      <bottom style="thick">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style="medium">
        <color rgb="FFAEAEAE"/>
      </left>
      <right/>
      <top style="medium">
        <color rgb="FFAEAEAE"/>
      </top>
      <bottom/>
      <diagonal/>
    </border>
    <border>
      <left/>
      <right style="medium">
        <color rgb="FFAEAEAE"/>
      </right>
      <top style="medium">
        <color rgb="FFAEAEAE"/>
      </top>
      <bottom/>
      <diagonal/>
    </border>
    <border>
      <left/>
      <right style="medium">
        <color rgb="FFAEAEAE"/>
      </right>
      <top/>
      <bottom/>
      <diagonal/>
    </border>
    <border>
      <left style="medium">
        <color rgb="FFAEAEAE"/>
      </left>
      <right/>
      <top/>
      <bottom style="medium">
        <color rgb="FFAEAEAE"/>
      </bottom>
      <diagonal/>
    </border>
    <border>
      <left/>
      <right style="medium">
        <color rgb="FFAEAEAE"/>
      </right>
      <top/>
      <bottom style="medium">
        <color rgb="FFAEAEAE"/>
      </bottom>
      <diagonal/>
    </border>
    <border>
      <left style="medium">
        <color rgb="FFAEAEAE"/>
      </left>
      <right style="medium">
        <color rgb="FFAEAEAE"/>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thick">
        <color indexed="64"/>
      </top>
      <bottom style="thick">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ck">
        <color indexed="64"/>
      </right>
      <top style="thick">
        <color indexed="64"/>
      </top>
      <bottom/>
      <diagonal/>
    </border>
    <border>
      <left/>
      <right style="thin">
        <color indexed="64"/>
      </right>
      <top style="medium">
        <color indexed="64"/>
      </top>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diagonal/>
    </border>
    <border>
      <left style="medium">
        <color rgb="FFAEAEAE"/>
      </left>
      <right style="medium">
        <color rgb="FFAEAEAE"/>
      </right>
      <top style="medium">
        <color rgb="FFAEAEAE"/>
      </top>
      <bottom style="medium">
        <color indexed="64"/>
      </bottom>
      <diagonal/>
    </border>
    <border>
      <left style="medium">
        <color rgb="FFAEAEAE"/>
      </left>
      <right style="medium">
        <color rgb="FFAEAEAE"/>
      </right>
      <top/>
      <bottom style="medium">
        <color rgb="FFAEAEAE"/>
      </bottom>
      <diagonal/>
    </border>
    <border>
      <left/>
      <right style="medium">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cellStyleXfs>
  <cellXfs count="817">
    <xf numFmtId="0" fontId="0" fillId="0" borderId="0" xfId="0"/>
    <xf numFmtId="0" fontId="0" fillId="0" borderId="0" xfId="0" applyAlignment="1">
      <alignment horizontal="center"/>
    </xf>
    <xf numFmtId="0" fontId="1" fillId="0" borderId="0" xfId="0" applyFont="1"/>
    <xf numFmtId="0" fontId="0" fillId="0" borderId="0" xfId="0" applyBorder="1"/>
    <xf numFmtId="0" fontId="2" fillId="0" borderId="0" xfId="0" applyFont="1"/>
    <xf numFmtId="0" fontId="2" fillId="0" borderId="0" xfId="0" applyFont="1" applyBorder="1"/>
    <xf numFmtId="0" fontId="2" fillId="0" borderId="1" xfId="0" applyFont="1" applyBorder="1" applyAlignment="1">
      <alignment horizontal="center"/>
    </xf>
    <xf numFmtId="0" fontId="3" fillId="0" borderId="0" xfId="0" applyFont="1"/>
    <xf numFmtId="0" fontId="3" fillId="0" borderId="0" xfId="0" applyFont="1" applyBorder="1"/>
    <xf numFmtId="0" fontId="3" fillId="0" borderId="0" xfId="0" applyFont="1" applyAlignment="1">
      <alignment horizontal="center"/>
    </xf>
    <xf numFmtId="0" fontId="4"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Fill="1" applyBorder="1" applyAlignment="1">
      <alignment horizontal="left" vertical="top"/>
    </xf>
    <xf numFmtId="0" fontId="2" fillId="0" borderId="0" xfId="0" applyFont="1" applyBorder="1" applyAlignment="1">
      <alignment horizontal="center"/>
    </xf>
    <xf numFmtId="0" fontId="7" fillId="0" borderId="1" xfId="0" applyFont="1" applyBorder="1" applyAlignment="1">
      <alignment horizontal="centerContinuous"/>
    </xf>
    <xf numFmtId="0" fontId="7" fillId="0" borderId="1" xfId="0" applyFont="1"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0" fontId="6" fillId="3" borderId="4" xfId="0" applyFont="1" applyFill="1" applyBorder="1"/>
    <xf numFmtId="0" fontId="8" fillId="3" borderId="4" xfId="0" applyFont="1" applyFill="1" applyBorder="1" applyAlignment="1">
      <alignment horizontal="center"/>
    </xf>
    <xf numFmtId="0" fontId="7" fillId="0" borderId="3" xfId="0" applyFont="1" applyBorder="1" applyAlignment="1">
      <alignment horizontal="center" wrapText="1"/>
    </xf>
    <xf numFmtId="0" fontId="0" fillId="0" borderId="3" xfId="0" applyBorder="1" applyAlignment="1">
      <alignment horizontal="center" wrapText="1"/>
    </xf>
    <xf numFmtId="0" fontId="7" fillId="0" borderId="5" xfId="0" applyFont="1" applyBorder="1" applyAlignment="1">
      <alignment horizontal="centerContinuous"/>
    </xf>
    <xf numFmtId="0" fontId="2" fillId="0" borderId="8" xfId="0" applyFont="1" applyBorder="1" applyAlignment="1">
      <alignment horizontal="center"/>
    </xf>
    <xf numFmtId="0" fontId="9" fillId="0" borderId="0" xfId="0" applyFont="1" applyBorder="1" applyAlignment="1">
      <alignment vertical="center"/>
    </xf>
    <xf numFmtId="0" fontId="7" fillId="0" borderId="0" xfId="0" applyFont="1" applyBorder="1" applyAlignment="1">
      <alignment vertical="center"/>
    </xf>
    <xf numFmtId="3" fontId="10" fillId="0" borderId="2" xfId="1" applyNumberFormat="1" applyFont="1" applyBorder="1" applyAlignment="1">
      <alignment horizontal="right" vertical="center"/>
    </xf>
    <xf numFmtId="0" fontId="10" fillId="0" borderId="9" xfId="1" applyNumberFormat="1" applyFont="1" applyBorder="1" applyAlignment="1">
      <alignment horizontal="left" vertical="center"/>
    </xf>
    <xf numFmtId="164" fontId="10" fillId="0" borderId="7" xfId="0" applyNumberFormat="1" applyFont="1" applyBorder="1" applyAlignment="1">
      <alignment horizontal="center" vertical="center"/>
    </xf>
    <xf numFmtId="164" fontId="10" fillId="0" borderId="2" xfId="0" applyNumberFormat="1" applyFont="1" applyBorder="1" applyAlignment="1">
      <alignment horizontal="center" vertical="center"/>
    </xf>
    <xf numFmtId="0" fontId="11" fillId="0" borderId="6" xfId="0" applyFont="1" applyBorder="1" applyAlignment="1">
      <alignment horizontal="right" vertical="center"/>
    </xf>
    <xf numFmtId="0" fontId="10" fillId="0" borderId="2" xfId="0" applyFont="1" applyBorder="1" applyAlignment="1">
      <alignment vertical="center"/>
    </xf>
    <xf numFmtId="0" fontId="13" fillId="0" borderId="11" xfId="0" applyFont="1" applyBorder="1"/>
    <xf numFmtId="165" fontId="7" fillId="0" borderId="10" xfId="0" applyNumberFormat="1" applyFont="1" applyBorder="1" applyAlignment="1">
      <alignment vertical="center"/>
    </xf>
    <xf numFmtId="165" fontId="7" fillId="0" borderId="0" xfId="0" applyNumberFormat="1" applyFont="1" applyBorder="1" applyAlignment="1">
      <alignment vertical="center"/>
    </xf>
    <xf numFmtId="166" fontId="9" fillId="0" borderId="12" xfId="0" applyNumberFormat="1" applyFont="1" applyBorder="1" applyAlignment="1">
      <alignment horizontal="right" vertical="center"/>
    </xf>
    <xf numFmtId="0" fontId="13" fillId="0" borderId="0" xfId="0" applyFont="1" applyBorder="1"/>
    <xf numFmtId="43" fontId="9" fillId="0" borderId="10" xfId="1" applyFont="1" applyBorder="1" applyAlignment="1">
      <alignment horizontal="right" vertical="center"/>
    </xf>
    <xf numFmtId="165" fontId="9" fillId="0" borderId="0" xfId="2" applyNumberFormat="1" applyFont="1" applyBorder="1" applyAlignment="1">
      <alignment horizontal="right" vertical="center"/>
    </xf>
    <xf numFmtId="43" fontId="13" fillId="0" borderId="11" xfId="1" applyFont="1" applyBorder="1" applyAlignment="1">
      <alignment horizontal="left" vertical="center" wrapText="1"/>
    </xf>
    <xf numFmtId="0" fontId="13" fillId="0" borderId="0" xfId="0" applyFont="1" applyBorder="1" applyAlignment="1">
      <alignment vertical="center"/>
    </xf>
    <xf numFmtId="3" fontId="9" fillId="0" borderId="0" xfId="0" applyNumberFormat="1" applyFont="1" applyBorder="1" applyAlignment="1">
      <alignment horizontal="right" vertical="center"/>
    </xf>
    <xf numFmtId="3" fontId="14" fillId="0" borderId="0" xfId="0" applyNumberFormat="1" applyFont="1" applyBorder="1" applyAlignment="1">
      <alignment horizontal="right" vertical="center"/>
    </xf>
    <xf numFmtId="0" fontId="13" fillId="0" borderId="0" xfId="0" quotePrefix="1" applyFont="1" applyBorder="1" applyAlignment="1">
      <alignment vertical="center"/>
    </xf>
    <xf numFmtId="43" fontId="13" fillId="0" borderId="11" xfId="1" quotePrefix="1" applyFont="1" applyBorder="1" applyAlignment="1">
      <alignment horizontal="left" vertical="center"/>
    </xf>
    <xf numFmtId="3" fontId="15" fillId="0" borderId="10" xfId="1" applyNumberFormat="1" applyFont="1" applyBorder="1" applyAlignment="1">
      <alignment vertical="center"/>
    </xf>
    <xf numFmtId="3" fontId="15" fillId="0" borderId="0" xfId="1" applyNumberFormat="1" applyFont="1" applyBorder="1" applyAlignment="1">
      <alignment vertical="center"/>
    </xf>
    <xf numFmtId="166" fontId="14" fillId="0" borderId="12" xfId="1" applyNumberFormat="1" applyFont="1" applyBorder="1" applyAlignment="1">
      <alignment horizontal="right" vertical="center"/>
    </xf>
    <xf numFmtId="43" fontId="16" fillId="0" borderId="10" xfId="1" applyFont="1" applyBorder="1" applyAlignment="1">
      <alignment horizontal="right" vertical="center"/>
    </xf>
    <xf numFmtId="165" fontId="16" fillId="0" borderId="0" xfId="0" applyNumberFormat="1" applyFont="1" applyBorder="1" applyAlignment="1">
      <alignment horizontal="right" vertical="center"/>
    </xf>
    <xf numFmtId="43" fontId="17" fillId="0" borderId="11" xfId="1" applyFont="1" applyBorder="1" applyAlignment="1">
      <alignment horizontal="center" vertical="center"/>
    </xf>
    <xf numFmtId="165" fontId="11" fillId="0" borderId="10" xfId="0" applyNumberFormat="1" applyFont="1" applyBorder="1" applyAlignment="1">
      <alignment vertical="center"/>
    </xf>
    <xf numFmtId="166" fontId="16" fillId="0" borderId="12" xfId="0" applyNumberFormat="1" applyFont="1" applyBorder="1" applyAlignment="1">
      <alignment horizontal="right" vertical="center"/>
    </xf>
    <xf numFmtId="43" fontId="9" fillId="0" borderId="7" xfId="1" applyFont="1" applyBorder="1" applyAlignment="1">
      <alignment horizontal="right" vertical="center"/>
    </xf>
    <xf numFmtId="165" fontId="9" fillId="0" borderId="2" xfId="0" applyNumberFormat="1" applyFont="1" applyBorder="1" applyAlignment="1">
      <alignment vertical="center"/>
    </xf>
    <xf numFmtId="43" fontId="13" fillId="0" borderId="9" xfId="1" applyFont="1" applyBorder="1" applyAlignment="1">
      <alignment horizontal="left" vertical="center"/>
    </xf>
    <xf numFmtId="165" fontId="7" fillId="0" borderId="7" xfId="0" applyNumberFormat="1" applyFont="1" applyBorder="1" applyAlignment="1">
      <alignment vertical="center"/>
    </xf>
    <xf numFmtId="165" fontId="7" fillId="0" borderId="2" xfId="0" applyNumberFormat="1" applyFont="1" applyBorder="1" applyAlignment="1">
      <alignment vertical="center"/>
    </xf>
    <xf numFmtId="166" fontId="9" fillId="0" borderId="6" xfId="0" applyNumberFormat="1" applyFont="1" applyBorder="1" applyAlignment="1">
      <alignment horizontal="right" vertical="center"/>
    </xf>
    <xf numFmtId="0" fontId="13" fillId="0" borderId="2" xfId="0" applyFont="1" applyBorder="1"/>
    <xf numFmtId="0" fontId="12" fillId="0" borderId="10" xfId="1" applyNumberFormat="1" applyFont="1" applyBorder="1" applyAlignment="1">
      <alignment horizontal="left" wrapText="1"/>
    </xf>
    <xf numFmtId="168" fontId="9" fillId="0" borderId="0" xfId="0" applyNumberFormat="1" applyFont="1" applyBorder="1" applyAlignment="1">
      <alignment vertical="center"/>
    </xf>
    <xf numFmtId="0" fontId="13" fillId="0" borderId="11" xfId="0" applyFont="1" applyBorder="1" applyAlignment="1">
      <alignment vertical="center"/>
    </xf>
    <xf numFmtId="0" fontId="7" fillId="0" borderId="10" xfId="0" applyFont="1" applyBorder="1" applyAlignment="1">
      <alignment vertical="center"/>
    </xf>
    <xf numFmtId="0" fontId="9" fillId="0" borderId="12" xfId="0" applyFont="1" applyBorder="1" applyAlignment="1">
      <alignment horizontal="right" vertical="center"/>
    </xf>
    <xf numFmtId="43" fontId="13" fillId="0" borderId="11" xfId="1" applyFont="1" applyBorder="1" applyAlignment="1">
      <alignment vertical="center"/>
    </xf>
    <xf numFmtId="3" fontId="14" fillId="0" borderId="0" xfId="0" applyNumberFormat="1" applyFont="1" applyBorder="1" applyAlignment="1">
      <alignment vertical="center"/>
    </xf>
    <xf numFmtId="165" fontId="16" fillId="0" borderId="0" xfId="0" applyNumberFormat="1" applyFont="1" applyBorder="1" applyAlignment="1">
      <alignment vertical="center"/>
    </xf>
    <xf numFmtId="168" fontId="9" fillId="0" borderId="2" xfId="0" applyNumberFormat="1" applyFont="1" applyBorder="1" applyAlignment="1">
      <alignment vertical="top"/>
    </xf>
    <xf numFmtId="0" fontId="13" fillId="0" borderId="9" xfId="0" applyFont="1" applyBorder="1" applyAlignment="1">
      <alignment vertical="top"/>
    </xf>
    <xf numFmtId="0" fontId="7" fillId="0" borderId="7" xfId="0" applyFont="1" applyBorder="1" applyAlignment="1">
      <alignment vertical="center"/>
    </xf>
    <xf numFmtId="0" fontId="7" fillId="0" borderId="2" xfId="0" applyFont="1" applyBorder="1" applyAlignment="1">
      <alignment vertical="center"/>
    </xf>
    <xf numFmtId="0" fontId="9" fillId="0" borderId="6" xfId="0" applyFont="1" applyBorder="1" applyAlignment="1">
      <alignment horizontal="right" vertical="center"/>
    </xf>
    <xf numFmtId="0" fontId="9" fillId="0" borderId="0" xfId="0" applyFont="1" applyBorder="1" applyAlignment="1">
      <alignment vertical="top"/>
    </xf>
    <xf numFmtId="0" fontId="11" fillId="0" borderId="10" xfId="0" applyFont="1" applyBorder="1" applyAlignment="1">
      <alignment vertical="center"/>
    </xf>
    <xf numFmtId="0" fontId="11" fillId="0" borderId="0" xfId="0" applyFont="1" applyBorder="1" applyAlignment="1">
      <alignment vertical="center"/>
    </xf>
    <xf numFmtId="43" fontId="9" fillId="0" borderId="10" xfId="1" applyFont="1" applyBorder="1" applyAlignment="1">
      <alignment horizontal="right" vertical="top"/>
    </xf>
    <xf numFmtId="0" fontId="11" fillId="0" borderId="10" xfId="0" applyFont="1" applyBorder="1" applyAlignment="1">
      <alignment vertical="top"/>
    </xf>
    <xf numFmtId="0" fontId="11" fillId="0" borderId="0" xfId="0" applyFont="1" applyBorder="1" applyAlignment="1">
      <alignment vertical="top"/>
    </xf>
    <xf numFmtId="0" fontId="9" fillId="0" borderId="12" xfId="0" applyFont="1" applyBorder="1" applyAlignment="1">
      <alignment horizontal="right" vertical="top"/>
    </xf>
    <xf numFmtId="0" fontId="13" fillId="0" borderId="0" xfId="0" applyFont="1" applyBorder="1" applyAlignment="1">
      <alignment vertical="top"/>
    </xf>
    <xf numFmtId="3" fontId="9" fillId="0" borderId="0" xfId="0" applyNumberFormat="1" applyFont="1" applyBorder="1" applyAlignment="1">
      <alignment vertical="center"/>
    </xf>
    <xf numFmtId="43" fontId="16" fillId="0" borderId="10" xfId="1" applyFont="1" applyBorder="1" applyAlignment="1">
      <alignment horizontal="right" vertical="top"/>
    </xf>
    <xf numFmtId="0" fontId="9" fillId="0" borderId="7" xfId="0" applyFont="1" applyBorder="1" applyAlignment="1">
      <alignment vertical="center"/>
    </xf>
    <xf numFmtId="0" fontId="9" fillId="0" borderId="2" xfId="0" applyFont="1" applyBorder="1" applyAlignment="1">
      <alignment vertical="top"/>
    </xf>
    <xf numFmtId="43" fontId="13" fillId="0" borderId="9" xfId="1" applyFont="1" applyBorder="1" applyAlignment="1">
      <alignment horizontal="left" vertical="top"/>
    </xf>
    <xf numFmtId="0" fontId="7" fillId="0" borderId="7" xfId="0" applyFont="1" applyBorder="1"/>
    <xf numFmtId="0" fontId="7" fillId="0" borderId="2" xfId="0" applyFont="1" applyBorder="1"/>
    <xf numFmtId="0" fontId="0" fillId="0" borderId="6" xfId="0" applyBorder="1" applyAlignment="1">
      <alignment horizontal="right"/>
    </xf>
    <xf numFmtId="166" fontId="10" fillId="0" borderId="10" xfId="0" applyNumberFormat="1" applyFont="1" applyBorder="1" applyAlignment="1">
      <alignment vertical="top"/>
    </xf>
    <xf numFmtId="166" fontId="10" fillId="0" borderId="0" xfId="0" applyNumberFormat="1" applyFont="1" applyBorder="1" applyAlignment="1">
      <alignment vertical="top"/>
    </xf>
    <xf numFmtId="43" fontId="12" fillId="0" borderId="12" xfId="1" applyFont="1" applyBorder="1" applyAlignment="1">
      <alignment horizontal="right" vertical="top"/>
    </xf>
    <xf numFmtId="166" fontId="10" fillId="0" borderId="10" xfId="0" applyNumberFormat="1" applyFont="1" applyBorder="1" applyAlignment="1">
      <alignment vertical="center"/>
    </xf>
    <xf numFmtId="166" fontId="10" fillId="0" borderId="0" xfId="0" applyNumberFormat="1" applyFont="1" applyBorder="1" applyAlignment="1">
      <alignment vertical="center"/>
    </xf>
    <xf numFmtId="165" fontId="16" fillId="0" borderId="2" xfId="0" applyNumberFormat="1" applyFont="1" applyBorder="1" applyAlignment="1">
      <alignment vertical="center"/>
    </xf>
    <xf numFmtId="43" fontId="13" fillId="0" borderId="9" xfId="1" applyFont="1" applyBorder="1" applyAlignment="1">
      <alignment vertical="center"/>
    </xf>
    <xf numFmtId="165" fontId="11" fillId="0" borderId="7" xfId="0" applyNumberFormat="1" applyFont="1" applyBorder="1" applyAlignment="1">
      <alignment vertical="top"/>
    </xf>
    <xf numFmtId="165" fontId="11" fillId="0" borderId="2" xfId="0" applyNumberFormat="1" applyFont="1" applyBorder="1" applyAlignment="1">
      <alignment vertical="top"/>
    </xf>
    <xf numFmtId="43" fontId="12" fillId="0" borderId="6" xfId="1" applyFont="1" applyBorder="1" applyAlignment="1">
      <alignment horizontal="right" vertical="top"/>
    </xf>
    <xf numFmtId="0" fontId="9" fillId="0" borderId="13" xfId="0" applyFont="1" applyBorder="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8" fontId="10" fillId="0" borderId="0" xfId="0" applyNumberFormat="1" applyFont="1" applyBorder="1" applyAlignment="1">
      <alignment horizontal="centerContinuous" vertical="center"/>
    </xf>
    <xf numFmtId="43" fontId="10" fillId="0" borderId="11" xfId="1" applyFont="1" applyBorder="1" applyAlignment="1">
      <alignment horizontal="centerContinuous" vertical="center"/>
    </xf>
    <xf numFmtId="43" fontId="16" fillId="0" borderId="16" xfId="1" applyFont="1" applyBorder="1" applyAlignment="1">
      <alignment horizontal="right" vertical="top"/>
    </xf>
    <xf numFmtId="165" fontId="11" fillId="0" borderId="17" xfId="0" applyNumberFormat="1" applyFont="1" applyBorder="1" applyAlignment="1">
      <alignment horizontal="centerContinuous" vertical="top"/>
    </xf>
    <xf numFmtId="168" fontId="11" fillId="0" borderId="18" xfId="0" applyNumberFormat="1" applyFont="1" applyBorder="1" applyAlignment="1">
      <alignment horizontal="centerContinuous" vertical="top"/>
    </xf>
    <xf numFmtId="169" fontId="11" fillId="0" borderId="0" xfId="0" applyNumberFormat="1" applyFont="1" applyBorder="1" applyAlignment="1">
      <alignment horizontal="centerContinuous" vertical="center"/>
    </xf>
    <xf numFmtId="170" fontId="7" fillId="0" borderId="11" xfId="1" applyNumberFormat="1" applyFont="1" applyBorder="1" applyAlignment="1">
      <alignment horizontal="centerContinuous" vertical="center"/>
    </xf>
    <xf numFmtId="0" fontId="0" fillId="0" borderId="20" xfId="0" applyBorder="1" applyAlignment="1">
      <alignment horizontal="center"/>
    </xf>
    <xf numFmtId="0" fontId="7" fillId="0" borderId="20" xfId="0" applyFont="1" applyBorder="1" applyAlignment="1">
      <alignment horizontal="center"/>
    </xf>
    <xf numFmtId="0" fontId="8" fillId="3" borderId="6" xfId="0" applyFont="1" applyFill="1" applyBorder="1" applyAlignment="1">
      <alignment horizontal="center"/>
    </xf>
    <xf numFmtId="0" fontId="6" fillId="3" borderId="2" xfId="0" applyFont="1" applyFill="1" applyBorder="1"/>
    <xf numFmtId="0" fontId="8" fillId="3" borderId="2" xfId="0" applyFont="1" applyFill="1" applyBorder="1" applyAlignment="1">
      <alignment horizontal="center"/>
    </xf>
    <xf numFmtId="0" fontId="2" fillId="0" borderId="19" xfId="0" applyFont="1" applyBorder="1" applyAlignment="1">
      <alignment horizontal="center"/>
    </xf>
    <xf numFmtId="165" fontId="4" fillId="0" borderId="1" xfId="0" applyNumberFormat="1" applyFont="1" applyBorder="1" applyAlignment="1">
      <alignment horizontal="left" vertical="top" wrapText="1"/>
    </xf>
    <xf numFmtId="165" fontId="4" fillId="2" borderId="1" xfId="0" applyNumberFormat="1" applyFont="1" applyFill="1" applyBorder="1" applyAlignment="1">
      <alignment horizontal="left" vertical="top" wrapText="1"/>
    </xf>
    <xf numFmtId="0" fontId="9" fillId="0" borderId="22" xfId="0" applyFont="1" applyBorder="1"/>
    <xf numFmtId="0" fontId="13" fillId="0" borderId="23" xfId="0" applyFont="1" applyBorder="1"/>
    <xf numFmtId="165" fontId="7" fillId="0" borderId="24" xfId="0" applyNumberFormat="1" applyFont="1" applyBorder="1" applyAlignment="1">
      <alignment vertical="center"/>
    </xf>
    <xf numFmtId="165" fontId="7" fillId="0" borderId="22" xfId="0" applyNumberFormat="1" applyFont="1" applyBorder="1" applyAlignment="1">
      <alignment vertical="center"/>
    </xf>
    <xf numFmtId="166" fontId="9" fillId="0" borderId="21" xfId="0" applyNumberFormat="1" applyFont="1" applyBorder="1" applyAlignment="1">
      <alignment horizontal="right" vertical="center"/>
    </xf>
    <xf numFmtId="0" fontId="13" fillId="0" borderId="22" xfId="0" applyFont="1" applyBorder="1"/>
    <xf numFmtId="0" fontId="8" fillId="0" borderId="0" xfId="0" applyFont="1" applyBorder="1"/>
    <xf numFmtId="0" fontId="8" fillId="0" borderId="1" xfId="0" applyFont="1" applyBorder="1" applyAlignment="1">
      <alignment horizontal="left" vertical="top"/>
    </xf>
    <xf numFmtId="165" fontId="4" fillId="4" borderId="1" xfId="0" applyNumberFormat="1" applyFont="1" applyFill="1" applyBorder="1" applyAlignment="1">
      <alignment horizontal="left" vertical="top" wrapText="1"/>
    </xf>
    <xf numFmtId="0" fontId="9" fillId="0" borderId="1" xfId="0" applyFont="1" applyBorder="1" applyAlignment="1">
      <alignment horizontal="center"/>
    </xf>
    <xf numFmtId="43" fontId="21" fillId="0" borderId="10" xfId="1" applyFont="1" applyBorder="1" applyAlignment="1">
      <alignment horizontal="right" vertical="center"/>
    </xf>
    <xf numFmtId="43" fontId="22" fillId="0" borderId="10" xfId="1" applyFont="1" applyBorder="1" applyAlignment="1">
      <alignment horizontal="right" vertical="center"/>
    </xf>
    <xf numFmtId="0" fontId="20" fillId="0" borderId="10" xfId="1" applyNumberFormat="1" applyFont="1" applyBorder="1" applyAlignment="1">
      <alignment horizontal="left" wrapText="1"/>
    </xf>
    <xf numFmtId="43" fontId="21" fillId="0" borderId="10" xfId="1" applyFont="1" applyBorder="1" applyAlignment="1">
      <alignment horizontal="right" vertical="top"/>
    </xf>
    <xf numFmtId="43" fontId="22" fillId="0" borderId="10" xfId="1" applyFont="1" applyBorder="1" applyAlignment="1">
      <alignment horizontal="right" vertical="top"/>
    </xf>
    <xf numFmtId="165" fontId="21" fillId="0" borderId="10" xfId="0" applyNumberFormat="1" applyFont="1" applyBorder="1" applyAlignment="1">
      <alignment vertical="center"/>
    </xf>
    <xf numFmtId="164" fontId="10" fillId="0" borderId="25" xfId="0" applyNumberFormat="1" applyFont="1" applyBorder="1" applyAlignment="1">
      <alignment horizontal="center" vertical="center"/>
    </xf>
    <xf numFmtId="165" fontId="7" fillId="0" borderId="20" xfId="0" applyNumberFormat="1" applyFont="1" applyBorder="1" applyAlignment="1">
      <alignment vertical="center"/>
    </xf>
    <xf numFmtId="165" fontId="7" fillId="0" borderId="8" xfId="0" applyNumberFormat="1" applyFont="1" applyBorder="1" applyAlignment="1">
      <alignment vertical="center"/>
    </xf>
    <xf numFmtId="165" fontId="21" fillId="0" borderId="8" xfId="0" applyNumberFormat="1" applyFont="1" applyBorder="1" applyAlignment="1">
      <alignment vertical="center"/>
    </xf>
    <xf numFmtId="43" fontId="23" fillId="0" borderId="10" xfId="1" applyFont="1" applyBorder="1" applyAlignment="1">
      <alignment horizontal="right" vertical="center"/>
    </xf>
    <xf numFmtId="0" fontId="0" fillId="0" borderId="0" xfId="0" applyAlignment="1">
      <alignment horizontal="center"/>
    </xf>
    <xf numFmtId="49" fontId="25" fillId="9" borderId="29" xfId="0" applyNumberFormat="1" applyFont="1" applyFill="1" applyBorder="1" applyAlignment="1">
      <alignment horizontal="right" vertical="center" wrapText="1"/>
    </xf>
    <xf numFmtId="49" fontId="25" fillId="9" borderId="29" xfId="0" applyNumberFormat="1" applyFont="1" applyFill="1" applyBorder="1" applyAlignment="1">
      <alignment horizontal="left" vertical="center" wrapText="1"/>
    </xf>
    <xf numFmtId="49" fontId="0" fillId="9" borderId="29" xfId="0" applyNumberFormat="1" applyFill="1" applyBorder="1" applyAlignment="1">
      <alignment horizontal="right" vertical="center" wrapText="1"/>
    </xf>
    <xf numFmtId="171" fontId="25" fillId="10" borderId="29" xfId="0" applyNumberFormat="1" applyFont="1" applyFill="1" applyBorder="1" applyAlignment="1">
      <alignment horizontal="right" vertical="center" wrapText="1"/>
    </xf>
    <xf numFmtId="49" fontId="25" fillId="11" borderId="29" xfId="0" applyNumberFormat="1" applyFont="1" applyFill="1" applyBorder="1" applyAlignment="1">
      <alignment horizontal="left" vertical="center" wrapText="1"/>
    </xf>
    <xf numFmtId="49" fontId="25" fillId="12" borderId="29" xfId="0" applyNumberFormat="1" applyFont="1" applyFill="1" applyBorder="1" applyAlignment="1">
      <alignment horizontal="left" vertical="center" wrapText="1" indent="3"/>
    </xf>
    <xf numFmtId="49" fontId="25" fillId="12" borderId="29" xfId="0" applyNumberFormat="1" applyFont="1" applyFill="1" applyBorder="1" applyAlignment="1">
      <alignment horizontal="left" vertical="center" wrapText="1"/>
    </xf>
    <xf numFmtId="171" fontId="25" fillId="13" borderId="29" xfId="0" applyNumberFormat="1" applyFont="1" applyFill="1" applyBorder="1" applyAlignment="1">
      <alignment horizontal="right" vertical="center" wrapText="1"/>
    </xf>
    <xf numFmtId="171" fontId="25" fillId="8" borderId="29" xfId="0" applyNumberFormat="1" applyFont="1" applyFill="1" applyBorder="1" applyAlignment="1">
      <alignment horizontal="right" vertical="center" wrapText="1"/>
    </xf>
    <xf numFmtId="49" fontId="25" fillId="14" borderId="29" xfId="0" applyNumberFormat="1" applyFont="1" applyFill="1" applyBorder="1" applyAlignment="1">
      <alignment horizontal="left" vertical="center" wrapText="1" indent="1"/>
    </xf>
    <xf numFmtId="49" fontId="25" fillId="14" borderId="29" xfId="0" applyNumberFormat="1" applyFont="1" applyFill="1" applyBorder="1" applyAlignment="1">
      <alignment horizontal="left" vertical="center" wrapText="1"/>
    </xf>
    <xf numFmtId="49" fontId="25" fillId="8" borderId="29" xfId="0" applyNumberFormat="1" applyFont="1" applyFill="1" applyBorder="1" applyAlignment="1">
      <alignment horizontal="right" vertical="center" wrapText="1"/>
    </xf>
    <xf numFmtId="0" fontId="10" fillId="0" borderId="2" xfId="0" applyFont="1" applyBorder="1" applyAlignment="1">
      <alignment horizontal="center" vertical="center"/>
    </xf>
    <xf numFmtId="0" fontId="10" fillId="2" borderId="22" xfId="1" applyNumberFormat="1" applyFont="1" applyFill="1" applyBorder="1" applyAlignment="1">
      <alignment horizontal="left" vertical="top" wrapText="1"/>
    </xf>
    <xf numFmtId="43" fontId="21" fillId="0" borderId="0" xfId="1" applyFont="1" applyBorder="1" applyAlignment="1">
      <alignment horizontal="right" vertical="center"/>
    </xf>
    <xf numFmtId="3" fontId="10" fillId="0" borderId="2" xfId="1" applyNumberFormat="1" applyFont="1" applyBorder="1" applyAlignment="1">
      <alignment horizontal="center" vertical="center"/>
    </xf>
    <xf numFmtId="9" fontId="14" fillId="0" borderId="0" xfId="3" applyFont="1" applyBorder="1" applyAlignment="1">
      <alignment horizontal="right" vertical="center"/>
    </xf>
    <xf numFmtId="0" fontId="9" fillId="0" borderId="20" xfId="0" applyFont="1" applyBorder="1"/>
    <xf numFmtId="165" fontId="9" fillId="0" borderId="8" xfId="2" applyNumberFormat="1" applyFont="1" applyBorder="1" applyAlignment="1">
      <alignment horizontal="right" vertical="center"/>
    </xf>
    <xf numFmtId="3" fontId="14" fillId="0" borderId="8" xfId="0" applyNumberFormat="1" applyFont="1" applyBorder="1" applyAlignment="1">
      <alignment horizontal="right" vertical="center"/>
    </xf>
    <xf numFmtId="165" fontId="16" fillId="0" borderId="8" xfId="0" applyNumberFormat="1" applyFont="1" applyBorder="1" applyAlignment="1">
      <alignment horizontal="right" vertical="center"/>
    </xf>
    <xf numFmtId="165" fontId="9" fillId="0" borderId="25" xfId="0" applyNumberFormat="1" applyFont="1" applyBorder="1" applyAlignment="1">
      <alignment vertical="center"/>
    </xf>
    <xf numFmtId="168" fontId="9" fillId="0" borderId="8" xfId="0" applyNumberFormat="1" applyFont="1" applyBorder="1" applyAlignment="1">
      <alignment vertical="center"/>
    </xf>
    <xf numFmtId="165" fontId="9" fillId="0" borderId="8" xfId="0" applyNumberFormat="1" applyFont="1" applyBorder="1" applyAlignment="1">
      <alignment vertical="center"/>
    </xf>
    <xf numFmtId="3" fontId="14" fillId="0" borderId="8" xfId="0" applyNumberFormat="1" applyFont="1" applyBorder="1" applyAlignment="1">
      <alignment vertical="center"/>
    </xf>
    <xf numFmtId="165" fontId="16" fillId="0" borderId="8" xfId="0" applyNumberFormat="1" applyFont="1" applyBorder="1" applyAlignment="1">
      <alignment vertical="center"/>
    </xf>
    <xf numFmtId="168" fontId="9" fillId="0" borderId="25" xfId="0" applyNumberFormat="1" applyFont="1" applyBorder="1" applyAlignment="1">
      <alignment vertical="top"/>
    </xf>
    <xf numFmtId="0" fontId="9" fillId="0" borderId="8" xfId="0" applyFont="1" applyBorder="1" applyAlignment="1">
      <alignment vertical="top"/>
    </xf>
    <xf numFmtId="3" fontId="9" fillId="0" borderId="8" xfId="0" applyNumberFormat="1" applyFont="1" applyBorder="1" applyAlignment="1">
      <alignment vertical="center"/>
    </xf>
    <xf numFmtId="0" fontId="9" fillId="0" borderId="25" xfId="0" applyFont="1" applyBorder="1" applyAlignment="1">
      <alignment vertical="top"/>
    </xf>
    <xf numFmtId="165" fontId="16" fillId="0" borderId="25" xfId="0" applyNumberFormat="1" applyFont="1" applyBorder="1" applyAlignment="1">
      <alignment vertical="center"/>
    </xf>
    <xf numFmtId="0" fontId="10" fillId="2" borderId="20" xfId="1" applyNumberFormat="1" applyFont="1" applyFill="1" applyBorder="1" applyAlignment="1">
      <alignment horizontal="left" vertical="top" wrapText="1"/>
    </xf>
    <xf numFmtId="43" fontId="21" fillId="0" borderId="8" xfId="1" applyFont="1" applyBorder="1" applyAlignment="1">
      <alignment horizontal="right" vertical="center"/>
    </xf>
    <xf numFmtId="165" fontId="9" fillId="0" borderId="25" xfId="2" applyNumberFormat="1" applyFont="1" applyBorder="1" applyAlignment="1">
      <alignment horizontal="right" vertical="center"/>
    </xf>
    <xf numFmtId="3" fontId="9" fillId="0" borderId="2" xfId="0" applyNumberFormat="1" applyFont="1" applyBorder="1" applyAlignment="1">
      <alignment horizontal="right" vertical="center"/>
    </xf>
    <xf numFmtId="165" fontId="9" fillId="0" borderId="2" xfId="2" applyNumberFormat="1" applyFont="1" applyBorder="1" applyAlignment="1">
      <alignment horizontal="right" vertical="center"/>
    </xf>
    <xf numFmtId="43" fontId="13" fillId="0" borderId="9" xfId="1" applyFont="1" applyBorder="1" applyAlignment="1">
      <alignment horizontal="left" vertical="center" wrapText="1"/>
    </xf>
    <xf numFmtId="172" fontId="13" fillId="0" borderId="11" xfId="1" applyNumberFormat="1" applyFont="1" applyBorder="1" applyAlignment="1">
      <alignment horizontal="left" vertical="center" wrapText="1"/>
    </xf>
    <xf numFmtId="0" fontId="9" fillId="0" borderId="26" xfId="0" applyFont="1" applyBorder="1" applyAlignment="1">
      <alignment vertical="center"/>
    </xf>
    <xf numFmtId="43" fontId="9" fillId="0" borderId="25" xfId="1" applyFont="1" applyBorder="1" applyAlignment="1">
      <alignment horizontal="right" vertical="center"/>
    </xf>
    <xf numFmtId="164" fontId="10" fillId="0" borderId="31" xfId="1" applyNumberFormat="1" applyFont="1" applyBorder="1" applyAlignment="1">
      <alignment horizontal="left" vertical="center"/>
    </xf>
    <xf numFmtId="9" fontId="14" fillId="0" borderId="2" xfId="3" applyFont="1" applyBorder="1" applyAlignment="1">
      <alignment horizontal="right" vertical="center"/>
    </xf>
    <xf numFmtId="165" fontId="12" fillId="2" borderId="21" xfId="0" applyNumberFormat="1" applyFont="1" applyFill="1" applyBorder="1" applyAlignment="1">
      <alignment vertical="center"/>
    </xf>
    <xf numFmtId="165" fontId="12" fillId="2" borderId="20" xfId="0" applyNumberFormat="1" applyFont="1" applyFill="1" applyBorder="1" applyAlignment="1">
      <alignment vertical="center"/>
    </xf>
    <xf numFmtId="43" fontId="9" fillId="0" borderId="8" xfId="1" applyFont="1" applyBorder="1" applyAlignment="1">
      <alignment horizontal="right" vertical="center"/>
    </xf>
    <xf numFmtId="43" fontId="16" fillId="0" borderId="8" xfId="1" applyFont="1" applyBorder="1" applyAlignment="1">
      <alignment horizontal="right" vertical="center"/>
    </xf>
    <xf numFmtId="0" fontId="12" fillId="0" borderId="8" xfId="1" applyNumberFormat="1" applyFont="1" applyBorder="1" applyAlignment="1">
      <alignment horizontal="left" wrapText="1"/>
    </xf>
    <xf numFmtId="43" fontId="9" fillId="0" borderId="8" xfId="1" applyFont="1" applyBorder="1" applyAlignment="1">
      <alignment horizontal="right" vertical="top"/>
    </xf>
    <xf numFmtId="43" fontId="16" fillId="0" borderId="8" xfId="1" applyFont="1" applyBorder="1" applyAlignment="1">
      <alignment horizontal="right" vertical="top"/>
    </xf>
    <xf numFmtId="0" fontId="9" fillId="0" borderId="25" xfId="0" applyFont="1" applyBorder="1" applyAlignment="1">
      <alignment vertical="center"/>
    </xf>
    <xf numFmtId="43" fontId="16" fillId="0" borderId="35" xfId="1" applyFont="1" applyBorder="1" applyAlignment="1">
      <alignment horizontal="right" vertical="top"/>
    </xf>
    <xf numFmtId="173" fontId="25" fillId="10" borderId="29" xfId="0" applyNumberFormat="1" applyFont="1" applyFill="1" applyBorder="1" applyAlignment="1">
      <alignment horizontal="right" vertical="center" wrapText="1"/>
    </xf>
    <xf numFmtId="173" fontId="25" fillId="13" borderId="29" xfId="0" applyNumberFormat="1" applyFont="1" applyFill="1" applyBorder="1" applyAlignment="1">
      <alignment horizontal="right" vertical="center" wrapText="1"/>
    </xf>
    <xf numFmtId="173" fontId="25" fillId="8" borderId="29" xfId="0" applyNumberFormat="1" applyFont="1" applyFill="1" applyBorder="1" applyAlignment="1">
      <alignment horizontal="right" vertical="center" wrapText="1"/>
    </xf>
    <xf numFmtId="49" fontId="25" fillId="13" borderId="29" xfId="0" applyNumberFormat="1" applyFont="1" applyFill="1" applyBorder="1" applyAlignment="1">
      <alignment horizontal="right" vertical="center" wrapText="1"/>
    </xf>
    <xf numFmtId="171" fontId="25" fillId="16" borderId="29" xfId="0" applyNumberFormat="1" applyFont="1" applyFill="1" applyBorder="1" applyAlignment="1">
      <alignment horizontal="right" vertical="center" wrapText="1"/>
    </xf>
    <xf numFmtId="173" fontId="25" fillId="16" borderId="29" xfId="0" applyNumberFormat="1" applyFont="1" applyFill="1" applyBorder="1" applyAlignment="1">
      <alignment horizontal="right" vertical="center" wrapText="1"/>
    </xf>
    <xf numFmtId="49" fontId="25" fillId="16" borderId="29" xfId="0" applyNumberFormat="1" applyFont="1" applyFill="1" applyBorder="1" applyAlignment="1">
      <alignment horizontal="right" vertical="center" wrapText="1"/>
    </xf>
    <xf numFmtId="49" fontId="25" fillId="15" borderId="29" xfId="0" applyNumberFormat="1" applyFont="1" applyFill="1" applyBorder="1" applyAlignment="1">
      <alignment horizontal="left" vertical="center" wrapText="1"/>
    </xf>
    <xf numFmtId="49" fontId="0" fillId="0" borderId="0" xfId="0" applyNumberFormat="1"/>
    <xf numFmtId="43" fontId="28" fillId="0" borderId="10" xfId="1" applyFont="1" applyBorder="1" applyAlignment="1">
      <alignment horizontal="right" vertical="center"/>
    </xf>
    <xf numFmtId="43" fontId="28" fillId="0" borderId="8" xfId="1" applyFont="1" applyBorder="1" applyAlignment="1">
      <alignment horizontal="right" vertical="center"/>
    </xf>
    <xf numFmtId="0" fontId="10" fillId="15" borderId="25" xfId="0" applyFont="1" applyFill="1" applyBorder="1" applyAlignment="1">
      <alignment horizontal="center" vertical="center"/>
    </xf>
    <xf numFmtId="3" fontId="10" fillId="15" borderId="2" xfId="1" applyNumberFormat="1" applyFont="1" applyFill="1" applyBorder="1" applyAlignment="1">
      <alignment horizontal="center" vertical="center"/>
    </xf>
    <xf numFmtId="172" fontId="2" fillId="0" borderId="0" xfId="1" applyNumberFormat="1" applyFont="1" applyBorder="1" applyAlignment="1">
      <alignment horizontal="center"/>
    </xf>
    <xf numFmtId="165" fontId="7" fillId="0" borderId="37" xfId="0" applyNumberFormat="1" applyFont="1" applyBorder="1" applyAlignment="1">
      <alignment vertical="center"/>
    </xf>
    <xf numFmtId="165" fontId="7" fillId="0" borderId="21" xfId="0" applyNumberFormat="1" applyFont="1" applyBorder="1" applyAlignment="1">
      <alignment vertical="center"/>
    </xf>
    <xf numFmtId="165" fontId="7" fillId="0" borderId="12" xfId="0" applyNumberFormat="1" applyFont="1" applyBorder="1" applyAlignment="1">
      <alignment vertical="center"/>
    </xf>
    <xf numFmtId="3" fontId="10" fillId="17" borderId="2" xfId="1" applyNumberFormat="1" applyFont="1" applyFill="1" applyBorder="1" applyAlignment="1">
      <alignment horizontal="right" vertical="center"/>
    </xf>
    <xf numFmtId="174" fontId="10" fillId="0" borderId="25" xfId="2" applyNumberFormat="1" applyFont="1" applyBorder="1" applyAlignment="1">
      <alignment horizontal="center" vertical="center"/>
    </xf>
    <xf numFmtId="174" fontId="10" fillId="0" borderId="31" xfId="2" applyNumberFormat="1" applyFont="1" applyBorder="1" applyAlignment="1">
      <alignment horizontal="left" vertical="center"/>
    </xf>
    <xf numFmtId="167" fontId="10" fillId="0" borderId="25" xfId="3" applyNumberFormat="1" applyFont="1" applyBorder="1" applyAlignment="1">
      <alignment horizontal="center" vertical="center"/>
    </xf>
    <xf numFmtId="0" fontId="29" fillId="0" borderId="0" xfId="0" applyFont="1"/>
    <xf numFmtId="0" fontId="30" fillId="0" borderId="0" xfId="0" applyFont="1"/>
    <xf numFmtId="0" fontId="19" fillId="0" borderId="0" xfId="0" applyFont="1"/>
    <xf numFmtId="0" fontId="19" fillId="0" borderId="0" xfId="0" applyFont="1" applyBorder="1"/>
    <xf numFmtId="0" fontId="31" fillId="0" borderId="0" xfId="0" applyFont="1"/>
    <xf numFmtId="0" fontId="31" fillId="0" borderId="0" xfId="0" applyFont="1" applyBorder="1"/>
    <xf numFmtId="0" fontId="31" fillId="0" borderId="1" xfId="0" applyFont="1" applyBorder="1" applyAlignment="1">
      <alignment horizontal="left" vertical="top"/>
    </xf>
    <xf numFmtId="0" fontId="32" fillId="0" borderId="1" xfId="0" applyFont="1" applyBorder="1" applyAlignment="1">
      <alignment horizontal="left" vertical="top"/>
    </xf>
    <xf numFmtId="0" fontId="32" fillId="0" borderId="0" xfId="0" applyFont="1" applyBorder="1"/>
    <xf numFmtId="174" fontId="11" fillId="0" borderId="10" xfId="2" applyNumberFormat="1" applyFont="1" applyBorder="1" applyAlignment="1">
      <alignment vertical="center"/>
    </xf>
    <xf numFmtId="174" fontId="11" fillId="0" borderId="25" xfId="2" applyNumberFormat="1" applyFont="1" applyBorder="1" applyAlignment="1">
      <alignment horizontal="center" vertical="center"/>
    </xf>
    <xf numFmtId="164" fontId="11" fillId="0" borderId="25" xfId="0" applyNumberFormat="1" applyFont="1" applyBorder="1" applyAlignment="1">
      <alignment horizontal="right" vertical="center"/>
    </xf>
    <xf numFmtId="0" fontId="34" fillId="0" borderId="0" xfId="0" applyFont="1" applyBorder="1" applyAlignment="1">
      <alignment horizontal="center"/>
    </xf>
    <xf numFmtId="0" fontId="35" fillId="0" borderId="0" xfId="0" applyFont="1"/>
    <xf numFmtId="166" fontId="10" fillId="0" borderId="20" xfId="0" applyNumberFormat="1" applyFont="1" applyBorder="1" applyAlignment="1">
      <alignment vertical="top"/>
    </xf>
    <xf numFmtId="166" fontId="10" fillId="0" borderId="8" xfId="0" applyNumberFormat="1" applyFont="1" applyBorder="1" applyAlignment="1">
      <alignment vertical="top"/>
    </xf>
    <xf numFmtId="166" fontId="10" fillId="0" borderId="25" xfId="0" applyNumberFormat="1" applyFont="1" applyBorder="1" applyAlignment="1">
      <alignment vertical="center"/>
    </xf>
    <xf numFmtId="164" fontId="10" fillId="0" borderId="1" xfId="0" applyNumberFormat="1" applyFont="1" applyBorder="1" applyAlignment="1">
      <alignment horizontal="center" vertical="center"/>
    </xf>
    <xf numFmtId="164" fontId="10" fillId="0" borderId="0" xfId="0" applyNumberFormat="1" applyFont="1" applyBorder="1" applyAlignment="1">
      <alignment horizontal="center" vertical="center"/>
    </xf>
    <xf numFmtId="165" fontId="7" fillId="0" borderId="25" xfId="0" applyNumberFormat="1" applyFont="1" applyBorder="1" applyAlignment="1">
      <alignment vertical="center"/>
    </xf>
    <xf numFmtId="3" fontId="15" fillId="0" borderId="20" xfId="1" applyNumberFormat="1" applyFont="1" applyBorder="1" applyAlignment="1">
      <alignment vertical="center"/>
    </xf>
    <xf numFmtId="167" fontId="11" fillId="0" borderId="8" xfId="3" applyNumberFormat="1" applyFont="1" applyBorder="1" applyAlignment="1">
      <alignment vertical="center"/>
    </xf>
    <xf numFmtId="0" fontId="7" fillId="0" borderId="8" xfId="0" applyFont="1" applyBorder="1" applyAlignment="1">
      <alignment vertical="center"/>
    </xf>
    <xf numFmtId="0" fontId="7" fillId="0" borderId="25" xfId="0" applyFont="1" applyBorder="1" applyAlignment="1">
      <alignment vertical="center"/>
    </xf>
    <xf numFmtId="0" fontId="7" fillId="0" borderId="20" xfId="0" applyFont="1" applyBorder="1" applyAlignment="1">
      <alignment vertical="center"/>
    </xf>
    <xf numFmtId="0" fontId="11" fillId="0" borderId="8" xfId="0" applyFont="1" applyBorder="1" applyAlignment="1">
      <alignment vertical="center"/>
    </xf>
    <xf numFmtId="0" fontId="11" fillId="0" borderId="8" xfId="0" applyFont="1" applyBorder="1" applyAlignment="1">
      <alignment vertical="top"/>
    </xf>
    <xf numFmtId="0" fontId="11" fillId="0" borderId="25" xfId="0" applyFont="1" applyBorder="1" applyAlignment="1">
      <alignment vertical="top"/>
    </xf>
    <xf numFmtId="167" fontId="11" fillId="0" borderId="20" xfId="3" applyNumberFormat="1" applyFont="1" applyBorder="1" applyAlignment="1">
      <alignment vertical="center"/>
    </xf>
    <xf numFmtId="0" fontId="7" fillId="0" borderId="25" xfId="0" applyFont="1" applyBorder="1"/>
    <xf numFmtId="166" fontId="10" fillId="0" borderId="8" xfId="0" applyNumberFormat="1" applyFont="1" applyBorder="1" applyAlignment="1">
      <alignment vertical="center"/>
    </xf>
    <xf numFmtId="165" fontId="11" fillId="0" borderId="25" xfId="0" applyNumberFormat="1" applyFont="1" applyBorder="1" applyAlignment="1">
      <alignment vertical="top"/>
    </xf>
    <xf numFmtId="167" fontId="10" fillId="0" borderId="1" xfId="3" applyNumberFormat="1" applyFont="1" applyBorder="1" applyAlignment="1">
      <alignment horizontal="center" vertical="center"/>
    </xf>
    <xf numFmtId="165" fontId="21" fillId="0" borderId="25" xfId="0" applyNumberFormat="1" applyFont="1" applyBorder="1" applyAlignment="1">
      <alignment vertical="center"/>
    </xf>
    <xf numFmtId="165" fontId="11" fillId="0" borderId="8" xfId="0" applyNumberFormat="1" applyFont="1" applyBorder="1" applyAlignment="1">
      <alignment vertical="top"/>
    </xf>
    <xf numFmtId="0" fontId="10" fillId="0" borderId="0" xfId="0" applyFont="1" applyBorder="1" applyAlignment="1">
      <alignment vertical="center"/>
    </xf>
    <xf numFmtId="0" fontId="13" fillId="0" borderId="20" xfId="0" applyFont="1" applyBorder="1"/>
    <xf numFmtId="0" fontId="13" fillId="0" borderId="8" xfId="0" applyFont="1" applyBorder="1" applyAlignment="1">
      <alignment vertical="center"/>
    </xf>
    <xf numFmtId="0" fontId="0" fillId="0" borderId="8" xfId="0" applyBorder="1"/>
    <xf numFmtId="0" fontId="13" fillId="0" borderId="8" xfId="0" quotePrefix="1" applyFont="1" applyBorder="1" applyAlignment="1">
      <alignment vertical="center"/>
    </xf>
    <xf numFmtId="0" fontId="13" fillId="0" borderId="8" xfId="0" applyFont="1" applyBorder="1"/>
    <xf numFmtId="0" fontId="13" fillId="0" borderId="25" xfId="0" applyFont="1" applyBorder="1"/>
    <xf numFmtId="0" fontId="13" fillId="0" borderId="8" xfId="0" applyFont="1" applyBorder="1" applyAlignment="1">
      <alignment vertical="top"/>
    </xf>
    <xf numFmtId="43" fontId="9" fillId="0" borderId="20" xfId="1" applyFont="1" applyBorder="1" applyAlignment="1">
      <alignment horizontal="right" vertical="center"/>
    </xf>
    <xf numFmtId="43" fontId="9" fillId="0" borderId="25" xfId="1" applyFont="1" applyBorder="1" applyAlignment="1">
      <alignment horizontal="right" vertical="top"/>
    </xf>
    <xf numFmtId="43" fontId="16" fillId="0" borderId="20" xfId="1" applyFont="1" applyBorder="1" applyAlignment="1">
      <alignment horizontal="right" vertical="top"/>
    </xf>
    <xf numFmtId="43" fontId="16" fillId="0" borderId="20" xfId="1" applyFont="1" applyBorder="1" applyAlignment="1">
      <alignment horizontal="right" vertical="center"/>
    </xf>
    <xf numFmtId="168" fontId="9" fillId="0" borderId="0" xfId="2" applyNumberFormat="1" applyFont="1" applyBorder="1" applyAlignment="1">
      <alignment horizontal="right" vertical="center"/>
    </xf>
    <xf numFmtId="168" fontId="9" fillId="0" borderId="2" xfId="2" applyNumberFormat="1" applyFont="1" applyBorder="1" applyAlignment="1">
      <alignment horizontal="right" vertical="center"/>
    </xf>
    <xf numFmtId="0" fontId="33" fillId="0" borderId="0" xfId="0" applyFont="1"/>
    <xf numFmtId="0" fontId="1" fillId="0" borderId="0" xfId="0" applyFont="1" applyAlignment="1">
      <alignment horizontal="center" vertical="center"/>
    </xf>
    <xf numFmtId="0" fontId="33"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30" fillId="0" borderId="0" xfId="0" applyFont="1" applyAlignment="1">
      <alignment horizontal="center"/>
    </xf>
    <xf numFmtId="0" fontId="1" fillId="0" borderId="1" xfId="0" applyFont="1" applyBorder="1" applyAlignment="1">
      <alignment vertical="center"/>
    </xf>
    <xf numFmtId="0" fontId="0" fillId="0" borderId="1" xfId="0" applyBorder="1" applyAlignment="1">
      <alignment horizontal="center" vertical="center"/>
    </xf>
    <xf numFmtId="167" fontId="0" fillId="0" borderId="1" xfId="3" applyNumberFormat="1" applyFont="1" applyBorder="1" applyAlignment="1">
      <alignment vertical="center"/>
    </xf>
    <xf numFmtId="0" fontId="29" fillId="0" borderId="1" xfId="0" applyFont="1" applyBorder="1" applyAlignment="1">
      <alignment wrapText="1"/>
    </xf>
    <xf numFmtId="0" fontId="0" fillId="0" borderId="0" xfId="0" applyAlignment="1">
      <alignment horizontal="center" vertical="center"/>
    </xf>
    <xf numFmtId="167" fontId="0" fillId="0" borderId="0" xfId="3" applyNumberFormat="1" applyFont="1" applyAlignment="1">
      <alignment horizontal="right" vertical="center"/>
    </xf>
    <xf numFmtId="0" fontId="29" fillId="0" borderId="0" xfId="0" applyFont="1" applyAlignment="1">
      <alignment wrapText="1"/>
    </xf>
    <xf numFmtId="167" fontId="0" fillId="0" borderId="1" xfId="3" applyNumberFormat="1" applyFont="1" applyBorder="1" applyAlignment="1">
      <alignment horizontal="right" vertical="center"/>
    </xf>
    <xf numFmtId="0" fontId="1" fillId="0" borderId="0" xfId="0" applyFont="1" applyAlignment="1">
      <alignment vertical="center"/>
    </xf>
    <xf numFmtId="167" fontId="0" fillId="2" borderId="1" xfId="3" applyNumberFormat="1" applyFont="1" applyFill="1" applyBorder="1" applyAlignment="1">
      <alignment horizontal="right" vertical="center"/>
    </xf>
    <xf numFmtId="0" fontId="0" fillId="0" borderId="0" xfId="0" applyAlignment="1">
      <alignment horizontal="right" vertical="center"/>
    </xf>
    <xf numFmtId="0" fontId="0" fillId="0" borderId="1" xfId="0" applyBorder="1"/>
    <xf numFmtId="43" fontId="0" fillId="0" borderId="1" xfId="1" applyNumberFormat="1" applyFont="1" applyBorder="1"/>
    <xf numFmtId="43" fontId="29" fillId="0" borderId="0" xfId="0" applyNumberFormat="1" applyFont="1"/>
    <xf numFmtId="43" fontId="0" fillId="0" borderId="0" xfId="1" applyNumberFormat="1" applyFont="1"/>
    <xf numFmtId="0" fontId="37" fillId="0" borderId="0" xfId="0" applyFont="1"/>
    <xf numFmtId="0" fontId="38" fillId="0" borderId="0" xfId="0" applyFont="1"/>
    <xf numFmtId="0" fontId="40" fillId="0" borderId="0" xfId="0" applyFont="1"/>
    <xf numFmtId="167" fontId="40" fillId="0" borderId="0" xfId="3" applyNumberFormat="1" applyFont="1"/>
    <xf numFmtId="0" fontId="41" fillId="0" borderId="0" xfId="0" applyFont="1"/>
    <xf numFmtId="0" fontId="9" fillId="0" borderId="21" xfId="0" applyFont="1" applyBorder="1"/>
    <xf numFmtId="0" fontId="13" fillId="0" borderId="24" xfId="0" applyFont="1" applyBorder="1"/>
    <xf numFmtId="3" fontId="9" fillId="0" borderId="12" xfId="0" applyNumberFormat="1" applyFont="1" applyBorder="1" applyAlignment="1">
      <alignment horizontal="right" vertical="center"/>
    </xf>
    <xf numFmtId="43" fontId="13" fillId="0" borderId="10" xfId="1" applyFont="1" applyBorder="1" applyAlignment="1">
      <alignment horizontal="left" vertical="center" wrapText="1"/>
    </xf>
    <xf numFmtId="3" fontId="9" fillId="0" borderId="6" xfId="0" applyNumberFormat="1" applyFont="1" applyBorder="1" applyAlignment="1">
      <alignment horizontal="right" vertical="center"/>
    </xf>
    <xf numFmtId="43" fontId="13" fillId="0" borderId="7" xfId="1" applyFont="1" applyBorder="1" applyAlignment="1">
      <alignment horizontal="left" vertical="center" wrapText="1"/>
    </xf>
    <xf numFmtId="175" fontId="9" fillId="0" borderId="0" xfId="0" applyNumberFormat="1" applyFont="1" applyBorder="1" applyAlignment="1">
      <alignment horizontal="right" vertical="center"/>
    </xf>
    <xf numFmtId="175" fontId="9" fillId="0" borderId="0" xfId="0" applyNumberFormat="1" applyFont="1" applyBorder="1" applyAlignment="1">
      <alignment vertical="center"/>
    </xf>
    <xf numFmtId="167" fontId="0" fillId="18" borderId="1" xfId="3" applyNumberFormat="1" applyFont="1" applyFill="1" applyBorder="1" applyAlignment="1">
      <alignment horizontal="right" vertical="center"/>
    </xf>
    <xf numFmtId="167" fontId="0" fillId="15" borderId="1" xfId="3" applyNumberFormat="1" applyFont="1" applyFill="1" applyBorder="1" applyAlignment="1">
      <alignment horizontal="right" vertical="center"/>
    </xf>
    <xf numFmtId="0" fontId="24" fillId="0" borderId="1" xfId="0" applyFont="1" applyBorder="1" applyAlignment="1">
      <alignment horizontal="left" vertical="top" wrapText="1"/>
    </xf>
    <xf numFmtId="0" fontId="0" fillId="0" borderId="0" xfId="0" applyAlignment="1">
      <alignment horizontal="center"/>
    </xf>
    <xf numFmtId="0" fontId="1" fillId="0" borderId="1" xfId="0" applyFont="1" applyBorder="1" applyAlignment="1">
      <alignment horizontal="left" vertical="top"/>
    </xf>
    <xf numFmtId="0" fontId="1" fillId="0" borderId="1" xfId="0" applyFont="1" applyFill="1" applyBorder="1" applyAlignment="1">
      <alignment horizontal="left" vertical="top"/>
    </xf>
    <xf numFmtId="0" fontId="33" fillId="0" borderId="1" xfId="0" applyFont="1" applyBorder="1" applyAlignment="1">
      <alignment horizontal="left" vertical="top"/>
    </xf>
    <xf numFmtId="0" fontId="9" fillId="0" borderId="22" xfId="0" applyFont="1" applyBorder="1" applyAlignment="1"/>
    <xf numFmtId="9" fontId="1" fillId="0" borderId="0" xfId="3" applyNumberFormat="1" applyFont="1"/>
    <xf numFmtId="9" fontId="9" fillId="0" borderId="0" xfId="3" applyFont="1" applyBorder="1" applyAlignment="1">
      <alignment horizontal="right" vertical="center"/>
    </xf>
    <xf numFmtId="9" fontId="9" fillId="0" borderId="2" xfId="3" applyFont="1" applyBorder="1" applyAlignment="1">
      <alignment horizontal="right" vertical="center"/>
    </xf>
    <xf numFmtId="4" fontId="9" fillId="0" borderId="0" xfId="0" applyNumberFormat="1" applyFont="1" applyBorder="1" applyAlignment="1">
      <alignment horizontal="right" vertical="center"/>
    </xf>
    <xf numFmtId="0" fontId="2" fillId="0" borderId="20" xfId="0" applyFont="1" applyBorder="1" applyAlignment="1">
      <alignment horizontal="left" vertical="top"/>
    </xf>
    <xf numFmtId="165" fontId="24" fillId="0" borderId="20" xfId="0" applyNumberFormat="1" applyFont="1" applyBorder="1" applyAlignment="1">
      <alignment horizontal="left" vertical="top" wrapText="1"/>
    </xf>
    <xf numFmtId="0" fontId="42" fillId="19" borderId="20" xfId="0" applyFont="1" applyFill="1" applyBorder="1" applyAlignment="1">
      <alignment horizontal="left" vertical="top" wrapText="1"/>
    </xf>
    <xf numFmtId="0" fontId="2" fillId="4" borderId="25" xfId="0" applyFont="1" applyFill="1" applyBorder="1" applyAlignment="1">
      <alignment horizontal="left" vertical="top"/>
    </xf>
    <xf numFmtId="165" fontId="24" fillId="0" borderId="25" xfId="0" applyNumberFormat="1" applyFont="1" applyBorder="1" applyAlignment="1">
      <alignment horizontal="left" vertical="top" wrapText="1"/>
    </xf>
    <xf numFmtId="0" fontId="2" fillId="4" borderId="20" xfId="0" applyFont="1" applyFill="1" applyBorder="1" applyAlignment="1">
      <alignment horizontal="left" vertical="top"/>
    </xf>
    <xf numFmtId="0" fontId="2" fillId="4" borderId="8" xfId="0" applyFont="1" applyFill="1" applyBorder="1" applyAlignment="1">
      <alignment horizontal="left" vertical="top"/>
    </xf>
    <xf numFmtId="165" fontId="24" fillId="0" borderId="8" xfId="0" applyNumberFormat="1" applyFont="1" applyBorder="1" applyAlignment="1">
      <alignment horizontal="left" vertical="top" wrapText="1"/>
    </xf>
    <xf numFmtId="165" fontId="24" fillId="0" borderId="25" xfId="0" quotePrefix="1" applyNumberFormat="1" applyFont="1" applyBorder="1" applyAlignment="1">
      <alignment horizontal="left" vertical="top" wrapText="1"/>
    </xf>
    <xf numFmtId="165" fontId="42" fillId="19" borderId="20" xfId="0" applyNumberFormat="1" applyFont="1" applyFill="1" applyBorder="1" applyAlignment="1">
      <alignment horizontal="left" vertical="top" wrapText="1"/>
    </xf>
    <xf numFmtId="0" fontId="2" fillId="0" borderId="8" xfId="0" applyFont="1" applyBorder="1" applyAlignment="1">
      <alignment horizontal="left" vertical="top"/>
    </xf>
    <xf numFmtId="0" fontId="42" fillId="19" borderId="8" xfId="0" applyFont="1" applyFill="1" applyBorder="1" applyAlignment="1">
      <alignment horizontal="left" vertical="top" wrapText="1"/>
    </xf>
    <xf numFmtId="165" fontId="42" fillId="19" borderId="8" xfId="0" applyNumberFormat="1" applyFont="1" applyFill="1" applyBorder="1" applyAlignment="1">
      <alignment horizontal="left" vertical="top" wrapText="1"/>
    </xf>
    <xf numFmtId="0" fontId="2" fillId="0" borderId="25" xfId="0" applyFont="1" applyBorder="1" applyAlignment="1">
      <alignment horizontal="left" vertical="top"/>
    </xf>
    <xf numFmtId="0" fontId="42" fillId="19" borderId="25" xfId="0" applyFont="1" applyFill="1" applyBorder="1" applyAlignment="1">
      <alignment horizontal="left" vertical="top" wrapText="1"/>
    </xf>
    <xf numFmtId="165" fontId="42" fillId="19" borderId="25" xfId="0" quotePrefix="1" applyNumberFormat="1" applyFont="1" applyFill="1" applyBorder="1" applyAlignment="1">
      <alignment horizontal="left" vertical="top" wrapText="1"/>
    </xf>
    <xf numFmtId="0" fontId="2" fillId="0" borderId="20" xfId="0" applyFont="1" applyFill="1" applyBorder="1" applyAlignment="1">
      <alignment horizontal="left" vertical="top"/>
    </xf>
    <xf numFmtId="0" fontId="43" fillId="19" borderId="20" xfId="0" applyFont="1" applyFill="1" applyBorder="1" applyAlignment="1">
      <alignment horizontal="left" vertical="top" wrapText="1"/>
    </xf>
    <xf numFmtId="0" fontId="2" fillId="0" borderId="8" xfId="0" applyFont="1" applyFill="1" applyBorder="1" applyAlignment="1">
      <alignment horizontal="left" vertical="top"/>
    </xf>
    <xf numFmtId="0" fontId="2" fillId="0" borderId="25" xfId="0" applyFont="1" applyFill="1" applyBorder="1" applyAlignment="1">
      <alignment horizontal="left" vertical="top"/>
    </xf>
    <xf numFmtId="0" fontId="8" fillId="3" borderId="38" xfId="0" applyFont="1" applyFill="1" applyBorder="1" applyAlignment="1">
      <alignment horizontal="center"/>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41" xfId="0" applyFont="1" applyBorder="1" applyAlignment="1">
      <alignment horizontal="left" vertical="top" wrapText="1"/>
    </xf>
    <xf numFmtId="0" fontId="42" fillId="19" borderId="39" xfId="0" applyFont="1" applyFill="1" applyBorder="1" applyAlignment="1">
      <alignment horizontal="left" vertical="top" wrapText="1"/>
    </xf>
    <xf numFmtId="0" fontId="42" fillId="19" borderId="40" xfId="0" applyFont="1" applyFill="1" applyBorder="1" applyAlignment="1">
      <alignment horizontal="left" vertical="top" wrapText="1"/>
    </xf>
    <xf numFmtId="0" fontId="42" fillId="19" borderId="41" xfId="0" applyFont="1" applyFill="1" applyBorder="1" applyAlignment="1">
      <alignment horizontal="left" vertical="top" wrapText="1"/>
    </xf>
    <xf numFmtId="0" fontId="43" fillId="19" borderId="39" xfId="0" applyFont="1" applyFill="1" applyBorder="1" applyAlignment="1">
      <alignment horizontal="left" vertical="top" wrapText="1"/>
    </xf>
    <xf numFmtId="0" fontId="42" fillId="19" borderId="42" xfId="0" applyFont="1" applyFill="1" applyBorder="1" applyAlignment="1">
      <alignment horizontal="left" vertical="top" wrapText="1"/>
    </xf>
    <xf numFmtId="165" fontId="42" fillId="19" borderId="43" xfId="0" quotePrefix="1" applyNumberFormat="1" applyFont="1" applyFill="1" applyBorder="1" applyAlignment="1">
      <alignment horizontal="left" vertical="top" wrapText="1"/>
    </xf>
    <xf numFmtId="0" fontId="8" fillId="3" borderId="46" xfId="0" applyFont="1" applyFill="1" applyBorder="1" applyAlignment="1">
      <alignment horizontal="center"/>
    </xf>
    <xf numFmtId="0" fontId="8" fillId="3" borderId="47" xfId="0" applyFont="1" applyFill="1" applyBorder="1" applyAlignment="1">
      <alignment horizontal="center"/>
    </xf>
    <xf numFmtId="0" fontId="24" fillId="0" borderId="48" xfId="0" applyFont="1" applyBorder="1" applyAlignment="1">
      <alignment horizontal="left" vertical="top" wrapText="1"/>
    </xf>
    <xf numFmtId="165" fontId="24" fillId="0" borderId="49" xfId="0" applyNumberFormat="1" applyFont="1" applyBorder="1" applyAlignment="1">
      <alignment horizontal="left" vertical="top" wrapText="1"/>
    </xf>
    <xf numFmtId="0" fontId="24" fillId="0" borderId="50" xfId="0" applyFont="1" applyBorder="1" applyAlignment="1">
      <alignment horizontal="left" vertical="top" wrapText="1"/>
    </xf>
    <xf numFmtId="165" fontId="24" fillId="0" borderId="51" xfId="0" applyNumberFormat="1" applyFont="1" applyBorder="1" applyAlignment="1">
      <alignment horizontal="left" vertical="top" wrapText="1"/>
    </xf>
    <xf numFmtId="0" fontId="24" fillId="0" borderId="52" xfId="0" applyFont="1" applyBorder="1" applyAlignment="1">
      <alignment horizontal="left" vertical="top" wrapText="1"/>
    </xf>
    <xf numFmtId="165" fontId="24" fillId="0" borderId="53" xfId="0" quotePrefix="1" applyNumberFormat="1" applyFont="1" applyBorder="1" applyAlignment="1">
      <alignment horizontal="left" vertical="top" wrapText="1"/>
    </xf>
    <xf numFmtId="0" fontId="42" fillId="19" borderId="48" xfId="0" applyFont="1" applyFill="1" applyBorder="1" applyAlignment="1">
      <alignment horizontal="left" vertical="top" wrapText="1"/>
    </xf>
    <xf numFmtId="0" fontId="42" fillId="19" borderId="50" xfId="0" applyFont="1" applyFill="1" applyBorder="1" applyAlignment="1">
      <alignment horizontal="left" vertical="top" wrapText="1"/>
    </xf>
    <xf numFmtId="0" fontId="42" fillId="19" borderId="52" xfId="0" applyFont="1" applyFill="1" applyBorder="1" applyAlignment="1">
      <alignment horizontal="left" vertical="top" wrapText="1"/>
    </xf>
    <xf numFmtId="0" fontId="43" fillId="19" borderId="48" xfId="0" applyFont="1" applyFill="1" applyBorder="1" applyAlignment="1">
      <alignment horizontal="left" vertical="top" wrapText="1"/>
    </xf>
    <xf numFmtId="0" fontId="42" fillId="19" borderId="54" xfId="0" applyFont="1" applyFill="1" applyBorder="1" applyAlignment="1">
      <alignment horizontal="left" vertical="top" wrapText="1"/>
    </xf>
    <xf numFmtId="165" fontId="42" fillId="19" borderId="55" xfId="0" quotePrefix="1" applyNumberFormat="1" applyFont="1" applyFill="1" applyBorder="1" applyAlignment="1">
      <alignment horizontal="left" vertical="top" wrapText="1"/>
    </xf>
    <xf numFmtId="165" fontId="24" fillId="0" borderId="55" xfId="0" quotePrefix="1" applyNumberFormat="1" applyFont="1" applyBorder="1" applyAlignment="1">
      <alignment horizontal="left" vertical="top" wrapText="1"/>
    </xf>
    <xf numFmtId="165" fontId="24" fillId="0" borderId="56" xfId="0" quotePrefix="1" applyNumberFormat="1" applyFont="1" applyBorder="1" applyAlignment="1">
      <alignment horizontal="left" vertical="top" wrapText="1"/>
    </xf>
    <xf numFmtId="165" fontId="24" fillId="0" borderId="53" xfId="0" applyNumberFormat="1" applyFont="1" applyBorder="1" applyAlignment="1">
      <alignment horizontal="left" vertical="top" wrapText="1"/>
    </xf>
    <xf numFmtId="49" fontId="0" fillId="20" borderId="0" xfId="0" applyNumberFormat="1" applyFill="1"/>
    <xf numFmtId="49" fontId="0" fillId="5" borderId="0" xfId="0" applyNumberFormat="1" applyFill="1"/>
    <xf numFmtId="49" fontId="0" fillId="21" borderId="0" xfId="0" applyNumberFormat="1" applyFill="1"/>
    <xf numFmtId="0" fontId="0" fillId="0" borderId="0" xfId="0" applyAlignment="1">
      <alignment horizontal="center"/>
    </xf>
    <xf numFmtId="0" fontId="1" fillId="0" borderId="1" xfId="0" applyFont="1" applyBorder="1" applyAlignment="1">
      <alignment horizontal="center"/>
    </xf>
    <xf numFmtId="0" fontId="44" fillId="0" borderId="0" xfId="0" applyFont="1" applyAlignment="1">
      <alignment vertical="center"/>
    </xf>
    <xf numFmtId="0" fontId="46" fillId="0" borderId="0" xfId="0" applyFont="1"/>
    <xf numFmtId="0" fontId="48" fillId="0" borderId="60" xfId="0" applyFont="1" applyBorder="1" applyAlignment="1">
      <alignment horizontal="center" vertical="center"/>
    </xf>
    <xf numFmtId="0" fontId="45" fillId="0" borderId="60" xfId="0" applyFont="1" applyBorder="1" applyAlignment="1">
      <alignment horizontal="center" vertical="center"/>
    </xf>
    <xf numFmtId="0" fontId="49" fillId="0" borderId="19" xfId="0" applyFont="1" applyBorder="1" applyAlignment="1">
      <alignment horizontal="center" vertical="center"/>
    </xf>
    <xf numFmtId="164" fontId="50" fillId="0" borderId="65" xfId="1" applyNumberFormat="1" applyFont="1" applyBorder="1" applyAlignment="1">
      <alignment horizontal="center" vertical="center"/>
    </xf>
    <xf numFmtId="164" fontId="50" fillId="0" borderId="67" xfId="1" applyNumberFormat="1" applyFont="1" applyBorder="1" applyAlignment="1">
      <alignment horizontal="center" vertical="center"/>
    </xf>
    <xf numFmtId="164" fontId="50" fillId="0" borderId="64" xfId="1" applyNumberFormat="1" applyFont="1" applyBorder="1" applyAlignment="1">
      <alignment horizontal="center" vertical="center"/>
    </xf>
    <xf numFmtId="0" fontId="51" fillId="0" borderId="69" xfId="0" applyFont="1" applyBorder="1" applyAlignment="1">
      <alignment horizontal="center" vertical="center"/>
    </xf>
    <xf numFmtId="164" fontId="33" fillId="0" borderId="19" xfId="1" applyNumberFormat="1" applyFont="1" applyBorder="1" applyAlignment="1">
      <alignment horizontal="center"/>
    </xf>
    <xf numFmtId="164" fontId="1" fillId="0" borderId="19" xfId="1" applyNumberFormat="1" applyFont="1" applyBorder="1" applyAlignment="1">
      <alignment horizontal="center"/>
    </xf>
    <xf numFmtId="164" fontId="1" fillId="0" borderId="45" xfId="1" applyNumberFormat="1" applyFont="1" applyBorder="1" applyAlignment="1"/>
    <xf numFmtId="3" fontId="0" fillId="0" borderId="1" xfId="0" applyNumberFormat="1" applyBorder="1" applyAlignment="1">
      <alignment horizontal="right"/>
    </xf>
    <xf numFmtId="3" fontId="0" fillId="0" borderId="20" xfId="0" applyNumberFormat="1" applyBorder="1" applyAlignment="1">
      <alignment horizontal="right"/>
    </xf>
    <xf numFmtId="0" fontId="0" fillId="0" borderId="0" xfId="0" applyAlignment="1">
      <alignment horizontal="right"/>
    </xf>
    <xf numFmtId="0" fontId="4" fillId="0" borderId="19" xfId="0" applyFont="1" applyBorder="1" applyAlignment="1">
      <alignment horizontal="center"/>
    </xf>
    <xf numFmtId="164" fontId="0" fillId="0" borderId="20" xfId="1" applyNumberFormat="1" applyFont="1" applyBorder="1" applyAlignment="1">
      <alignment horizontal="center"/>
    </xf>
    <xf numFmtId="164" fontId="7" fillId="0" borderId="20" xfId="1" applyNumberFormat="1" applyFont="1" applyBorder="1" applyAlignment="1">
      <alignment horizontal="center"/>
    </xf>
    <xf numFmtId="167" fontId="0" fillId="23" borderId="1" xfId="3" applyNumberFormat="1" applyFont="1" applyFill="1" applyBorder="1" applyAlignment="1">
      <alignment horizontal="right" vertical="center"/>
    </xf>
    <xf numFmtId="0" fontId="53" fillId="0" borderId="3" xfId="0" applyFont="1" applyBorder="1" applyAlignment="1">
      <alignment horizontal="center" wrapText="1"/>
    </xf>
    <xf numFmtId="0" fontId="54" fillId="0" borderId="1" xfId="0" applyFont="1" applyBorder="1" applyAlignment="1">
      <alignment vertical="top" wrapText="1"/>
    </xf>
    <xf numFmtId="0" fontId="11" fillId="0" borderId="2" xfId="0" applyFont="1" applyBorder="1" applyAlignment="1">
      <alignment horizontal="right" vertical="center"/>
    </xf>
    <xf numFmtId="166" fontId="9" fillId="0" borderId="22" xfId="0" applyNumberFormat="1" applyFont="1" applyBorder="1" applyAlignment="1">
      <alignment horizontal="right" vertical="center"/>
    </xf>
    <xf numFmtId="166" fontId="9" fillId="0" borderId="0" xfId="0" applyNumberFormat="1" applyFont="1" applyBorder="1" applyAlignment="1">
      <alignment horizontal="right" vertical="center"/>
    </xf>
    <xf numFmtId="166" fontId="14" fillId="0" borderId="0" xfId="1" applyNumberFormat="1" applyFont="1" applyBorder="1" applyAlignment="1">
      <alignment horizontal="right" vertical="center"/>
    </xf>
    <xf numFmtId="166" fontId="16" fillId="0" borderId="0" xfId="0" applyNumberFormat="1" applyFont="1" applyBorder="1" applyAlignment="1">
      <alignment horizontal="right" vertical="center"/>
    </xf>
    <xf numFmtId="166" fontId="9" fillId="0" borderId="2" xfId="0" applyNumberFormat="1" applyFont="1" applyBorder="1" applyAlignment="1">
      <alignment horizontal="right" vertical="center"/>
    </xf>
    <xf numFmtId="0" fontId="9" fillId="0" borderId="0" xfId="0" applyFont="1" applyBorder="1" applyAlignment="1">
      <alignment horizontal="right" vertical="center"/>
    </xf>
    <xf numFmtId="0" fontId="9" fillId="0" borderId="2" xfId="0" applyFont="1" applyBorder="1" applyAlignment="1">
      <alignment horizontal="right" vertical="center"/>
    </xf>
    <xf numFmtId="0" fontId="9" fillId="0" borderId="0" xfId="0" applyFont="1" applyBorder="1" applyAlignment="1">
      <alignment horizontal="right" vertical="top"/>
    </xf>
    <xf numFmtId="0" fontId="0" fillId="0" borderId="2" xfId="0" applyBorder="1" applyAlignment="1">
      <alignment horizontal="right"/>
    </xf>
    <xf numFmtId="43" fontId="12" fillId="0" borderId="0" xfId="1" applyFont="1" applyBorder="1" applyAlignment="1">
      <alignment horizontal="right" vertical="top"/>
    </xf>
    <xf numFmtId="43" fontId="12" fillId="0" borderId="2" xfId="1" applyFont="1" applyBorder="1" applyAlignment="1">
      <alignment horizontal="right" vertical="top"/>
    </xf>
    <xf numFmtId="0" fontId="0" fillId="0" borderId="10" xfId="0" applyBorder="1"/>
    <xf numFmtId="165" fontId="9" fillId="0" borderId="20" xfId="2" applyNumberFormat="1" applyFont="1" applyBorder="1" applyAlignment="1">
      <alignment horizontal="right" vertical="center"/>
    </xf>
    <xf numFmtId="3" fontId="9" fillId="0" borderId="22" xfId="0" applyNumberFormat="1" applyFont="1" applyBorder="1" applyAlignment="1">
      <alignment horizontal="right" vertical="center"/>
    </xf>
    <xf numFmtId="165" fontId="9" fillId="0" borderId="22" xfId="2" applyNumberFormat="1" applyFont="1" applyBorder="1" applyAlignment="1">
      <alignment horizontal="right" vertical="center"/>
    </xf>
    <xf numFmtId="43" fontId="13" fillId="0" borderId="23" xfId="1" applyFont="1" applyBorder="1" applyAlignment="1">
      <alignment horizontal="left" vertical="center" wrapText="1"/>
    </xf>
    <xf numFmtId="168" fontId="16" fillId="0" borderId="8" xfId="0" applyNumberFormat="1" applyFont="1" applyBorder="1" applyAlignment="1">
      <alignment vertical="center"/>
    </xf>
    <xf numFmtId="0" fontId="55" fillId="0" borderId="0" xfId="0" applyFont="1"/>
    <xf numFmtId="3" fontId="0" fillId="0" borderId="0" xfId="0" applyNumberFormat="1"/>
    <xf numFmtId="3" fontId="0" fillId="0" borderId="71" xfId="0" applyNumberFormat="1" applyBorder="1" applyAlignment="1">
      <alignment horizontal="right"/>
    </xf>
    <xf numFmtId="3" fontId="0" fillId="0" borderId="21" xfId="0" applyNumberFormat="1" applyBorder="1" applyAlignment="1">
      <alignment horizontal="right"/>
    </xf>
    <xf numFmtId="3" fontId="0" fillId="0" borderId="72" xfId="0" applyNumberFormat="1" applyBorder="1" applyAlignment="1">
      <alignment horizontal="right"/>
    </xf>
    <xf numFmtId="3" fontId="0" fillId="0" borderId="48" xfId="0" applyNumberFormat="1" applyBorder="1" applyAlignment="1">
      <alignment horizontal="right"/>
    </xf>
    <xf numFmtId="3" fontId="0" fillId="0" borderId="73" xfId="0" applyNumberFormat="1" applyBorder="1" applyAlignment="1">
      <alignment horizontal="right"/>
    </xf>
    <xf numFmtId="3" fontId="0" fillId="0" borderId="74" xfId="0" applyNumberFormat="1" applyBorder="1"/>
    <xf numFmtId="43" fontId="0" fillId="0" borderId="1" xfId="1" applyFont="1" applyBorder="1"/>
    <xf numFmtId="43" fontId="0" fillId="0" borderId="0" xfId="1" applyFont="1"/>
    <xf numFmtId="165" fontId="4" fillId="0" borderId="44" xfId="0" applyNumberFormat="1" applyFont="1" applyBorder="1" applyAlignment="1">
      <alignment horizontal="center"/>
    </xf>
    <xf numFmtId="165" fontId="4" fillId="0" borderId="57" xfId="0" applyNumberFormat="1" applyFont="1" applyBorder="1" applyAlignment="1">
      <alignment horizontal="center"/>
    </xf>
    <xf numFmtId="165" fontId="33" fillId="0" borderId="44" xfId="0" applyNumberFormat="1" applyFont="1" applyBorder="1" applyAlignment="1">
      <alignment horizontal="center"/>
    </xf>
    <xf numFmtId="165" fontId="33" fillId="0" borderId="57" xfId="0" applyNumberFormat="1" applyFont="1" applyBorder="1" applyAlignment="1">
      <alignment horizontal="center"/>
    </xf>
    <xf numFmtId="165" fontId="4" fillId="0" borderId="1" xfId="0" applyNumberFormat="1" applyFont="1" applyBorder="1" applyAlignment="1">
      <alignment horizontal="center"/>
    </xf>
    <xf numFmtId="0" fontId="4" fillId="0" borderId="0" xfId="0" applyFont="1"/>
    <xf numFmtId="165" fontId="16" fillId="0" borderId="12" xfId="0" applyNumberFormat="1" applyFont="1" applyBorder="1" applyAlignment="1">
      <alignment vertical="center"/>
    </xf>
    <xf numFmtId="0" fontId="9" fillId="0" borderId="75" xfId="0" applyFont="1" applyBorder="1" applyAlignment="1">
      <alignment vertical="center"/>
    </xf>
    <xf numFmtId="3" fontId="10" fillId="0" borderId="25" xfId="1" applyNumberFormat="1" applyFont="1" applyBorder="1" applyAlignment="1">
      <alignment horizontal="right" vertical="center"/>
    </xf>
    <xf numFmtId="165" fontId="11" fillId="0" borderId="35" xfId="0" applyNumberFormat="1" applyFont="1" applyBorder="1" applyAlignment="1">
      <alignment horizontal="centerContinuous" vertical="top"/>
    </xf>
    <xf numFmtId="8" fontId="10" fillId="0" borderId="8" xfId="0" applyNumberFormat="1" applyFont="1" applyBorder="1" applyAlignment="1">
      <alignment horizontal="centerContinuous" vertical="center"/>
    </xf>
    <xf numFmtId="169" fontId="11" fillId="0" borderId="8" xfId="0" applyNumberFormat="1" applyFont="1" applyBorder="1" applyAlignment="1">
      <alignment horizontal="centerContinuous" vertical="center"/>
    </xf>
    <xf numFmtId="165" fontId="11" fillId="0" borderId="0" xfId="0" applyNumberFormat="1" applyFont="1" applyBorder="1" applyAlignment="1">
      <alignment vertical="center"/>
    </xf>
    <xf numFmtId="0" fontId="7" fillId="0" borderId="12" xfId="0" applyFont="1" applyBorder="1" applyAlignment="1">
      <alignment vertical="center"/>
    </xf>
    <xf numFmtId="0" fontId="11" fillId="0" borderId="12" xfId="0" applyFont="1" applyBorder="1" applyAlignment="1">
      <alignment vertical="top"/>
    </xf>
    <xf numFmtId="166" fontId="10" fillId="0" borderId="12" xfId="0" applyNumberFormat="1" applyFont="1" applyBorder="1" applyAlignment="1">
      <alignment vertical="center"/>
    </xf>
    <xf numFmtId="3" fontId="15" fillId="0" borderId="12" xfId="1" applyNumberFormat="1" applyFont="1" applyBorder="1" applyAlignment="1">
      <alignment vertical="center"/>
    </xf>
    <xf numFmtId="167" fontId="11" fillId="0" borderId="12" xfId="3" applyNumberFormat="1" applyFont="1" applyBorder="1" applyAlignment="1">
      <alignment vertical="center"/>
    </xf>
    <xf numFmtId="165" fontId="7" fillId="0" borderId="6" xfId="0" applyNumberFormat="1" applyFont="1" applyBorder="1" applyAlignment="1">
      <alignment vertical="center"/>
    </xf>
    <xf numFmtId="0" fontId="7" fillId="0" borderId="6" xfId="0" applyFont="1" applyBorder="1" applyAlignment="1">
      <alignment vertical="center"/>
    </xf>
    <xf numFmtId="0" fontId="11" fillId="0" borderId="12" xfId="0" applyFont="1" applyBorder="1" applyAlignment="1">
      <alignment vertical="center"/>
    </xf>
    <xf numFmtId="0" fontId="7" fillId="0" borderId="6" xfId="0" applyFont="1" applyBorder="1"/>
    <xf numFmtId="166" fontId="10" fillId="0" borderId="12" xfId="0" applyNumberFormat="1" applyFont="1" applyBorder="1" applyAlignment="1">
      <alignment vertical="top"/>
    </xf>
    <xf numFmtId="165" fontId="11" fillId="0" borderId="6" xfId="0" applyNumberFormat="1" applyFont="1" applyBorder="1" applyAlignment="1">
      <alignment vertical="top"/>
    </xf>
    <xf numFmtId="3" fontId="15" fillId="0" borderId="8" xfId="1" applyNumberFormat="1" applyFont="1" applyBorder="1" applyAlignment="1">
      <alignment vertical="center"/>
    </xf>
    <xf numFmtId="165" fontId="11" fillId="0" borderId="17" xfId="0" applyNumberFormat="1" applyFont="1" applyBorder="1" applyAlignment="1">
      <alignment horizontal="center" vertical="top"/>
    </xf>
    <xf numFmtId="168" fontId="11" fillId="0" borderId="18" xfId="0" applyNumberFormat="1" applyFont="1" applyBorder="1" applyAlignment="1">
      <alignment horizontal="center" vertical="top"/>
    </xf>
    <xf numFmtId="8" fontId="10" fillId="0" borderId="0" xfId="0" applyNumberFormat="1" applyFont="1" applyBorder="1" applyAlignment="1">
      <alignment horizontal="center" vertical="center"/>
    </xf>
    <xf numFmtId="43" fontId="10" fillId="0" borderId="11" xfId="1" applyFont="1" applyBorder="1" applyAlignment="1">
      <alignment horizontal="center" vertical="center"/>
    </xf>
    <xf numFmtId="169" fontId="11" fillId="0" borderId="0" xfId="0" applyNumberFormat="1" applyFont="1" applyBorder="1" applyAlignment="1">
      <alignment horizontal="center" vertical="center"/>
    </xf>
    <xf numFmtId="170" fontId="7" fillId="0" borderId="11" xfId="1" applyNumberFormat="1" applyFont="1" applyBorder="1" applyAlignment="1">
      <alignment horizontal="center" vertical="center"/>
    </xf>
    <xf numFmtId="176" fontId="7" fillId="0" borderId="76" xfId="0" applyNumberFormat="1" applyFont="1" applyBorder="1" applyAlignment="1">
      <alignment vertical="center"/>
    </xf>
    <xf numFmtId="176" fontId="7" fillId="0" borderId="77" xfId="0" applyNumberFormat="1" applyFont="1" applyBorder="1" applyAlignment="1">
      <alignment vertical="center"/>
    </xf>
    <xf numFmtId="176" fontId="7" fillId="0" borderId="31" xfId="0" applyNumberFormat="1" applyFont="1" applyBorder="1" applyAlignment="1">
      <alignment vertical="center"/>
    </xf>
    <xf numFmtId="176" fontId="15" fillId="0" borderId="77" xfId="1" applyNumberFormat="1" applyFont="1" applyBorder="1" applyAlignment="1">
      <alignment vertical="center"/>
    </xf>
    <xf numFmtId="176" fontId="11" fillId="0" borderId="77" xfId="0" applyNumberFormat="1" applyFont="1" applyBorder="1" applyAlignment="1">
      <alignment vertical="center"/>
    </xf>
    <xf numFmtId="176" fontId="11" fillId="0" borderId="77" xfId="0" applyNumberFormat="1" applyFont="1" applyBorder="1" applyAlignment="1">
      <alignment vertical="top"/>
    </xf>
    <xf numFmtId="176" fontId="7" fillId="0" borderId="31" xfId="0" applyNumberFormat="1" applyFont="1" applyBorder="1"/>
    <xf numFmtId="176" fontId="10" fillId="0" borderId="77" xfId="0" applyNumberFormat="1" applyFont="1" applyBorder="1" applyAlignment="1">
      <alignment vertical="top"/>
    </xf>
    <xf numFmtId="176" fontId="10" fillId="0" borderId="77" xfId="0" applyNumberFormat="1" applyFont="1" applyBorder="1" applyAlignment="1">
      <alignment vertical="center"/>
    </xf>
    <xf numFmtId="176" fontId="11" fillId="0" borderId="31" xfId="0" applyNumberFormat="1" applyFont="1" applyBorder="1" applyAlignment="1">
      <alignment vertical="top"/>
    </xf>
    <xf numFmtId="176" fontId="16" fillId="0" borderId="77" xfId="0" applyNumberFormat="1" applyFont="1" applyBorder="1" applyAlignment="1">
      <alignment vertical="center"/>
    </xf>
    <xf numFmtId="176" fontId="9" fillId="0" borderId="78" xfId="0" applyNumberFormat="1" applyFont="1" applyBorder="1" applyAlignment="1">
      <alignment vertical="center"/>
    </xf>
    <xf numFmtId="165" fontId="7" fillId="0" borderId="31" xfId="0" applyNumberFormat="1" applyFont="1" applyBorder="1" applyAlignment="1">
      <alignment vertical="center"/>
    </xf>
    <xf numFmtId="174" fontId="11" fillId="0" borderId="0" xfId="2" applyNumberFormat="1" applyFont="1" applyBorder="1" applyAlignment="1">
      <alignment vertical="center"/>
    </xf>
    <xf numFmtId="166" fontId="20" fillId="0" borderId="20" xfId="0" applyNumberFormat="1" applyFont="1" applyBorder="1" applyAlignment="1">
      <alignment vertical="top"/>
    </xf>
    <xf numFmtId="166" fontId="20" fillId="0" borderId="8" xfId="0" applyNumberFormat="1" applyFont="1" applyBorder="1" applyAlignment="1">
      <alignment vertical="top"/>
    </xf>
    <xf numFmtId="166" fontId="20" fillId="0" borderId="8" xfId="0" applyNumberFormat="1" applyFont="1" applyBorder="1" applyAlignment="1">
      <alignment vertical="center"/>
    </xf>
    <xf numFmtId="166" fontId="9" fillId="0" borderId="20" xfId="0" applyNumberFormat="1" applyFont="1" applyBorder="1" applyAlignment="1">
      <alignment horizontal="right" vertical="center"/>
    </xf>
    <xf numFmtId="166" fontId="9" fillId="0" borderId="8" xfId="0" applyNumberFormat="1" applyFont="1" applyBorder="1" applyAlignment="1">
      <alignment horizontal="right" vertical="center"/>
    </xf>
    <xf numFmtId="166" fontId="9" fillId="0" borderId="25" xfId="0" applyNumberFormat="1" applyFont="1" applyBorder="1" applyAlignment="1">
      <alignment horizontal="right" vertical="center"/>
    </xf>
    <xf numFmtId="0" fontId="13" fillId="0" borderId="25" xfId="0" quotePrefix="1" applyFont="1" applyBorder="1" applyAlignment="1">
      <alignment vertical="center"/>
    </xf>
    <xf numFmtId="166" fontId="14" fillId="0" borderId="8" xfId="1" applyNumberFormat="1" applyFont="1" applyBorder="1" applyAlignment="1">
      <alignment horizontal="right" vertical="center"/>
    </xf>
    <xf numFmtId="166" fontId="16" fillId="0" borderId="8" xfId="0" applyNumberFormat="1" applyFont="1" applyBorder="1" applyAlignment="1">
      <alignment horizontal="right" vertical="center"/>
    </xf>
    <xf numFmtId="0" fontId="9" fillId="0" borderId="8" xfId="0" applyFont="1" applyBorder="1" applyAlignment="1">
      <alignment horizontal="right" vertical="center"/>
    </xf>
    <xf numFmtId="0" fontId="9" fillId="0" borderId="25" xfId="0" applyFont="1" applyBorder="1" applyAlignment="1">
      <alignment horizontal="right" vertical="center"/>
    </xf>
    <xf numFmtId="0" fontId="9" fillId="0" borderId="8" xfId="0" applyFont="1" applyBorder="1" applyAlignment="1">
      <alignment horizontal="right" vertical="top"/>
    </xf>
    <xf numFmtId="0" fontId="0" fillId="0" borderId="25" xfId="0" applyBorder="1" applyAlignment="1">
      <alignment horizontal="right"/>
    </xf>
    <xf numFmtId="43" fontId="12" fillId="0" borderId="8" xfId="1" applyFont="1" applyBorder="1" applyAlignment="1">
      <alignment horizontal="right" vertical="top"/>
    </xf>
    <xf numFmtId="43" fontId="12" fillId="0" borderId="25" xfId="1" applyFont="1" applyBorder="1" applyAlignment="1">
      <alignment horizontal="right" vertical="top"/>
    </xf>
    <xf numFmtId="164" fontId="0" fillId="0" borderId="0" xfId="1" applyNumberFormat="1" applyFont="1"/>
    <xf numFmtId="177" fontId="25" fillId="8" borderId="29" xfId="0" applyNumberFormat="1" applyFont="1" applyFill="1" applyBorder="1" applyAlignment="1">
      <alignment horizontal="right" vertical="center" wrapText="1"/>
    </xf>
    <xf numFmtId="178" fontId="25" fillId="8" borderId="29" xfId="0" applyNumberFormat="1" applyFont="1" applyFill="1" applyBorder="1" applyAlignment="1">
      <alignment horizontal="right" vertical="center" wrapText="1"/>
    </xf>
    <xf numFmtId="177" fontId="25" fillId="15" borderId="29" xfId="0" applyNumberFormat="1" applyFont="1" applyFill="1" applyBorder="1" applyAlignment="1">
      <alignment horizontal="right" vertical="center" wrapText="1"/>
    </xf>
    <xf numFmtId="177" fontId="25" fillId="13" borderId="29" xfId="0" applyNumberFormat="1" applyFont="1" applyFill="1" applyBorder="1" applyAlignment="1">
      <alignment horizontal="right" vertical="center" wrapText="1"/>
    </xf>
    <xf numFmtId="178" fontId="25" fillId="13" borderId="29" xfId="0" applyNumberFormat="1" applyFont="1" applyFill="1" applyBorder="1" applyAlignment="1">
      <alignment horizontal="right" vertical="center" wrapText="1"/>
    </xf>
    <xf numFmtId="49" fontId="0" fillId="9" borderId="79" xfId="0" applyNumberFormat="1" applyFill="1" applyBorder="1" applyAlignment="1">
      <alignment horizontal="left" vertical="center" wrapText="1"/>
    </xf>
    <xf numFmtId="49" fontId="0" fillId="9" borderId="80" xfId="0" applyNumberFormat="1" applyFill="1" applyBorder="1" applyAlignment="1">
      <alignment horizontal="left" vertical="center" wrapText="1"/>
    </xf>
    <xf numFmtId="49" fontId="0" fillId="9" borderId="36" xfId="0" applyNumberFormat="1" applyFill="1" applyBorder="1" applyAlignment="1">
      <alignment horizontal="left" vertical="center" wrapText="1"/>
    </xf>
    <xf numFmtId="49" fontId="0" fillId="9" borderId="81" xfId="0" applyNumberFormat="1" applyFill="1" applyBorder="1" applyAlignment="1">
      <alignment horizontal="left" vertical="center" wrapText="1"/>
    </xf>
    <xf numFmtId="49" fontId="0" fillId="9" borderId="82" xfId="0" applyNumberFormat="1" applyFill="1" applyBorder="1" applyAlignment="1">
      <alignment horizontal="left" vertical="center" wrapText="1"/>
    </xf>
    <xf numFmtId="49" fontId="0" fillId="9" borderId="83" xfId="0" applyNumberFormat="1" applyFill="1" applyBorder="1" applyAlignment="1">
      <alignment horizontal="left" vertical="center" wrapText="1"/>
    </xf>
    <xf numFmtId="49" fontId="25" fillId="9" borderId="27" xfId="0" applyNumberFormat="1" applyFont="1" applyFill="1" applyBorder="1" applyAlignment="1">
      <alignment horizontal="left" vertical="center" wrapText="1"/>
    </xf>
    <xf numFmtId="49" fontId="25" fillId="14" borderId="84" xfId="0" applyNumberFormat="1" applyFont="1" applyFill="1" applyBorder="1" applyAlignment="1">
      <alignment horizontal="center" vertical="center" wrapText="1"/>
    </xf>
    <xf numFmtId="177" fontId="0" fillId="15" borderId="29" xfId="0" applyNumberFormat="1" applyFill="1" applyBorder="1"/>
    <xf numFmtId="6" fontId="0" fillId="0" borderId="0" xfId="0" applyNumberFormat="1"/>
    <xf numFmtId="0" fontId="56" fillId="0" borderId="0" xfId="0" applyFont="1" applyBorder="1" applyAlignment="1">
      <alignment horizontal="center"/>
    </xf>
    <xf numFmtId="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179" fontId="25" fillId="13" borderId="29" xfId="0" applyNumberFormat="1" applyFont="1" applyFill="1" applyBorder="1" applyAlignment="1">
      <alignment horizontal="right" vertical="center" wrapText="1"/>
    </xf>
    <xf numFmtId="0" fontId="0" fillId="0" borderId="0" xfId="0" applyFont="1"/>
    <xf numFmtId="164" fontId="0" fillId="0" borderId="0" xfId="0" applyNumberFormat="1"/>
    <xf numFmtId="3" fontId="0" fillId="0" borderId="1" xfId="0" applyNumberFormat="1" applyBorder="1"/>
    <xf numFmtId="3" fontId="0" fillId="0" borderId="25" xfId="0" applyNumberFormat="1" applyBorder="1"/>
    <xf numFmtId="3" fontId="0" fillId="0" borderId="71" xfId="0" applyNumberFormat="1" applyBorder="1"/>
    <xf numFmtId="0" fontId="8" fillId="3" borderId="46" xfId="0" applyFont="1" applyFill="1" applyBorder="1" applyAlignment="1">
      <alignment horizontal="left"/>
    </xf>
    <xf numFmtId="0" fontId="8" fillId="3" borderId="38" xfId="0" applyFont="1" applyFill="1" applyBorder="1" applyAlignment="1">
      <alignment horizontal="left"/>
    </xf>
    <xf numFmtId="0" fontId="57" fillId="0" borderId="0" xfId="0" applyFont="1" applyAlignment="1">
      <alignment horizontal="left"/>
    </xf>
    <xf numFmtId="171" fontId="25" fillId="25" borderId="29" xfId="0" applyNumberFormat="1" applyFont="1" applyFill="1" applyBorder="1" applyAlignment="1">
      <alignment horizontal="right" vertical="center" wrapText="1"/>
    </xf>
    <xf numFmtId="49" fontId="25" fillId="24" borderId="29" xfId="0" applyNumberFormat="1" applyFont="1" applyFill="1" applyBorder="1" applyAlignment="1">
      <alignment horizontal="center" vertical="center" wrapText="1"/>
    </xf>
    <xf numFmtId="0" fontId="0" fillId="15" borderId="0" xfId="0" applyFill="1"/>
    <xf numFmtId="179" fontId="25" fillId="4" borderId="0" xfId="0" applyNumberFormat="1" applyFont="1" applyFill="1" applyBorder="1" applyAlignment="1">
      <alignment horizontal="right" vertical="center" wrapText="1"/>
    </xf>
    <xf numFmtId="171" fontId="27" fillId="15" borderId="29" xfId="0" applyNumberFormat="1" applyFont="1" applyFill="1" applyBorder="1" applyAlignment="1">
      <alignment horizontal="right" vertical="center" wrapText="1"/>
    </xf>
    <xf numFmtId="49" fontId="58" fillId="15" borderId="29" xfId="0" applyNumberFormat="1" applyFont="1" applyFill="1" applyBorder="1" applyAlignment="1">
      <alignment horizontal="center" vertical="center" wrapText="1"/>
    </xf>
    <xf numFmtId="0" fontId="59" fillId="0" borderId="0" xfId="0" applyFont="1" applyAlignment="1">
      <alignment horizontal="center" wrapText="1"/>
    </xf>
    <xf numFmtId="0" fontId="1" fillId="0" borderId="0" xfId="0" applyFont="1" applyAlignment="1">
      <alignment horizontal="right"/>
    </xf>
    <xf numFmtId="10" fontId="30" fillId="25" borderId="44" xfId="3" applyNumberFormat="1" applyFont="1" applyFill="1" applyBorder="1" applyAlignment="1">
      <alignment horizontal="center"/>
    </xf>
    <xf numFmtId="10" fontId="1" fillId="0" borderId="0" xfId="3" applyNumberFormat="1" applyFont="1"/>
    <xf numFmtId="49" fontId="25" fillId="11" borderId="0" xfId="0" applyNumberFormat="1" applyFont="1" applyFill="1" applyBorder="1" applyAlignment="1">
      <alignment horizontal="left" vertical="center" wrapText="1"/>
    </xf>
    <xf numFmtId="0" fontId="1" fillId="0" borderId="2" xfId="0" applyFont="1" applyBorder="1" applyAlignment="1">
      <alignment horizontal="center"/>
    </xf>
    <xf numFmtId="0" fontId="1" fillId="0" borderId="0" xfId="0" applyFont="1" applyAlignment="1">
      <alignment horizontal="center" vertical="center" wrapText="1"/>
    </xf>
    <xf numFmtId="0" fontId="1" fillId="0" borderId="0" xfId="0" applyFont="1" applyAlignment="1">
      <alignment horizontal="center" wrapText="1"/>
    </xf>
    <xf numFmtId="0" fontId="0" fillId="0" borderId="85" xfId="0" applyBorder="1" applyAlignment="1">
      <alignment horizontal="right"/>
    </xf>
    <xf numFmtId="164" fontId="0" fillId="0" borderId="86" xfId="1" applyNumberFormat="1" applyFont="1" applyBorder="1"/>
    <xf numFmtId="180" fontId="0" fillId="0" borderId="86" xfId="2" applyNumberFormat="1" applyFont="1" applyBorder="1"/>
    <xf numFmtId="180" fontId="0" fillId="0" borderId="86" xfId="2" applyNumberFormat="1" applyFont="1" applyBorder="1" applyAlignment="1">
      <alignment horizontal="center"/>
    </xf>
    <xf numFmtId="174" fontId="0" fillId="0" borderId="87" xfId="0" applyNumberFormat="1" applyBorder="1"/>
    <xf numFmtId="0" fontId="0" fillId="0" borderId="74" xfId="0" applyBorder="1" applyAlignment="1">
      <alignment horizontal="right"/>
    </xf>
    <xf numFmtId="164" fontId="0" fillId="0" borderId="0" xfId="1" applyNumberFormat="1" applyFont="1" applyBorder="1"/>
    <xf numFmtId="180" fontId="0" fillId="0" borderId="0" xfId="2" applyNumberFormat="1" applyFont="1" applyBorder="1"/>
    <xf numFmtId="180" fontId="0" fillId="0" borderId="0" xfId="2" applyNumberFormat="1" applyFont="1" applyBorder="1" applyAlignment="1">
      <alignment horizontal="center"/>
    </xf>
    <xf numFmtId="180" fontId="0" fillId="0" borderId="0" xfId="0" applyNumberFormat="1" applyBorder="1"/>
    <xf numFmtId="174" fontId="0" fillId="0" borderId="88" xfId="0" applyNumberFormat="1" applyBorder="1"/>
    <xf numFmtId="164" fontId="0" fillId="0" borderId="0" xfId="0" applyNumberFormat="1" applyBorder="1"/>
    <xf numFmtId="174" fontId="0" fillId="0" borderId="88" xfId="2" applyNumberFormat="1" applyFont="1" applyBorder="1"/>
    <xf numFmtId="164" fontId="0" fillId="0" borderId="86" xfId="0" applyNumberFormat="1" applyBorder="1"/>
    <xf numFmtId="174" fontId="0" fillId="0" borderId="87" xfId="2" applyNumberFormat="1" applyFont="1" applyBorder="1"/>
    <xf numFmtId="0" fontId="0" fillId="0" borderId="89" xfId="0" applyBorder="1" applyAlignment="1">
      <alignment horizontal="right"/>
    </xf>
    <xf numFmtId="164" fontId="0" fillId="0" borderId="70" xfId="0" applyNumberFormat="1" applyBorder="1"/>
    <xf numFmtId="180" fontId="0" fillId="0" borderId="70" xfId="2" applyNumberFormat="1" applyFont="1" applyBorder="1" applyAlignment="1">
      <alignment horizontal="center"/>
    </xf>
    <xf numFmtId="180" fontId="0" fillId="0" borderId="70" xfId="2" applyNumberFormat="1" applyFont="1" applyBorder="1"/>
    <xf numFmtId="174" fontId="0" fillId="0" borderId="90" xfId="2" applyNumberFormat="1" applyFont="1" applyBorder="1"/>
    <xf numFmtId="0" fontId="0" fillId="0" borderId="58" xfId="0" applyBorder="1" applyAlignment="1">
      <alignment horizontal="right"/>
    </xf>
    <xf numFmtId="164" fontId="0" fillId="0" borderId="59" xfId="0" applyNumberFormat="1" applyBorder="1"/>
    <xf numFmtId="180" fontId="0" fillId="0" borderId="59" xfId="2" applyNumberFormat="1" applyFont="1" applyBorder="1"/>
    <xf numFmtId="180" fontId="0" fillId="0" borderId="59" xfId="2" applyNumberFormat="1" applyFont="1" applyBorder="1" applyAlignment="1">
      <alignment horizontal="center"/>
    </xf>
    <xf numFmtId="174" fontId="0" fillId="0" borderId="44" xfId="0" applyNumberFormat="1" applyBorder="1"/>
    <xf numFmtId="174" fontId="0" fillId="15" borderId="44" xfId="0" applyNumberFormat="1" applyFill="1" applyBorder="1"/>
    <xf numFmtId="174" fontId="0" fillId="0" borderId="0" xfId="0" applyNumberFormat="1" applyBorder="1"/>
    <xf numFmtId="0" fontId="1" fillId="0" borderId="0" xfId="0" applyFont="1" applyBorder="1" applyAlignment="1">
      <alignment horizontal="center"/>
    </xf>
    <xf numFmtId="174" fontId="1" fillId="0" borderId="0" xfId="0" applyNumberFormat="1" applyFont="1" applyBorder="1" applyAlignment="1">
      <alignment horizontal="center"/>
    </xf>
    <xf numFmtId="0" fontId="0" fillId="0" borderId="85" xfId="0" applyBorder="1" applyAlignment="1">
      <alignment horizontal="right" vertical="center" wrapText="1"/>
    </xf>
    <xf numFmtId="164" fontId="0" fillId="0" borderId="91" xfId="1" applyNumberFormat="1" applyFont="1" applyBorder="1"/>
    <xf numFmtId="180" fontId="0" fillId="0" borderId="0" xfId="2" applyNumberFormat="1" applyFont="1"/>
    <xf numFmtId="0" fontId="0" fillId="0" borderId="74" xfId="0" applyBorder="1" applyAlignment="1">
      <alignment horizontal="right" vertical="center" wrapText="1"/>
    </xf>
    <xf numFmtId="164" fontId="0" fillId="0" borderId="92" xfId="1" applyNumberFormat="1" applyFont="1" applyBorder="1"/>
    <xf numFmtId="164" fontId="0" fillId="0" borderId="93" xfId="1" applyNumberFormat="1" applyFont="1" applyBorder="1"/>
    <xf numFmtId="174" fontId="0" fillId="0" borderId="0" xfId="2" applyNumberFormat="1" applyFont="1"/>
    <xf numFmtId="0" fontId="1" fillId="0" borderId="4" xfId="0" applyFont="1" applyBorder="1" applyAlignment="1">
      <alignment horizontal="center"/>
    </xf>
    <xf numFmtId="0" fontId="0" fillId="0" borderId="4" xfId="0" applyBorder="1"/>
    <xf numFmtId="180" fontId="0" fillId="0" borderId="4" xfId="0" applyNumberFormat="1" applyBorder="1"/>
    <xf numFmtId="174" fontId="0" fillId="0" borderId="74" xfId="2" applyNumberFormat="1" applyFont="1" applyBorder="1"/>
    <xf numFmtId="174" fontId="0" fillId="15" borderId="74" xfId="0" applyNumberFormat="1" applyFill="1" applyBorder="1"/>
    <xf numFmtId="174" fontId="0" fillId="15" borderId="3" xfId="0" applyNumberFormat="1" applyFill="1" applyBorder="1"/>
    <xf numFmtId="0" fontId="0" fillId="0" borderId="89" xfId="0" applyBorder="1"/>
    <xf numFmtId="174" fontId="0" fillId="0" borderId="74" xfId="2" applyNumberFormat="1" applyFont="1" applyBorder="1" applyAlignment="1">
      <alignment horizontal="center"/>
    </xf>
    <xf numFmtId="174" fontId="0" fillId="0" borderId="92" xfId="2" applyNumberFormat="1" applyFont="1" applyBorder="1" applyAlignment="1"/>
    <xf numFmtId="0" fontId="4" fillId="0" borderId="0" xfId="0" applyFont="1" applyAlignment="1">
      <alignment horizontal="center"/>
    </xf>
    <xf numFmtId="174" fontId="0" fillId="0" borderId="0" xfId="2" applyNumberFormat="1" applyFont="1" applyBorder="1"/>
    <xf numFmtId="174" fontId="0" fillId="0" borderId="95" xfId="2" applyNumberFormat="1" applyFont="1" applyBorder="1" applyAlignment="1">
      <alignment horizontal="center"/>
    </xf>
    <xf numFmtId="174" fontId="0" fillId="0" borderId="74" xfId="0" applyNumberFormat="1" applyBorder="1" applyAlignment="1">
      <alignment horizontal="center"/>
    </xf>
    <xf numFmtId="174" fontId="0" fillId="0" borderId="94" xfId="2" applyNumberFormat="1" applyFont="1" applyBorder="1"/>
    <xf numFmtId="174" fontId="0" fillId="0" borderId="74" xfId="0" applyNumberFormat="1" applyFill="1" applyBorder="1"/>
    <xf numFmtId="174" fontId="0" fillId="0" borderId="74" xfId="0" applyNumberFormat="1" applyBorder="1" applyAlignment="1">
      <alignment horizontal="center" wrapText="1"/>
    </xf>
    <xf numFmtId="174" fontId="0" fillId="0" borderId="96" xfId="2" applyNumberFormat="1" applyFont="1" applyBorder="1" applyAlignment="1"/>
    <xf numFmtId="174" fontId="0" fillId="0" borderId="89" xfId="0" applyNumberFormat="1" applyBorder="1" applyAlignment="1">
      <alignment horizontal="center" wrapText="1"/>
    </xf>
    <xf numFmtId="174" fontId="0" fillId="0" borderId="93" xfId="0" applyNumberFormat="1" applyBorder="1" applyAlignment="1">
      <alignment horizontal="right" wrapText="1"/>
    </xf>
    <xf numFmtId="174" fontId="1" fillId="0" borderId="95" xfId="0" applyNumberFormat="1" applyFont="1" applyBorder="1" applyAlignment="1">
      <alignment horizontal="center"/>
    </xf>
    <xf numFmtId="0" fontId="0" fillId="0" borderId="58" xfId="0" applyBorder="1" applyAlignment="1">
      <alignment horizontal="center"/>
    </xf>
    <xf numFmtId="0" fontId="0" fillId="0" borderId="60" xfId="0" applyBorder="1" applyAlignment="1">
      <alignment horizontal="center"/>
    </xf>
    <xf numFmtId="174" fontId="0" fillId="26" borderId="92" xfId="2" applyNumberFormat="1" applyFont="1" applyFill="1" applyBorder="1" applyAlignment="1"/>
    <xf numFmtId="174" fontId="0" fillId="26" borderId="74" xfId="2" applyNumberFormat="1" applyFont="1" applyFill="1" applyBorder="1"/>
    <xf numFmtId="174" fontId="0" fillId="20" borderId="92" xfId="2" applyNumberFormat="1" applyFont="1" applyFill="1" applyBorder="1" applyAlignment="1"/>
    <xf numFmtId="174" fontId="0" fillId="20" borderId="89" xfId="2" applyNumberFormat="1" applyFont="1" applyFill="1" applyBorder="1"/>
    <xf numFmtId="174" fontId="0" fillId="23" borderId="92" xfId="2" applyNumberFormat="1" applyFont="1" applyFill="1" applyBorder="1" applyAlignment="1"/>
    <xf numFmtId="174" fontId="0" fillId="23" borderId="88" xfId="2" applyNumberFormat="1" applyFont="1" applyFill="1" applyBorder="1"/>
    <xf numFmtId="174" fontId="0" fillId="27" borderId="93" xfId="2" applyNumberFormat="1" applyFont="1" applyFill="1" applyBorder="1" applyAlignment="1"/>
    <xf numFmtId="174" fontId="0" fillId="27" borderId="88" xfId="2" applyNumberFormat="1" applyFont="1" applyFill="1" applyBorder="1"/>
    <xf numFmtId="165" fontId="9" fillId="22" borderId="0" xfId="2" applyNumberFormat="1" applyFont="1" applyFill="1" applyBorder="1" applyAlignment="1">
      <alignment horizontal="right" vertical="center"/>
    </xf>
    <xf numFmtId="174" fontId="0" fillId="28" borderId="74" xfId="2" applyNumberFormat="1" applyFont="1" applyFill="1" applyBorder="1"/>
    <xf numFmtId="174" fontId="0" fillId="28" borderId="92" xfId="2" applyNumberFormat="1" applyFont="1" applyFill="1" applyBorder="1" applyAlignment="1"/>
    <xf numFmtId="49" fontId="0" fillId="9" borderId="29" xfId="0" applyNumberFormat="1" applyFill="1" applyBorder="1" applyAlignment="1">
      <alignment horizontal="center" vertical="center"/>
    </xf>
    <xf numFmtId="49" fontId="25" fillId="12" borderId="29" xfId="0" applyNumberFormat="1" applyFont="1" applyFill="1" applyBorder="1" applyAlignment="1">
      <alignment horizontal="left" vertical="center"/>
    </xf>
    <xf numFmtId="171" fontId="0" fillId="0" borderId="0" xfId="0" applyNumberFormat="1"/>
    <xf numFmtId="0" fontId="0" fillId="0" borderId="2" xfId="0" applyBorder="1"/>
    <xf numFmtId="49" fontId="62" fillId="9" borderId="29" xfId="0" applyNumberFormat="1" applyFont="1" applyFill="1" applyBorder="1" applyAlignment="1">
      <alignment horizontal="right" vertical="center"/>
    </xf>
    <xf numFmtId="0" fontId="63" fillId="0" borderId="0" xfId="0" applyFont="1"/>
    <xf numFmtId="174" fontId="0" fillId="29" borderId="92" xfId="2" applyNumberFormat="1" applyFont="1" applyFill="1" applyBorder="1" applyAlignment="1"/>
    <xf numFmtId="164" fontId="0" fillId="29" borderId="96" xfId="1" applyNumberFormat="1" applyFont="1" applyFill="1" applyBorder="1" applyAlignment="1"/>
    <xf numFmtId="181" fontId="25" fillId="13" borderId="29" xfId="0" applyNumberFormat="1" applyFont="1" applyFill="1" applyBorder="1" applyAlignment="1">
      <alignment horizontal="right" vertical="center" wrapText="1"/>
    </xf>
    <xf numFmtId="49" fontId="64" fillId="12" borderId="29" xfId="0" applyNumberFormat="1" applyFont="1" applyFill="1" applyBorder="1" applyAlignment="1">
      <alignment horizontal="left" vertical="center"/>
    </xf>
    <xf numFmtId="49" fontId="64" fillId="14" borderId="29" xfId="0" applyNumberFormat="1" applyFont="1" applyFill="1" applyBorder="1" applyAlignment="1">
      <alignment horizontal="left" vertical="center"/>
    </xf>
    <xf numFmtId="49" fontId="64" fillId="11" borderId="29" xfId="0" applyNumberFormat="1" applyFont="1" applyFill="1" applyBorder="1" applyAlignment="1">
      <alignment horizontal="left" vertical="center"/>
    </xf>
    <xf numFmtId="49" fontId="62" fillId="15" borderId="29" xfId="0" applyNumberFormat="1" applyFont="1" applyFill="1" applyBorder="1" applyAlignment="1">
      <alignment horizontal="right" vertical="center"/>
    </xf>
    <xf numFmtId="0" fontId="1" fillId="0" borderId="1" xfId="0" applyFont="1" applyBorder="1" applyAlignment="1">
      <alignment horizontal="center"/>
    </xf>
    <xf numFmtId="0" fontId="0" fillId="0" borderId="0" xfId="0" applyAlignment="1">
      <alignment horizontal="center"/>
    </xf>
    <xf numFmtId="0" fontId="8" fillId="3" borderId="38" xfId="0" applyFont="1" applyFill="1" applyBorder="1" applyAlignment="1"/>
    <xf numFmtId="0" fontId="8" fillId="3" borderId="46" xfId="0" applyFont="1" applyFill="1" applyBorder="1" applyAlignment="1"/>
    <xf numFmtId="0" fontId="57" fillId="0" borderId="0" xfId="0" applyFont="1"/>
    <xf numFmtId="0" fontId="4" fillId="0" borderId="0" xfId="0" applyFont="1" applyBorder="1" applyAlignment="1">
      <alignment horizontal="center"/>
    </xf>
    <xf numFmtId="164" fontId="1" fillId="0" borderId="0" xfId="1" applyNumberFormat="1" applyFont="1" applyBorder="1" applyAlignment="1">
      <alignment horizontal="center"/>
    </xf>
    <xf numFmtId="0" fontId="65" fillId="0" borderId="0" xfId="0" applyFont="1" applyAlignment="1">
      <alignment horizontal="center"/>
    </xf>
    <xf numFmtId="0" fontId="16"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66" fillId="0" borderId="0" xfId="0" applyFont="1" applyAlignment="1">
      <alignment vertical="center"/>
    </xf>
    <xf numFmtId="164" fontId="0" fillId="0" borderId="20" xfId="1" applyNumberFormat="1" applyFont="1" applyBorder="1" applyAlignment="1">
      <alignment horizontal="right"/>
    </xf>
    <xf numFmtId="164" fontId="67" fillId="0" borderId="0" xfId="1" applyNumberFormat="1" applyFont="1"/>
    <xf numFmtId="3" fontId="10" fillId="0" borderId="9" xfId="1" applyNumberFormat="1" applyFont="1" applyBorder="1" applyAlignment="1">
      <alignment horizontal="left" vertical="center"/>
    </xf>
    <xf numFmtId="182" fontId="25" fillId="4" borderId="29" xfId="0" applyNumberFormat="1" applyFont="1" applyFill="1" applyBorder="1" applyAlignment="1">
      <alignment horizontal="right" vertical="center" wrapText="1"/>
    </xf>
    <xf numFmtId="182" fontId="0" fillId="0" borderId="0" xfId="0" applyNumberFormat="1"/>
    <xf numFmtId="182" fontId="0" fillId="0" borderId="0" xfId="0" applyNumberFormat="1" applyFill="1"/>
    <xf numFmtId="0" fontId="1" fillId="0" borderId="1" xfId="0" applyFont="1" applyBorder="1" applyAlignment="1">
      <alignment horizontal="center"/>
    </xf>
    <xf numFmtId="0" fontId="57" fillId="15" borderId="0" xfId="0" applyFont="1" applyFill="1"/>
    <xf numFmtId="0" fontId="24" fillId="0" borderId="97" xfId="0" applyFont="1" applyBorder="1" applyAlignment="1">
      <alignment horizontal="left" vertical="top" wrapText="1"/>
    </xf>
    <xf numFmtId="165" fontId="24" fillId="0" borderId="98" xfId="0" applyNumberFormat="1" applyFont="1" applyBorder="1" applyAlignment="1">
      <alignment horizontal="left" vertical="top" wrapText="1"/>
    </xf>
    <xf numFmtId="0" fontId="4" fillId="0" borderId="99" xfId="0" applyFont="1" applyBorder="1" applyAlignment="1">
      <alignment horizontal="center"/>
    </xf>
    <xf numFmtId="164" fontId="1" fillId="0" borderId="99" xfId="1" applyNumberFormat="1" applyFont="1" applyBorder="1" applyAlignment="1">
      <alignment horizontal="center"/>
    </xf>
    <xf numFmtId="0" fontId="6" fillId="3" borderId="59" xfId="0" applyFont="1" applyFill="1" applyBorder="1"/>
    <xf numFmtId="0" fontId="8" fillId="3" borderId="59" xfId="0" applyFont="1" applyFill="1" applyBorder="1" applyAlignment="1">
      <alignment horizontal="center"/>
    </xf>
    <xf numFmtId="0" fontId="1" fillId="0" borderId="0" xfId="0" applyFont="1" applyAlignment="1">
      <alignment horizontal="right" wrapText="1"/>
    </xf>
    <xf numFmtId="0" fontId="56" fillId="3" borderId="58" xfId="0" applyFont="1" applyFill="1" applyBorder="1" applyAlignment="1">
      <alignment horizontal="center"/>
    </xf>
    <xf numFmtId="3" fontId="1" fillId="0" borderId="1" xfId="0" applyNumberFormat="1" applyFont="1" applyBorder="1" applyAlignment="1">
      <alignment horizontal="right"/>
    </xf>
    <xf numFmtId="3" fontId="1" fillId="0" borderId="20" xfId="0" applyNumberFormat="1" applyFont="1" applyBorder="1" applyAlignment="1">
      <alignment horizontal="right"/>
    </xf>
    <xf numFmtId="3" fontId="0" fillId="15" borderId="20" xfId="0" applyNumberFormat="1" applyFill="1" applyBorder="1" applyAlignment="1">
      <alignment horizontal="right"/>
    </xf>
    <xf numFmtId="164" fontId="0" fillId="15" borderId="20" xfId="1" applyNumberFormat="1" applyFont="1" applyFill="1" applyBorder="1" applyAlignment="1">
      <alignment horizontal="right"/>
    </xf>
    <xf numFmtId="3" fontId="0" fillId="15" borderId="1" xfId="0" applyNumberFormat="1" applyFill="1" applyBorder="1" applyAlignment="1">
      <alignment horizontal="right"/>
    </xf>
    <xf numFmtId="0" fontId="0" fillId="0" borderId="0" xfId="0" applyFont="1" applyAlignment="1">
      <alignment horizontal="left"/>
    </xf>
    <xf numFmtId="0" fontId="0" fillId="4" borderId="0" xfId="0" applyFill="1"/>
    <xf numFmtId="0" fontId="8" fillId="3" borderId="0" xfId="0" applyFont="1" applyFill="1" applyBorder="1" applyAlignment="1">
      <alignment horizontal="center" wrapText="1"/>
    </xf>
    <xf numFmtId="0" fontId="56" fillId="3" borderId="0" xfId="0" applyFont="1" applyFill="1" applyBorder="1" applyAlignment="1">
      <alignment horizontal="center"/>
    </xf>
    <xf numFmtId="164" fontId="1" fillId="0" borderId="101" xfId="1" applyNumberFormat="1" applyFont="1" applyBorder="1" applyAlignment="1"/>
    <xf numFmtId="164" fontId="1" fillId="0" borderId="102" xfId="1" applyNumberFormat="1" applyFont="1" applyBorder="1" applyAlignment="1"/>
    <xf numFmtId="0" fontId="2" fillId="0" borderId="0" xfId="0" applyFont="1" applyFill="1" applyBorder="1" applyAlignment="1">
      <alignment horizontal="left" vertical="top"/>
    </xf>
    <xf numFmtId="0" fontId="54" fillId="0" borderId="0" xfId="0" applyFont="1" applyBorder="1" applyAlignment="1">
      <alignment horizontal="left" vertical="top" wrapText="1"/>
    </xf>
    <xf numFmtId="165" fontId="4" fillId="0" borderId="0" xfId="0" applyNumberFormat="1" applyFont="1" applyBorder="1" applyAlignment="1">
      <alignment horizontal="center"/>
    </xf>
    <xf numFmtId="165" fontId="0" fillId="0" borderId="0" xfId="0" applyNumberFormat="1" applyBorder="1" applyAlignment="1">
      <alignment horizontal="center"/>
    </xf>
    <xf numFmtId="168" fontId="4" fillId="0" borderId="0" xfId="0" applyNumberFormat="1" applyFont="1" applyBorder="1" applyAlignment="1">
      <alignment horizontal="center"/>
    </xf>
    <xf numFmtId="164" fontId="1" fillId="0" borderId="102" xfId="1" applyNumberFormat="1" applyFont="1" applyBorder="1" applyAlignment="1">
      <alignment horizontal="center"/>
    </xf>
    <xf numFmtId="164" fontId="1" fillId="0" borderId="100" xfId="1" applyNumberFormat="1" applyFont="1" applyBorder="1" applyAlignment="1">
      <alignment horizontal="center"/>
    </xf>
    <xf numFmtId="0" fontId="0" fillId="0" borderId="0" xfId="0" applyAlignment="1">
      <alignment horizontal="center"/>
    </xf>
    <xf numFmtId="0" fontId="0" fillId="30" borderId="0" xfId="0" applyFill="1"/>
    <xf numFmtId="164" fontId="0" fillId="31" borderId="0" xfId="1" applyNumberFormat="1" applyFont="1" applyFill="1"/>
    <xf numFmtId="164" fontId="0" fillId="22" borderId="0" xfId="1" applyNumberFormat="1" applyFont="1" applyFill="1"/>
    <xf numFmtId="164" fontId="0" fillId="32" borderId="0" xfId="1" applyNumberFormat="1" applyFont="1" applyFill="1"/>
    <xf numFmtId="167" fontId="9" fillId="0" borderId="0" xfId="3" applyNumberFormat="1" applyFont="1" applyBorder="1" applyAlignment="1">
      <alignment horizontal="right" vertical="center"/>
    </xf>
    <xf numFmtId="164" fontId="16" fillId="0" borderId="8" xfId="1" applyNumberFormat="1" applyFont="1" applyBorder="1" applyAlignment="1">
      <alignment vertical="center"/>
    </xf>
    <xf numFmtId="0" fontId="0" fillId="0" borderId="0" xfId="0" applyAlignment="1">
      <alignment horizontal="center"/>
    </xf>
    <xf numFmtId="165" fontId="11" fillId="0" borderId="0" xfId="0" applyNumberFormat="1" applyFont="1" applyBorder="1" applyAlignment="1">
      <alignment vertical="top"/>
    </xf>
    <xf numFmtId="165" fontId="21" fillId="0" borderId="12" xfId="0" applyNumberFormat="1" applyFont="1" applyBorder="1" applyAlignment="1">
      <alignment vertical="center"/>
    </xf>
    <xf numFmtId="165" fontId="11" fillId="0" borderId="10" xfId="0" applyNumberFormat="1" applyFont="1" applyBorder="1" applyAlignment="1">
      <alignment vertical="top"/>
    </xf>
    <xf numFmtId="6" fontId="11" fillId="0" borderId="0" xfId="0" applyNumberFormat="1" applyFont="1" applyBorder="1" applyAlignment="1">
      <alignment horizontal="centerContinuous" vertical="center"/>
    </xf>
    <xf numFmtId="169" fontId="10" fillId="0" borderId="32" xfId="0" applyNumberFormat="1" applyFont="1" applyBorder="1" applyAlignment="1">
      <alignment horizontal="centerContinuous" vertical="center"/>
    </xf>
    <xf numFmtId="169" fontId="10" fillId="0" borderId="33" xfId="0" applyNumberFormat="1" applyFont="1" applyBorder="1" applyAlignment="1">
      <alignment horizontal="centerContinuous" vertical="center"/>
    </xf>
    <xf numFmtId="170" fontId="68" fillId="0" borderId="34" xfId="1" applyNumberFormat="1" applyFont="1" applyBorder="1" applyAlignment="1">
      <alignment horizontal="centerContinuous" vertical="center"/>
    </xf>
    <xf numFmtId="43" fontId="16" fillId="0" borderId="25" xfId="1" applyFont="1" applyBorder="1" applyAlignment="1">
      <alignment horizontal="right" vertical="center"/>
    </xf>
    <xf numFmtId="169" fontId="11" fillId="0" borderId="2" xfId="0" applyNumberFormat="1" applyFont="1" applyBorder="1" applyAlignment="1">
      <alignment horizontal="centerContinuous" vertical="center"/>
    </xf>
    <xf numFmtId="170" fontId="7" fillId="0" borderId="9" xfId="1" applyNumberFormat="1" applyFont="1" applyBorder="1" applyAlignment="1">
      <alignment horizontal="centerContinuous" vertical="center"/>
    </xf>
    <xf numFmtId="43" fontId="16" fillId="0" borderId="7" xfId="1" applyFont="1" applyBorder="1" applyAlignment="1">
      <alignment horizontal="right" vertical="center"/>
    </xf>
    <xf numFmtId="6" fontId="1" fillId="0" borderId="0" xfId="0" applyNumberFormat="1" applyFont="1"/>
    <xf numFmtId="165" fontId="33" fillId="0" borderId="0" xfId="0" applyNumberFormat="1" applyFont="1" applyBorder="1" applyAlignment="1">
      <alignment horizontal="center"/>
    </xf>
    <xf numFmtId="0" fontId="2" fillId="0" borderId="10" xfId="0" applyFont="1" applyBorder="1" applyAlignment="1">
      <alignment horizontal="center"/>
    </xf>
    <xf numFmtId="0" fontId="2" fillId="0" borderId="10" xfId="0" applyFont="1" applyBorder="1" applyAlignment="1">
      <alignment horizontal="right"/>
    </xf>
    <xf numFmtId="0" fontId="4" fillId="0" borderId="103" xfId="0" applyFont="1" applyBorder="1" applyAlignment="1">
      <alignment horizontal="center"/>
    </xf>
    <xf numFmtId="0" fontId="24" fillId="0" borderId="24" xfId="0" applyFont="1" applyBorder="1" applyAlignment="1">
      <alignment horizontal="left" vertical="top" wrapText="1"/>
    </xf>
    <xf numFmtId="0" fontId="24" fillId="0" borderId="10" xfId="0" applyFont="1" applyBorder="1" applyAlignment="1">
      <alignment horizontal="left" vertical="top" wrapText="1"/>
    </xf>
    <xf numFmtId="0" fontId="24" fillId="0" borderId="7" xfId="0" applyFont="1" applyBorder="1" applyAlignment="1">
      <alignment horizontal="left" vertical="top" wrapText="1"/>
    </xf>
    <xf numFmtId="0" fontId="42" fillId="19" borderId="24" xfId="0" applyFont="1" applyFill="1" applyBorder="1" applyAlignment="1">
      <alignment horizontal="left" vertical="top" wrapText="1"/>
    </xf>
    <xf numFmtId="0" fontId="42" fillId="19" borderId="10" xfId="0" applyFont="1" applyFill="1" applyBorder="1" applyAlignment="1">
      <alignment horizontal="left" vertical="top" wrapText="1"/>
    </xf>
    <xf numFmtId="0" fontId="42" fillId="19" borderId="7" xfId="0" applyFont="1" applyFill="1" applyBorder="1" applyAlignment="1">
      <alignment horizontal="left" vertical="top" wrapText="1"/>
    </xf>
    <xf numFmtId="0" fontId="24" fillId="0" borderId="104" xfId="0" applyFont="1" applyBorder="1" applyAlignment="1">
      <alignment horizontal="left" vertical="top" wrapText="1"/>
    </xf>
    <xf numFmtId="165" fontId="4" fillId="0" borderId="5" xfId="0" applyNumberFormat="1" applyFont="1" applyBorder="1" applyAlignment="1">
      <alignment horizontal="center"/>
    </xf>
    <xf numFmtId="0" fontId="0" fillId="0" borderId="105" xfId="0" applyBorder="1" applyAlignment="1">
      <alignment horizontal="center" wrapText="1"/>
    </xf>
    <xf numFmtId="0" fontId="16" fillId="0" borderId="105" xfId="0" applyFont="1" applyBorder="1" applyAlignment="1">
      <alignment horizontal="center"/>
    </xf>
    <xf numFmtId="3" fontId="1" fillId="0" borderId="106" xfId="0" applyNumberFormat="1" applyFont="1" applyBorder="1" applyAlignment="1">
      <alignment horizontal="right"/>
    </xf>
    <xf numFmtId="0" fontId="8" fillId="3" borderId="107" xfId="0" applyFont="1" applyFill="1" applyBorder="1" applyAlignment="1">
      <alignment horizontal="center"/>
    </xf>
    <xf numFmtId="165" fontId="24" fillId="0" borderId="106" xfId="0" applyNumberFormat="1" applyFont="1" applyBorder="1" applyAlignment="1">
      <alignment horizontal="left" vertical="top" wrapText="1"/>
    </xf>
    <xf numFmtId="165" fontId="24" fillId="0" borderId="108" xfId="0" applyNumberFormat="1" applyFont="1" applyBorder="1" applyAlignment="1">
      <alignment horizontal="left" vertical="top" wrapText="1"/>
    </xf>
    <xf numFmtId="0" fontId="43" fillId="19" borderId="106" xfId="0" applyFont="1" applyFill="1" applyBorder="1" applyAlignment="1">
      <alignment horizontal="left" vertical="top" wrapText="1"/>
    </xf>
    <xf numFmtId="165" fontId="42" fillId="19" borderId="108" xfId="0" applyNumberFormat="1" applyFont="1" applyFill="1" applyBorder="1" applyAlignment="1">
      <alignment horizontal="left" vertical="top" wrapText="1"/>
    </xf>
    <xf numFmtId="165" fontId="42" fillId="19" borderId="109" xfId="0" quotePrefix="1" applyNumberFormat="1" applyFont="1" applyFill="1" applyBorder="1" applyAlignment="1">
      <alignment horizontal="left" vertical="top" wrapText="1"/>
    </xf>
    <xf numFmtId="0" fontId="0" fillId="0" borderId="110" xfId="0" applyBorder="1" applyAlignment="1">
      <alignment horizontal="center"/>
    </xf>
    <xf numFmtId="165" fontId="4" fillId="0" borderId="105" xfId="0" applyNumberFormat="1" applyFont="1" applyBorder="1" applyAlignment="1">
      <alignment horizontal="center"/>
    </xf>
    <xf numFmtId="165" fontId="4" fillId="0" borderId="110" xfId="0" applyNumberFormat="1" applyFont="1" applyBorder="1" applyAlignment="1">
      <alignment horizontal="center"/>
    </xf>
    <xf numFmtId="0" fontId="43" fillId="19" borderId="24" xfId="0" applyFont="1" applyFill="1" applyBorder="1" applyAlignment="1">
      <alignment horizontal="left" vertical="top" wrapText="1"/>
    </xf>
    <xf numFmtId="0" fontId="42" fillId="19" borderId="104" xfId="0" applyFont="1" applyFill="1" applyBorder="1" applyAlignment="1">
      <alignment horizontal="left" vertical="top" wrapText="1"/>
    </xf>
    <xf numFmtId="165" fontId="0" fillId="0" borderId="5" xfId="0" applyNumberFormat="1" applyBorder="1" applyAlignment="1">
      <alignment horizontal="center"/>
    </xf>
    <xf numFmtId="165" fontId="42" fillId="19" borderId="106" xfId="0" applyNumberFormat="1" applyFont="1" applyFill="1" applyBorder="1" applyAlignment="1">
      <alignment horizontal="left" vertical="top" wrapText="1"/>
    </xf>
    <xf numFmtId="165" fontId="42" fillId="19" borderId="111" xfId="0" quotePrefix="1" applyNumberFormat="1" applyFont="1" applyFill="1" applyBorder="1" applyAlignment="1">
      <alignment horizontal="left" vertical="top" wrapText="1"/>
    </xf>
    <xf numFmtId="0" fontId="42" fillId="19" borderId="106" xfId="0" applyFont="1" applyFill="1" applyBorder="1" applyAlignment="1">
      <alignment horizontal="left" vertical="top" wrapText="1"/>
    </xf>
    <xf numFmtId="0" fontId="42" fillId="19" borderId="108" xfId="0" applyFont="1" applyFill="1" applyBorder="1" applyAlignment="1">
      <alignment horizontal="left" vertical="top" wrapText="1"/>
    </xf>
    <xf numFmtId="0" fontId="42" fillId="19" borderId="111" xfId="0" applyFont="1" applyFill="1" applyBorder="1" applyAlignment="1">
      <alignment horizontal="left" vertical="top" wrapText="1"/>
    </xf>
    <xf numFmtId="165" fontId="24" fillId="0" borderId="109" xfId="0" quotePrefix="1" applyNumberFormat="1" applyFont="1" applyBorder="1" applyAlignment="1">
      <alignment horizontal="left" vertical="top" wrapText="1"/>
    </xf>
    <xf numFmtId="3" fontId="1" fillId="0" borderId="105" xfId="0" applyNumberFormat="1" applyFont="1" applyBorder="1" applyAlignment="1">
      <alignment horizontal="right"/>
    </xf>
    <xf numFmtId="165" fontId="42" fillId="19" borderId="112" xfId="0" quotePrefix="1" applyNumberFormat="1" applyFont="1" applyFill="1" applyBorder="1" applyAlignment="1">
      <alignment horizontal="left" vertical="top" wrapText="1"/>
    </xf>
    <xf numFmtId="168" fontId="4" fillId="0" borderId="110" xfId="0" applyNumberFormat="1" applyFont="1" applyBorder="1" applyAlignment="1">
      <alignment horizontal="center"/>
    </xf>
    <xf numFmtId="0" fontId="4" fillId="0" borderId="113" xfId="0" applyFont="1" applyBorder="1" applyAlignment="1">
      <alignment horizontal="center"/>
    </xf>
    <xf numFmtId="0" fontId="56" fillId="3" borderId="59" xfId="0" applyFont="1" applyFill="1" applyBorder="1" applyAlignment="1">
      <alignment horizontal="center"/>
    </xf>
    <xf numFmtId="0" fontId="24" fillId="0" borderId="114" xfId="0" applyFont="1" applyBorder="1" applyAlignment="1">
      <alignment horizontal="left" vertical="top" wrapText="1"/>
    </xf>
    <xf numFmtId="0" fontId="8" fillId="3" borderId="115" xfId="0" applyFont="1" applyFill="1" applyBorder="1" applyAlignment="1">
      <alignment horizontal="center"/>
    </xf>
    <xf numFmtId="165" fontId="24" fillId="0" borderId="116" xfId="0" applyNumberFormat="1" applyFont="1" applyBorder="1" applyAlignment="1">
      <alignment horizontal="left" vertical="top" wrapText="1"/>
    </xf>
    <xf numFmtId="0" fontId="0" fillId="0" borderId="110" xfId="0" applyBorder="1"/>
    <xf numFmtId="0" fontId="2" fillId="0" borderId="10" xfId="0" applyFont="1" applyBorder="1" applyAlignment="1">
      <alignment horizontal="left"/>
    </xf>
    <xf numFmtId="0" fontId="2" fillId="0" borderId="0" xfId="0" applyFont="1" applyBorder="1" applyAlignment="1">
      <alignment horizontal="left"/>
    </xf>
    <xf numFmtId="174" fontId="7" fillId="0" borderId="24" xfId="2" applyNumberFormat="1" applyFont="1" applyBorder="1" applyAlignment="1">
      <alignment vertical="center"/>
    </xf>
    <xf numFmtId="174" fontId="7" fillId="0" borderId="10" xfId="2" applyNumberFormat="1" applyFont="1" applyBorder="1" applyAlignment="1">
      <alignment vertical="center"/>
    </xf>
    <xf numFmtId="174" fontId="7" fillId="0" borderId="7" xfId="2" applyNumberFormat="1" applyFont="1" applyBorder="1" applyAlignment="1">
      <alignment vertical="center"/>
    </xf>
    <xf numFmtId="174" fontId="15" fillId="0" borderId="10" xfId="2" applyNumberFormat="1" applyFont="1" applyBorder="1" applyAlignment="1">
      <alignment vertical="center"/>
    </xf>
    <xf numFmtId="174" fontId="11" fillId="0" borderId="10" xfId="2" applyNumberFormat="1" applyFont="1" applyBorder="1" applyAlignment="1">
      <alignment vertical="top"/>
    </xf>
    <xf numFmtId="174" fontId="7" fillId="0" borderId="7" xfId="2" applyNumberFormat="1" applyFont="1" applyBorder="1"/>
    <xf numFmtId="174" fontId="10" fillId="0" borderId="10" xfId="2" applyNumberFormat="1" applyFont="1" applyBorder="1" applyAlignment="1">
      <alignment vertical="top"/>
    </xf>
    <xf numFmtId="174" fontId="10" fillId="0" borderId="10" xfId="2" applyNumberFormat="1" applyFont="1" applyBorder="1" applyAlignment="1">
      <alignment vertical="center"/>
    </xf>
    <xf numFmtId="174" fontId="11" fillId="0" borderId="7" xfId="2" applyNumberFormat="1" applyFont="1" applyBorder="1" applyAlignment="1">
      <alignment vertical="top"/>
    </xf>
    <xf numFmtId="174" fontId="16" fillId="0" borderId="8" xfId="2" applyNumberFormat="1" applyFont="1" applyBorder="1" applyAlignment="1">
      <alignment vertical="center"/>
    </xf>
    <xf numFmtId="174" fontId="9" fillId="0" borderId="26" xfId="2" applyNumberFormat="1" applyFont="1" applyBorder="1" applyAlignment="1">
      <alignment vertical="center"/>
    </xf>
    <xf numFmtId="0" fontId="0" fillId="0" borderId="0" xfId="0" applyAlignment="1">
      <alignment horizontal="left"/>
    </xf>
    <xf numFmtId="0" fontId="1" fillId="0" borderId="1" xfId="0" applyFont="1" applyBorder="1" applyAlignment="1">
      <alignment horizontal="center"/>
    </xf>
    <xf numFmtId="171" fontId="69" fillId="15" borderId="29" xfId="0" applyNumberFormat="1" applyFont="1" applyFill="1" applyBorder="1" applyAlignment="1">
      <alignment horizontal="right" vertical="center" wrapText="1"/>
    </xf>
    <xf numFmtId="177" fontId="70" fillId="8" borderId="29" xfId="0" applyNumberFormat="1" applyFont="1" applyFill="1" applyBorder="1" applyAlignment="1">
      <alignment horizontal="right" vertical="center" wrapText="1"/>
    </xf>
    <xf numFmtId="177" fontId="70" fillId="15" borderId="29" xfId="0" applyNumberFormat="1" applyFont="1" applyFill="1" applyBorder="1" applyAlignment="1">
      <alignment horizontal="right" vertical="center" wrapText="1"/>
    </xf>
    <xf numFmtId="177" fontId="70" fillId="13" borderId="29" xfId="0" applyNumberFormat="1" applyFont="1" applyFill="1" applyBorder="1" applyAlignment="1">
      <alignment horizontal="right" vertical="center" wrapText="1"/>
    </xf>
    <xf numFmtId="49" fontId="25" fillId="12" borderId="29" xfId="0" applyNumberFormat="1" applyFont="1" applyFill="1" applyBorder="1" applyAlignment="1">
      <alignment horizontal="left" vertical="center" wrapText="1" indent="2"/>
    </xf>
    <xf numFmtId="49" fontId="25" fillId="12" borderId="29" xfId="0" applyNumberFormat="1" applyFont="1" applyFill="1" applyBorder="1" applyAlignment="1">
      <alignment horizontal="left" vertical="center" wrapText="1" indent="4"/>
    </xf>
    <xf numFmtId="49" fontId="25" fillId="12" borderId="29" xfId="0" applyNumberFormat="1" applyFont="1" applyFill="1" applyBorder="1" applyAlignment="1">
      <alignment horizontal="left" vertical="center" wrapText="1" indent="5"/>
    </xf>
    <xf numFmtId="49" fontId="25" fillId="12" borderId="29" xfId="0" applyNumberFormat="1" applyFont="1" applyFill="1" applyBorder="1" applyAlignment="1">
      <alignment horizontal="left" vertical="center" wrapText="1" indent="6"/>
    </xf>
    <xf numFmtId="49" fontId="25" fillId="12" borderId="29" xfId="0" applyNumberFormat="1" applyFont="1" applyFill="1" applyBorder="1" applyAlignment="1">
      <alignment horizontal="left" vertical="center" wrapText="1" indent="7"/>
    </xf>
    <xf numFmtId="49" fontId="25" fillId="12" borderId="29" xfId="0" applyNumberFormat="1" applyFont="1" applyFill="1" applyBorder="1" applyAlignment="1">
      <alignment horizontal="left" vertical="center" wrapText="1" indent="8"/>
    </xf>
    <xf numFmtId="0" fontId="25" fillId="8" borderId="29" xfId="0" applyFont="1" applyFill="1" applyBorder="1" applyAlignment="1">
      <alignment horizontal="right" vertical="center" wrapText="1"/>
    </xf>
    <xf numFmtId="0" fontId="25" fillId="13" borderId="29" xfId="0" applyFont="1" applyFill="1" applyBorder="1" applyAlignment="1">
      <alignment horizontal="right" vertical="center" wrapText="1"/>
    </xf>
    <xf numFmtId="0" fontId="2" fillId="0" borderId="0" xfId="0" applyFont="1" applyAlignment="1">
      <alignment horizontal="center"/>
    </xf>
    <xf numFmtId="0" fontId="2" fillId="15" borderId="0" xfId="0" applyFont="1" applyFill="1" applyAlignment="1">
      <alignment horizontal="center" wrapText="1"/>
    </xf>
    <xf numFmtId="177" fontId="55" fillId="15" borderId="29" xfId="0" applyNumberFormat="1" applyFont="1" applyFill="1" applyBorder="1"/>
    <xf numFmtId="49" fontId="25" fillId="14" borderId="118" xfId="0" applyNumberFormat="1" applyFont="1" applyFill="1" applyBorder="1" applyAlignment="1">
      <alignment horizontal="left" vertical="center" wrapText="1"/>
    </xf>
    <xf numFmtId="177" fontId="55" fillId="15" borderId="118" xfId="0" applyNumberFormat="1" applyFont="1" applyFill="1" applyBorder="1"/>
    <xf numFmtId="49" fontId="25" fillId="11" borderId="117" xfId="0" applyNumberFormat="1" applyFont="1" applyFill="1" applyBorder="1" applyAlignment="1">
      <alignment horizontal="left" vertical="center" wrapText="1"/>
    </xf>
    <xf numFmtId="49" fontId="25" fillId="14" borderId="117" xfId="0" applyNumberFormat="1" applyFont="1" applyFill="1" applyBorder="1" applyAlignment="1">
      <alignment horizontal="left" vertical="center" wrapText="1"/>
    </xf>
    <xf numFmtId="171" fontId="69" fillId="15" borderId="117" xfId="0" applyNumberFormat="1" applyFont="1" applyFill="1" applyBorder="1" applyAlignment="1">
      <alignment horizontal="right" vertical="center" wrapText="1"/>
    </xf>
    <xf numFmtId="0" fontId="2" fillId="0" borderId="4" xfId="0" applyFont="1" applyBorder="1"/>
    <xf numFmtId="171" fontId="71" fillId="16" borderId="29" xfId="0" applyNumberFormat="1" applyFont="1" applyFill="1" applyBorder="1" applyAlignment="1">
      <alignment horizontal="right" vertical="center" wrapText="1"/>
    </xf>
    <xf numFmtId="0" fontId="74" fillId="0" borderId="100" xfId="0" applyFont="1" applyBorder="1" applyAlignment="1">
      <alignment horizontal="center" vertical="center"/>
    </xf>
    <xf numFmtId="0" fontId="74" fillId="0" borderId="110" xfId="0" applyFont="1" applyBorder="1" applyAlignment="1">
      <alignment horizontal="center" vertical="center"/>
    </xf>
    <xf numFmtId="0" fontId="75" fillId="0" borderId="92" xfId="0" applyFont="1" applyBorder="1" applyAlignment="1">
      <alignment horizontal="center" vertical="center"/>
    </xf>
    <xf numFmtId="0" fontId="74" fillId="0" borderId="92" xfId="0" applyFont="1" applyBorder="1" applyAlignment="1">
      <alignment horizontal="center" vertical="center"/>
    </xf>
    <xf numFmtId="164" fontId="0" fillId="15" borderId="57" xfId="1" applyNumberFormat="1" applyFont="1" applyFill="1" applyBorder="1"/>
    <xf numFmtId="164" fontId="0" fillId="15" borderId="120" xfId="1" applyNumberFormat="1" applyFont="1" applyFill="1" applyBorder="1"/>
    <xf numFmtId="164" fontId="0" fillId="15" borderId="121" xfId="1" applyNumberFormat="1" applyFont="1" applyFill="1" applyBorder="1"/>
    <xf numFmtId="0" fontId="0" fillId="33" borderId="0" xfId="0" applyFill="1"/>
    <xf numFmtId="0" fontId="2" fillId="33" borderId="0" xfId="0" applyFont="1" applyFill="1"/>
    <xf numFmtId="0" fontId="0" fillId="0" borderId="0" xfId="0" applyFill="1"/>
    <xf numFmtId="0" fontId="0" fillId="0" borderId="0" xfId="0" applyAlignment="1">
      <alignment vertical="center"/>
    </xf>
    <xf numFmtId="3" fontId="76" fillId="0" borderId="0" xfId="4" applyNumberFormat="1" applyFont="1" applyAlignment="1">
      <alignment vertical="center"/>
    </xf>
    <xf numFmtId="3" fontId="77" fillId="0" borderId="0" xfId="4" applyNumberFormat="1" applyFont="1" applyAlignment="1">
      <alignment vertical="center"/>
    </xf>
    <xf numFmtId="3" fontId="76" fillId="0" borderId="0" xfId="0" applyNumberFormat="1" applyFont="1" applyFill="1" applyBorder="1" applyAlignment="1">
      <alignment vertical="center"/>
    </xf>
    <xf numFmtId="3" fontId="78" fillId="0" borderId="0" xfId="0" applyNumberFormat="1" applyFont="1" applyFill="1" applyBorder="1" applyAlignment="1">
      <alignment vertical="center"/>
    </xf>
    <xf numFmtId="3" fontId="79" fillId="0" borderId="0" xfId="5" applyNumberFormat="1" applyFont="1" applyFill="1" applyBorder="1" applyAlignment="1"/>
    <xf numFmtId="0" fontId="41" fillId="0" borderId="0" xfId="0" applyFont="1" applyAlignment="1">
      <alignment vertical="center"/>
    </xf>
    <xf numFmtId="3" fontId="79" fillId="0" borderId="0" xfId="5" applyNumberFormat="1" applyFont="1" applyFill="1" applyBorder="1" applyAlignment="1">
      <alignment vertical="center"/>
    </xf>
    <xf numFmtId="0" fontId="8" fillId="3" borderId="0" xfId="0" applyFont="1" applyFill="1" applyBorder="1" applyAlignment="1">
      <alignment horizontal="center" wrapText="1"/>
    </xf>
    <xf numFmtId="0" fontId="0" fillId="0" borderId="2" xfId="0" applyBorder="1" applyAlignment="1">
      <alignment wrapText="1"/>
    </xf>
    <xf numFmtId="0" fontId="0" fillId="0" borderId="0" xfId="0" applyFont="1" applyAlignment="1">
      <alignment horizontal="left" wrapText="1"/>
    </xf>
    <xf numFmtId="0" fontId="59" fillId="0" borderId="0" xfId="0" applyFont="1" applyAlignment="1">
      <alignment horizontal="center"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3" fontId="52" fillId="0" borderId="58" xfId="0" applyNumberFormat="1" applyFont="1" applyBorder="1" applyAlignment="1">
      <alignment horizontal="center"/>
    </xf>
    <xf numFmtId="0" fontId="0" fillId="0" borderId="59" xfId="0" applyBorder="1" applyAlignment="1"/>
    <xf numFmtId="0" fontId="0" fillId="0" borderId="60" xfId="0" applyBorder="1" applyAlignment="1"/>
    <xf numFmtId="0" fontId="0" fillId="0" borderId="0" xfId="0" applyAlignment="1">
      <alignment horizontal="left"/>
    </xf>
    <xf numFmtId="0" fontId="18" fillId="5" borderId="12" xfId="0" applyFont="1" applyFill="1" applyBorder="1" applyAlignment="1">
      <alignment horizontal="center"/>
    </xf>
    <xf numFmtId="0" fontId="10" fillId="0" borderId="0" xfId="0" applyFont="1" applyBorder="1" applyAlignment="1">
      <alignment horizontal="center" vertical="center"/>
    </xf>
    <xf numFmtId="0" fontId="18" fillId="6" borderId="12" xfId="0" applyFont="1" applyFill="1" applyBorder="1" applyAlignment="1">
      <alignment horizontal="center"/>
    </xf>
    <xf numFmtId="0" fontId="18" fillId="7" borderId="12" xfId="0" applyFont="1" applyFill="1" applyBorder="1" applyAlignment="1">
      <alignment horizontal="center"/>
    </xf>
    <xf numFmtId="43" fontId="13" fillId="0" borderId="11" xfId="1" applyFont="1" applyBorder="1" applyAlignment="1">
      <alignment vertical="center" wrapText="1"/>
    </xf>
    <xf numFmtId="0" fontId="0" fillId="0" borderId="11" xfId="0"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xf>
    <xf numFmtId="9" fontId="1" fillId="0" borderId="1" xfId="3" applyFont="1" applyBorder="1" applyAlignment="1">
      <alignment horizontal="center" vertical="center" wrapText="1"/>
    </xf>
    <xf numFmtId="0" fontId="1" fillId="0" borderId="1" xfId="0" applyFont="1" applyBorder="1" applyAlignment="1">
      <alignment horizontal="center" wrapText="1"/>
    </xf>
    <xf numFmtId="164" fontId="50" fillId="0" borderId="61" xfId="1" applyNumberFormat="1" applyFont="1" applyBorder="1" applyAlignment="1">
      <alignment horizontal="center" vertical="center"/>
    </xf>
    <xf numFmtId="164" fontId="50" fillId="0" borderId="62" xfId="1" applyNumberFormat="1" applyFont="1" applyBorder="1" applyAlignment="1">
      <alignment horizontal="center" vertical="center"/>
    </xf>
    <xf numFmtId="164" fontId="50" fillId="0" borderId="63" xfId="1" applyNumberFormat="1" applyFont="1" applyBorder="1" applyAlignment="1">
      <alignment horizontal="center" vertical="center"/>
    </xf>
    <xf numFmtId="164" fontId="50" fillId="0" borderId="67" xfId="1" applyNumberFormat="1" applyFont="1" applyBorder="1" applyAlignment="1">
      <alignment horizontal="center" vertical="center"/>
    </xf>
    <xf numFmtId="164" fontId="50" fillId="0" borderId="64" xfId="1" applyNumberFormat="1" applyFont="1" applyBorder="1" applyAlignment="1">
      <alignment horizontal="center" vertical="center"/>
    </xf>
    <xf numFmtId="164" fontId="50" fillId="0" borderId="66" xfId="1" applyNumberFormat="1" applyFont="1" applyBorder="1" applyAlignment="1">
      <alignment horizontal="center" vertical="center"/>
    </xf>
    <xf numFmtId="164" fontId="50" fillId="0" borderId="68" xfId="1" applyNumberFormat="1" applyFont="1" applyBorder="1" applyAlignment="1">
      <alignment horizontal="center" vertical="center"/>
    </xf>
    <xf numFmtId="0" fontId="45" fillId="22" borderId="58" xfId="0" applyFont="1" applyFill="1" applyBorder="1" applyAlignment="1">
      <alignment horizontal="center" vertical="center"/>
    </xf>
    <xf numFmtId="0" fontId="45" fillId="22" borderId="59" xfId="0" applyFont="1" applyFill="1" applyBorder="1" applyAlignment="1">
      <alignment horizontal="center" vertical="center"/>
    </xf>
    <xf numFmtId="0" fontId="45" fillId="22" borderId="60" xfId="0" applyFont="1" applyFill="1" applyBorder="1" applyAlignment="1">
      <alignment horizontal="center" vertical="center"/>
    </xf>
    <xf numFmtId="0" fontId="45" fillId="18" borderId="58" xfId="0" applyFont="1" applyFill="1" applyBorder="1" applyAlignment="1">
      <alignment horizontal="center" vertical="center"/>
    </xf>
    <xf numFmtId="0" fontId="45" fillId="18" borderId="59" xfId="0" applyFont="1" applyFill="1" applyBorder="1" applyAlignment="1">
      <alignment horizontal="center" vertical="center"/>
    </xf>
    <xf numFmtId="0" fontId="45" fillId="18" borderId="60" xfId="0" applyFont="1" applyFill="1" applyBorder="1" applyAlignment="1">
      <alignment horizontal="center" vertical="center"/>
    </xf>
    <xf numFmtId="0" fontId="45" fillId="6" borderId="58" xfId="0" applyFont="1" applyFill="1" applyBorder="1" applyAlignment="1">
      <alignment horizontal="center" vertical="center"/>
    </xf>
    <xf numFmtId="0" fontId="45" fillId="6" borderId="59" xfId="0" applyFont="1" applyFill="1" applyBorder="1" applyAlignment="1">
      <alignment horizontal="center" vertical="center"/>
    </xf>
    <xf numFmtId="0" fontId="45" fillId="6" borderId="60" xfId="0" applyFont="1" applyFill="1" applyBorder="1" applyAlignment="1">
      <alignment horizontal="center" vertical="center"/>
    </xf>
    <xf numFmtId="0" fontId="45" fillId="15" borderId="58" xfId="0" applyFont="1" applyFill="1" applyBorder="1" applyAlignment="1">
      <alignment horizontal="center" vertical="center"/>
    </xf>
    <xf numFmtId="0" fontId="45" fillId="15" borderId="59" xfId="0" applyFont="1" applyFill="1" applyBorder="1" applyAlignment="1">
      <alignment horizontal="center" vertical="center"/>
    </xf>
    <xf numFmtId="0" fontId="45" fillId="15" borderId="60" xfId="0" applyFont="1" applyFill="1" applyBorder="1" applyAlignment="1">
      <alignment horizontal="center" vertical="center"/>
    </xf>
    <xf numFmtId="0" fontId="45" fillId="0" borderId="58" xfId="0" applyFont="1" applyBorder="1" applyAlignment="1">
      <alignment horizontal="center" vertical="center"/>
    </xf>
    <xf numFmtId="0" fontId="45" fillId="0" borderId="60" xfId="0" applyFont="1" applyBorder="1" applyAlignment="1">
      <alignment horizontal="center" vertical="center"/>
    </xf>
    <xf numFmtId="0" fontId="48" fillId="0" borderId="58" xfId="0" applyFont="1" applyBorder="1" applyAlignment="1">
      <alignment horizontal="center" vertical="center"/>
    </xf>
    <xf numFmtId="0" fontId="48" fillId="0" borderId="60" xfId="0" applyFont="1" applyBorder="1" applyAlignment="1">
      <alignment horizontal="center" vertical="center"/>
    </xf>
    <xf numFmtId="49" fontId="0" fillId="9" borderId="27" xfId="0" applyNumberFormat="1" applyFill="1" applyBorder="1" applyAlignment="1">
      <alignment horizontal="left" vertical="center" wrapText="1"/>
    </xf>
    <xf numFmtId="49" fontId="0" fillId="9" borderId="28" xfId="0" applyNumberFormat="1" applyFill="1" applyBorder="1" applyAlignment="1">
      <alignment horizontal="left" vertical="center" wrapText="1"/>
    </xf>
    <xf numFmtId="0" fontId="33" fillId="0" borderId="0" xfId="0" applyFont="1" applyAlignment="1">
      <alignment horizontal="center"/>
    </xf>
    <xf numFmtId="0" fontId="4" fillId="0" borderId="0" xfId="0" applyFont="1" applyAlignment="1">
      <alignment horizontal="center"/>
    </xf>
    <xf numFmtId="0" fontId="33" fillId="0" borderId="89" xfId="0" applyFont="1" applyBorder="1" applyAlignment="1">
      <alignment horizontal="center" wrapText="1"/>
    </xf>
    <xf numFmtId="0" fontId="0" fillId="0" borderId="70" xfId="0" applyBorder="1" applyAlignment="1">
      <alignment horizontal="center" wrapText="1"/>
    </xf>
    <xf numFmtId="0" fontId="0" fillId="29" borderId="74" xfId="0" applyFill="1" applyBorder="1" applyAlignment="1">
      <alignment wrapText="1"/>
    </xf>
    <xf numFmtId="0" fontId="0" fillId="0" borderId="0" xfId="0" applyAlignment="1">
      <alignment wrapText="1"/>
    </xf>
    <xf numFmtId="0" fontId="0" fillId="0" borderId="74" xfId="0" applyBorder="1" applyAlignment="1">
      <alignment wrapText="1"/>
    </xf>
    <xf numFmtId="49" fontId="25" fillId="10" borderId="27" xfId="0" applyNumberFormat="1" applyFont="1" applyFill="1" applyBorder="1" applyAlignment="1">
      <alignment horizontal="left" vertical="center" wrapText="1"/>
    </xf>
    <xf numFmtId="49" fontId="25" fillId="10" borderId="30" xfId="0" applyNumberFormat="1" applyFont="1" applyFill="1" applyBorder="1" applyAlignment="1">
      <alignment horizontal="left" vertical="center" wrapText="1"/>
    </xf>
    <xf numFmtId="49" fontId="25" fillId="10" borderId="28" xfId="0" applyNumberFormat="1" applyFont="1" applyFill="1" applyBorder="1" applyAlignment="1">
      <alignment horizontal="left" vertical="center" wrapText="1"/>
    </xf>
    <xf numFmtId="0" fontId="72" fillId="0" borderId="58" xfId="0" applyFont="1" applyBorder="1" applyAlignment="1">
      <alignment horizontal="center" vertical="center"/>
    </xf>
    <xf numFmtId="0" fontId="72" fillId="0" borderId="59" xfId="0" applyFont="1" applyBorder="1" applyAlignment="1">
      <alignment horizontal="center" vertical="center"/>
    </xf>
    <xf numFmtId="0" fontId="72" fillId="0" borderId="119" xfId="0" applyFont="1" applyBorder="1" applyAlignment="1">
      <alignment horizontal="center" vertical="center"/>
    </xf>
  </cellXfs>
  <cellStyles count="6">
    <cellStyle name="Comma" xfId="1" builtinId="3"/>
    <cellStyle name="Currency" xfId="2" builtinId="4"/>
    <cellStyle name="Normal" xfId="0" builtinId="0"/>
    <cellStyle name="Normal 2 13" xfId="4" xr:uid="{B351D2FB-F53B-4DC6-B98B-417B341ABCD4}"/>
    <cellStyle name="Normal 5" xfId="5" xr:uid="{8E77354C-7D27-4576-8085-EA26CC5DDC2C}"/>
    <cellStyle name="Percent" xfId="3"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203200</xdr:colOff>
      <xdr:row>2</xdr:row>
      <xdr:rowOff>461434</xdr:rowOff>
    </xdr:from>
    <xdr:to>
      <xdr:col>3</xdr:col>
      <xdr:colOff>135467</xdr:colOff>
      <xdr:row>3</xdr:row>
      <xdr:rowOff>899160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757680" y="60960"/>
          <a:ext cx="2256367" cy="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6000">
              <a:solidFill>
                <a:srgbClr val="FF0000"/>
              </a:solidFill>
            </a:rPr>
            <a:t>Draft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398144</xdr:colOff>
      <xdr:row>2</xdr:row>
      <xdr:rowOff>22225</xdr:rowOff>
    </xdr:from>
    <xdr:to>
      <xdr:col>11</xdr:col>
      <xdr:colOff>114300</xdr:colOff>
      <xdr:row>2</xdr:row>
      <xdr:rowOff>176741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5360669" y="508000"/>
          <a:ext cx="1916431" cy="154516"/>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488157</xdr:rowOff>
    </xdr:from>
    <xdr:to>
      <xdr:col>16</xdr:col>
      <xdr:colOff>197908</xdr:colOff>
      <xdr:row>4</xdr:row>
      <xdr:rowOff>254001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3702844" y="678657"/>
          <a:ext cx="7496439" cy="1742282"/>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17</xdr:col>
      <xdr:colOff>8467</xdr:colOff>
      <xdr:row>4</xdr:row>
      <xdr:rowOff>237066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2895600" y="711200"/>
          <a:ext cx="5215467" cy="1642533"/>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13</xdr:col>
      <xdr:colOff>914400</xdr:colOff>
      <xdr:row>0</xdr:row>
      <xdr:rowOff>0</xdr:rowOff>
    </xdr:from>
    <xdr:ext cx="4933389" cy="39624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6901160" y="0"/>
          <a:ext cx="4933389"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800">
              <a:solidFill>
                <a:srgbClr val="FF0000"/>
              </a:solidFill>
            </a:rPr>
            <a:t>Final </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63</xdr:row>
      <xdr:rowOff>130627</xdr:rowOff>
    </xdr:from>
    <xdr:to>
      <xdr:col>5</xdr:col>
      <xdr:colOff>122918</xdr:colOff>
      <xdr:row>77</xdr:row>
      <xdr:rowOff>10705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11462656"/>
          <a:ext cx="6172200" cy="2474053"/>
        </a:xfrm>
        <a:prstGeom prst="rect">
          <a:avLst/>
        </a:prstGeom>
      </xdr:spPr>
    </xdr:pic>
    <xdr:clientData/>
  </xdr:twoCellAnchor>
  <xdr:twoCellAnchor editAs="oneCell">
    <xdr:from>
      <xdr:col>0</xdr:col>
      <xdr:colOff>0</xdr:colOff>
      <xdr:row>76</xdr:row>
      <xdr:rowOff>0</xdr:rowOff>
    </xdr:from>
    <xdr:to>
      <xdr:col>9</xdr:col>
      <xdr:colOff>541434</xdr:colOff>
      <xdr:row>93</xdr:row>
      <xdr:rowOff>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13378543"/>
          <a:ext cx="10352638" cy="31459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5BBF5-A163-410D-8E6D-886200E23E24}">
  <dimension ref="A1:E17"/>
  <sheetViews>
    <sheetView tabSelected="1" zoomScaleNormal="100" workbookViewId="0">
      <selection activeCell="G12" sqref="G12"/>
    </sheetView>
  </sheetViews>
  <sheetFormatPr defaultRowHeight="15" x14ac:dyDescent="0.25"/>
  <sheetData>
    <row r="1" spans="1:5" x14ac:dyDescent="0.25">
      <c r="A1" s="753" t="s">
        <v>927</v>
      </c>
    </row>
    <row r="2" spans="1:5" x14ac:dyDescent="0.25">
      <c r="A2" s="753" t="s">
        <v>932</v>
      </c>
    </row>
    <row r="3" spans="1:5" x14ac:dyDescent="0.25">
      <c r="A3" s="753" t="s">
        <v>933</v>
      </c>
    </row>
    <row r="4" spans="1:5" x14ac:dyDescent="0.25">
      <c r="A4" s="751" t="s">
        <v>934</v>
      </c>
    </row>
    <row r="5" spans="1:5" x14ac:dyDescent="0.25">
      <c r="A5" s="752" t="s">
        <v>928</v>
      </c>
    </row>
    <row r="6" spans="1:5" x14ac:dyDescent="0.25">
      <c r="A6" t="s">
        <v>935</v>
      </c>
    </row>
    <row r="9" spans="1:5" x14ac:dyDescent="0.25">
      <c r="A9" s="754" t="s">
        <v>936</v>
      </c>
      <c r="D9" s="750"/>
      <c r="E9" s="750"/>
    </row>
    <row r="10" spans="1:5" x14ac:dyDescent="0.25">
      <c r="D10" s="752"/>
      <c r="E10" s="750"/>
    </row>
    <row r="11" spans="1:5" x14ac:dyDescent="0.25">
      <c r="A11" s="755" t="s">
        <v>937</v>
      </c>
      <c r="D11" s="752"/>
      <c r="E11" s="750"/>
    </row>
    <row r="12" spans="1:5" x14ac:dyDescent="0.25">
      <c r="A12" s="756" t="s">
        <v>938</v>
      </c>
    </row>
    <row r="15" spans="1:5" x14ac:dyDescent="0.25">
      <c r="A15" s="754" t="s">
        <v>939</v>
      </c>
    </row>
    <row r="17" spans="1:1" x14ac:dyDescent="0.25">
      <c r="A17" s="757" t="s">
        <v>940</v>
      </c>
    </row>
  </sheetData>
  <pageMargins left="0.7" right="0.7" top="0.75" bottom="0.75" header="0.3" footer="0.3"/>
  <pageSetup orientation="portrait" horizontalDpi="0" verticalDpi="0" r:id="rId1"/>
  <headerFooter>
    <oddHeader>&amp;RExh. RJW-2 Wyman WP5</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FF00"/>
  </sheetPr>
  <dimension ref="A1:R6492"/>
  <sheetViews>
    <sheetView zoomScale="70" zoomScaleNormal="70" workbookViewId="0">
      <selection activeCell="H15" sqref="H15"/>
    </sheetView>
  </sheetViews>
  <sheetFormatPr defaultRowHeight="15" x14ac:dyDescent="0.25"/>
  <cols>
    <col min="1" max="1" width="31.140625" customWidth="1"/>
    <col min="2" max="2" width="39" customWidth="1"/>
    <col min="3" max="3" width="31.140625" customWidth="1"/>
    <col min="4" max="9" width="17.5703125" customWidth="1"/>
    <col min="10" max="10" width="30" customWidth="1"/>
    <col min="11" max="11" width="17.5703125" customWidth="1"/>
    <col min="12" max="12" width="22.7109375" customWidth="1"/>
    <col min="13" max="18" width="17.5703125" customWidth="1"/>
  </cols>
  <sheetData>
    <row r="1" spans="1:12" ht="18.75" x14ac:dyDescent="0.3">
      <c r="A1" s="398" t="s">
        <v>452</v>
      </c>
      <c r="D1" t="s">
        <v>453</v>
      </c>
      <c r="E1" t="s">
        <v>471</v>
      </c>
    </row>
    <row r="2" spans="1:12" ht="15.75" thickBot="1" x14ac:dyDescent="0.3">
      <c r="A2" s="2" t="s">
        <v>910</v>
      </c>
    </row>
    <row r="3" spans="1:12" ht="15.75" thickBot="1" x14ac:dyDescent="0.3">
      <c r="A3" s="199" t="str">
        <f>C3&amp;D3</f>
        <v>CUST SEG SRVCPayroll</v>
      </c>
      <c r="B3" s="144" t="s">
        <v>406</v>
      </c>
      <c r="C3" s="144" t="s">
        <v>133</v>
      </c>
      <c r="D3" s="150" t="s">
        <v>67</v>
      </c>
      <c r="E3" s="150" t="s">
        <v>68</v>
      </c>
      <c r="F3" s="718">
        <v>975.05633999999998</v>
      </c>
      <c r="J3" t="s">
        <v>133</v>
      </c>
      <c r="K3" t="s">
        <v>67</v>
      </c>
      <c r="L3" s="468">
        <v>975.05633999999998</v>
      </c>
    </row>
    <row r="4" spans="1:12" ht="15.75" thickBot="1" x14ac:dyDescent="0.3">
      <c r="A4" s="199" t="str">
        <f t="shared" ref="A4:A18" si="0">C4&amp;D4</f>
        <v>CUST SEG SRVCNon-Payroll</v>
      </c>
      <c r="B4" s="144" t="s">
        <v>406</v>
      </c>
      <c r="C4" s="144" t="s">
        <v>133</v>
      </c>
      <c r="D4" s="150" t="s">
        <v>85</v>
      </c>
      <c r="E4" s="150" t="s">
        <v>86</v>
      </c>
      <c r="F4" s="718">
        <v>94.8</v>
      </c>
      <c r="J4" t="s">
        <v>133</v>
      </c>
      <c r="K4" t="s">
        <v>85</v>
      </c>
      <c r="L4" s="468">
        <v>94.8</v>
      </c>
    </row>
    <row r="5" spans="1:12" ht="15.75" thickBot="1" x14ac:dyDescent="0.3">
      <c r="A5" s="199" t="str">
        <f t="shared" si="0"/>
        <v>MAJ ACCT SERV TEAMPayroll</v>
      </c>
      <c r="B5" s="144" t="s">
        <v>405</v>
      </c>
      <c r="C5" s="144" t="s">
        <v>155</v>
      </c>
      <c r="D5" s="149" t="s">
        <v>67</v>
      </c>
      <c r="E5" s="150" t="s">
        <v>68</v>
      </c>
      <c r="F5" s="718">
        <f>F27</f>
        <v>1113.29907</v>
      </c>
      <c r="G5" t="s">
        <v>917</v>
      </c>
      <c r="L5" s="468"/>
    </row>
    <row r="6" spans="1:12" ht="15.75" thickBot="1" x14ac:dyDescent="0.3">
      <c r="A6" s="199" t="str">
        <f t="shared" si="0"/>
        <v>MAJ ACCT SERV TEAMNon-Payroll</v>
      </c>
      <c r="B6" s="144" t="s">
        <v>405</v>
      </c>
      <c r="C6" s="144" t="s">
        <v>155</v>
      </c>
      <c r="D6" s="149" t="s">
        <v>85</v>
      </c>
      <c r="E6" s="150" t="s">
        <v>86</v>
      </c>
      <c r="F6" s="718">
        <f>F28</f>
        <v>24.761379999999999</v>
      </c>
      <c r="G6" t="s">
        <v>917</v>
      </c>
      <c r="L6" s="468"/>
    </row>
    <row r="7" spans="1:12" ht="15.75" thickBot="1" x14ac:dyDescent="0.3">
      <c r="A7" s="199" t="str">
        <f t="shared" si="0"/>
        <v>CUST CONTACT CENTERPayroll</v>
      </c>
      <c r="B7" s="144" t="s">
        <v>401</v>
      </c>
      <c r="C7" s="144" t="s">
        <v>158</v>
      </c>
      <c r="D7" s="149" t="s">
        <v>67</v>
      </c>
      <c r="E7" s="150" t="s">
        <v>68</v>
      </c>
      <c r="F7" s="718">
        <v>10341.02961</v>
      </c>
      <c r="J7" t="s">
        <v>158</v>
      </c>
      <c r="K7" t="s">
        <v>67</v>
      </c>
      <c r="L7" s="468">
        <v>10341.02961</v>
      </c>
    </row>
    <row r="8" spans="1:12" ht="15.75" thickBot="1" x14ac:dyDescent="0.3">
      <c r="A8" s="199" t="str">
        <f t="shared" si="0"/>
        <v>CUST CONTACT CENTERNon-Payroll</v>
      </c>
      <c r="B8" s="144" t="s">
        <v>401</v>
      </c>
      <c r="C8" s="144" t="s">
        <v>158</v>
      </c>
      <c r="D8" s="149" t="s">
        <v>85</v>
      </c>
      <c r="E8" s="150" t="s">
        <v>86</v>
      </c>
      <c r="F8" s="718">
        <v>2142.7964099999999</v>
      </c>
      <c r="J8" t="s">
        <v>158</v>
      </c>
      <c r="K8" t="s">
        <v>85</v>
      </c>
      <c r="L8" s="468">
        <v>2142.7964099999999</v>
      </c>
    </row>
    <row r="9" spans="1:12" ht="15.75" thickBot="1" x14ac:dyDescent="0.3">
      <c r="A9" s="199" t="str">
        <f t="shared" si="0"/>
        <v>ACCOUNT SERVICESPayroll</v>
      </c>
      <c r="B9" s="144" t="s">
        <v>402</v>
      </c>
      <c r="C9" s="144" t="s">
        <v>88</v>
      </c>
      <c r="D9" s="149" t="s">
        <v>67</v>
      </c>
      <c r="E9" s="150" t="s">
        <v>68</v>
      </c>
      <c r="F9" s="718">
        <v>1461.01271</v>
      </c>
      <c r="J9" t="s">
        <v>88</v>
      </c>
      <c r="K9" t="s">
        <v>67</v>
      </c>
      <c r="L9" s="468">
        <v>1461.01271</v>
      </c>
    </row>
    <row r="10" spans="1:12" ht="15.75" thickBot="1" x14ac:dyDescent="0.3">
      <c r="A10" s="199" t="str">
        <f t="shared" si="0"/>
        <v>ACCOUNT SERVICESNon-Payroll</v>
      </c>
      <c r="B10" s="144" t="s">
        <v>402</v>
      </c>
      <c r="C10" s="144" t="s">
        <v>88</v>
      </c>
      <c r="D10" s="149" t="s">
        <v>85</v>
      </c>
      <c r="E10" s="150" t="s">
        <v>86</v>
      </c>
      <c r="F10" s="718">
        <v>3351.34024</v>
      </c>
      <c r="J10" t="s">
        <v>88</v>
      </c>
      <c r="K10" t="s">
        <v>85</v>
      </c>
      <c r="L10" s="468">
        <v>3351.34024</v>
      </c>
    </row>
    <row r="11" spans="1:12" ht="15.75" thickBot="1" x14ac:dyDescent="0.3">
      <c r="A11" s="199" t="str">
        <f t="shared" si="0"/>
        <v>CUST FIELD SERVICESPayroll</v>
      </c>
      <c r="B11" s="144" t="s">
        <v>403</v>
      </c>
      <c r="C11" s="144" t="s">
        <v>177</v>
      </c>
      <c r="D11" s="149" t="s">
        <v>67</v>
      </c>
      <c r="E11" s="150" t="s">
        <v>68</v>
      </c>
      <c r="F11" s="718">
        <v>17165.231940000001</v>
      </c>
      <c r="J11" t="s">
        <v>177</v>
      </c>
      <c r="K11" t="s">
        <v>67</v>
      </c>
      <c r="L11" s="468">
        <v>17165.231940000001</v>
      </c>
    </row>
    <row r="12" spans="1:12" ht="15.75" thickBot="1" x14ac:dyDescent="0.3">
      <c r="A12" s="199" t="str">
        <f t="shared" si="0"/>
        <v>CUST FIELD SERVICESNon-Payroll</v>
      </c>
      <c r="B12" s="144" t="s">
        <v>403</v>
      </c>
      <c r="C12" s="144" t="s">
        <v>177</v>
      </c>
      <c r="D12" s="149" t="s">
        <v>85</v>
      </c>
      <c r="E12" s="150" t="s">
        <v>86</v>
      </c>
      <c r="F12" s="718">
        <v>2402.81367</v>
      </c>
      <c r="J12" t="s">
        <v>177</v>
      </c>
      <c r="K12" t="s">
        <v>85</v>
      </c>
      <c r="L12" s="468">
        <v>2402.81367</v>
      </c>
    </row>
    <row r="13" spans="1:12" ht="15.75" thickBot="1" x14ac:dyDescent="0.3">
      <c r="A13" s="199" t="str">
        <f t="shared" si="0"/>
        <v>RESOURCE MGMT CTRPayroll</v>
      </c>
      <c r="B13" s="144" t="s">
        <v>404</v>
      </c>
      <c r="C13" s="144" t="s">
        <v>217</v>
      </c>
      <c r="D13" s="149" t="s">
        <v>67</v>
      </c>
      <c r="E13" s="150" t="s">
        <v>68</v>
      </c>
      <c r="F13" s="718">
        <v>2280.7646</v>
      </c>
      <c r="J13" t="s">
        <v>217</v>
      </c>
      <c r="K13" t="s">
        <v>67</v>
      </c>
      <c r="L13" s="468">
        <v>2280.7646</v>
      </c>
    </row>
    <row r="14" spans="1:12" ht="15.75" thickBot="1" x14ac:dyDescent="0.3">
      <c r="A14" s="199" t="str">
        <f t="shared" si="0"/>
        <v>RESOURCE MGMT CTRNon-Payroll</v>
      </c>
      <c r="B14" s="144" t="s">
        <v>404</v>
      </c>
      <c r="C14" s="144" t="s">
        <v>217</v>
      </c>
      <c r="D14" s="149" t="s">
        <v>85</v>
      </c>
      <c r="E14" s="150" t="s">
        <v>86</v>
      </c>
      <c r="F14" s="718">
        <v>43.113700000000001</v>
      </c>
      <c r="J14" t="s">
        <v>217</v>
      </c>
      <c r="K14" t="s">
        <v>85</v>
      </c>
      <c r="L14" s="468">
        <v>43.113700000000001</v>
      </c>
    </row>
    <row r="15" spans="1:12" ht="15.75" thickBot="1" x14ac:dyDescent="0.3">
      <c r="A15" s="199" t="str">
        <f t="shared" si="0"/>
        <v>OFFICE SERVICESPayroll</v>
      </c>
      <c r="B15" s="144" t="s">
        <v>409</v>
      </c>
      <c r="C15" s="144" t="s">
        <v>395</v>
      </c>
      <c r="D15" s="149" t="s">
        <v>67</v>
      </c>
      <c r="E15" s="150" t="s">
        <v>68</v>
      </c>
      <c r="F15" s="718">
        <v>893.18579</v>
      </c>
      <c r="J15" t="s">
        <v>395</v>
      </c>
      <c r="K15" t="s">
        <v>67</v>
      </c>
      <c r="L15" s="468">
        <v>893.18579</v>
      </c>
    </row>
    <row r="16" spans="1:12" ht="15.75" thickBot="1" x14ac:dyDescent="0.3">
      <c r="A16" s="199" t="str">
        <f t="shared" si="0"/>
        <v>OFFICE SERVICESNon-Payroll</v>
      </c>
      <c r="B16" s="144" t="s">
        <v>409</v>
      </c>
      <c r="C16" s="144" t="s">
        <v>395</v>
      </c>
      <c r="D16" s="149" t="s">
        <v>85</v>
      </c>
      <c r="E16" s="150" t="s">
        <v>86</v>
      </c>
      <c r="F16" s="718">
        <v>392.84780000000001</v>
      </c>
      <c r="J16" t="s">
        <v>395</v>
      </c>
      <c r="K16" t="s">
        <v>85</v>
      </c>
      <c r="L16" s="468">
        <v>392.84780000000001</v>
      </c>
    </row>
    <row r="17" spans="1:12" ht="15.75" thickBot="1" x14ac:dyDescent="0.3">
      <c r="A17" s="199" t="str">
        <f t="shared" si="0"/>
        <v>TREASURY (CASH MANAGEMENT)Payroll</v>
      </c>
      <c r="B17" s="144" t="s">
        <v>407</v>
      </c>
      <c r="C17" s="144" t="s">
        <v>408</v>
      </c>
      <c r="D17" s="149" t="s">
        <v>67</v>
      </c>
      <c r="E17" s="150" t="s">
        <v>68</v>
      </c>
      <c r="F17" s="718">
        <v>491.67736000000002</v>
      </c>
      <c r="J17" t="s">
        <v>408</v>
      </c>
      <c r="K17" t="s">
        <v>67</v>
      </c>
      <c r="L17" s="468">
        <v>491.67736000000002</v>
      </c>
    </row>
    <row r="18" spans="1:12" ht="15.75" thickBot="1" x14ac:dyDescent="0.3">
      <c r="A18" s="199" t="str">
        <f t="shared" si="0"/>
        <v>TREASURYNon-Payroll</v>
      </c>
      <c r="B18" s="144" t="s">
        <v>407</v>
      </c>
      <c r="C18" s="144" t="s">
        <v>396</v>
      </c>
      <c r="D18" s="149" t="s">
        <v>85</v>
      </c>
      <c r="E18" s="150" t="s">
        <v>86</v>
      </c>
      <c r="F18" s="718">
        <v>2923.6322799999998</v>
      </c>
      <c r="J18" t="s">
        <v>396</v>
      </c>
      <c r="K18" t="s">
        <v>85</v>
      </c>
      <c r="L18" s="468">
        <v>2923.6322799999998</v>
      </c>
    </row>
    <row r="19" spans="1:12" x14ac:dyDescent="0.25">
      <c r="F19" s="584">
        <f>SUM(F3:F18)</f>
        <v>46097.362900000015</v>
      </c>
    </row>
    <row r="20" spans="1:12" ht="15.75" thickBot="1" x14ac:dyDescent="0.3">
      <c r="F20" s="584"/>
    </row>
    <row r="21" spans="1:12" ht="23.25" thickBot="1" x14ac:dyDescent="0.3">
      <c r="C21" s="478"/>
      <c r="D21" s="479"/>
      <c r="E21" s="140"/>
      <c r="F21" s="141" t="s">
        <v>469</v>
      </c>
      <c r="H21" s="141" t="s">
        <v>54</v>
      </c>
    </row>
    <row r="22" spans="1:12" ht="15.75" thickBot="1" x14ac:dyDescent="0.3">
      <c r="C22" s="480" t="s">
        <v>55</v>
      </c>
      <c r="D22" s="141" t="s">
        <v>56</v>
      </c>
      <c r="E22" s="142"/>
      <c r="F22" s="140" t="s">
        <v>381</v>
      </c>
      <c r="H22" s="140" t="s">
        <v>381</v>
      </c>
    </row>
    <row r="23" spans="1:12" ht="15.75" thickBot="1" x14ac:dyDescent="0.3">
      <c r="A23" s="199" t="str">
        <f t="shared" ref="A23:A26" si="1">C23&amp;E23</f>
        <v>FIELD SERVICESPAYROLL</v>
      </c>
      <c r="B23" s="144" t="s">
        <v>470</v>
      </c>
      <c r="C23" s="144" t="s">
        <v>382</v>
      </c>
      <c r="D23" s="150" t="s">
        <v>67</v>
      </c>
      <c r="E23" s="150" t="s">
        <v>68</v>
      </c>
      <c r="F23" s="718">
        <v>674.47823000000005</v>
      </c>
      <c r="H23" s="719">
        <v>669413.53</v>
      </c>
      <c r="J23" t="s">
        <v>382</v>
      </c>
      <c r="K23" t="s">
        <v>67</v>
      </c>
      <c r="L23" s="468">
        <v>674.47823000000005</v>
      </c>
    </row>
    <row r="24" spans="1:12" ht="15.75" thickBot="1" x14ac:dyDescent="0.3">
      <c r="A24" s="199" t="str">
        <f t="shared" si="1"/>
        <v>FIELD SERVICESNON-PAYROLL</v>
      </c>
      <c r="B24" s="144" t="s">
        <v>470</v>
      </c>
      <c r="C24" s="144" t="s">
        <v>382</v>
      </c>
      <c r="D24" s="150" t="s">
        <v>85</v>
      </c>
      <c r="E24" s="150" t="s">
        <v>86</v>
      </c>
      <c r="F24" s="718">
        <v>17.86628</v>
      </c>
      <c r="H24" s="720">
        <v>24947.64</v>
      </c>
      <c r="J24" t="s">
        <v>382</v>
      </c>
      <c r="K24" t="s">
        <v>85</v>
      </c>
      <c r="L24" s="468">
        <v>17.86628</v>
      </c>
    </row>
    <row r="25" spans="1:12" ht="15.75" thickBot="1" x14ac:dyDescent="0.3">
      <c r="A25" s="199" t="str">
        <f t="shared" si="1"/>
        <v>MAJ ACCT SERV TEAMPAYROLL</v>
      </c>
      <c r="B25" s="144" t="s">
        <v>405</v>
      </c>
      <c r="C25" s="144" t="s">
        <v>155</v>
      </c>
      <c r="D25" s="150" t="s">
        <v>67</v>
      </c>
      <c r="E25" s="150" t="s">
        <v>68</v>
      </c>
      <c r="F25" s="718">
        <v>438.82083999999998</v>
      </c>
      <c r="H25" s="721">
        <v>422213.3</v>
      </c>
      <c r="J25" t="s">
        <v>155</v>
      </c>
      <c r="K25" t="s">
        <v>67</v>
      </c>
      <c r="L25" s="468">
        <v>438.82083999999998</v>
      </c>
    </row>
    <row r="26" spans="1:12" ht="15.75" thickBot="1" x14ac:dyDescent="0.3">
      <c r="A26" s="199" t="str">
        <f t="shared" si="1"/>
        <v>MAJ ACCT SERV TEAMNON-PAYROLL</v>
      </c>
      <c r="B26" s="735" t="s">
        <v>405</v>
      </c>
      <c r="C26" s="735" t="s">
        <v>155</v>
      </c>
      <c r="D26" s="736" t="s">
        <v>85</v>
      </c>
      <c r="E26" s="736" t="s">
        <v>86</v>
      </c>
      <c r="F26" s="737">
        <v>6.8951000000000002</v>
      </c>
      <c r="H26" s="720">
        <v>7960.49</v>
      </c>
      <c r="J26" t="s">
        <v>155</v>
      </c>
      <c r="K26" t="s">
        <v>85</v>
      </c>
      <c r="L26" s="468">
        <v>6.8951000000000002</v>
      </c>
    </row>
    <row r="27" spans="1:12" ht="19.5" thickBot="1" x14ac:dyDescent="0.35">
      <c r="D27" s="481" t="s">
        <v>34</v>
      </c>
      <c r="E27" s="733" t="s">
        <v>67</v>
      </c>
      <c r="F27" s="734">
        <f>F23+F25</f>
        <v>1113.29907</v>
      </c>
      <c r="H27" s="482">
        <f>H23+H25</f>
        <v>1091626.83</v>
      </c>
    </row>
    <row r="28" spans="1:12" ht="19.5" thickBot="1" x14ac:dyDescent="0.35">
      <c r="D28" s="481" t="s">
        <v>34</v>
      </c>
      <c r="E28" s="150" t="s">
        <v>85</v>
      </c>
      <c r="F28" s="732">
        <f>F24+F26</f>
        <v>24.761379999999999</v>
      </c>
      <c r="H28" s="482">
        <f>H24+H26</f>
        <v>32908.129999999997</v>
      </c>
    </row>
    <row r="29" spans="1:12" x14ac:dyDescent="0.25">
      <c r="F29" s="584"/>
    </row>
    <row r="30" spans="1:12" s="585" customFormat="1" x14ac:dyDescent="0.25"/>
    <row r="31" spans="1:12" ht="21" x14ac:dyDescent="0.35">
      <c r="B31" s="738" t="s">
        <v>911</v>
      </c>
      <c r="C31" s="550"/>
      <c r="D31" s="550"/>
    </row>
    <row r="32" spans="1:12" ht="15.75" thickBot="1" x14ac:dyDescent="0.3"/>
    <row r="33" spans="1:18" ht="15.75" thickBot="1" x14ac:dyDescent="0.3">
      <c r="B33" s="141" t="s">
        <v>55</v>
      </c>
      <c r="C33" s="141" t="s">
        <v>56</v>
      </c>
      <c r="D33" s="582"/>
      <c r="E33" s="586" t="s">
        <v>559</v>
      </c>
      <c r="F33" s="586" t="s">
        <v>560</v>
      </c>
      <c r="G33" s="586" t="s">
        <v>454</v>
      </c>
      <c r="H33" s="586" t="s">
        <v>455</v>
      </c>
      <c r="I33" s="586" t="s">
        <v>561</v>
      </c>
      <c r="J33" s="586" t="s">
        <v>456</v>
      </c>
      <c r="K33" s="586" t="s">
        <v>457</v>
      </c>
      <c r="L33" s="594" t="s">
        <v>562</v>
      </c>
      <c r="M33" s="586" t="s">
        <v>563</v>
      </c>
      <c r="N33" s="586" t="s">
        <v>458</v>
      </c>
      <c r="O33" s="586" t="s">
        <v>459</v>
      </c>
      <c r="P33" s="586" t="s">
        <v>564</v>
      </c>
      <c r="Q33" s="586" t="s">
        <v>460</v>
      </c>
      <c r="R33" s="586" t="s">
        <v>461</v>
      </c>
    </row>
    <row r="34" spans="1:18" ht="15.75" hidden="1" thickBot="1" x14ac:dyDescent="0.3">
      <c r="A34" s="199" t="str">
        <f t="shared" ref="A34:A98" si="2">B34&amp;C34</f>
        <v>NW NATURALSALARY PAYROLL</v>
      </c>
      <c r="B34" s="144" t="s">
        <v>565</v>
      </c>
      <c r="C34" s="722" t="s">
        <v>59</v>
      </c>
      <c r="D34" s="591" t="s">
        <v>60</v>
      </c>
      <c r="E34" s="148">
        <v>3218.7341900000001</v>
      </c>
      <c r="F34" s="148">
        <v>3751.16356</v>
      </c>
      <c r="G34" s="148">
        <v>-532.42936999999995</v>
      </c>
      <c r="H34" s="148">
        <v>-14.193712470378124</v>
      </c>
      <c r="I34" s="728"/>
      <c r="J34" s="148">
        <v>3218.7341900000001</v>
      </c>
      <c r="K34" s="148">
        <v>0</v>
      </c>
      <c r="L34" s="148">
        <v>43251.855040000002</v>
      </c>
      <c r="M34" s="148">
        <v>44705.600400000003</v>
      </c>
      <c r="N34" s="148">
        <v>-1453.7453599999999</v>
      </c>
      <c r="O34" s="148">
        <v>-3.2518193402900812</v>
      </c>
      <c r="P34" s="148">
        <v>22500.815729999998</v>
      </c>
      <c r="Q34" s="148">
        <v>20751.03931</v>
      </c>
      <c r="R34" s="148">
        <v>92.223497845604555</v>
      </c>
    </row>
    <row r="35" spans="1:18" ht="15.75" hidden="1" thickBot="1" x14ac:dyDescent="0.3">
      <c r="A35" s="199" t="str">
        <f t="shared" si="2"/>
        <v>NW NATURALSALARY  OVERTIME</v>
      </c>
      <c r="B35" s="144" t="s">
        <v>565</v>
      </c>
      <c r="C35" s="722" t="s">
        <v>566</v>
      </c>
      <c r="D35" s="591" t="s">
        <v>567</v>
      </c>
      <c r="E35" s="147">
        <v>1.7224600000000001</v>
      </c>
      <c r="F35" s="729"/>
      <c r="G35" s="147">
        <v>1.7224600000000001</v>
      </c>
      <c r="H35" s="147">
        <v>0</v>
      </c>
      <c r="I35" s="729"/>
      <c r="J35" s="147">
        <v>1.7224600000000001</v>
      </c>
      <c r="K35" s="147">
        <v>0</v>
      </c>
      <c r="L35" s="147">
        <v>9.5313099999999995</v>
      </c>
      <c r="M35" s="729"/>
      <c r="N35" s="147">
        <v>9.5313099999999995</v>
      </c>
      <c r="O35" s="147">
        <v>0</v>
      </c>
      <c r="P35" s="147">
        <v>3.6762199999999998</v>
      </c>
      <c r="Q35" s="147">
        <v>5.8550899999999997</v>
      </c>
      <c r="R35" s="147">
        <v>159.26930379574671</v>
      </c>
    </row>
    <row r="36" spans="1:18" ht="15.75" hidden="1" thickBot="1" x14ac:dyDescent="0.3">
      <c r="A36" s="199" t="str">
        <f t="shared" si="2"/>
        <v>NW NATURALHOURLY PAYROLL</v>
      </c>
      <c r="B36" s="144" t="s">
        <v>565</v>
      </c>
      <c r="C36" s="722" t="s">
        <v>178</v>
      </c>
      <c r="D36" s="591" t="s">
        <v>179</v>
      </c>
      <c r="E36" s="148">
        <v>-19.099</v>
      </c>
      <c r="F36" s="728"/>
      <c r="G36" s="148">
        <v>-19.099</v>
      </c>
      <c r="H36" s="148">
        <v>0</v>
      </c>
      <c r="I36" s="728"/>
      <c r="J36" s="148">
        <v>-19.099</v>
      </c>
      <c r="K36" s="148">
        <v>0</v>
      </c>
      <c r="L36" s="148">
        <v>-271.673</v>
      </c>
      <c r="M36" s="728"/>
      <c r="N36" s="148">
        <v>-271.673</v>
      </c>
      <c r="O36" s="148">
        <v>0</v>
      </c>
      <c r="P36" s="148">
        <v>-169.595</v>
      </c>
      <c r="Q36" s="148">
        <v>-102.078</v>
      </c>
      <c r="R36" s="148">
        <v>-60.189274447949529</v>
      </c>
    </row>
    <row r="37" spans="1:18" ht="15.75" hidden="1" thickBot="1" x14ac:dyDescent="0.3">
      <c r="A37" s="199" t="str">
        <f t="shared" si="2"/>
        <v>NW NATURALHOURLY DOUBLE PAY</v>
      </c>
      <c r="B37" s="144" t="s">
        <v>565</v>
      </c>
      <c r="C37" s="722" t="s">
        <v>89</v>
      </c>
      <c r="D37" s="591" t="s">
        <v>90</v>
      </c>
      <c r="E37" s="147">
        <v>107.2765</v>
      </c>
      <c r="F37" s="729"/>
      <c r="G37" s="147">
        <v>107.2765</v>
      </c>
      <c r="H37" s="147">
        <v>0</v>
      </c>
      <c r="I37" s="729"/>
      <c r="J37" s="147">
        <v>107.2765</v>
      </c>
      <c r="K37" s="147">
        <v>0</v>
      </c>
      <c r="L37" s="147">
        <v>1062.1839600000001</v>
      </c>
      <c r="M37" s="729"/>
      <c r="N37" s="147">
        <v>1062.1839600000001</v>
      </c>
      <c r="O37" s="147">
        <v>0</v>
      </c>
      <c r="P37" s="147">
        <v>476.08645000000001</v>
      </c>
      <c r="Q37" s="147">
        <v>586.09751000000006</v>
      </c>
      <c r="R37" s="147">
        <v>123.10737052062709</v>
      </c>
    </row>
    <row r="38" spans="1:18" ht="15.75" hidden="1" thickBot="1" x14ac:dyDescent="0.3">
      <c r="A38" s="199" t="str">
        <f t="shared" si="2"/>
        <v>NW NATURALHOURLY REGULAR  PAY</v>
      </c>
      <c r="B38" s="144" t="s">
        <v>565</v>
      </c>
      <c r="C38" s="722" t="s">
        <v>91</v>
      </c>
      <c r="D38" s="592" t="s">
        <v>92</v>
      </c>
      <c r="E38" s="148">
        <v>2445.61922</v>
      </c>
      <c r="F38" s="148">
        <v>3352.7570700000001</v>
      </c>
      <c r="G38" s="148">
        <v>-907.13784999999996</v>
      </c>
      <c r="H38" s="148">
        <v>-27.056474151287077</v>
      </c>
      <c r="I38" s="728"/>
      <c r="J38" s="148">
        <v>2445.61922</v>
      </c>
      <c r="K38" s="148">
        <v>0</v>
      </c>
      <c r="L38" s="148">
        <v>36119.054680000001</v>
      </c>
      <c r="M38" s="148">
        <v>39101.802620000002</v>
      </c>
      <c r="N38" s="148">
        <v>-2982.7479400000002</v>
      </c>
      <c r="O38" s="148">
        <v>-7.6281596758773675</v>
      </c>
      <c r="P38" s="148">
        <v>18463.622650000001</v>
      </c>
      <c r="Q38" s="148">
        <v>17655.43203</v>
      </c>
      <c r="R38" s="148">
        <v>95.62279496651216</v>
      </c>
    </row>
    <row r="39" spans="1:18" ht="15.75" hidden="1" thickBot="1" x14ac:dyDescent="0.3">
      <c r="A39" s="199" t="str">
        <f t="shared" si="2"/>
        <v>NW NATURALHOURLY OVERTIME PAY</v>
      </c>
      <c r="B39" s="144" t="s">
        <v>565</v>
      </c>
      <c r="C39" s="722" t="s">
        <v>93</v>
      </c>
      <c r="D39" s="591" t="s">
        <v>94</v>
      </c>
      <c r="E39" s="147">
        <v>208.30410000000001</v>
      </c>
      <c r="F39" s="147">
        <v>241.16492</v>
      </c>
      <c r="G39" s="147">
        <v>-32.860819999999997</v>
      </c>
      <c r="H39" s="147">
        <v>-13.62587062828209</v>
      </c>
      <c r="I39" s="729"/>
      <c r="J39" s="147">
        <v>208.30410000000001</v>
      </c>
      <c r="K39" s="147">
        <v>0</v>
      </c>
      <c r="L39" s="147">
        <v>4080.39768</v>
      </c>
      <c r="M39" s="147">
        <v>2280.8962499999998</v>
      </c>
      <c r="N39" s="147">
        <v>1799.50143</v>
      </c>
      <c r="O39" s="147">
        <v>78.894488515205367</v>
      </c>
      <c r="P39" s="147">
        <v>1987.0032000000001</v>
      </c>
      <c r="Q39" s="147">
        <v>2093.3944799999999</v>
      </c>
      <c r="R39" s="147">
        <v>105.35435876499847</v>
      </c>
    </row>
    <row r="40" spans="1:18" ht="15.75" hidden="1" thickBot="1" x14ac:dyDescent="0.3">
      <c r="A40" s="199" t="str">
        <f t="shared" si="2"/>
        <v>NW NATURALP/T HOURLY PAYROLL</v>
      </c>
      <c r="B40" s="144" t="s">
        <v>565</v>
      </c>
      <c r="C40" s="722" t="s">
        <v>159</v>
      </c>
      <c r="D40" s="591" t="s">
        <v>160</v>
      </c>
      <c r="E40" s="148">
        <v>5.9659899999999997</v>
      </c>
      <c r="F40" s="148">
        <v>9.0218699999999998</v>
      </c>
      <c r="G40" s="148">
        <v>-3.0558800000000002</v>
      </c>
      <c r="H40" s="148">
        <v>-33.871913472484088</v>
      </c>
      <c r="I40" s="728"/>
      <c r="J40" s="148">
        <v>5.9659899999999997</v>
      </c>
      <c r="K40" s="148">
        <v>0</v>
      </c>
      <c r="L40" s="148">
        <v>91.541079999999994</v>
      </c>
      <c r="M40" s="148">
        <v>105.37186</v>
      </c>
      <c r="N40" s="148">
        <v>-13.830780000000001</v>
      </c>
      <c r="O40" s="148">
        <v>-13.125686497324807</v>
      </c>
      <c r="P40" s="148">
        <v>48.189</v>
      </c>
      <c r="Q40" s="148">
        <v>43.352080000000001</v>
      </c>
      <c r="R40" s="148">
        <v>89.962605573886151</v>
      </c>
    </row>
    <row r="41" spans="1:18" ht="15.75" hidden="1" thickBot="1" x14ac:dyDescent="0.3">
      <c r="A41" s="199" t="str">
        <f t="shared" si="2"/>
        <v>NW NATURALSALARY BONUS PAYROLL</v>
      </c>
      <c r="B41" s="144" t="s">
        <v>565</v>
      </c>
      <c r="C41" s="722" t="s">
        <v>134</v>
      </c>
      <c r="D41" s="591" t="s">
        <v>135</v>
      </c>
      <c r="E41" s="147">
        <v>1940.95721</v>
      </c>
      <c r="F41" s="147">
        <v>1265.4490499999999</v>
      </c>
      <c r="G41" s="147">
        <v>675.50815999999998</v>
      </c>
      <c r="H41" s="147">
        <v>53.3809053790036</v>
      </c>
      <c r="I41" s="729"/>
      <c r="J41" s="147">
        <v>1940.95721</v>
      </c>
      <c r="K41" s="147">
        <v>0</v>
      </c>
      <c r="L41" s="147">
        <v>2612.0387799999999</v>
      </c>
      <c r="M41" s="147">
        <v>1373.34428</v>
      </c>
      <c r="N41" s="147">
        <v>1238.6945000000001</v>
      </c>
      <c r="O41" s="147">
        <v>90.195482519503415</v>
      </c>
      <c r="P41" s="147">
        <v>1356.83277</v>
      </c>
      <c r="Q41" s="147">
        <v>1255.2060100000001</v>
      </c>
      <c r="R41" s="147">
        <v>92.510001066675301</v>
      </c>
    </row>
    <row r="42" spans="1:18" ht="15.75" hidden="1" thickBot="1" x14ac:dyDescent="0.3">
      <c r="A42" s="199" t="str">
        <f t="shared" si="2"/>
        <v>NW NATURALHOURLY BONUS PAYROLL</v>
      </c>
      <c r="B42" s="144" t="s">
        <v>565</v>
      </c>
      <c r="C42" s="722" t="s">
        <v>95</v>
      </c>
      <c r="D42" s="591" t="s">
        <v>96</v>
      </c>
      <c r="E42" s="148">
        <v>-216.048</v>
      </c>
      <c r="F42" s="728"/>
      <c r="G42" s="148">
        <v>-216.048</v>
      </c>
      <c r="H42" s="148">
        <v>0</v>
      </c>
      <c r="I42" s="728"/>
      <c r="J42" s="148">
        <v>-216.048</v>
      </c>
      <c r="K42" s="148">
        <v>0</v>
      </c>
      <c r="L42" s="148">
        <v>73.075919999999996</v>
      </c>
      <c r="M42" s="728"/>
      <c r="N42" s="148">
        <v>73.075919999999996</v>
      </c>
      <c r="O42" s="148">
        <v>0</v>
      </c>
      <c r="P42" s="148">
        <v>24.060919999999999</v>
      </c>
      <c r="Q42" s="148">
        <v>49.015000000000001</v>
      </c>
      <c r="R42" s="148">
        <v>203.71207750992065</v>
      </c>
    </row>
    <row r="43" spans="1:18" ht="15.75" hidden="1" thickBot="1" x14ac:dyDescent="0.3">
      <c r="A43" s="199" t="str">
        <f t="shared" si="2"/>
        <v>NW NATURALSALARY P/T PAYROLL</v>
      </c>
      <c r="B43" s="144" t="s">
        <v>565</v>
      </c>
      <c r="C43" s="722" t="s">
        <v>568</v>
      </c>
      <c r="D43" s="591" t="s">
        <v>569</v>
      </c>
      <c r="E43" s="147">
        <v>13.54349</v>
      </c>
      <c r="F43" s="147">
        <v>10.50234</v>
      </c>
      <c r="G43" s="147">
        <v>3.04115</v>
      </c>
      <c r="H43" s="147">
        <v>28.95688008577136</v>
      </c>
      <c r="I43" s="729"/>
      <c r="J43" s="147">
        <v>13.54349</v>
      </c>
      <c r="K43" s="147">
        <v>0</v>
      </c>
      <c r="L43" s="147">
        <v>132.74825000000001</v>
      </c>
      <c r="M43" s="147">
        <v>125.36691999999999</v>
      </c>
      <c r="N43" s="147">
        <v>7.3813300000000002</v>
      </c>
      <c r="O43" s="147">
        <v>5.8877812424521556</v>
      </c>
      <c r="P43" s="147">
        <v>46.799950000000003</v>
      </c>
      <c r="Q43" s="147">
        <v>85.948300000000003</v>
      </c>
      <c r="R43" s="147">
        <v>183.65040988291653</v>
      </c>
    </row>
    <row r="44" spans="1:18" ht="15.75" hidden="1" thickBot="1" x14ac:dyDescent="0.3">
      <c r="A44" s="199" t="str">
        <f t="shared" si="2"/>
        <v>NW NATURALVACATION, SICK &amp; HOL</v>
      </c>
      <c r="B44" s="144" t="s">
        <v>565</v>
      </c>
      <c r="C44" s="722" t="s">
        <v>61</v>
      </c>
      <c r="D44" s="591" t="s">
        <v>62</v>
      </c>
      <c r="E44" s="148">
        <v>1028.83836</v>
      </c>
      <c r="F44" s="148">
        <v>1053.5495000000001</v>
      </c>
      <c r="G44" s="148">
        <v>-24.71114</v>
      </c>
      <c r="H44" s="148">
        <v>-2.3455129540662303</v>
      </c>
      <c r="I44" s="728"/>
      <c r="J44" s="148">
        <v>1028.83836</v>
      </c>
      <c r="K44" s="148">
        <v>0</v>
      </c>
      <c r="L44" s="148">
        <v>12296.392620000001</v>
      </c>
      <c r="M44" s="148">
        <v>12629.53116</v>
      </c>
      <c r="N44" s="148">
        <v>-333.13853999999998</v>
      </c>
      <c r="O44" s="148">
        <v>-2.6377744017538021</v>
      </c>
      <c r="P44" s="148">
        <v>6045.18606</v>
      </c>
      <c r="Q44" s="148">
        <v>6251.2065599999996</v>
      </c>
      <c r="R44" s="148">
        <v>103.40800924827117</v>
      </c>
    </row>
    <row r="45" spans="1:18" ht="15.75" hidden="1" thickBot="1" x14ac:dyDescent="0.3">
      <c r="A45" s="199" t="str">
        <f t="shared" si="2"/>
        <v>NW NATURALPAYROLL OVERHEAD</v>
      </c>
      <c r="B45" s="144" t="s">
        <v>565</v>
      </c>
      <c r="C45" s="722" t="s">
        <v>63</v>
      </c>
      <c r="D45" s="591" t="s">
        <v>64</v>
      </c>
      <c r="E45" s="147">
        <v>3901.2111500000001</v>
      </c>
      <c r="F45" s="147">
        <v>4148.11067</v>
      </c>
      <c r="G45" s="147">
        <v>-246.89952</v>
      </c>
      <c r="H45" s="147">
        <v>-5.9520957766539047</v>
      </c>
      <c r="I45" s="729"/>
      <c r="J45" s="147">
        <v>3901.2111500000001</v>
      </c>
      <c r="K45" s="147">
        <v>0</v>
      </c>
      <c r="L45" s="147">
        <v>46790.318050000002</v>
      </c>
      <c r="M45" s="147">
        <v>48916.355620000002</v>
      </c>
      <c r="N45" s="147">
        <v>-2126.03757</v>
      </c>
      <c r="O45" s="147">
        <v>-4.346271391343687</v>
      </c>
      <c r="P45" s="147">
        <v>23001.539239999998</v>
      </c>
      <c r="Q45" s="147">
        <v>23788.77881</v>
      </c>
      <c r="R45" s="147">
        <v>103.42255169006681</v>
      </c>
    </row>
    <row r="46" spans="1:18" ht="15.75" hidden="1" thickBot="1" x14ac:dyDescent="0.3">
      <c r="A46" s="199" t="str">
        <f t="shared" si="2"/>
        <v>NW NATURALPAYROLL OH - OFFICER</v>
      </c>
      <c r="B46" s="144" t="s">
        <v>565</v>
      </c>
      <c r="C46" s="722" t="s">
        <v>570</v>
      </c>
      <c r="D46" s="591" t="s">
        <v>571</v>
      </c>
      <c r="E46" s="148">
        <v>210.03560999999999</v>
      </c>
      <c r="F46" s="148">
        <v>195.37844999999999</v>
      </c>
      <c r="G46" s="148">
        <v>14.657159999999999</v>
      </c>
      <c r="H46" s="148">
        <v>7.5019327873672861</v>
      </c>
      <c r="I46" s="728"/>
      <c r="J46" s="148">
        <v>210.03560999999999</v>
      </c>
      <c r="K46" s="148">
        <v>0</v>
      </c>
      <c r="L46" s="148">
        <v>2447.3810199999998</v>
      </c>
      <c r="M46" s="148">
        <v>2332.24154</v>
      </c>
      <c r="N46" s="148">
        <v>115.13948000000001</v>
      </c>
      <c r="O46" s="148">
        <v>4.9368591556773316</v>
      </c>
      <c r="P46" s="148">
        <v>1196.80765</v>
      </c>
      <c r="Q46" s="148">
        <v>1250.5733700000001</v>
      </c>
      <c r="R46" s="148">
        <v>104.49242783499922</v>
      </c>
    </row>
    <row r="47" spans="1:18" ht="15.75" hidden="1" thickBot="1" x14ac:dyDescent="0.3">
      <c r="A47" s="199" t="str">
        <f t="shared" si="2"/>
        <v>NW NATURALCOMMISSIONS</v>
      </c>
      <c r="B47" s="144" t="s">
        <v>565</v>
      </c>
      <c r="C47" s="722" t="s">
        <v>180</v>
      </c>
      <c r="D47" s="591" t="s">
        <v>181</v>
      </c>
      <c r="E47" s="729"/>
      <c r="F47" s="147">
        <v>-375.57749999999999</v>
      </c>
      <c r="G47" s="147">
        <v>375.57749999999999</v>
      </c>
      <c r="H47" s="147">
        <v>100</v>
      </c>
      <c r="I47" s="729"/>
      <c r="J47" s="729"/>
      <c r="K47" s="729"/>
      <c r="L47" s="147">
        <v>0</v>
      </c>
      <c r="M47" s="147">
        <v>-4600.4853499999999</v>
      </c>
      <c r="N47" s="147">
        <v>4600.4853499999999</v>
      </c>
      <c r="O47" s="147">
        <v>100</v>
      </c>
      <c r="P47" s="147">
        <v>0</v>
      </c>
      <c r="Q47" s="147">
        <v>0</v>
      </c>
      <c r="R47" s="147">
        <v>0</v>
      </c>
    </row>
    <row r="48" spans="1:18" ht="15.75" hidden="1" thickBot="1" x14ac:dyDescent="0.3">
      <c r="A48" s="199" t="str">
        <f t="shared" si="2"/>
        <v>NW NATURALNWN/580105</v>
      </c>
      <c r="B48" s="144" t="s">
        <v>565</v>
      </c>
      <c r="C48" s="722" t="s">
        <v>156</v>
      </c>
      <c r="D48" s="591" t="s">
        <v>157</v>
      </c>
      <c r="E48" s="148">
        <v>394.19112000000001</v>
      </c>
      <c r="F48" s="148">
        <v>68.826589999999996</v>
      </c>
      <c r="G48" s="148">
        <v>325.36453</v>
      </c>
      <c r="H48" s="148">
        <v>472.73085881488538</v>
      </c>
      <c r="I48" s="728"/>
      <c r="J48" s="148">
        <v>394.19112000000001</v>
      </c>
      <c r="K48" s="148">
        <v>0</v>
      </c>
      <c r="L48" s="148">
        <v>5775.3311599999997</v>
      </c>
      <c r="M48" s="148">
        <v>821.58615999999995</v>
      </c>
      <c r="N48" s="148">
        <v>4953.7449999999999</v>
      </c>
      <c r="O48" s="148">
        <v>602.94893477757705</v>
      </c>
      <c r="P48" s="148">
        <v>2891.1558</v>
      </c>
      <c r="Q48" s="148">
        <v>2884.1753600000002</v>
      </c>
      <c r="R48" s="148">
        <v>99.758558843490903</v>
      </c>
    </row>
    <row r="49" spans="1:18" ht="15.75" hidden="1" thickBot="1" x14ac:dyDescent="0.3">
      <c r="A49" s="199" t="str">
        <f t="shared" si="2"/>
        <v>NW NATURALNWN/580106</v>
      </c>
      <c r="B49" s="144" t="s">
        <v>565</v>
      </c>
      <c r="C49" s="722" t="s">
        <v>572</v>
      </c>
      <c r="D49" s="591" t="s">
        <v>573</v>
      </c>
      <c r="E49" s="729"/>
      <c r="F49" s="729"/>
      <c r="G49" s="729"/>
      <c r="H49" s="729"/>
      <c r="I49" s="729"/>
      <c r="J49" s="729"/>
      <c r="K49" s="729"/>
      <c r="L49" s="147">
        <v>0.52937999999999996</v>
      </c>
      <c r="M49" s="729"/>
      <c r="N49" s="147">
        <v>0.52937999999999996</v>
      </c>
      <c r="O49" s="147">
        <v>0</v>
      </c>
      <c r="P49" s="729"/>
      <c r="Q49" s="147">
        <v>0.52937999999999996</v>
      </c>
      <c r="R49" s="147">
        <v>0</v>
      </c>
    </row>
    <row r="50" spans="1:18" ht="15.75" hidden="1" thickBot="1" x14ac:dyDescent="0.3">
      <c r="A50" s="199" t="str">
        <f t="shared" si="2"/>
        <v>NW NATURALNWN/580301</v>
      </c>
      <c r="B50" s="144" t="s">
        <v>565</v>
      </c>
      <c r="C50" s="722" t="s">
        <v>182</v>
      </c>
      <c r="D50" s="591" t="s">
        <v>183</v>
      </c>
      <c r="E50" s="148">
        <v>89.394869999999997</v>
      </c>
      <c r="F50" s="728"/>
      <c r="G50" s="148">
        <v>89.394869999999997</v>
      </c>
      <c r="H50" s="148">
        <v>0</v>
      </c>
      <c r="I50" s="728"/>
      <c r="J50" s="148">
        <v>89.394869999999997</v>
      </c>
      <c r="K50" s="148">
        <v>0</v>
      </c>
      <c r="L50" s="148">
        <v>1064.26169</v>
      </c>
      <c r="M50" s="728"/>
      <c r="N50" s="148">
        <v>1064.26169</v>
      </c>
      <c r="O50" s="148">
        <v>0</v>
      </c>
      <c r="P50" s="148">
        <v>427.34674999999999</v>
      </c>
      <c r="Q50" s="148">
        <v>636.91494</v>
      </c>
      <c r="R50" s="148">
        <v>149.03937844385152</v>
      </c>
    </row>
    <row r="51" spans="1:18" ht="15.75" hidden="1" thickBot="1" x14ac:dyDescent="0.3">
      <c r="A51" s="199" t="str">
        <f t="shared" si="2"/>
        <v>NW NATURALNWN/580305</v>
      </c>
      <c r="B51" s="144" t="s">
        <v>565</v>
      </c>
      <c r="C51" s="722" t="s">
        <v>184</v>
      </c>
      <c r="D51" s="591" t="s">
        <v>185</v>
      </c>
      <c r="E51" s="147">
        <v>1854.4884999999999</v>
      </c>
      <c r="F51" s="147">
        <v>14.57607</v>
      </c>
      <c r="G51" s="147">
        <v>1839.9124300000001</v>
      </c>
      <c r="H51" s="147">
        <v>12622.829267422563</v>
      </c>
      <c r="I51" s="729"/>
      <c r="J51" s="147">
        <v>1854.4884999999999</v>
      </c>
      <c r="K51" s="147">
        <v>0</v>
      </c>
      <c r="L51" s="147">
        <v>26730.478370000001</v>
      </c>
      <c r="M51" s="147">
        <v>170.24289999999999</v>
      </c>
      <c r="N51" s="147">
        <v>26560.23547</v>
      </c>
      <c r="O51" s="147">
        <v>15601.376309966525</v>
      </c>
      <c r="P51" s="147">
        <v>13878.89566</v>
      </c>
      <c r="Q51" s="147">
        <v>12851.582710000001</v>
      </c>
      <c r="R51" s="147">
        <v>92.598020943692291</v>
      </c>
    </row>
    <row r="52" spans="1:18" ht="15.75" hidden="1" thickBot="1" x14ac:dyDescent="0.3">
      <c r="A52" s="199" t="str">
        <f t="shared" si="2"/>
        <v>NW NATURALNWN/580306</v>
      </c>
      <c r="B52" s="144" t="s">
        <v>565</v>
      </c>
      <c r="C52" s="722" t="s">
        <v>161</v>
      </c>
      <c r="D52" s="591" t="s">
        <v>162</v>
      </c>
      <c r="E52" s="148">
        <v>134.56145000000001</v>
      </c>
      <c r="F52" s="728"/>
      <c r="G52" s="148">
        <v>134.56145000000001</v>
      </c>
      <c r="H52" s="148">
        <v>0</v>
      </c>
      <c r="I52" s="728"/>
      <c r="J52" s="148">
        <v>134.56145000000001</v>
      </c>
      <c r="K52" s="148">
        <v>0</v>
      </c>
      <c r="L52" s="148">
        <v>2070.9992999999999</v>
      </c>
      <c r="M52" s="728"/>
      <c r="N52" s="148">
        <v>2070.9992999999999</v>
      </c>
      <c r="O52" s="148">
        <v>0</v>
      </c>
      <c r="P52" s="148">
        <v>955.23419999999999</v>
      </c>
      <c r="Q52" s="148">
        <v>1115.7651000000001</v>
      </c>
      <c r="R52" s="148">
        <v>116.80539704294507</v>
      </c>
    </row>
    <row r="53" spans="1:18" ht="15.75" hidden="1" thickBot="1" x14ac:dyDescent="0.3">
      <c r="A53" s="199" t="str">
        <f t="shared" si="2"/>
        <v>NW NATURALNWN/580800</v>
      </c>
      <c r="B53" s="144" t="s">
        <v>565</v>
      </c>
      <c r="C53" s="722" t="s">
        <v>574</v>
      </c>
      <c r="D53" s="591" t="s">
        <v>575</v>
      </c>
      <c r="E53" s="147">
        <v>4.1338900000000001</v>
      </c>
      <c r="F53" s="729"/>
      <c r="G53" s="147">
        <v>4.1338900000000001</v>
      </c>
      <c r="H53" s="147">
        <v>0</v>
      </c>
      <c r="I53" s="729"/>
      <c r="J53" s="147">
        <v>4.1338900000000001</v>
      </c>
      <c r="K53" s="147">
        <v>0</v>
      </c>
      <c r="L53" s="147">
        <v>23.381519999999998</v>
      </c>
      <c r="M53" s="729"/>
      <c r="N53" s="147">
        <v>23.381519999999998</v>
      </c>
      <c r="O53" s="147">
        <v>0</v>
      </c>
      <c r="P53" s="729"/>
      <c r="Q53" s="147">
        <v>23.381519999999998</v>
      </c>
      <c r="R53" s="147">
        <v>0</v>
      </c>
    </row>
    <row r="54" spans="1:18" ht="15.75" hidden="1" thickBot="1" x14ac:dyDescent="0.3">
      <c r="A54" s="199" t="str">
        <f t="shared" si="2"/>
        <v>NW NATURALSALARY PAYROLL ZTFSO</v>
      </c>
      <c r="B54" s="144" t="s">
        <v>565</v>
      </c>
      <c r="C54" s="722" t="s">
        <v>65</v>
      </c>
      <c r="D54" s="591" t="s">
        <v>66</v>
      </c>
      <c r="E54" s="148">
        <v>-2069.82681</v>
      </c>
      <c r="F54" s="148">
        <v>-1899.2739300000001</v>
      </c>
      <c r="G54" s="148">
        <v>-170.55287999999999</v>
      </c>
      <c r="H54" s="148">
        <v>-8.9798989659169379</v>
      </c>
      <c r="I54" s="728"/>
      <c r="J54" s="148">
        <v>-2069.82681</v>
      </c>
      <c r="K54" s="148">
        <v>0</v>
      </c>
      <c r="L54" s="148">
        <v>-26988.234570000001</v>
      </c>
      <c r="M54" s="148">
        <v>-22613.759109999999</v>
      </c>
      <c r="N54" s="148">
        <v>-4374.4754599999997</v>
      </c>
      <c r="O54" s="148">
        <v>-19.344309093951431</v>
      </c>
      <c r="P54" s="148">
        <v>-13520.241830000001</v>
      </c>
      <c r="Q54" s="148">
        <v>-13467.99274</v>
      </c>
      <c r="R54" s="148">
        <v>-99.613549146110202</v>
      </c>
    </row>
    <row r="55" spans="1:18" ht="15.75" hidden="1" thickBot="1" x14ac:dyDescent="0.3">
      <c r="A55" s="199" t="str">
        <f t="shared" si="2"/>
        <v>NW NATURALSAL - OVERTIME ZTFSO</v>
      </c>
      <c r="B55" s="144" t="s">
        <v>565</v>
      </c>
      <c r="C55" s="722" t="s">
        <v>576</v>
      </c>
      <c r="D55" s="592" t="s">
        <v>577</v>
      </c>
      <c r="E55" s="147">
        <v>-0.93420000000000003</v>
      </c>
      <c r="F55" s="729"/>
      <c r="G55" s="147">
        <v>-0.93420000000000003</v>
      </c>
      <c r="H55" s="147">
        <v>0</v>
      </c>
      <c r="I55" s="729"/>
      <c r="J55" s="147">
        <v>-0.93420000000000003</v>
      </c>
      <c r="K55" s="147">
        <v>0</v>
      </c>
      <c r="L55" s="147">
        <v>-3.9256500000000001</v>
      </c>
      <c r="M55" s="729"/>
      <c r="N55" s="147">
        <v>-3.9256500000000001</v>
      </c>
      <c r="O55" s="147">
        <v>0</v>
      </c>
      <c r="P55" s="147">
        <v>-1.1230500000000001</v>
      </c>
      <c r="Q55" s="147">
        <v>-2.8026</v>
      </c>
      <c r="R55" s="147">
        <v>-249.55255776679579</v>
      </c>
    </row>
    <row r="56" spans="1:18" ht="15.75" hidden="1" thickBot="1" x14ac:dyDescent="0.3">
      <c r="A56" s="199" t="str">
        <f t="shared" si="2"/>
        <v>NW NATURALHRL - DBL TIME ZTFSO</v>
      </c>
      <c r="B56" s="144" t="s">
        <v>565</v>
      </c>
      <c r="C56" s="722" t="s">
        <v>186</v>
      </c>
      <c r="D56" s="593" t="s">
        <v>187</v>
      </c>
      <c r="E56" s="148">
        <v>-102.00622</v>
      </c>
      <c r="F56" s="728"/>
      <c r="G56" s="148">
        <v>-102.00622</v>
      </c>
      <c r="H56" s="148">
        <v>0</v>
      </c>
      <c r="I56" s="728"/>
      <c r="J56" s="148">
        <v>-102.00622</v>
      </c>
      <c r="K56" s="148">
        <v>0</v>
      </c>
      <c r="L56" s="148">
        <v>-1281.9099200000001</v>
      </c>
      <c r="M56" s="728"/>
      <c r="N56" s="148">
        <v>-1281.9099200000001</v>
      </c>
      <c r="O56" s="148">
        <v>0</v>
      </c>
      <c r="P56" s="148">
        <v>-518.01477999999997</v>
      </c>
      <c r="Q56" s="148">
        <v>-763.89513999999997</v>
      </c>
      <c r="R56" s="148">
        <v>-147.46589662943595</v>
      </c>
    </row>
    <row r="57" spans="1:18" ht="15.75" hidden="1" thickBot="1" x14ac:dyDescent="0.3">
      <c r="A57" s="199" t="str">
        <f t="shared" si="2"/>
        <v>NW NATURALHRLY - REGULAR ZTFSO</v>
      </c>
      <c r="B57" s="144" t="s">
        <v>565</v>
      </c>
      <c r="C57" s="722" t="s">
        <v>163</v>
      </c>
      <c r="D57" s="591" t="s">
        <v>164</v>
      </c>
      <c r="E57" s="147">
        <v>-3849.38598</v>
      </c>
      <c r="F57" s="147">
        <v>-2235.6923000000002</v>
      </c>
      <c r="G57" s="147">
        <v>-1613.6936800000001</v>
      </c>
      <c r="H57" s="147">
        <v>-72.17870187234621</v>
      </c>
      <c r="I57" s="729"/>
      <c r="J57" s="147">
        <v>-3849.38598</v>
      </c>
      <c r="K57" s="147">
        <v>0</v>
      </c>
      <c r="L57" s="147">
        <v>-50934.027860000002</v>
      </c>
      <c r="M57" s="147">
        <v>-26125.902849999999</v>
      </c>
      <c r="N57" s="147">
        <v>-24808.12501</v>
      </c>
      <c r="O57" s="147">
        <v>-94.956048609818666</v>
      </c>
      <c r="P57" s="147">
        <v>-25938.661459999999</v>
      </c>
      <c r="Q57" s="147">
        <v>-24995.366399999999</v>
      </c>
      <c r="R57" s="147">
        <v>-96.36336261431741</v>
      </c>
    </row>
    <row r="58" spans="1:18" ht="15.75" hidden="1" thickBot="1" x14ac:dyDescent="0.3">
      <c r="A58" s="199" t="str">
        <f t="shared" si="2"/>
        <v>NW NATURALHRLY - OT ZTFSO</v>
      </c>
      <c r="B58" s="144" t="s">
        <v>565</v>
      </c>
      <c r="C58" s="722" t="s">
        <v>97</v>
      </c>
      <c r="D58" s="591" t="s">
        <v>98</v>
      </c>
      <c r="E58" s="148">
        <v>-288.98779999999999</v>
      </c>
      <c r="F58" s="728"/>
      <c r="G58" s="148">
        <v>-288.98779999999999</v>
      </c>
      <c r="H58" s="148">
        <v>0</v>
      </c>
      <c r="I58" s="728"/>
      <c r="J58" s="148">
        <v>-288.98779999999999</v>
      </c>
      <c r="K58" s="148">
        <v>0</v>
      </c>
      <c r="L58" s="148">
        <v>-4353.4402700000001</v>
      </c>
      <c r="M58" s="728"/>
      <c r="N58" s="148">
        <v>-4353.4402700000001</v>
      </c>
      <c r="O58" s="148">
        <v>0</v>
      </c>
      <c r="P58" s="148">
        <v>-2117.78766</v>
      </c>
      <c r="Q58" s="148">
        <v>-2235.6526100000001</v>
      </c>
      <c r="R58" s="148">
        <v>-105.56547534137582</v>
      </c>
    </row>
    <row r="59" spans="1:18" ht="15.75" hidden="1" thickBot="1" x14ac:dyDescent="0.3">
      <c r="A59" s="199" t="str">
        <f t="shared" si="2"/>
        <v>NW NATURALP/T  HRLY PAY ZTFSO</v>
      </c>
      <c r="B59" s="144" t="s">
        <v>565</v>
      </c>
      <c r="C59" s="722" t="s">
        <v>578</v>
      </c>
      <c r="D59" s="591" t="s">
        <v>579</v>
      </c>
      <c r="E59" s="729"/>
      <c r="F59" s="147">
        <v>-8.4375099999999996</v>
      </c>
      <c r="G59" s="147">
        <v>8.4375099999999996</v>
      </c>
      <c r="H59" s="147">
        <v>100</v>
      </c>
      <c r="I59" s="729"/>
      <c r="J59" s="729"/>
      <c r="K59" s="729"/>
      <c r="L59" s="729"/>
      <c r="M59" s="147">
        <v>-98.546869999999998</v>
      </c>
      <c r="N59" s="147">
        <v>98.546869999999998</v>
      </c>
      <c r="O59" s="147">
        <v>100</v>
      </c>
      <c r="P59" s="729"/>
      <c r="Q59" s="729"/>
      <c r="R59" s="729"/>
    </row>
    <row r="60" spans="1:18" ht="15.75" hidden="1" thickBot="1" x14ac:dyDescent="0.3">
      <c r="A60" s="199" t="str">
        <f t="shared" si="2"/>
        <v>NW NATURALSALARY P/T PAY ZTFSO</v>
      </c>
      <c r="B60" s="144" t="s">
        <v>565</v>
      </c>
      <c r="C60" s="722" t="s">
        <v>580</v>
      </c>
      <c r="D60" s="591" t="s">
        <v>581</v>
      </c>
      <c r="E60" s="148">
        <v>-4.1338900000000001</v>
      </c>
      <c r="F60" s="148">
        <v>-7.9014600000000002</v>
      </c>
      <c r="G60" s="148">
        <v>3.7675700000000001</v>
      </c>
      <c r="H60" s="148">
        <v>47.681947386938617</v>
      </c>
      <c r="I60" s="728"/>
      <c r="J60" s="148">
        <v>-4.1338900000000001</v>
      </c>
      <c r="K60" s="148">
        <v>0</v>
      </c>
      <c r="L60" s="148">
        <v>-23.381519999999998</v>
      </c>
      <c r="M60" s="148">
        <v>-94.320099999999996</v>
      </c>
      <c r="N60" s="148">
        <v>70.938580000000002</v>
      </c>
      <c r="O60" s="148">
        <v>75.210458852354904</v>
      </c>
      <c r="P60" s="728"/>
      <c r="Q60" s="148">
        <v>-23.381519999999998</v>
      </c>
      <c r="R60" s="148">
        <v>0</v>
      </c>
    </row>
    <row r="61" spans="1:18" ht="15.75" hidden="1" thickBot="1" x14ac:dyDescent="0.3">
      <c r="A61" s="199" t="str">
        <f t="shared" si="2"/>
        <v>NW NATURALPayroll</v>
      </c>
      <c r="B61" s="144" t="s">
        <v>565</v>
      </c>
      <c r="C61" s="149" t="s">
        <v>67</v>
      </c>
      <c r="D61" s="591" t="s">
        <v>68</v>
      </c>
      <c r="E61" s="147">
        <v>9008.5562100000006</v>
      </c>
      <c r="F61" s="147">
        <v>9583.6173899999994</v>
      </c>
      <c r="G61" s="147">
        <v>-575.06118000000004</v>
      </c>
      <c r="H61" s="147">
        <v>-6.0004605421752961</v>
      </c>
      <c r="I61" s="729"/>
      <c r="J61" s="147">
        <v>9008.5562100000006</v>
      </c>
      <c r="K61" s="147">
        <v>0</v>
      </c>
      <c r="L61" s="147">
        <v>100774.90702</v>
      </c>
      <c r="M61" s="147">
        <v>99029.325429999997</v>
      </c>
      <c r="N61" s="147">
        <v>1745.58159</v>
      </c>
      <c r="O61" s="147">
        <v>1.762691589001971</v>
      </c>
      <c r="P61" s="147">
        <v>51037.82847</v>
      </c>
      <c r="Q61" s="147">
        <v>49737.078549999998</v>
      </c>
      <c r="R61" s="147">
        <v>97.451400345599382</v>
      </c>
    </row>
    <row r="62" spans="1:18" ht="15.75" hidden="1" thickBot="1" x14ac:dyDescent="0.3">
      <c r="A62" s="199" t="str">
        <f t="shared" si="2"/>
        <v>NW NATURALEDUCATION</v>
      </c>
      <c r="B62" s="144" t="s">
        <v>565</v>
      </c>
      <c r="C62" s="722" t="s">
        <v>69</v>
      </c>
      <c r="D62" s="592" t="s">
        <v>70</v>
      </c>
      <c r="E62" s="148">
        <v>53.80959</v>
      </c>
      <c r="F62" s="148">
        <v>65.977689999999996</v>
      </c>
      <c r="G62" s="148">
        <v>-12.168100000000001</v>
      </c>
      <c r="H62" s="148">
        <v>-18.442749359669914</v>
      </c>
      <c r="I62" s="728"/>
      <c r="J62" s="148">
        <v>53.80959</v>
      </c>
      <c r="K62" s="148">
        <v>0</v>
      </c>
      <c r="L62" s="148">
        <v>597.44617000000005</v>
      </c>
      <c r="M62" s="148">
        <v>741.65192000000002</v>
      </c>
      <c r="N62" s="148">
        <v>-144.20574999999999</v>
      </c>
      <c r="O62" s="148">
        <v>-19.44385851519133</v>
      </c>
      <c r="P62" s="148">
        <v>342.46570000000003</v>
      </c>
      <c r="Q62" s="148">
        <v>254.98047</v>
      </c>
      <c r="R62" s="148">
        <v>74.454308854872181</v>
      </c>
    </row>
    <row r="63" spans="1:18" ht="15.75" hidden="1" thickBot="1" x14ac:dyDescent="0.3">
      <c r="A63" s="199" t="str">
        <f t="shared" si="2"/>
        <v>NW NATURALAUTO ALLOWANCE</v>
      </c>
      <c r="B63" s="144" t="s">
        <v>565</v>
      </c>
      <c r="C63" s="722" t="s">
        <v>582</v>
      </c>
      <c r="D63" s="591" t="s">
        <v>583</v>
      </c>
      <c r="E63" s="147">
        <v>3.1342400000000001</v>
      </c>
      <c r="F63" s="147">
        <v>4.8899999999999997</v>
      </c>
      <c r="G63" s="147">
        <v>-1.75576</v>
      </c>
      <c r="H63" s="147">
        <v>-35.90511247443763</v>
      </c>
      <c r="I63" s="729"/>
      <c r="J63" s="147">
        <v>3.1342400000000001</v>
      </c>
      <c r="K63" s="147">
        <v>0</v>
      </c>
      <c r="L63" s="147">
        <v>44.111499999999999</v>
      </c>
      <c r="M63" s="147">
        <v>56.643999999999998</v>
      </c>
      <c r="N63" s="147">
        <v>-12.532500000000001</v>
      </c>
      <c r="O63" s="147">
        <v>-22.125026481180708</v>
      </c>
      <c r="P63" s="147">
        <v>23.731059999999999</v>
      </c>
      <c r="Q63" s="147">
        <v>20.38044</v>
      </c>
      <c r="R63" s="147">
        <v>85.880866678521741</v>
      </c>
    </row>
    <row r="64" spans="1:18" ht="15.75" hidden="1" thickBot="1" x14ac:dyDescent="0.3">
      <c r="A64" s="199" t="str">
        <f t="shared" si="2"/>
        <v>NW NATURALMATERIALS</v>
      </c>
      <c r="B64" s="144" t="s">
        <v>565</v>
      </c>
      <c r="C64" s="722" t="s">
        <v>99</v>
      </c>
      <c r="D64" s="591" t="s">
        <v>100</v>
      </c>
      <c r="E64" s="148">
        <v>129.68427</v>
      </c>
      <c r="F64" s="148">
        <v>115.01648</v>
      </c>
      <c r="G64" s="148">
        <v>14.66779</v>
      </c>
      <c r="H64" s="148">
        <v>12.752772472257888</v>
      </c>
      <c r="I64" s="728"/>
      <c r="J64" s="148">
        <v>129.68427</v>
      </c>
      <c r="K64" s="148">
        <v>0</v>
      </c>
      <c r="L64" s="148">
        <v>1213.0994700000001</v>
      </c>
      <c r="M64" s="148">
        <v>1464.74215</v>
      </c>
      <c r="N64" s="148">
        <v>-251.64268000000001</v>
      </c>
      <c r="O64" s="148">
        <v>-17.179998541040142</v>
      </c>
      <c r="P64" s="148">
        <v>554.85512000000006</v>
      </c>
      <c r="Q64" s="148">
        <v>658.24435000000005</v>
      </c>
      <c r="R64" s="148">
        <v>118.63355428710831</v>
      </c>
    </row>
    <row r="65" spans="1:18" ht="15.75" hidden="1" thickBot="1" x14ac:dyDescent="0.3">
      <c r="A65" s="199" t="str">
        <f t="shared" si="2"/>
        <v>NW NATURALMATERIALS - CONS INV</v>
      </c>
      <c r="B65" s="144" t="s">
        <v>565</v>
      </c>
      <c r="C65" s="722" t="s">
        <v>165</v>
      </c>
      <c r="D65" s="591" t="s">
        <v>166</v>
      </c>
      <c r="E65" s="147">
        <v>133.11806999999999</v>
      </c>
      <c r="F65" s="147">
        <v>1.3755599999999999</v>
      </c>
      <c r="G65" s="147">
        <v>131.74251000000001</v>
      </c>
      <c r="H65" s="147">
        <v>9577.3728517840009</v>
      </c>
      <c r="I65" s="729"/>
      <c r="J65" s="147">
        <v>133.11806999999999</v>
      </c>
      <c r="K65" s="147">
        <v>0</v>
      </c>
      <c r="L65" s="147">
        <v>815.67786999999998</v>
      </c>
      <c r="M65" s="147">
        <v>14.479200000000001</v>
      </c>
      <c r="N65" s="147">
        <v>801.19866999999999</v>
      </c>
      <c r="O65" s="147">
        <v>5533.4457014199679</v>
      </c>
      <c r="P65" s="147">
        <v>371.53023000000002</v>
      </c>
      <c r="Q65" s="147">
        <v>444.14764000000002</v>
      </c>
      <c r="R65" s="147">
        <v>119.54549162796255</v>
      </c>
    </row>
    <row r="66" spans="1:18" ht="15.75" hidden="1" thickBot="1" x14ac:dyDescent="0.3">
      <c r="A66" s="199" t="str">
        <f t="shared" si="2"/>
        <v>NW NATURALMATERIALS -CONS PIPE</v>
      </c>
      <c r="B66" s="144" t="s">
        <v>565</v>
      </c>
      <c r="C66" s="722" t="s">
        <v>188</v>
      </c>
      <c r="D66" s="591" t="s">
        <v>189</v>
      </c>
      <c r="E66" s="148">
        <v>7.3292200000000003</v>
      </c>
      <c r="F66" s="728"/>
      <c r="G66" s="148">
        <v>7.3292200000000003</v>
      </c>
      <c r="H66" s="148">
        <v>0</v>
      </c>
      <c r="I66" s="728"/>
      <c r="J66" s="148">
        <v>7.3292200000000003</v>
      </c>
      <c r="K66" s="148">
        <v>0</v>
      </c>
      <c r="L66" s="148">
        <v>134.34486999999999</v>
      </c>
      <c r="M66" s="728"/>
      <c r="N66" s="148">
        <v>134.34486999999999</v>
      </c>
      <c r="O66" s="148">
        <v>0</v>
      </c>
      <c r="P66" s="148">
        <v>69.648660000000007</v>
      </c>
      <c r="Q66" s="148">
        <v>64.696209999999994</v>
      </c>
      <c r="R66" s="148">
        <v>92.889382222141819</v>
      </c>
    </row>
    <row r="67" spans="1:18" ht="15.75" hidden="1" thickBot="1" x14ac:dyDescent="0.3">
      <c r="A67" s="199" t="str">
        <f t="shared" si="2"/>
        <v>NW NATURALMAT CONS -PIPE SCRAP</v>
      </c>
      <c r="B67" s="144" t="s">
        <v>565</v>
      </c>
      <c r="C67" s="722" t="s">
        <v>584</v>
      </c>
      <c r="D67" s="591" t="s">
        <v>585</v>
      </c>
      <c r="E67" s="147">
        <v>1.47E-3</v>
      </c>
      <c r="F67" s="729"/>
      <c r="G67" s="147">
        <v>1.47E-3</v>
      </c>
      <c r="H67" s="147">
        <v>0</v>
      </c>
      <c r="I67" s="729"/>
      <c r="J67" s="147">
        <v>1.47E-3</v>
      </c>
      <c r="K67" s="147">
        <v>0</v>
      </c>
      <c r="L67" s="147">
        <v>7.6060000000000003E-2</v>
      </c>
      <c r="M67" s="729"/>
      <c r="N67" s="147">
        <v>7.6060000000000003E-2</v>
      </c>
      <c r="O67" s="147">
        <v>0</v>
      </c>
      <c r="P67" s="147">
        <v>2.342E-2</v>
      </c>
      <c r="Q67" s="147">
        <v>5.2639999999999999E-2</v>
      </c>
      <c r="R67" s="147">
        <v>224.76515798462853</v>
      </c>
    </row>
    <row r="68" spans="1:18" ht="15.75" hidden="1" thickBot="1" x14ac:dyDescent="0.3">
      <c r="A68" s="199" t="str">
        <f t="shared" si="2"/>
        <v>NW NATURALMATERIALS - GRAVEL</v>
      </c>
      <c r="B68" s="144" t="s">
        <v>565</v>
      </c>
      <c r="C68" s="722" t="s">
        <v>586</v>
      </c>
      <c r="D68" s="591" t="s">
        <v>587</v>
      </c>
      <c r="E68" s="728"/>
      <c r="F68" s="728"/>
      <c r="G68" s="728"/>
      <c r="H68" s="728"/>
      <c r="I68" s="728"/>
      <c r="J68" s="728"/>
      <c r="K68" s="728"/>
      <c r="L68" s="148">
        <v>3.6899099999999998</v>
      </c>
      <c r="M68" s="728"/>
      <c r="N68" s="148">
        <v>3.6899099999999998</v>
      </c>
      <c r="O68" s="148">
        <v>0</v>
      </c>
      <c r="P68" s="148">
        <v>3.6899099999999998</v>
      </c>
      <c r="Q68" s="148">
        <v>0</v>
      </c>
      <c r="R68" s="148">
        <v>0</v>
      </c>
    </row>
    <row r="69" spans="1:18" ht="15.75" hidden="1" thickBot="1" x14ac:dyDescent="0.3">
      <c r="A69" s="199" t="str">
        <f t="shared" si="2"/>
        <v>NW NATURALMATERIALS - OTHER</v>
      </c>
      <c r="B69" s="144" t="s">
        <v>565</v>
      </c>
      <c r="C69" s="722" t="s">
        <v>588</v>
      </c>
      <c r="D69" s="591" t="s">
        <v>589</v>
      </c>
      <c r="E69" s="147">
        <v>1.3522099999999999</v>
      </c>
      <c r="F69" s="729"/>
      <c r="G69" s="147">
        <v>1.3522099999999999</v>
      </c>
      <c r="H69" s="147">
        <v>0</v>
      </c>
      <c r="I69" s="729"/>
      <c r="J69" s="147">
        <v>1.3522099999999999</v>
      </c>
      <c r="K69" s="147">
        <v>0</v>
      </c>
      <c r="L69" s="147">
        <v>1.8162100000000001</v>
      </c>
      <c r="M69" s="729"/>
      <c r="N69" s="147">
        <v>1.8162100000000001</v>
      </c>
      <c r="O69" s="147">
        <v>0</v>
      </c>
      <c r="P69" s="147">
        <v>0.33900000000000002</v>
      </c>
      <c r="Q69" s="147">
        <v>1.4772099999999999</v>
      </c>
      <c r="R69" s="147">
        <v>435.75516224188789</v>
      </c>
    </row>
    <row r="70" spans="1:18" ht="15.75" hidden="1" thickBot="1" x14ac:dyDescent="0.3">
      <c r="A70" s="199" t="str">
        <f t="shared" si="2"/>
        <v>NW NATURALMATERIALS - FTGS &amp; V</v>
      </c>
      <c r="B70" s="144" t="s">
        <v>565</v>
      </c>
      <c r="C70" s="722" t="s">
        <v>590</v>
      </c>
      <c r="D70" s="591" t="s">
        <v>591</v>
      </c>
      <c r="E70" s="728"/>
      <c r="F70" s="728"/>
      <c r="G70" s="728"/>
      <c r="H70" s="728"/>
      <c r="I70" s="728"/>
      <c r="J70" s="728"/>
      <c r="K70" s="728"/>
      <c r="L70" s="148">
        <v>2.7534200000000002</v>
      </c>
      <c r="M70" s="728"/>
      <c r="N70" s="148">
        <v>2.7534200000000002</v>
      </c>
      <c r="O70" s="148">
        <v>0</v>
      </c>
      <c r="P70" s="148">
        <v>2.7534200000000002</v>
      </c>
      <c r="Q70" s="148">
        <v>0</v>
      </c>
      <c r="R70" s="148">
        <v>0</v>
      </c>
    </row>
    <row r="71" spans="1:18" ht="15.75" hidden="1" thickBot="1" x14ac:dyDescent="0.3">
      <c r="A71" s="199" t="str">
        <f t="shared" si="2"/>
        <v>NW NATURALMATERIALS - AGGREG</v>
      </c>
      <c r="B71" s="144" t="s">
        <v>565</v>
      </c>
      <c r="C71" s="722" t="s">
        <v>592</v>
      </c>
      <c r="D71" s="591" t="s">
        <v>593</v>
      </c>
      <c r="E71" s="147">
        <v>3.1053000000000002</v>
      </c>
      <c r="F71" s="729"/>
      <c r="G71" s="147">
        <v>3.1053000000000002</v>
      </c>
      <c r="H71" s="147">
        <v>0</v>
      </c>
      <c r="I71" s="729"/>
      <c r="J71" s="147">
        <v>3.1053000000000002</v>
      </c>
      <c r="K71" s="147">
        <v>0</v>
      </c>
      <c r="L71" s="147">
        <v>56.356900000000003</v>
      </c>
      <c r="M71" s="729"/>
      <c r="N71" s="147">
        <v>56.356900000000003</v>
      </c>
      <c r="O71" s="147">
        <v>0</v>
      </c>
      <c r="P71" s="147">
        <v>33.817509999999999</v>
      </c>
      <c r="Q71" s="147">
        <v>22.539390000000001</v>
      </c>
      <c r="R71" s="147">
        <v>66.650057913784906</v>
      </c>
    </row>
    <row r="72" spans="1:18" ht="15.75" hidden="1" thickBot="1" x14ac:dyDescent="0.3">
      <c r="A72" s="199" t="str">
        <f t="shared" si="2"/>
        <v>NW NATURALMATERIALS - SAND</v>
      </c>
      <c r="B72" s="144" t="s">
        <v>565</v>
      </c>
      <c r="C72" s="722" t="s">
        <v>594</v>
      </c>
      <c r="D72" s="591" t="s">
        <v>595</v>
      </c>
      <c r="E72" s="728"/>
      <c r="F72" s="728"/>
      <c r="G72" s="728"/>
      <c r="H72" s="728"/>
      <c r="I72" s="728"/>
      <c r="J72" s="728"/>
      <c r="K72" s="728"/>
      <c r="L72" s="148">
        <v>0.28536</v>
      </c>
      <c r="M72" s="728"/>
      <c r="N72" s="148">
        <v>0.28536</v>
      </c>
      <c r="O72" s="148">
        <v>0</v>
      </c>
      <c r="P72" s="148">
        <v>0.28536</v>
      </c>
      <c r="Q72" s="148">
        <v>0</v>
      </c>
      <c r="R72" s="148">
        <v>0</v>
      </c>
    </row>
    <row r="73" spans="1:18" ht="15.75" hidden="1" thickBot="1" x14ac:dyDescent="0.3">
      <c r="A73" s="199" t="str">
        <f t="shared" si="2"/>
        <v>NW NATURALMILEAGE REIMBURSE</v>
      </c>
      <c r="B73" s="144" t="s">
        <v>565</v>
      </c>
      <c r="C73" s="722" t="s">
        <v>137</v>
      </c>
      <c r="D73" s="591" t="s">
        <v>138</v>
      </c>
      <c r="E73" s="147">
        <v>30.393599999999999</v>
      </c>
      <c r="F73" s="147">
        <v>19.497540000000001</v>
      </c>
      <c r="G73" s="147">
        <v>10.89606</v>
      </c>
      <c r="H73" s="147">
        <v>55.884280786191489</v>
      </c>
      <c r="I73" s="729"/>
      <c r="J73" s="147">
        <v>30.393599999999999</v>
      </c>
      <c r="K73" s="147">
        <v>0</v>
      </c>
      <c r="L73" s="147">
        <v>237.67716999999999</v>
      </c>
      <c r="M73" s="147">
        <v>219.64010999999999</v>
      </c>
      <c r="N73" s="147">
        <v>18.03706</v>
      </c>
      <c r="O73" s="147">
        <v>8.2120975080553364</v>
      </c>
      <c r="P73" s="147">
        <v>111.47</v>
      </c>
      <c r="Q73" s="147">
        <v>126.20717</v>
      </c>
      <c r="R73" s="147">
        <v>113.22074997757244</v>
      </c>
    </row>
    <row r="74" spans="1:18" ht="15.75" hidden="1" thickBot="1" x14ac:dyDescent="0.3">
      <c r="A74" s="199" t="str">
        <f t="shared" si="2"/>
        <v>NW NATURALTRANSPORTATION</v>
      </c>
      <c r="B74" s="144" t="s">
        <v>565</v>
      </c>
      <c r="C74" s="722" t="s">
        <v>190</v>
      </c>
      <c r="D74" s="592" t="s">
        <v>191</v>
      </c>
      <c r="E74" s="148">
        <v>63.000129999999999</v>
      </c>
      <c r="F74" s="148">
        <v>64.461429999999993</v>
      </c>
      <c r="G74" s="148">
        <v>-1.4613</v>
      </c>
      <c r="H74" s="148">
        <v>-2.2669369885216635</v>
      </c>
      <c r="I74" s="728"/>
      <c r="J74" s="148">
        <v>63.000129999999999</v>
      </c>
      <c r="K74" s="148">
        <v>0</v>
      </c>
      <c r="L74" s="148">
        <v>775.90403000000003</v>
      </c>
      <c r="M74" s="148">
        <v>770.19716000000005</v>
      </c>
      <c r="N74" s="148">
        <v>5.7068700000000003</v>
      </c>
      <c r="O74" s="148">
        <v>0.74096222323125682</v>
      </c>
      <c r="P74" s="148">
        <v>383.70591000000002</v>
      </c>
      <c r="Q74" s="148">
        <v>392.19812000000002</v>
      </c>
      <c r="R74" s="148">
        <v>102.2132080269496</v>
      </c>
    </row>
    <row r="75" spans="1:18" ht="15.75" hidden="1" thickBot="1" x14ac:dyDescent="0.3">
      <c r="A75" s="199" t="str">
        <f t="shared" si="2"/>
        <v>NW NATURALEQUIPMENT</v>
      </c>
      <c r="B75" s="144" t="s">
        <v>565</v>
      </c>
      <c r="C75" s="722" t="s">
        <v>36</v>
      </c>
      <c r="D75" s="593" t="s">
        <v>192</v>
      </c>
      <c r="E75" s="147">
        <v>194.98641000000001</v>
      </c>
      <c r="F75" s="147">
        <v>259.19580999999999</v>
      </c>
      <c r="G75" s="147">
        <v>-64.209400000000002</v>
      </c>
      <c r="H75" s="147">
        <v>-24.772545512984951</v>
      </c>
      <c r="I75" s="729"/>
      <c r="J75" s="147">
        <v>194.98641000000001</v>
      </c>
      <c r="K75" s="147">
        <v>0</v>
      </c>
      <c r="L75" s="147">
        <v>3576.5586600000001</v>
      </c>
      <c r="M75" s="147">
        <v>3164.1097199999999</v>
      </c>
      <c r="N75" s="147">
        <v>412.44893999999999</v>
      </c>
      <c r="O75" s="147">
        <v>13.035228753066123</v>
      </c>
      <c r="P75" s="147">
        <v>1829.7476799999999</v>
      </c>
      <c r="Q75" s="147">
        <v>1746.81098</v>
      </c>
      <c r="R75" s="147">
        <v>95.467314925083002</v>
      </c>
    </row>
    <row r="76" spans="1:18" ht="15.75" hidden="1" thickBot="1" x14ac:dyDescent="0.3">
      <c r="A76" s="199" t="str">
        <f t="shared" si="2"/>
        <v>NW NATURALEQ - NAT GAS COMPRES</v>
      </c>
      <c r="B76" s="144" t="s">
        <v>565</v>
      </c>
      <c r="C76" s="722" t="s">
        <v>596</v>
      </c>
      <c r="D76" s="591" t="s">
        <v>597</v>
      </c>
      <c r="E76" s="728"/>
      <c r="F76" s="148">
        <v>0</v>
      </c>
      <c r="G76" s="148">
        <v>0</v>
      </c>
      <c r="H76" s="148">
        <v>0</v>
      </c>
      <c r="I76" s="728"/>
      <c r="J76" s="728"/>
      <c r="K76" s="728"/>
      <c r="L76" s="728"/>
      <c r="M76" s="148">
        <v>2</v>
      </c>
      <c r="N76" s="148">
        <v>-2</v>
      </c>
      <c r="O76" s="148">
        <v>-100</v>
      </c>
      <c r="P76" s="728"/>
      <c r="Q76" s="728"/>
      <c r="R76" s="728"/>
    </row>
    <row r="77" spans="1:18" ht="15.75" hidden="1" thickBot="1" x14ac:dyDescent="0.3">
      <c r="A77" s="199" t="str">
        <f t="shared" si="2"/>
        <v>NW NATURALFURNITURE</v>
      </c>
      <c r="B77" s="144" t="s">
        <v>565</v>
      </c>
      <c r="C77" s="722" t="s">
        <v>598</v>
      </c>
      <c r="D77" s="591" t="s">
        <v>168</v>
      </c>
      <c r="E77" s="147">
        <v>0.11508</v>
      </c>
      <c r="F77" s="147">
        <v>0.81123000000000001</v>
      </c>
      <c r="G77" s="147">
        <v>-0.69615000000000005</v>
      </c>
      <c r="H77" s="147">
        <v>-85.814134092674081</v>
      </c>
      <c r="I77" s="729"/>
      <c r="J77" s="147">
        <v>0.11508</v>
      </c>
      <c r="K77" s="147">
        <v>0</v>
      </c>
      <c r="L77" s="147">
        <v>10.98316</v>
      </c>
      <c r="M77" s="147">
        <v>7.8009199999999996</v>
      </c>
      <c r="N77" s="147">
        <v>3.1822400000000002</v>
      </c>
      <c r="O77" s="147">
        <v>40.793137219712548</v>
      </c>
      <c r="P77" s="147">
        <v>9.4567999999999994</v>
      </c>
      <c r="Q77" s="147">
        <v>1.5263599999999999</v>
      </c>
      <c r="R77" s="147">
        <v>16.140343456560359</v>
      </c>
    </row>
    <row r="78" spans="1:18" ht="15.75" hidden="1" thickBot="1" x14ac:dyDescent="0.3">
      <c r="A78" s="199" t="str">
        <f t="shared" si="2"/>
        <v>NW NATURALDUES/MEMBERSHIP</v>
      </c>
      <c r="B78" s="144" t="s">
        <v>565</v>
      </c>
      <c r="C78" s="722" t="s">
        <v>139</v>
      </c>
      <c r="D78" s="591" t="s">
        <v>140</v>
      </c>
      <c r="E78" s="148">
        <v>70.505830000000003</v>
      </c>
      <c r="F78" s="148">
        <v>46.209479999999999</v>
      </c>
      <c r="G78" s="148">
        <v>24.29635</v>
      </c>
      <c r="H78" s="148">
        <v>52.578713285672116</v>
      </c>
      <c r="I78" s="728"/>
      <c r="J78" s="148">
        <v>70.505830000000003</v>
      </c>
      <c r="K78" s="148">
        <v>0</v>
      </c>
      <c r="L78" s="148">
        <v>1601.2969800000001</v>
      </c>
      <c r="M78" s="148">
        <v>978.97916999999995</v>
      </c>
      <c r="N78" s="148">
        <v>622.31781000000001</v>
      </c>
      <c r="O78" s="148">
        <v>63.568033832629965</v>
      </c>
      <c r="P78" s="148">
        <v>1189.30882</v>
      </c>
      <c r="Q78" s="148">
        <v>411.98815999999999</v>
      </c>
      <c r="R78" s="148">
        <v>34.640974074336725</v>
      </c>
    </row>
    <row r="79" spans="1:18" ht="15.75" hidden="1" thickBot="1" x14ac:dyDescent="0.3">
      <c r="A79" s="199" t="str">
        <f t="shared" si="2"/>
        <v>NW NATURALOFFICE CONTRACT WORK</v>
      </c>
      <c r="B79" s="144" t="s">
        <v>565</v>
      </c>
      <c r="C79" s="722" t="s">
        <v>169</v>
      </c>
      <c r="D79" s="591" t="s">
        <v>170</v>
      </c>
      <c r="E79" s="147">
        <v>23.233250000000002</v>
      </c>
      <c r="F79" s="147">
        <v>21.340330000000002</v>
      </c>
      <c r="G79" s="147">
        <v>1.8929199999999999</v>
      </c>
      <c r="H79" s="147">
        <v>8.8701533668879531</v>
      </c>
      <c r="I79" s="729"/>
      <c r="J79" s="147">
        <v>23.233250000000002</v>
      </c>
      <c r="K79" s="147">
        <v>0</v>
      </c>
      <c r="L79" s="147">
        <v>412.59079000000003</v>
      </c>
      <c r="M79" s="147">
        <v>275.10890999999998</v>
      </c>
      <c r="N79" s="147">
        <v>137.48187999999999</v>
      </c>
      <c r="O79" s="147">
        <v>49.973619538531125</v>
      </c>
      <c r="P79" s="147">
        <v>216.14801</v>
      </c>
      <c r="Q79" s="147">
        <v>196.44278</v>
      </c>
      <c r="R79" s="147">
        <v>90.883455276780012</v>
      </c>
    </row>
    <row r="80" spans="1:18" ht="15.75" hidden="1" thickBot="1" x14ac:dyDescent="0.3">
      <c r="A80" s="199" t="str">
        <f t="shared" si="2"/>
        <v>NW NATURALOTHER CONTRACT WORK</v>
      </c>
      <c r="B80" s="144" t="s">
        <v>565</v>
      </c>
      <c r="C80" s="722" t="s">
        <v>101</v>
      </c>
      <c r="D80" s="591" t="s">
        <v>102</v>
      </c>
      <c r="E80" s="148">
        <v>1192.67392</v>
      </c>
      <c r="F80" s="148">
        <v>668.00392999999997</v>
      </c>
      <c r="G80" s="148">
        <v>524.66998999999998</v>
      </c>
      <c r="H80" s="148">
        <v>78.542949590131897</v>
      </c>
      <c r="I80" s="728"/>
      <c r="J80" s="148">
        <v>1192.67392</v>
      </c>
      <c r="K80" s="148">
        <v>0</v>
      </c>
      <c r="L80" s="148">
        <v>12163.75446</v>
      </c>
      <c r="M80" s="148">
        <v>12419.355219999999</v>
      </c>
      <c r="N80" s="148">
        <v>-255.60076000000001</v>
      </c>
      <c r="O80" s="148">
        <v>-2.0580839783725904</v>
      </c>
      <c r="P80" s="148">
        <v>5522.1929899999996</v>
      </c>
      <c r="Q80" s="148">
        <v>6641.5614699999996</v>
      </c>
      <c r="R80" s="148">
        <v>120.27036146739232</v>
      </c>
    </row>
    <row r="81" spans="1:18" ht="15.75" hidden="1" thickBot="1" x14ac:dyDescent="0.3">
      <c r="A81" s="199" t="str">
        <f t="shared" si="2"/>
        <v>NW NATURALENVIRONMENTAL</v>
      </c>
      <c r="B81" s="144" t="s">
        <v>565</v>
      </c>
      <c r="C81" s="722" t="s">
        <v>599</v>
      </c>
      <c r="D81" s="591" t="s">
        <v>600</v>
      </c>
      <c r="E81" s="729"/>
      <c r="F81" s="729"/>
      <c r="G81" s="729"/>
      <c r="H81" s="729"/>
      <c r="I81" s="729"/>
      <c r="J81" s="729"/>
      <c r="K81" s="729"/>
      <c r="L81" s="147">
        <v>2.1974999999999998</v>
      </c>
      <c r="M81" s="729"/>
      <c r="N81" s="147">
        <v>2.1974999999999998</v>
      </c>
      <c r="O81" s="147">
        <v>0</v>
      </c>
      <c r="P81" s="147">
        <v>2.1974999999999998</v>
      </c>
      <c r="Q81" s="147">
        <v>0</v>
      </c>
      <c r="R81" s="147">
        <v>0</v>
      </c>
    </row>
    <row r="82" spans="1:18" ht="15.75" hidden="1" thickBot="1" x14ac:dyDescent="0.3">
      <c r="A82" s="199" t="str">
        <f t="shared" si="2"/>
        <v>NW NATURALWATER SUPPLY</v>
      </c>
      <c r="B82" s="144" t="s">
        <v>565</v>
      </c>
      <c r="C82" s="722" t="s">
        <v>601</v>
      </c>
      <c r="D82" s="591" t="s">
        <v>602</v>
      </c>
      <c r="E82" s="148">
        <v>-1.32</v>
      </c>
      <c r="F82" s="728"/>
      <c r="G82" s="148">
        <v>-1.32</v>
      </c>
      <c r="H82" s="148">
        <v>0</v>
      </c>
      <c r="I82" s="728"/>
      <c r="J82" s="148">
        <v>-1.32</v>
      </c>
      <c r="K82" s="148">
        <v>0</v>
      </c>
      <c r="L82" s="148">
        <v>0</v>
      </c>
      <c r="M82" s="728"/>
      <c r="N82" s="148">
        <v>0</v>
      </c>
      <c r="O82" s="148">
        <v>0</v>
      </c>
      <c r="P82" s="728"/>
      <c r="Q82" s="148">
        <v>0</v>
      </c>
      <c r="R82" s="148">
        <v>0</v>
      </c>
    </row>
    <row r="83" spans="1:18" ht="15.75" hidden="1" thickBot="1" x14ac:dyDescent="0.3">
      <c r="A83" s="199" t="str">
        <f t="shared" si="2"/>
        <v>NW NATURALTRUCKING AND HAULING</v>
      </c>
      <c r="B83" s="144" t="s">
        <v>565</v>
      </c>
      <c r="C83" s="722" t="s">
        <v>603</v>
      </c>
      <c r="D83" s="591" t="s">
        <v>604</v>
      </c>
      <c r="E83" s="729"/>
      <c r="F83" s="729"/>
      <c r="G83" s="729"/>
      <c r="H83" s="729"/>
      <c r="I83" s="729"/>
      <c r="J83" s="729"/>
      <c r="K83" s="729"/>
      <c r="L83" s="147">
        <v>2.36</v>
      </c>
      <c r="M83" s="729"/>
      <c r="N83" s="147">
        <v>2.36</v>
      </c>
      <c r="O83" s="147">
        <v>0</v>
      </c>
      <c r="P83" s="147">
        <v>1.7</v>
      </c>
      <c r="Q83" s="147">
        <v>0.66</v>
      </c>
      <c r="R83" s="147">
        <v>38.823529411764703</v>
      </c>
    </row>
    <row r="84" spans="1:18" ht="15.75" hidden="1" thickBot="1" x14ac:dyDescent="0.3">
      <c r="A84" s="199" t="str">
        <f t="shared" si="2"/>
        <v>NW NATURALSIDEBOOM</v>
      </c>
      <c r="B84" s="144" t="s">
        <v>565</v>
      </c>
      <c r="C84" s="722" t="s">
        <v>605</v>
      </c>
      <c r="D84" s="591" t="s">
        <v>606</v>
      </c>
      <c r="E84" s="148">
        <v>-0.8</v>
      </c>
      <c r="F84" s="728"/>
      <c r="G84" s="148">
        <v>-0.8</v>
      </c>
      <c r="H84" s="148">
        <v>0</v>
      </c>
      <c r="I84" s="728"/>
      <c r="J84" s="148">
        <v>-0.8</v>
      </c>
      <c r="K84" s="148">
        <v>0</v>
      </c>
      <c r="L84" s="148">
        <v>29.794</v>
      </c>
      <c r="M84" s="728"/>
      <c r="N84" s="148">
        <v>29.794</v>
      </c>
      <c r="O84" s="148">
        <v>0</v>
      </c>
      <c r="P84" s="148">
        <v>17.6496</v>
      </c>
      <c r="Q84" s="148">
        <v>12.144399999999999</v>
      </c>
      <c r="R84" s="148">
        <v>68.808358263076784</v>
      </c>
    </row>
    <row r="85" spans="1:18" ht="15.75" hidden="1" thickBot="1" x14ac:dyDescent="0.3">
      <c r="A85" s="199" t="str">
        <f t="shared" si="2"/>
        <v>NW NATURALTRACKHOE</v>
      </c>
      <c r="B85" s="144" t="s">
        <v>565</v>
      </c>
      <c r="C85" s="722" t="s">
        <v>218</v>
      </c>
      <c r="D85" s="591" t="s">
        <v>219</v>
      </c>
      <c r="E85" s="147">
        <v>-2.0649999999999999</v>
      </c>
      <c r="F85" s="729"/>
      <c r="G85" s="147">
        <v>-2.0649999999999999</v>
      </c>
      <c r="H85" s="147">
        <v>0</v>
      </c>
      <c r="I85" s="729"/>
      <c r="J85" s="147">
        <v>-2.0649999999999999</v>
      </c>
      <c r="K85" s="147">
        <v>0</v>
      </c>
      <c r="L85" s="147">
        <v>37.841810000000002</v>
      </c>
      <c r="M85" s="729"/>
      <c r="N85" s="147">
        <v>37.841810000000002</v>
      </c>
      <c r="O85" s="147">
        <v>0</v>
      </c>
      <c r="P85" s="147">
        <v>35.442250000000001</v>
      </c>
      <c r="Q85" s="147">
        <v>2.3995600000000001</v>
      </c>
      <c r="R85" s="147">
        <v>6.7703376619712348</v>
      </c>
    </row>
    <row r="86" spans="1:18" ht="15.75" hidden="1" thickBot="1" x14ac:dyDescent="0.3">
      <c r="A86" s="199" t="str">
        <f t="shared" si="2"/>
        <v>NW NATURALBID MAIN WORK</v>
      </c>
      <c r="B86" s="144" t="s">
        <v>565</v>
      </c>
      <c r="C86" s="722" t="s">
        <v>607</v>
      </c>
      <c r="D86" s="592" t="s">
        <v>608</v>
      </c>
      <c r="E86" s="728"/>
      <c r="F86" s="728"/>
      <c r="G86" s="728"/>
      <c r="H86" s="728"/>
      <c r="I86" s="728"/>
      <c r="J86" s="728"/>
      <c r="K86" s="728"/>
      <c r="L86" s="148">
        <v>30.815819999999999</v>
      </c>
      <c r="M86" s="728"/>
      <c r="N86" s="148">
        <v>30.815819999999999</v>
      </c>
      <c r="O86" s="148">
        <v>0</v>
      </c>
      <c r="P86" s="148">
        <v>4.0235599999999998</v>
      </c>
      <c r="Q86" s="148">
        <v>26.792259999999999</v>
      </c>
      <c r="R86" s="148">
        <v>665.88444064460327</v>
      </c>
    </row>
    <row r="87" spans="1:18" ht="15.75" hidden="1" thickBot="1" x14ac:dyDescent="0.3">
      <c r="A87" s="199" t="str">
        <f t="shared" si="2"/>
        <v>NW NATURALFENCING</v>
      </c>
      <c r="B87" s="144" t="s">
        <v>565</v>
      </c>
      <c r="C87" s="722" t="s">
        <v>609</v>
      </c>
      <c r="D87" s="591" t="s">
        <v>610</v>
      </c>
      <c r="E87" s="729"/>
      <c r="F87" s="729"/>
      <c r="G87" s="729"/>
      <c r="H87" s="729"/>
      <c r="I87" s="729"/>
      <c r="J87" s="729"/>
      <c r="K87" s="729"/>
      <c r="L87" s="147">
        <v>0.47049999999999997</v>
      </c>
      <c r="M87" s="729"/>
      <c r="N87" s="147">
        <v>0.47049999999999997</v>
      </c>
      <c r="O87" s="147">
        <v>0</v>
      </c>
      <c r="P87" s="729"/>
      <c r="Q87" s="147">
        <v>0.47049999999999997</v>
      </c>
      <c r="R87" s="147">
        <v>0</v>
      </c>
    </row>
    <row r="88" spans="1:18" ht="15.75" hidden="1" thickBot="1" x14ac:dyDescent="0.3">
      <c r="A88" s="199" t="str">
        <f t="shared" si="2"/>
        <v>NW NATURALWELDING</v>
      </c>
      <c r="B88" s="144" t="s">
        <v>565</v>
      </c>
      <c r="C88" s="722" t="s">
        <v>462</v>
      </c>
      <c r="D88" s="591" t="s">
        <v>463</v>
      </c>
      <c r="E88" s="148">
        <v>8.6925500000000007</v>
      </c>
      <c r="F88" s="728"/>
      <c r="G88" s="148">
        <v>8.6925500000000007</v>
      </c>
      <c r="H88" s="148">
        <v>0</v>
      </c>
      <c r="I88" s="728"/>
      <c r="J88" s="148">
        <v>8.6925500000000007</v>
      </c>
      <c r="K88" s="148">
        <v>0</v>
      </c>
      <c r="L88" s="148">
        <v>92.487309999999994</v>
      </c>
      <c r="M88" s="728"/>
      <c r="N88" s="148">
        <v>92.487309999999994</v>
      </c>
      <c r="O88" s="148">
        <v>0</v>
      </c>
      <c r="P88" s="148">
        <v>37.848039999999997</v>
      </c>
      <c r="Q88" s="148">
        <v>54.639270000000003</v>
      </c>
      <c r="R88" s="148">
        <v>144.36486010900433</v>
      </c>
    </row>
    <row r="89" spans="1:18" ht="15.75" hidden="1" thickBot="1" x14ac:dyDescent="0.3">
      <c r="A89" s="199" t="str">
        <f t="shared" si="2"/>
        <v>NW NATURALCONCRETE PAVING</v>
      </c>
      <c r="B89" s="144" t="s">
        <v>565</v>
      </c>
      <c r="C89" s="722" t="s">
        <v>611</v>
      </c>
      <c r="D89" s="591" t="s">
        <v>612</v>
      </c>
      <c r="E89" s="729"/>
      <c r="F89" s="729"/>
      <c r="G89" s="729"/>
      <c r="H89" s="729"/>
      <c r="I89" s="729"/>
      <c r="J89" s="729"/>
      <c r="K89" s="729"/>
      <c r="L89" s="147">
        <v>0</v>
      </c>
      <c r="M89" s="729"/>
      <c r="N89" s="147">
        <v>0</v>
      </c>
      <c r="O89" s="147">
        <v>0</v>
      </c>
      <c r="P89" s="147">
        <v>0</v>
      </c>
      <c r="Q89" s="147">
        <v>0</v>
      </c>
      <c r="R89" s="147">
        <v>0</v>
      </c>
    </row>
    <row r="90" spans="1:18" ht="15.75" hidden="1" thickBot="1" x14ac:dyDescent="0.3">
      <c r="A90" s="199" t="str">
        <f t="shared" si="2"/>
        <v>NW NATURALVACUUM TRUCK</v>
      </c>
      <c r="B90" s="144" t="s">
        <v>565</v>
      </c>
      <c r="C90" s="722" t="s">
        <v>613</v>
      </c>
      <c r="D90" s="591" t="s">
        <v>614</v>
      </c>
      <c r="E90" s="148">
        <v>6.7050000000000001</v>
      </c>
      <c r="F90" s="728"/>
      <c r="G90" s="148">
        <v>6.7050000000000001</v>
      </c>
      <c r="H90" s="148">
        <v>0</v>
      </c>
      <c r="I90" s="728"/>
      <c r="J90" s="148">
        <v>6.7050000000000001</v>
      </c>
      <c r="K90" s="148">
        <v>0</v>
      </c>
      <c r="L90" s="148">
        <v>67.913989999999998</v>
      </c>
      <c r="M90" s="728"/>
      <c r="N90" s="148">
        <v>67.913989999999998</v>
      </c>
      <c r="O90" s="148">
        <v>0</v>
      </c>
      <c r="P90" s="148">
        <v>22.390450000000001</v>
      </c>
      <c r="Q90" s="148">
        <v>45.523539999999997</v>
      </c>
      <c r="R90" s="148">
        <v>203.31677121272685</v>
      </c>
    </row>
    <row r="91" spans="1:18" ht="15.75" hidden="1" thickBot="1" x14ac:dyDescent="0.3">
      <c r="A91" s="199" t="str">
        <f t="shared" si="2"/>
        <v>NW NATURALDUMP TRUCK</v>
      </c>
      <c r="B91" s="144" t="s">
        <v>565</v>
      </c>
      <c r="C91" s="722" t="s">
        <v>615</v>
      </c>
      <c r="D91" s="591" t="s">
        <v>616</v>
      </c>
      <c r="E91" s="147">
        <v>1.67197</v>
      </c>
      <c r="F91" s="729"/>
      <c r="G91" s="147">
        <v>1.67197</v>
      </c>
      <c r="H91" s="147">
        <v>0</v>
      </c>
      <c r="I91" s="729"/>
      <c r="J91" s="147">
        <v>1.67197</v>
      </c>
      <c r="K91" s="147">
        <v>0</v>
      </c>
      <c r="L91" s="147">
        <v>37.872140000000002</v>
      </c>
      <c r="M91" s="729"/>
      <c r="N91" s="147">
        <v>37.872140000000002</v>
      </c>
      <c r="O91" s="147">
        <v>0</v>
      </c>
      <c r="P91" s="147">
        <v>16.422750000000001</v>
      </c>
      <c r="Q91" s="147">
        <v>21.449390000000001</v>
      </c>
      <c r="R91" s="147">
        <v>130.60778493248694</v>
      </c>
    </row>
    <row r="92" spans="1:18" ht="15.75" hidden="1" thickBot="1" x14ac:dyDescent="0.3">
      <c r="A92" s="199" t="str">
        <f t="shared" si="2"/>
        <v>NW NATURALFLAGGING</v>
      </c>
      <c r="B92" s="144" t="s">
        <v>565</v>
      </c>
      <c r="C92" s="722" t="s">
        <v>193</v>
      </c>
      <c r="D92" s="591" t="s">
        <v>194</v>
      </c>
      <c r="E92" s="148">
        <v>30.026450000000001</v>
      </c>
      <c r="F92" s="148">
        <v>1</v>
      </c>
      <c r="G92" s="148">
        <v>29.026450000000001</v>
      </c>
      <c r="H92" s="148">
        <v>2902.645</v>
      </c>
      <c r="I92" s="728"/>
      <c r="J92" s="148">
        <v>30.026450000000001</v>
      </c>
      <c r="K92" s="148">
        <v>0</v>
      </c>
      <c r="L92" s="148">
        <v>529.48005999999998</v>
      </c>
      <c r="M92" s="148">
        <v>12</v>
      </c>
      <c r="N92" s="148">
        <v>517.48005999999998</v>
      </c>
      <c r="O92" s="148">
        <v>4312.3338333333331</v>
      </c>
      <c r="P92" s="148">
        <v>228.36834999999999</v>
      </c>
      <c r="Q92" s="148">
        <v>301.11171000000002</v>
      </c>
      <c r="R92" s="148">
        <v>131.85352085785968</v>
      </c>
    </row>
    <row r="93" spans="1:18" ht="15.75" hidden="1" thickBot="1" x14ac:dyDescent="0.3">
      <c r="A93" s="199" t="str">
        <f t="shared" si="2"/>
        <v>NW NATURALGEO LOGICAL  SVC</v>
      </c>
      <c r="B93" s="144" t="s">
        <v>565</v>
      </c>
      <c r="C93" s="722" t="s">
        <v>617</v>
      </c>
      <c r="D93" s="591" t="s">
        <v>618</v>
      </c>
      <c r="E93" s="147">
        <v>0.26</v>
      </c>
      <c r="F93" s="729"/>
      <c r="G93" s="147">
        <v>0.26</v>
      </c>
      <c r="H93" s="147">
        <v>0</v>
      </c>
      <c r="I93" s="729"/>
      <c r="J93" s="147">
        <v>0.26</v>
      </c>
      <c r="K93" s="147">
        <v>0</v>
      </c>
      <c r="L93" s="147">
        <v>1.3</v>
      </c>
      <c r="M93" s="729"/>
      <c r="N93" s="147">
        <v>1.3</v>
      </c>
      <c r="O93" s="147">
        <v>0</v>
      </c>
      <c r="P93" s="729"/>
      <c r="Q93" s="147">
        <v>1.3</v>
      </c>
      <c r="R93" s="147">
        <v>0</v>
      </c>
    </row>
    <row r="94" spans="1:18" ht="15.75" hidden="1" thickBot="1" x14ac:dyDescent="0.3">
      <c r="A94" s="199" t="str">
        <f t="shared" si="2"/>
        <v>NW NATURALASPHALT PAVING</v>
      </c>
      <c r="B94" s="144" t="s">
        <v>565</v>
      </c>
      <c r="C94" s="722" t="s">
        <v>195</v>
      </c>
      <c r="D94" s="591" t="s">
        <v>196</v>
      </c>
      <c r="E94" s="148">
        <v>30.108350000000002</v>
      </c>
      <c r="F94" s="728"/>
      <c r="G94" s="148">
        <v>30.108350000000002</v>
      </c>
      <c r="H94" s="148">
        <v>0</v>
      </c>
      <c r="I94" s="728"/>
      <c r="J94" s="148">
        <v>30.108350000000002</v>
      </c>
      <c r="K94" s="148">
        <v>0</v>
      </c>
      <c r="L94" s="148">
        <v>284.83035999999998</v>
      </c>
      <c r="M94" s="728"/>
      <c r="N94" s="148">
        <v>284.83035999999998</v>
      </c>
      <c r="O94" s="148">
        <v>0</v>
      </c>
      <c r="P94" s="148">
        <v>123.15725999999999</v>
      </c>
      <c r="Q94" s="148">
        <v>161.67310000000001</v>
      </c>
      <c r="R94" s="148">
        <v>131.27370647901716</v>
      </c>
    </row>
    <row r="95" spans="1:18" ht="15.75" hidden="1" thickBot="1" x14ac:dyDescent="0.3">
      <c r="A95" s="199" t="str">
        <f t="shared" si="2"/>
        <v>NW NATURALSAW CUTS</v>
      </c>
      <c r="B95" s="144" t="s">
        <v>565</v>
      </c>
      <c r="C95" s="722" t="s">
        <v>197</v>
      </c>
      <c r="D95" s="591" t="s">
        <v>198</v>
      </c>
      <c r="E95" s="147">
        <v>5.5532000000000004</v>
      </c>
      <c r="F95" s="729"/>
      <c r="G95" s="147">
        <v>5.5532000000000004</v>
      </c>
      <c r="H95" s="147">
        <v>0</v>
      </c>
      <c r="I95" s="729"/>
      <c r="J95" s="147">
        <v>5.5532000000000004</v>
      </c>
      <c r="K95" s="147">
        <v>0</v>
      </c>
      <c r="L95" s="147">
        <v>101.44773000000001</v>
      </c>
      <c r="M95" s="729"/>
      <c r="N95" s="147">
        <v>101.44773000000001</v>
      </c>
      <c r="O95" s="147">
        <v>0</v>
      </c>
      <c r="P95" s="147">
        <v>52.40981</v>
      </c>
      <c r="Q95" s="147">
        <v>49.03792</v>
      </c>
      <c r="R95" s="147">
        <v>93.566299896908617</v>
      </c>
    </row>
    <row r="96" spans="1:18" ht="15.75" hidden="1" thickBot="1" x14ac:dyDescent="0.3">
      <c r="A96" s="199" t="str">
        <f t="shared" si="2"/>
        <v>NW NATURALBENEFITS</v>
      </c>
      <c r="B96" s="144" t="s">
        <v>565</v>
      </c>
      <c r="C96" s="722" t="s">
        <v>485</v>
      </c>
      <c r="D96" s="591" t="s">
        <v>486</v>
      </c>
      <c r="E96" s="148">
        <v>1039.96298</v>
      </c>
      <c r="F96" s="148">
        <v>1289.51289</v>
      </c>
      <c r="G96" s="148">
        <v>-249.54991000000001</v>
      </c>
      <c r="H96" s="148">
        <v>-19.352261767619865</v>
      </c>
      <c r="I96" s="728"/>
      <c r="J96" s="148">
        <v>1039.96298</v>
      </c>
      <c r="K96" s="148">
        <v>0</v>
      </c>
      <c r="L96" s="148">
        <v>18227.24092</v>
      </c>
      <c r="M96" s="148">
        <v>16333.96596</v>
      </c>
      <c r="N96" s="148">
        <v>1893.27496</v>
      </c>
      <c r="O96" s="148">
        <v>11.591030400310691</v>
      </c>
      <c r="P96" s="148">
        <v>8734.7335199999998</v>
      </c>
      <c r="Q96" s="148">
        <v>9492.5074000000004</v>
      </c>
      <c r="R96" s="148">
        <v>108.67540925278279</v>
      </c>
    </row>
    <row r="97" spans="1:18" ht="15.75" hidden="1" thickBot="1" x14ac:dyDescent="0.3">
      <c r="A97" s="199" t="str">
        <f t="shared" si="2"/>
        <v>NW NATURALRENTS AND LEASES</v>
      </c>
      <c r="B97" s="144" t="s">
        <v>565</v>
      </c>
      <c r="C97" s="722" t="s">
        <v>464</v>
      </c>
      <c r="D97" s="591" t="s">
        <v>465</v>
      </c>
      <c r="E97" s="147">
        <v>412.61381999999998</v>
      </c>
      <c r="F97" s="147">
        <v>424.35275000000001</v>
      </c>
      <c r="G97" s="147">
        <v>-11.73893</v>
      </c>
      <c r="H97" s="147">
        <v>-2.7663141101359661</v>
      </c>
      <c r="I97" s="729"/>
      <c r="J97" s="147">
        <v>412.61381999999998</v>
      </c>
      <c r="K97" s="147">
        <v>0</v>
      </c>
      <c r="L97" s="147">
        <v>4900.6714499999998</v>
      </c>
      <c r="M97" s="147">
        <v>4981.7319200000002</v>
      </c>
      <c r="N97" s="147">
        <v>-81.060469999999995</v>
      </c>
      <c r="O97" s="147">
        <v>-1.627154397340594</v>
      </c>
      <c r="P97" s="147">
        <v>2418.25837</v>
      </c>
      <c r="Q97" s="147">
        <v>2482.4130799999998</v>
      </c>
      <c r="R97" s="147">
        <v>102.65293034011084</v>
      </c>
    </row>
    <row r="98" spans="1:18" ht="15.75" hidden="1" thickBot="1" x14ac:dyDescent="0.3">
      <c r="A98" s="199" t="str">
        <f t="shared" si="2"/>
        <v>NW NATURALTOOLS AND EQUIP RENT</v>
      </c>
      <c r="B98" s="144" t="s">
        <v>565</v>
      </c>
      <c r="C98" s="722" t="s">
        <v>619</v>
      </c>
      <c r="D98" s="591" t="s">
        <v>620</v>
      </c>
      <c r="E98" s="148">
        <v>0.63444</v>
      </c>
      <c r="F98" s="728"/>
      <c r="G98" s="148">
        <v>0.63444</v>
      </c>
      <c r="H98" s="148">
        <v>0</v>
      </c>
      <c r="I98" s="728"/>
      <c r="J98" s="148">
        <v>0.63444</v>
      </c>
      <c r="K98" s="148">
        <v>0</v>
      </c>
      <c r="L98" s="148">
        <v>121.65025</v>
      </c>
      <c r="M98" s="728"/>
      <c r="N98" s="148">
        <v>121.65025</v>
      </c>
      <c r="O98" s="148">
        <v>0</v>
      </c>
      <c r="P98" s="148">
        <v>80.334019999999995</v>
      </c>
      <c r="Q98" s="148">
        <v>41.316229999999997</v>
      </c>
      <c r="R98" s="148">
        <v>51.430552087397096</v>
      </c>
    </row>
    <row r="99" spans="1:18" ht="15.75" hidden="1" thickBot="1" x14ac:dyDescent="0.3">
      <c r="A99" s="199" t="str">
        <f t="shared" ref="A99:A162" si="3">B99&amp;C99</f>
        <v>NW NATURALLARGE EQUIPMENT RENT</v>
      </c>
      <c r="B99" s="144" t="s">
        <v>565</v>
      </c>
      <c r="C99" s="722" t="s">
        <v>621</v>
      </c>
      <c r="D99" s="591" t="s">
        <v>622</v>
      </c>
      <c r="E99" s="729"/>
      <c r="F99" s="729"/>
      <c r="G99" s="729"/>
      <c r="H99" s="729"/>
      <c r="I99" s="729"/>
      <c r="J99" s="729"/>
      <c r="K99" s="729"/>
      <c r="L99" s="147">
        <v>6.0323000000000002</v>
      </c>
      <c r="M99" s="729"/>
      <c r="N99" s="147">
        <v>6.0323000000000002</v>
      </c>
      <c r="O99" s="147">
        <v>0</v>
      </c>
      <c r="P99" s="147">
        <v>4.18865</v>
      </c>
      <c r="Q99" s="147">
        <v>1.84365</v>
      </c>
      <c r="R99" s="147">
        <v>44.015374882121925</v>
      </c>
    </row>
    <row r="100" spans="1:18" ht="15.75" hidden="1" thickBot="1" x14ac:dyDescent="0.3">
      <c r="A100" s="199" t="str">
        <f t="shared" si="3"/>
        <v>NW NATURALSTORAGE LEASES</v>
      </c>
      <c r="B100" s="144" t="s">
        <v>565</v>
      </c>
      <c r="C100" s="722" t="s">
        <v>623</v>
      </c>
      <c r="D100" s="591" t="s">
        <v>624</v>
      </c>
      <c r="E100" s="148">
        <v>39.677500000000002</v>
      </c>
      <c r="F100" s="148">
        <v>15.683770000000001</v>
      </c>
      <c r="G100" s="148">
        <v>23.993729999999999</v>
      </c>
      <c r="H100" s="148">
        <v>152.98445463048745</v>
      </c>
      <c r="I100" s="728"/>
      <c r="J100" s="148">
        <v>39.677500000000002</v>
      </c>
      <c r="K100" s="148">
        <v>0</v>
      </c>
      <c r="L100" s="148">
        <v>262.67471999999998</v>
      </c>
      <c r="M100" s="148">
        <v>266.83769999999998</v>
      </c>
      <c r="N100" s="148">
        <v>-4.1629800000000001</v>
      </c>
      <c r="O100" s="148">
        <v>-1.560116880036067</v>
      </c>
      <c r="P100" s="148">
        <v>127.14894</v>
      </c>
      <c r="Q100" s="148">
        <v>135.52578</v>
      </c>
      <c r="R100" s="148">
        <v>106.58821064493341</v>
      </c>
    </row>
    <row r="101" spans="1:18" ht="15.75" hidden="1" thickBot="1" x14ac:dyDescent="0.3">
      <c r="A101" s="199" t="str">
        <f t="shared" si="3"/>
        <v>NW NATURALMISCELLANEOUS</v>
      </c>
      <c r="B101" s="144" t="s">
        <v>565</v>
      </c>
      <c r="C101" s="722" t="s">
        <v>103</v>
      </c>
      <c r="D101" s="591" t="s">
        <v>104</v>
      </c>
      <c r="E101" s="147">
        <v>-52.688609999999997</v>
      </c>
      <c r="F101" s="147">
        <v>26.625</v>
      </c>
      <c r="G101" s="147">
        <v>-79.313609999999997</v>
      </c>
      <c r="H101" s="147">
        <v>-297.89149295774649</v>
      </c>
      <c r="I101" s="729"/>
      <c r="J101" s="147">
        <v>-52.688609999999997</v>
      </c>
      <c r="K101" s="147">
        <v>0</v>
      </c>
      <c r="L101" s="147">
        <v>8.0761400000000005</v>
      </c>
      <c r="M101" s="147">
        <v>69.5</v>
      </c>
      <c r="N101" s="147">
        <v>-61.423859999999998</v>
      </c>
      <c r="O101" s="147">
        <v>-88.379654676258994</v>
      </c>
      <c r="P101" s="147">
        <v>24.310089999999999</v>
      </c>
      <c r="Q101" s="147">
        <v>-16.23395</v>
      </c>
      <c r="R101" s="147">
        <v>-66.778650346419937</v>
      </c>
    </row>
    <row r="102" spans="1:18" ht="15.75" hidden="1" thickBot="1" x14ac:dyDescent="0.3">
      <c r="A102" s="199" t="str">
        <f t="shared" si="3"/>
        <v>NW NATURALCIAC RECEIPTS</v>
      </c>
      <c r="B102" s="144" t="s">
        <v>565</v>
      </c>
      <c r="C102" s="722" t="s">
        <v>625</v>
      </c>
      <c r="D102" s="591" t="s">
        <v>626</v>
      </c>
      <c r="E102" s="728"/>
      <c r="F102" s="728"/>
      <c r="G102" s="728"/>
      <c r="H102" s="728"/>
      <c r="I102" s="728"/>
      <c r="J102" s="728"/>
      <c r="K102" s="728"/>
      <c r="L102" s="148">
        <v>-0.52500000000000002</v>
      </c>
      <c r="M102" s="728"/>
      <c r="N102" s="148">
        <v>-0.52500000000000002</v>
      </c>
      <c r="O102" s="148">
        <v>0</v>
      </c>
      <c r="P102" s="148">
        <v>-0.52500000000000002</v>
      </c>
      <c r="Q102" s="148">
        <v>0</v>
      </c>
      <c r="R102" s="148">
        <v>0</v>
      </c>
    </row>
    <row r="103" spans="1:18" ht="15.75" hidden="1" thickBot="1" x14ac:dyDescent="0.3">
      <c r="A103" s="199" t="str">
        <f t="shared" si="3"/>
        <v>NW NATURALP CARD UNCODED CHARG</v>
      </c>
      <c r="B103" s="144" t="s">
        <v>565</v>
      </c>
      <c r="C103" s="722" t="s">
        <v>71</v>
      </c>
      <c r="D103" s="591" t="s">
        <v>72</v>
      </c>
      <c r="E103" s="147">
        <v>0.15246000000000001</v>
      </c>
      <c r="F103" s="729"/>
      <c r="G103" s="147">
        <v>0.15246000000000001</v>
      </c>
      <c r="H103" s="147">
        <v>0</v>
      </c>
      <c r="I103" s="729"/>
      <c r="J103" s="147">
        <v>0.15246000000000001</v>
      </c>
      <c r="K103" s="147">
        <v>0</v>
      </c>
      <c r="L103" s="147">
        <v>6.1396499999999996</v>
      </c>
      <c r="M103" s="729"/>
      <c r="N103" s="147">
        <v>6.1396499999999996</v>
      </c>
      <c r="O103" s="147">
        <v>0</v>
      </c>
      <c r="P103" s="147">
        <v>8.0163499999999992</v>
      </c>
      <c r="Q103" s="147">
        <v>-1.8767</v>
      </c>
      <c r="R103" s="147">
        <v>-23.410903965021486</v>
      </c>
    </row>
    <row r="104" spans="1:18" ht="15.75" hidden="1" thickBot="1" x14ac:dyDescent="0.3">
      <c r="A104" s="199" t="str">
        <f t="shared" si="3"/>
        <v>NW NATURALBANK CHARGES</v>
      </c>
      <c r="B104" s="144" t="s">
        <v>565</v>
      </c>
      <c r="C104" s="722" t="s">
        <v>105</v>
      </c>
      <c r="D104" s="591" t="s">
        <v>106</v>
      </c>
      <c r="E104" s="148">
        <v>209.50138999999999</v>
      </c>
      <c r="F104" s="148">
        <v>239.78700000000001</v>
      </c>
      <c r="G104" s="148">
        <v>-30.285609999999998</v>
      </c>
      <c r="H104" s="148">
        <v>-12.63021348113117</v>
      </c>
      <c r="I104" s="728"/>
      <c r="J104" s="148">
        <v>209.50138999999999</v>
      </c>
      <c r="K104" s="148">
        <v>0</v>
      </c>
      <c r="L104" s="148">
        <v>2324.5108100000002</v>
      </c>
      <c r="M104" s="148">
        <v>2563.1280200000001</v>
      </c>
      <c r="N104" s="148">
        <v>-238.61721</v>
      </c>
      <c r="O104" s="148">
        <v>-9.3096095137690398</v>
      </c>
      <c r="P104" s="148">
        <v>1235.5353</v>
      </c>
      <c r="Q104" s="148">
        <v>1088.97551</v>
      </c>
      <c r="R104" s="148">
        <v>88.137952027756711</v>
      </c>
    </row>
    <row r="105" spans="1:18" ht="15.75" hidden="1" thickBot="1" x14ac:dyDescent="0.3">
      <c r="A105" s="199" t="str">
        <f t="shared" si="3"/>
        <v>NW NATURALUTILITIES</v>
      </c>
      <c r="B105" s="144" t="s">
        <v>565</v>
      </c>
      <c r="C105" s="722" t="s">
        <v>627</v>
      </c>
      <c r="D105" s="591" t="s">
        <v>628</v>
      </c>
      <c r="E105" s="147">
        <v>128.36240000000001</v>
      </c>
      <c r="F105" s="147">
        <v>92.39743</v>
      </c>
      <c r="G105" s="147">
        <v>35.964970000000001</v>
      </c>
      <c r="H105" s="147">
        <v>38.924210337884936</v>
      </c>
      <c r="I105" s="729"/>
      <c r="J105" s="147">
        <v>128.36240000000001</v>
      </c>
      <c r="K105" s="147">
        <v>0</v>
      </c>
      <c r="L105" s="147">
        <v>1338.3678299999999</v>
      </c>
      <c r="M105" s="147">
        <v>1166.7691600000001</v>
      </c>
      <c r="N105" s="147">
        <v>171.59867</v>
      </c>
      <c r="O105" s="147">
        <v>14.707165383082289</v>
      </c>
      <c r="P105" s="147">
        <v>656.64597000000003</v>
      </c>
      <c r="Q105" s="147">
        <v>681.72185999999999</v>
      </c>
      <c r="R105" s="147">
        <v>103.81878381131312</v>
      </c>
    </row>
    <row r="106" spans="1:18" ht="15.75" hidden="1" thickBot="1" x14ac:dyDescent="0.3">
      <c r="A106" s="199" t="str">
        <f t="shared" si="3"/>
        <v>NW NATURALTELEPHONE</v>
      </c>
      <c r="B106" s="144" t="s">
        <v>565</v>
      </c>
      <c r="C106" s="722" t="s">
        <v>107</v>
      </c>
      <c r="D106" s="591" t="s">
        <v>108</v>
      </c>
      <c r="E106" s="148">
        <v>69.289550000000006</v>
      </c>
      <c r="F106" s="148">
        <v>75.846999999999994</v>
      </c>
      <c r="G106" s="148">
        <v>-6.5574500000000002</v>
      </c>
      <c r="H106" s="148">
        <v>-8.6456286998826588</v>
      </c>
      <c r="I106" s="728"/>
      <c r="J106" s="148">
        <v>69.289550000000006</v>
      </c>
      <c r="K106" s="148">
        <v>0</v>
      </c>
      <c r="L106" s="148">
        <v>885.79726000000005</v>
      </c>
      <c r="M106" s="148">
        <v>968.35</v>
      </c>
      <c r="N106" s="148">
        <v>-82.55274</v>
      </c>
      <c r="O106" s="148">
        <v>-8.5250931997728099</v>
      </c>
      <c r="P106" s="148">
        <v>445.01170000000002</v>
      </c>
      <c r="Q106" s="148">
        <v>440.78555999999998</v>
      </c>
      <c r="R106" s="148">
        <v>99.050330586813786</v>
      </c>
    </row>
    <row r="107" spans="1:18" ht="15.75" hidden="1" thickBot="1" x14ac:dyDescent="0.3">
      <c r="A107" s="199" t="str">
        <f t="shared" si="3"/>
        <v>NW NATURALPOSTAGE</v>
      </c>
      <c r="B107" s="144" t="s">
        <v>565</v>
      </c>
      <c r="C107" s="722" t="s">
        <v>109</v>
      </c>
      <c r="D107" s="591" t="s">
        <v>110</v>
      </c>
      <c r="E107" s="147">
        <v>250.75621000000001</v>
      </c>
      <c r="F107" s="147">
        <v>279.66003999999998</v>
      </c>
      <c r="G107" s="147">
        <v>-28.903829999999999</v>
      </c>
      <c r="H107" s="147">
        <v>-10.335345013896157</v>
      </c>
      <c r="I107" s="729"/>
      <c r="J107" s="147">
        <v>250.75621000000001</v>
      </c>
      <c r="K107" s="147">
        <v>0</v>
      </c>
      <c r="L107" s="147">
        <v>3163.2322300000001</v>
      </c>
      <c r="M107" s="147">
        <v>3394.86762</v>
      </c>
      <c r="N107" s="147">
        <v>-231.63539</v>
      </c>
      <c r="O107" s="147">
        <v>-6.8231052261177716</v>
      </c>
      <c r="P107" s="147">
        <v>1618.91588</v>
      </c>
      <c r="Q107" s="147">
        <v>1544.3163500000001</v>
      </c>
      <c r="R107" s="147">
        <v>95.392007026331726</v>
      </c>
    </row>
    <row r="108" spans="1:18" ht="15.75" hidden="1" thickBot="1" x14ac:dyDescent="0.3">
      <c r="A108" s="199" t="str">
        <f t="shared" si="3"/>
        <v>NW NATURALCOMPANY GAS USE</v>
      </c>
      <c r="B108" s="144" t="s">
        <v>565</v>
      </c>
      <c r="C108" s="722" t="s">
        <v>199</v>
      </c>
      <c r="D108" s="591" t="s">
        <v>200</v>
      </c>
      <c r="E108" s="148">
        <v>9.4315200000000008</v>
      </c>
      <c r="F108" s="148">
        <v>28</v>
      </c>
      <c r="G108" s="148">
        <v>-18.568480000000001</v>
      </c>
      <c r="H108" s="148">
        <v>-66.316000000000003</v>
      </c>
      <c r="I108" s="728"/>
      <c r="J108" s="148">
        <v>9.4315200000000008</v>
      </c>
      <c r="K108" s="148">
        <v>0</v>
      </c>
      <c r="L108" s="148">
        <v>169.28792999999999</v>
      </c>
      <c r="M108" s="148">
        <v>265</v>
      </c>
      <c r="N108" s="148">
        <v>-95.712069999999997</v>
      </c>
      <c r="O108" s="148">
        <v>-36.11776226415094</v>
      </c>
      <c r="P108" s="148">
        <v>54.663350000000001</v>
      </c>
      <c r="Q108" s="148">
        <v>114.62457999999999</v>
      </c>
      <c r="R108" s="148">
        <v>209.69183191297276</v>
      </c>
    </row>
    <row r="109" spans="1:18" ht="15.75" hidden="1" thickBot="1" x14ac:dyDescent="0.3">
      <c r="A109" s="199" t="str">
        <f t="shared" si="3"/>
        <v>NW NATURALOFFICE SUPPLIES</v>
      </c>
      <c r="B109" s="144" t="s">
        <v>565</v>
      </c>
      <c r="C109" s="722" t="s">
        <v>73</v>
      </c>
      <c r="D109" s="592" t="s">
        <v>74</v>
      </c>
      <c r="E109" s="147">
        <v>24.09928</v>
      </c>
      <c r="F109" s="147">
        <v>20.14433</v>
      </c>
      <c r="G109" s="147">
        <v>3.9549500000000002</v>
      </c>
      <c r="H109" s="147">
        <v>19.63306796503036</v>
      </c>
      <c r="I109" s="729"/>
      <c r="J109" s="147">
        <v>24.09928</v>
      </c>
      <c r="K109" s="147">
        <v>0</v>
      </c>
      <c r="L109" s="147">
        <v>277.64701000000002</v>
      </c>
      <c r="M109" s="147">
        <v>229.33153999999999</v>
      </c>
      <c r="N109" s="147">
        <v>48.315469999999998</v>
      </c>
      <c r="O109" s="147">
        <v>21.067956897686205</v>
      </c>
      <c r="P109" s="147">
        <v>146.80653000000001</v>
      </c>
      <c r="Q109" s="147">
        <v>130.84048000000001</v>
      </c>
      <c r="R109" s="147">
        <v>89.124427912028167</v>
      </c>
    </row>
    <row r="110" spans="1:18" ht="15.75" hidden="1" thickBot="1" x14ac:dyDescent="0.3">
      <c r="A110" s="199" t="str">
        <f t="shared" si="3"/>
        <v>NW NATURALPRINTING</v>
      </c>
      <c r="B110" s="144" t="s">
        <v>565</v>
      </c>
      <c r="C110" s="722" t="s">
        <v>111</v>
      </c>
      <c r="D110" s="593" t="s">
        <v>112</v>
      </c>
      <c r="E110" s="148">
        <v>69.270629999999997</v>
      </c>
      <c r="F110" s="148">
        <v>76.603039999999993</v>
      </c>
      <c r="G110" s="148">
        <v>-7.3324100000000003</v>
      </c>
      <c r="H110" s="148">
        <v>-9.5719569353905545</v>
      </c>
      <c r="I110" s="728"/>
      <c r="J110" s="148">
        <v>69.270629999999997</v>
      </c>
      <c r="K110" s="148">
        <v>0</v>
      </c>
      <c r="L110" s="148">
        <v>1224.8965900000001</v>
      </c>
      <c r="M110" s="148">
        <v>1057.4462900000001</v>
      </c>
      <c r="N110" s="148">
        <v>167.4503</v>
      </c>
      <c r="O110" s="148">
        <v>15.835348006185733</v>
      </c>
      <c r="P110" s="148">
        <v>573.64639</v>
      </c>
      <c r="Q110" s="148">
        <v>651.25019999999995</v>
      </c>
      <c r="R110" s="148">
        <v>113.52816148638188</v>
      </c>
    </row>
    <row r="111" spans="1:18" ht="15.75" hidden="1" thickBot="1" x14ac:dyDescent="0.3">
      <c r="A111" s="199" t="str">
        <f t="shared" si="3"/>
        <v>NW NATURALBOOKS AND MAGAZINES</v>
      </c>
      <c r="B111" s="144" t="s">
        <v>565</v>
      </c>
      <c r="C111" s="722" t="s">
        <v>141</v>
      </c>
      <c r="D111" s="591" t="s">
        <v>142</v>
      </c>
      <c r="E111" s="147">
        <v>6.5540000000000003</v>
      </c>
      <c r="F111" s="147">
        <v>6.65029</v>
      </c>
      <c r="G111" s="147">
        <v>-9.6290000000000001E-2</v>
      </c>
      <c r="H111" s="147">
        <v>-1.4479067830124701</v>
      </c>
      <c r="I111" s="729"/>
      <c r="J111" s="147">
        <v>6.5540000000000003</v>
      </c>
      <c r="K111" s="147">
        <v>0</v>
      </c>
      <c r="L111" s="147">
        <v>55.1417</v>
      </c>
      <c r="M111" s="147">
        <v>43.368040000000001</v>
      </c>
      <c r="N111" s="147">
        <v>11.77366</v>
      </c>
      <c r="O111" s="147">
        <v>27.14824096269972</v>
      </c>
      <c r="P111" s="147">
        <v>32.272689999999997</v>
      </c>
      <c r="Q111" s="147">
        <v>22.869009999999999</v>
      </c>
      <c r="R111" s="147">
        <v>70.861802967152727</v>
      </c>
    </row>
    <row r="112" spans="1:18" ht="15.75" hidden="1" thickBot="1" x14ac:dyDescent="0.3">
      <c r="A112" s="199" t="str">
        <f t="shared" si="3"/>
        <v>NW NATURALREFRESHMENTS</v>
      </c>
      <c r="B112" s="144" t="s">
        <v>565</v>
      </c>
      <c r="C112" s="722" t="s">
        <v>113</v>
      </c>
      <c r="D112" s="591" t="s">
        <v>114</v>
      </c>
      <c r="E112" s="148">
        <v>10.857609999999999</v>
      </c>
      <c r="F112" s="148">
        <v>6.6769999999999996</v>
      </c>
      <c r="G112" s="148">
        <v>4.1806099999999997</v>
      </c>
      <c r="H112" s="148">
        <v>62.612101243073234</v>
      </c>
      <c r="I112" s="728"/>
      <c r="J112" s="148">
        <v>10.857609999999999</v>
      </c>
      <c r="K112" s="148">
        <v>0</v>
      </c>
      <c r="L112" s="148">
        <v>115.43742</v>
      </c>
      <c r="M112" s="148">
        <v>92.786180000000002</v>
      </c>
      <c r="N112" s="148">
        <v>22.651240000000001</v>
      </c>
      <c r="O112" s="148">
        <v>24.412299331646157</v>
      </c>
      <c r="P112" s="148">
        <v>53.101689999999998</v>
      </c>
      <c r="Q112" s="148">
        <v>62.335729999999998</v>
      </c>
      <c r="R112" s="148">
        <v>117.38935239160938</v>
      </c>
    </row>
    <row r="113" spans="1:18" ht="15.75" hidden="1" thickBot="1" x14ac:dyDescent="0.3">
      <c r="A113" s="199" t="str">
        <f t="shared" si="3"/>
        <v>NW NATURALTOOL EXPENSE</v>
      </c>
      <c r="B113" s="144" t="s">
        <v>565</v>
      </c>
      <c r="C113" s="722" t="s">
        <v>201</v>
      </c>
      <c r="D113" s="591" t="s">
        <v>202</v>
      </c>
      <c r="E113" s="147">
        <v>1.7993300000000001</v>
      </c>
      <c r="F113" s="147">
        <v>5.4611400000000003</v>
      </c>
      <c r="G113" s="147">
        <v>-3.66181</v>
      </c>
      <c r="H113" s="147">
        <v>-67.052117323489242</v>
      </c>
      <c r="I113" s="729"/>
      <c r="J113" s="147">
        <v>1.7993300000000001</v>
      </c>
      <c r="K113" s="147">
        <v>0</v>
      </c>
      <c r="L113" s="147">
        <v>47.410420000000002</v>
      </c>
      <c r="M113" s="147">
        <v>72.605779999999996</v>
      </c>
      <c r="N113" s="147">
        <v>-25.195360000000001</v>
      </c>
      <c r="O113" s="147">
        <v>-34.701589873423302</v>
      </c>
      <c r="P113" s="147">
        <v>28.527840000000001</v>
      </c>
      <c r="Q113" s="147">
        <v>18.882580000000001</v>
      </c>
      <c r="R113" s="147">
        <v>66.19000947846034</v>
      </c>
    </row>
    <row r="114" spans="1:18" ht="15.75" hidden="1" thickBot="1" x14ac:dyDescent="0.3">
      <c r="A114" s="199" t="str">
        <f t="shared" si="3"/>
        <v>NW NATURALMOTOR OIL</v>
      </c>
      <c r="B114" s="144" t="s">
        <v>565</v>
      </c>
      <c r="C114" s="722" t="s">
        <v>629</v>
      </c>
      <c r="D114" s="591" t="s">
        <v>630</v>
      </c>
      <c r="E114" s="728"/>
      <c r="F114" s="728"/>
      <c r="G114" s="728"/>
      <c r="H114" s="728"/>
      <c r="I114" s="728"/>
      <c r="J114" s="728"/>
      <c r="K114" s="728"/>
      <c r="L114" s="148">
        <v>12.78598</v>
      </c>
      <c r="M114" s="728"/>
      <c r="N114" s="148">
        <v>12.78598</v>
      </c>
      <c r="O114" s="148">
        <v>0</v>
      </c>
      <c r="P114" s="728"/>
      <c r="Q114" s="148">
        <v>12.78598</v>
      </c>
      <c r="R114" s="148">
        <v>0</v>
      </c>
    </row>
    <row r="115" spans="1:18" ht="15.75" hidden="1" thickBot="1" x14ac:dyDescent="0.3">
      <c r="A115" s="199" t="str">
        <f t="shared" si="3"/>
        <v>NW NATURALCOPIER LEASE/MAINT</v>
      </c>
      <c r="B115" s="144" t="s">
        <v>565</v>
      </c>
      <c r="C115" s="722" t="s">
        <v>466</v>
      </c>
      <c r="D115" s="591" t="s">
        <v>467</v>
      </c>
      <c r="E115" s="147">
        <v>9.7571700000000003</v>
      </c>
      <c r="F115" s="147">
        <v>9.5269999999999992</v>
      </c>
      <c r="G115" s="147">
        <v>0.23017000000000001</v>
      </c>
      <c r="H115" s="147">
        <v>2.4159756481578669</v>
      </c>
      <c r="I115" s="729"/>
      <c r="J115" s="147">
        <v>9.7571700000000003</v>
      </c>
      <c r="K115" s="147">
        <v>0</v>
      </c>
      <c r="L115" s="147">
        <v>114.39706</v>
      </c>
      <c r="M115" s="147">
        <v>114.324</v>
      </c>
      <c r="N115" s="147">
        <v>7.306E-2</v>
      </c>
      <c r="O115" s="147">
        <v>6.3906091459361117E-2</v>
      </c>
      <c r="P115" s="147">
        <v>57.254620000000003</v>
      </c>
      <c r="Q115" s="147">
        <v>57.142440000000001</v>
      </c>
      <c r="R115" s="147">
        <v>99.804068213185246</v>
      </c>
    </row>
    <row r="116" spans="1:18" ht="15.75" hidden="1" thickBot="1" x14ac:dyDescent="0.3">
      <c r="A116" s="199" t="str">
        <f t="shared" si="3"/>
        <v>NW NATURALTAXES</v>
      </c>
      <c r="B116" s="144" t="s">
        <v>565</v>
      </c>
      <c r="C116" s="722" t="s">
        <v>631</v>
      </c>
      <c r="D116" s="591" t="s">
        <v>632</v>
      </c>
      <c r="E116" s="148">
        <v>-509.18</v>
      </c>
      <c r="F116" s="148">
        <v>-525.21559999999999</v>
      </c>
      <c r="G116" s="148">
        <v>16.035599999999999</v>
      </c>
      <c r="H116" s="148">
        <v>3.0531461746376154</v>
      </c>
      <c r="I116" s="728"/>
      <c r="J116" s="148">
        <v>-509.18</v>
      </c>
      <c r="K116" s="148">
        <v>0</v>
      </c>
      <c r="L116" s="148">
        <v>-6161.2224299999998</v>
      </c>
      <c r="M116" s="148">
        <v>-6302.5871999999999</v>
      </c>
      <c r="N116" s="148">
        <v>141.36476999999999</v>
      </c>
      <c r="O116" s="148">
        <v>2.2429641274935475</v>
      </c>
      <c r="P116" s="148">
        <v>-3041.9074999999998</v>
      </c>
      <c r="Q116" s="148">
        <v>-3119.31493</v>
      </c>
      <c r="R116" s="148">
        <v>-102.5447003237278</v>
      </c>
    </row>
    <row r="117" spans="1:18" ht="15.75" hidden="1" thickBot="1" x14ac:dyDescent="0.3">
      <c r="A117" s="199" t="str">
        <f t="shared" si="3"/>
        <v>NW NATURALINSURANCE</v>
      </c>
      <c r="B117" s="144" t="s">
        <v>565</v>
      </c>
      <c r="C117" s="722" t="s">
        <v>633</v>
      </c>
      <c r="D117" s="591" t="s">
        <v>634</v>
      </c>
      <c r="E117" s="147">
        <v>285.56921</v>
      </c>
      <c r="F117" s="147">
        <v>317.33747</v>
      </c>
      <c r="G117" s="147">
        <v>-31.768260000000001</v>
      </c>
      <c r="H117" s="147">
        <v>-10.010875803604282</v>
      </c>
      <c r="I117" s="729"/>
      <c r="J117" s="147">
        <v>285.56921</v>
      </c>
      <c r="K117" s="147">
        <v>0</v>
      </c>
      <c r="L117" s="147">
        <v>3078.0805700000001</v>
      </c>
      <c r="M117" s="147">
        <v>3327.3996400000001</v>
      </c>
      <c r="N117" s="147">
        <v>-249.31907000000001</v>
      </c>
      <c r="O117" s="147">
        <v>-7.4929102895497097</v>
      </c>
      <c r="P117" s="147">
        <v>1484.1602399999999</v>
      </c>
      <c r="Q117" s="147">
        <v>1593.9203299999999</v>
      </c>
      <c r="R117" s="147">
        <v>107.39543393238995</v>
      </c>
    </row>
    <row r="118" spans="1:18" ht="15.75" hidden="1" thickBot="1" x14ac:dyDescent="0.3">
      <c r="A118" s="199" t="str">
        <f t="shared" si="3"/>
        <v>NW NATURALCASH DISCOUNT</v>
      </c>
      <c r="B118" s="144" t="s">
        <v>565</v>
      </c>
      <c r="C118" s="722" t="s">
        <v>477</v>
      </c>
      <c r="D118" s="591" t="s">
        <v>478</v>
      </c>
      <c r="E118" s="728"/>
      <c r="F118" s="728"/>
      <c r="G118" s="728"/>
      <c r="H118" s="728"/>
      <c r="I118" s="728"/>
      <c r="J118" s="728"/>
      <c r="K118" s="728"/>
      <c r="L118" s="148">
        <v>5.9499999999999997E-2</v>
      </c>
      <c r="M118" s="728"/>
      <c r="N118" s="148">
        <v>5.9499999999999997E-2</v>
      </c>
      <c r="O118" s="148">
        <v>0</v>
      </c>
      <c r="P118" s="148">
        <v>5.9499999999999997E-2</v>
      </c>
      <c r="Q118" s="148">
        <v>0</v>
      </c>
      <c r="R118" s="148">
        <v>0</v>
      </c>
    </row>
    <row r="119" spans="1:18" ht="15.75" hidden="1" thickBot="1" x14ac:dyDescent="0.3">
      <c r="A119" s="199" t="str">
        <f t="shared" si="3"/>
        <v>NW NATURALPAYSTATION COMMISSIO</v>
      </c>
      <c r="B119" s="144" t="s">
        <v>565</v>
      </c>
      <c r="C119" s="722" t="s">
        <v>115</v>
      </c>
      <c r="D119" s="591" t="s">
        <v>116</v>
      </c>
      <c r="E119" s="147">
        <v>2.4685999999999999</v>
      </c>
      <c r="F119" s="147">
        <v>3.7833299999999999</v>
      </c>
      <c r="G119" s="147">
        <v>-1.31473</v>
      </c>
      <c r="H119" s="147">
        <v>-34.750603304496302</v>
      </c>
      <c r="I119" s="729"/>
      <c r="J119" s="147">
        <v>2.4685999999999999</v>
      </c>
      <c r="K119" s="147">
        <v>0</v>
      </c>
      <c r="L119" s="147">
        <v>33.731050000000003</v>
      </c>
      <c r="M119" s="147">
        <v>45.39996</v>
      </c>
      <c r="N119" s="147">
        <v>-11.66891</v>
      </c>
      <c r="O119" s="147">
        <v>-25.702467579266589</v>
      </c>
      <c r="P119" s="147">
        <v>18.804349999999999</v>
      </c>
      <c r="Q119" s="147">
        <v>14.9267</v>
      </c>
      <c r="R119" s="147">
        <v>79.378973482199598</v>
      </c>
    </row>
    <row r="120" spans="1:18" ht="15.75" hidden="1" thickBot="1" x14ac:dyDescent="0.3">
      <c r="A120" s="199" t="str">
        <f t="shared" si="3"/>
        <v>NW NATURAL REGULATORY DEFEERAL</v>
      </c>
      <c r="B120" s="144" t="s">
        <v>565</v>
      </c>
      <c r="C120" s="722" t="s">
        <v>635</v>
      </c>
      <c r="D120" s="591" t="s">
        <v>636</v>
      </c>
      <c r="E120" s="148">
        <v>-372.18711000000002</v>
      </c>
      <c r="F120" s="148">
        <v>-1139.4216200000001</v>
      </c>
      <c r="G120" s="148">
        <v>767.23451</v>
      </c>
      <c r="H120" s="148">
        <v>67.335435499284273</v>
      </c>
      <c r="I120" s="728"/>
      <c r="J120" s="148">
        <v>-372.18711000000002</v>
      </c>
      <c r="K120" s="148">
        <v>0</v>
      </c>
      <c r="L120" s="148">
        <v>-14740.1579</v>
      </c>
      <c r="M120" s="148">
        <v>-14679.414699999999</v>
      </c>
      <c r="N120" s="148">
        <v>-60.743200000000002</v>
      </c>
      <c r="O120" s="148">
        <v>-0.41379851473233464</v>
      </c>
      <c r="P120" s="148">
        <v>-7532.37763</v>
      </c>
      <c r="Q120" s="148">
        <v>-7207.7802700000002</v>
      </c>
      <c r="R120" s="148">
        <v>-95.690638787051896</v>
      </c>
    </row>
    <row r="121" spans="1:18" ht="15.75" hidden="1" thickBot="1" x14ac:dyDescent="0.3">
      <c r="A121" s="199" t="str">
        <f t="shared" si="3"/>
        <v>NW NATURALCASH RECEIPTS</v>
      </c>
      <c r="B121" s="144" t="s">
        <v>565</v>
      </c>
      <c r="C121" s="722" t="s">
        <v>117</v>
      </c>
      <c r="D121" s="591" t="s">
        <v>118</v>
      </c>
      <c r="E121" s="147">
        <v>-8.2561900000000001</v>
      </c>
      <c r="F121" s="147">
        <v>-7.45</v>
      </c>
      <c r="G121" s="147">
        <v>-0.80618999999999996</v>
      </c>
      <c r="H121" s="147">
        <v>-10.821342281879195</v>
      </c>
      <c r="I121" s="729"/>
      <c r="J121" s="147">
        <v>-8.2561900000000001</v>
      </c>
      <c r="K121" s="147">
        <v>0</v>
      </c>
      <c r="L121" s="147">
        <v>-111.85077</v>
      </c>
      <c r="M121" s="147">
        <v>-79.7</v>
      </c>
      <c r="N121" s="147">
        <v>-32.150770000000001</v>
      </c>
      <c r="O121" s="147">
        <v>-40.339736511919696</v>
      </c>
      <c r="P121" s="147">
        <v>-68.488799999999998</v>
      </c>
      <c r="Q121" s="147">
        <v>-43.361969999999999</v>
      </c>
      <c r="R121" s="147">
        <v>-63.312497809860879</v>
      </c>
    </row>
    <row r="122" spans="1:18" ht="15.75" hidden="1" thickBot="1" x14ac:dyDescent="0.3">
      <c r="A122" s="199" t="str">
        <f t="shared" si="3"/>
        <v>NW NATURALAMORTIZATION</v>
      </c>
      <c r="B122" s="144" t="s">
        <v>565</v>
      </c>
      <c r="C122" s="722" t="s">
        <v>637</v>
      </c>
      <c r="D122" s="591" t="s">
        <v>638</v>
      </c>
      <c r="E122" s="148">
        <v>3.6865299999999999</v>
      </c>
      <c r="F122" s="148">
        <v>20.710999999999999</v>
      </c>
      <c r="G122" s="148">
        <v>-17.024470000000001</v>
      </c>
      <c r="H122" s="148">
        <v>-82.20013519385833</v>
      </c>
      <c r="I122" s="728"/>
      <c r="J122" s="148">
        <v>3.6865299999999999</v>
      </c>
      <c r="K122" s="148">
        <v>0</v>
      </c>
      <c r="L122" s="148">
        <v>238.52475999999999</v>
      </c>
      <c r="M122" s="148">
        <v>248.53200000000001</v>
      </c>
      <c r="N122" s="148">
        <v>-10.007239999999999</v>
      </c>
      <c r="O122" s="148">
        <v>-4.0265398419519416</v>
      </c>
      <c r="P122" s="148">
        <v>141.09809999999999</v>
      </c>
      <c r="Q122" s="148">
        <v>97.426659999999998</v>
      </c>
      <c r="R122" s="148">
        <v>69.048881593728055</v>
      </c>
    </row>
    <row r="123" spans="1:18" ht="15.75" hidden="1" thickBot="1" x14ac:dyDescent="0.3">
      <c r="A123" s="199" t="str">
        <f t="shared" si="3"/>
        <v>NW NATURALBAD DEBT EXPENSE</v>
      </c>
      <c r="B123" s="144" t="s">
        <v>565</v>
      </c>
      <c r="C123" s="722" t="s">
        <v>639</v>
      </c>
      <c r="D123" s="591" t="s">
        <v>640</v>
      </c>
      <c r="E123" s="147">
        <v>335.14631000000003</v>
      </c>
      <c r="F123" s="147">
        <v>111.31449000000001</v>
      </c>
      <c r="G123" s="147">
        <v>223.83181999999999</v>
      </c>
      <c r="H123" s="147">
        <v>201.08057809904173</v>
      </c>
      <c r="I123" s="729"/>
      <c r="J123" s="147">
        <v>335.14631000000003</v>
      </c>
      <c r="K123" s="147">
        <v>0</v>
      </c>
      <c r="L123" s="147">
        <v>678.55408999999997</v>
      </c>
      <c r="M123" s="147">
        <v>889.33738000000005</v>
      </c>
      <c r="N123" s="147">
        <v>-210.78328999999999</v>
      </c>
      <c r="O123" s="147">
        <v>-23.701161644639292</v>
      </c>
      <c r="P123" s="147">
        <v>130.39323999999999</v>
      </c>
      <c r="Q123" s="147">
        <v>548.16084999999998</v>
      </c>
      <c r="R123" s="147">
        <v>420.39054325208883</v>
      </c>
    </row>
    <row r="124" spans="1:18" ht="15.75" hidden="1" thickBot="1" x14ac:dyDescent="0.3">
      <c r="A124" s="199" t="str">
        <f t="shared" si="3"/>
        <v>NW NATURALDEALER RELATIONS</v>
      </c>
      <c r="B124" s="144" t="s">
        <v>565</v>
      </c>
      <c r="C124" s="722" t="s">
        <v>143</v>
      </c>
      <c r="D124" s="591" t="s">
        <v>144</v>
      </c>
      <c r="E124" s="148">
        <v>41.460459999999998</v>
      </c>
      <c r="F124" s="148">
        <v>41.065510000000003</v>
      </c>
      <c r="G124" s="148">
        <v>0.39495000000000002</v>
      </c>
      <c r="H124" s="148">
        <v>0.96175598452326538</v>
      </c>
      <c r="I124" s="728"/>
      <c r="J124" s="148">
        <v>41.460459999999998</v>
      </c>
      <c r="K124" s="148">
        <v>0</v>
      </c>
      <c r="L124" s="148">
        <v>222.77110999999999</v>
      </c>
      <c r="M124" s="148">
        <v>244.94604000000001</v>
      </c>
      <c r="N124" s="148">
        <v>-22.17493</v>
      </c>
      <c r="O124" s="148">
        <v>-9.0529857106487608</v>
      </c>
      <c r="P124" s="148">
        <v>75.179540000000003</v>
      </c>
      <c r="Q124" s="148">
        <v>147.59156999999999</v>
      </c>
      <c r="R124" s="148">
        <v>196.31879897110304</v>
      </c>
    </row>
    <row r="125" spans="1:18" ht="15.75" hidden="1" thickBot="1" x14ac:dyDescent="0.3">
      <c r="A125" s="199" t="str">
        <f t="shared" si="3"/>
        <v>NW NATURALPARKING</v>
      </c>
      <c r="B125" s="144" t="s">
        <v>565</v>
      </c>
      <c r="C125" s="722" t="s">
        <v>145</v>
      </c>
      <c r="D125" s="592" t="s">
        <v>146</v>
      </c>
      <c r="E125" s="147">
        <v>9.3586399999999994</v>
      </c>
      <c r="F125" s="147">
        <v>4.6149100000000001</v>
      </c>
      <c r="G125" s="147">
        <v>4.7437300000000002</v>
      </c>
      <c r="H125" s="147">
        <v>102.79138704763473</v>
      </c>
      <c r="I125" s="729"/>
      <c r="J125" s="147">
        <v>9.3586399999999994</v>
      </c>
      <c r="K125" s="147">
        <v>0</v>
      </c>
      <c r="L125" s="147">
        <v>132.73405</v>
      </c>
      <c r="M125" s="147">
        <v>51.954770000000003</v>
      </c>
      <c r="N125" s="147">
        <v>80.77928</v>
      </c>
      <c r="O125" s="147">
        <v>155.48000693680291</v>
      </c>
      <c r="P125" s="147">
        <v>64.465829999999997</v>
      </c>
      <c r="Q125" s="147">
        <v>68.268219999999999</v>
      </c>
      <c r="R125" s="147">
        <v>105.89830302347771</v>
      </c>
    </row>
    <row r="126" spans="1:18" ht="15.75" hidden="1" thickBot="1" x14ac:dyDescent="0.3">
      <c r="A126" s="199" t="str">
        <f t="shared" si="3"/>
        <v>NW NATURALLAUNDRY</v>
      </c>
      <c r="B126" s="144" t="s">
        <v>565</v>
      </c>
      <c r="C126" s="722" t="s">
        <v>147</v>
      </c>
      <c r="D126" s="591" t="s">
        <v>148</v>
      </c>
      <c r="E126" s="148">
        <v>9.4471600000000002</v>
      </c>
      <c r="F126" s="148">
        <v>3.8792499999999999</v>
      </c>
      <c r="G126" s="148">
        <v>5.5679100000000004</v>
      </c>
      <c r="H126" s="148">
        <v>143.5305793645679</v>
      </c>
      <c r="I126" s="728"/>
      <c r="J126" s="148">
        <v>9.4471600000000002</v>
      </c>
      <c r="K126" s="148">
        <v>0</v>
      </c>
      <c r="L126" s="148">
        <v>65.411959999999993</v>
      </c>
      <c r="M126" s="148">
        <v>46.81512</v>
      </c>
      <c r="N126" s="148">
        <v>18.59684</v>
      </c>
      <c r="O126" s="148">
        <v>39.724003697950579</v>
      </c>
      <c r="P126" s="148">
        <v>31.930669999999999</v>
      </c>
      <c r="Q126" s="148">
        <v>33.481290000000001</v>
      </c>
      <c r="R126" s="148">
        <v>104.85620877983456</v>
      </c>
    </row>
    <row r="127" spans="1:18" ht="15.75" hidden="1" thickBot="1" x14ac:dyDescent="0.3">
      <c r="A127" s="199" t="str">
        <f t="shared" si="3"/>
        <v>NW NATURALUNIFORMS</v>
      </c>
      <c r="B127" s="144" t="s">
        <v>565</v>
      </c>
      <c r="C127" s="722" t="s">
        <v>203</v>
      </c>
      <c r="D127" s="591" t="s">
        <v>204</v>
      </c>
      <c r="E127" s="147">
        <v>9.8998200000000001</v>
      </c>
      <c r="F127" s="147">
        <v>36.523980000000002</v>
      </c>
      <c r="G127" s="147">
        <v>-26.62416</v>
      </c>
      <c r="H127" s="147">
        <v>-72.895013084554307</v>
      </c>
      <c r="I127" s="729"/>
      <c r="J127" s="147">
        <v>9.8998200000000001</v>
      </c>
      <c r="K127" s="147">
        <v>0</v>
      </c>
      <c r="L127" s="147">
        <v>120.89145000000001</v>
      </c>
      <c r="M127" s="147">
        <v>763.03098</v>
      </c>
      <c r="N127" s="147">
        <v>-642.13953000000004</v>
      </c>
      <c r="O127" s="147">
        <v>-84.156416558604207</v>
      </c>
      <c r="P127" s="147">
        <v>61.623449999999998</v>
      </c>
      <c r="Q127" s="147">
        <v>59.268000000000001</v>
      </c>
      <c r="R127" s="147">
        <v>96.17767262300309</v>
      </c>
    </row>
    <row r="128" spans="1:18" ht="15.75" hidden="1" thickBot="1" x14ac:dyDescent="0.3">
      <c r="A128" s="199" t="str">
        <f t="shared" si="3"/>
        <v>NW NATURALCLOTHING</v>
      </c>
      <c r="B128" s="144" t="s">
        <v>565</v>
      </c>
      <c r="C128" s="722" t="s">
        <v>641</v>
      </c>
      <c r="D128" s="591" t="s">
        <v>642</v>
      </c>
      <c r="E128" s="148">
        <v>84.530969999999996</v>
      </c>
      <c r="F128" s="728"/>
      <c r="G128" s="148">
        <v>84.530969999999996</v>
      </c>
      <c r="H128" s="148">
        <v>0</v>
      </c>
      <c r="I128" s="728"/>
      <c r="J128" s="148">
        <v>84.530969999999996</v>
      </c>
      <c r="K128" s="148">
        <v>0</v>
      </c>
      <c r="L128" s="148">
        <v>609.95971999999995</v>
      </c>
      <c r="M128" s="728"/>
      <c r="N128" s="148">
        <v>609.95971999999995</v>
      </c>
      <c r="O128" s="148">
        <v>0</v>
      </c>
      <c r="P128" s="148">
        <v>304.29899</v>
      </c>
      <c r="Q128" s="148">
        <v>305.66073</v>
      </c>
      <c r="R128" s="148">
        <v>100.44750066373865</v>
      </c>
    </row>
    <row r="129" spans="1:18" ht="15.75" hidden="1" thickBot="1" x14ac:dyDescent="0.3">
      <c r="A129" s="199" t="str">
        <f t="shared" si="3"/>
        <v>NW NATURALLEGAL FEES</v>
      </c>
      <c r="B129" s="144" t="s">
        <v>565</v>
      </c>
      <c r="C129" s="722" t="s">
        <v>643</v>
      </c>
      <c r="D129" s="591" t="s">
        <v>644</v>
      </c>
      <c r="E129" s="147">
        <v>156.88531</v>
      </c>
      <c r="F129" s="147">
        <v>200.92771999999999</v>
      </c>
      <c r="G129" s="147">
        <v>-44.042409999999997</v>
      </c>
      <c r="H129" s="147">
        <v>-21.919529072444558</v>
      </c>
      <c r="I129" s="729"/>
      <c r="J129" s="147">
        <v>156.88531</v>
      </c>
      <c r="K129" s="147">
        <v>0</v>
      </c>
      <c r="L129" s="147">
        <v>2687.2627699999998</v>
      </c>
      <c r="M129" s="147">
        <v>1961.6401599999999</v>
      </c>
      <c r="N129" s="147">
        <v>725.62261000000001</v>
      </c>
      <c r="O129" s="147">
        <v>36.990607390501225</v>
      </c>
      <c r="P129" s="147">
        <v>1235.36302</v>
      </c>
      <c r="Q129" s="147">
        <v>1451.89975</v>
      </c>
      <c r="R129" s="147">
        <v>117.52818616830541</v>
      </c>
    </row>
    <row r="130" spans="1:18" ht="15.75" hidden="1" thickBot="1" x14ac:dyDescent="0.3">
      <c r="A130" s="199" t="str">
        <f t="shared" si="3"/>
        <v>NW NATURALPROFESSIONAL SERVICE</v>
      </c>
      <c r="B130" s="144" t="s">
        <v>565</v>
      </c>
      <c r="C130" s="722" t="s">
        <v>149</v>
      </c>
      <c r="D130" s="591" t="s">
        <v>150</v>
      </c>
      <c r="E130" s="148">
        <v>1339.8847000000001</v>
      </c>
      <c r="F130" s="148">
        <v>439.20753000000002</v>
      </c>
      <c r="G130" s="148">
        <v>900.67717000000005</v>
      </c>
      <c r="H130" s="148">
        <v>205.06869952798851</v>
      </c>
      <c r="I130" s="728"/>
      <c r="J130" s="148">
        <v>1339.8847000000001</v>
      </c>
      <c r="K130" s="148">
        <v>0</v>
      </c>
      <c r="L130" s="148">
        <v>8934.3735400000005</v>
      </c>
      <c r="M130" s="148">
        <v>6161.3950500000001</v>
      </c>
      <c r="N130" s="148">
        <v>2772.97849</v>
      </c>
      <c r="O130" s="148">
        <v>45.005692176806612</v>
      </c>
      <c r="P130" s="148">
        <v>4135.8690999999999</v>
      </c>
      <c r="Q130" s="148">
        <v>4798.5044399999997</v>
      </c>
      <c r="R130" s="148">
        <v>116.02167099534171</v>
      </c>
    </row>
    <row r="131" spans="1:18" ht="15.75" hidden="1" thickBot="1" x14ac:dyDescent="0.3">
      <c r="A131" s="199" t="str">
        <f t="shared" si="3"/>
        <v>NW NATURALADVERTISING</v>
      </c>
      <c r="B131" s="144" t="s">
        <v>565</v>
      </c>
      <c r="C131" s="722" t="s">
        <v>645</v>
      </c>
      <c r="D131" s="591" t="s">
        <v>646</v>
      </c>
      <c r="E131" s="147">
        <v>77.430000000000007</v>
      </c>
      <c r="F131" s="147">
        <v>131.04331999999999</v>
      </c>
      <c r="G131" s="147">
        <v>-53.613320000000002</v>
      </c>
      <c r="H131" s="147">
        <v>-40.912669184510897</v>
      </c>
      <c r="I131" s="729"/>
      <c r="J131" s="147">
        <v>77.430000000000007</v>
      </c>
      <c r="K131" s="147">
        <v>0</v>
      </c>
      <c r="L131" s="147">
        <v>1040.6341399999999</v>
      </c>
      <c r="M131" s="147">
        <v>1598.9505200000001</v>
      </c>
      <c r="N131" s="147">
        <v>-558.31637999999998</v>
      </c>
      <c r="O131" s="147">
        <v>-34.917677127369771</v>
      </c>
      <c r="P131" s="147">
        <v>491.09206999999998</v>
      </c>
      <c r="Q131" s="147">
        <v>549.54206999999997</v>
      </c>
      <c r="R131" s="147">
        <v>111.90204517047079</v>
      </c>
    </row>
    <row r="132" spans="1:18" ht="15.75" hidden="1" thickBot="1" x14ac:dyDescent="0.3">
      <c r="A132" s="199" t="str">
        <f t="shared" si="3"/>
        <v>NW NATURALCUSTOMER RECOVERY</v>
      </c>
      <c r="B132" s="144" t="s">
        <v>565</v>
      </c>
      <c r="C132" s="722" t="s">
        <v>171</v>
      </c>
      <c r="D132" s="591" t="s">
        <v>172</v>
      </c>
      <c r="E132" s="148">
        <v>0.70311000000000001</v>
      </c>
      <c r="F132" s="148">
        <v>2.32463</v>
      </c>
      <c r="G132" s="148">
        <v>-1.6215200000000001</v>
      </c>
      <c r="H132" s="148">
        <v>-69.75389631898409</v>
      </c>
      <c r="I132" s="728"/>
      <c r="J132" s="148">
        <v>0.70311000000000001</v>
      </c>
      <c r="K132" s="148">
        <v>0</v>
      </c>
      <c r="L132" s="148">
        <v>8.6294599999999999</v>
      </c>
      <c r="M132" s="148">
        <v>23.550999999999998</v>
      </c>
      <c r="N132" s="148">
        <v>-14.92154</v>
      </c>
      <c r="O132" s="148">
        <v>-63.358413655471104</v>
      </c>
      <c r="P132" s="148">
        <v>2.7054800000000001</v>
      </c>
      <c r="Q132" s="148">
        <v>5.9239800000000002</v>
      </c>
      <c r="R132" s="148">
        <v>218.96225438739151</v>
      </c>
    </row>
    <row r="133" spans="1:18" ht="15.75" hidden="1" thickBot="1" x14ac:dyDescent="0.3">
      <c r="A133" s="199" t="str">
        <f t="shared" si="3"/>
        <v>NW NATURALCLEARING</v>
      </c>
      <c r="B133" s="144" t="s">
        <v>565</v>
      </c>
      <c r="C133" s="722" t="s">
        <v>647</v>
      </c>
      <c r="D133" s="591" t="s">
        <v>648</v>
      </c>
      <c r="E133" s="147">
        <v>-7.1475900000000001</v>
      </c>
      <c r="F133" s="729"/>
      <c r="G133" s="147">
        <v>-7.1475900000000001</v>
      </c>
      <c r="H133" s="147">
        <v>0</v>
      </c>
      <c r="I133" s="729"/>
      <c r="J133" s="147">
        <v>-7.1475900000000001</v>
      </c>
      <c r="K133" s="147">
        <v>0</v>
      </c>
      <c r="L133" s="147">
        <v>-98.539410000000004</v>
      </c>
      <c r="M133" s="729"/>
      <c r="N133" s="147">
        <v>-98.539410000000004</v>
      </c>
      <c r="O133" s="147">
        <v>0</v>
      </c>
      <c r="P133" s="147">
        <v>-40.750579999999999</v>
      </c>
      <c r="Q133" s="147">
        <v>-57.788829999999997</v>
      </c>
      <c r="R133" s="147">
        <v>-141.81106133949504</v>
      </c>
    </row>
    <row r="134" spans="1:18" ht="15.75" hidden="1" thickBot="1" x14ac:dyDescent="0.3">
      <c r="A134" s="199" t="str">
        <f t="shared" si="3"/>
        <v>NW NATURALREPAIRS AND MAINT</v>
      </c>
      <c r="B134" s="144" t="s">
        <v>565</v>
      </c>
      <c r="C134" s="722" t="s">
        <v>205</v>
      </c>
      <c r="D134" s="591" t="s">
        <v>206</v>
      </c>
      <c r="E134" s="148">
        <v>51.611159999999998</v>
      </c>
      <c r="F134" s="148">
        <v>45.552840000000003</v>
      </c>
      <c r="G134" s="148">
        <v>6.0583200000000001</v>
      </c>
      <c r="H134" s="148">
        <v>13.299544002086368</v>
      </c>
      <c r="I134" s="728"/>
      <c r="J134" s="148">
        <v>51.611159999999998</v>
      </c>
      <c r="K134" s="148">
        <v>0</v>
      </c>
      <c r="L134" s="148">
        <v>467.58368000000002</v>
      </c>
      <c r="M134" s="148">
        <v>546.05007999999998</v>
      </c>
      <c r="N134" s="148">
        <v>-78.466399999999993</v>
      </c>
      <c r="O134" s="148">
        <v>-14.369817508313524</v>
      </c>
      <c r="P134" s="148">
        <v>206.74112</v>
      </c>
      <c r="Q134" s="148">
        <v>260.84255999999999</v>
      </c>
      <c r="R134" s="148">
        <v>126.16868864790904</v>
      </c>
    </row>
    <row r="135" spans="1:18" ht="15.75" hidden="1" thickBot="1" x14ac:dyDescent="0.3">
      <c r="A135" s="199" t="str">
        <f t="shared" si="3"/>
        <v>NW NATURALSOFTWARE MAINT</v>
      </c>
      <c r="B135" s="144" t="s">
        <v>565</v>
      </c>
      <c r="C135" s="722" t="s">
        <v>649</v>
      </c>
      <c r="D135" s="591" t="s">
        <v>650</v>
      </c>
      <c r="E135" s="147">
        <v>318.36831000000001</v>
      </c>
      <c r="F135" s="147">
        <v>314.24392999999998</v>
      </c>
      <c r="G135" s="147">
        <v>4.1243800000000004</v>
      </c>
      <c r="H135" s="147">
        <v>1.312477221119275</v>
      </c>
      <c r="I135" s="729"/>
      <c r="J135" s="147">
        <v>318.36831000000001</v>
      </c>
      <c r="K135" s="147">
        <v>0</v>
      </c>
      <c r="L135" s="147">
        <v>3885.4103399999999</v>
      </c>
      <c r="M135" s="147">
        <v>3737.1637000000001</v>
      </c>
      <c r="N135" s="147">
        <v>148.24664000000001</v>
      </c>
      <c r="O135" s="147">
        <v>3.9668222186788338</v>
      </c>
      <c r="P135" s="147">
        <v>1832.2042300000001</v>
      </c>
      <c r="Q135" s="147">
        <v>2053.2061100000001</v>
      </c>
      <c r="R135" s="147">
        <v>112.06207672602088</v>
      </c>
    </row>
    <row r="136" spans="1:18" ht="15.75" hidden="1" thickBot="1" x14ac:dyDescent="0.3">
      <c r="A136" s="199" t="str">
        <f t="shared" si="3"/>
        <v>NW NATURALCOLLECTION FEES</v>
      </c>
      <c r="B136" s="144" t="s">
        <v>565</v>
      </c>
      <c r="C136" s="722" t="s">
        <v>119</v>
      </c>
      <c r="D136" s="591" t="s">
        <v>120</v>
      </c>
      <c r="E136" s="148">
        <v>9.5372599999999998</v>
      </c>
      <c r="F136" s="148">
        <v>12.125</v>
      </c>
      <c r="G136" s="148">
        <v>-2.5877400000000002</v>
      </c>
      <c r="H136" s="148">
        <v>-21.342185567010308</v>
      </c>
      <c r="I136" s="728"/>
      <c r="J136" s="148">
        <v>9.5372599999999998</v>
      </c>
      <c r="K136" s="148">
        <v>0</v>
      </c>
      <c r="L136" s="148">
        <v>159.29671999999999</v>
      </c>
      <c r="M136" s="148">
        <v>145.5</v>
      </c>
      <c r="N136" s="148">
        <v>13.796720000000001</v>
      </c>
      <c r="O136" s="148">
        <v>9.4822817869415807</v>
      </c>
      <c r="P136" s="148">
        <v>83.38373</v>
      </c>
      <c r="Q136" s="148">
        <v>75.912989999999994</v>
      </c>
      <c r="R136" s="148">
        <v>91.040530328878305</v>
      </c>
    </row>
    <row r="137" spans="1:18" ht="15.75" hidden="1" thickBot="1" x14ac:dyDescent="0.3">
      <c r="A137" s="199" t="str">
        <f t="shared" si="3"/>
        <v>NW NATURALMEAL TICKETS</v>
      </c>
      <c r="B137" s="144" t="s">
        <v>565</v>
      </c>
      <c r="C137" s="722" t="s">
        <v>173</v>
      </c>
      <c r="D137" s="591" t="s">
        <v>174</v>
      </c>
      <c r="E137" s="147">
        <v>14.6065</v>
      </c>
      <c r="F137" s="147">
        <v>10.408799999999999</v>
      </c>
      <c r="G137" s="147">
        <v>4.1977000000000002</v>
      </c>
      <c r="H137" s="147">
        <v>40.328375989547304</v>
      </c>
      <c r="I137" s="729"/>
      <c r="J137" s="147">
        <v>14.6065</v>
      </c>
      <c r="K137" s="147">
        <v>0</v>
      </c>
      <c r="L137" s="147">
        <v>157.4074</v>
      </c>
      <c r="M137" s="147">
        <v>109.50134</v>
      </c>
      <c r="N137" s="147">
        <v>47.906059999999997</v>
      </c>
      <c r="O137" s="147">
        <v>43.749291104565479</v>
      </c>
      <c r="P137" s="147">
        <v>71.827619999999996</v>
      </c>
      <c r="Q137" s="147">
        <v>85.57978</v>
      </c>
      <c r="R137" s="147">
        <v>119.14606108346622</v>
      </c>
    </row>
    <row r="138" spans="1:18" ht="15.75" hidden="1" thickBot="1" x14ac:dyDescent="0.3">
      <c r="A138" s="199" t="str">
        <f t="shared" si="3"/>
        <v>NW NATURALHARDWARE MAINT</v>
      </c>
      <c r="B138" s="144" t="s">
        <v>565</v>
      </c>
      <c r="C138" s="722" t="s">
        <v>479</v>
      </c>
      <c r="D138" s="591" t="s">
        <v>480</v>
      </c>
      <c r="E138" s="148">
        <v>57.436320000000002</v>
      </c>
      <c r="F138" s="148">
        <v>47.807279999999999</v>
      </c>
      <c r="G138" s="148">
        <v>9.6290399999999998</v>
      </c>
      <c r="H138" s="148">
        <v>20.141367590877373</v>
      </c>
      <c r="I138" s="728"/>
      <c r="J138" s="148">
        <v>57.436320000000002</v>
      </c>
      <c r="K138" s="148">
        <v>0</v>
      </c>
      <c r="L138" s="148">
        <v>607.33912999999995</v>
      </c>
      <c r="M138" s="148">
        <v>564.96960000000001</v>
      </c>
      <c r="N138" s="148">
        <v>42.369529999999997</v>
      </c>
      <c r="O138" s="148">
        <v>7.4994353678498804</v>
      </c>
      <c r="P138" s="148">
        <v>293.67392999999998</v>
      </c>
      <c r="Q138" s="148">
        <v>313.66520000000003</v>
      </c>
      <c r="R138" s="148">
        <v>106.80730155380152</v>
      </c>
    </row>
    <row r="139" spans="1:18" ht="15.75" hidden="1" thickBot="1" x14ac:dyDescent="0.3">
      <c r="A139" s="199" t="str">
        <f t="shared" si="3"/>
        <v>NW NATURALPENSION CONTRIBUTION</v>
      </c>
      <c r="B139" s="144" t="s">
        <v>565</v>
      </c>
      <c r="C139" s="722" t="s">
        <v>651</v>
      </c>
      <c r="D139" s="591" t="s">
        <v>652</v>
      </c>
      <c r="E139" s="147">
        <v>-47.197920000000003</v>
      </c>
      <c r="F139" s="729"/>
      <c r="G139" s="147">
        <v>-47.197920000000003</v>
      </c>
      <c r="H139" s="147">
        <v>0</v>
      </c>
      <c r="I139" s="729"/>
      <c r="J139" s="147">
        <v>-47.197920000000003</v>
      </c>
      <c r="K139" s="147">
        <v>0</v>
      </c>
      <c r="L139" s="147">
        <v>-47.197920000000003</v>
      </c>
      <c r="M139" s="729"/>
      <c r="N139" s="147">
        <v>-47.197920000000003</v>
      </c>
      <c r="O139" s="147">
        <v>0</v>
      </c>
      <c r="P139" s="729"/>
      <c r="Q139" s="147">
        <v>-47.197920000000003</v>
      </c>
      <c r="R139" s="147">
        <v>0</v>
      </c>
    </row>
    <row r="140" spans="1:18" ht="15.75" hidden="1" thickBot="1" x14ac:dyDescent="0.3">
      <c r="A140" s="199" t="str">
        <f t="shared" si="3"/>
        <v>NW NATURALSECURITY</v>
      </c>
      <c r="B140" s="144" t="s">
        <v>565</v>
      </c>
      <c r="C140" s="722" t="s">
        <v>653</v>
      </c>
      <c r="D140" s="591" t="s">
        <v>654</v>
      </c>
      <c r="E140" s="148">
        <v>8.9329699999999992</v>
      </c>
      <c r="F140" s="728"/>
      <c r="G140" s="148">
        <v>8.9329699999999992</v>
      </c>
      <c r="H140" s="148">
        <v>0</v>
      </c>
      <c r="I140" s="728"/>
      <c r="J140" s="148">
        <v>8.9329699999999992</v>
      </c>
      <c r="K140" s="148">
        <v>0</v>
      </c>
      <c r="L140" s="148">
        <v>93.895380000000003</v>
      </c>
      <c r="M140" s="148">
        <v>3</v>
      </c>
      <c r="N140" s="148">
        <v>90.895380000000003</v>
      </c>
      <c r="O140" s="148">
        <v>3029.846</v>
      </c>
      <c r="P140" s="148">
        <v>46.292610000000003</v>
      </c>
      <c r="Q140" s="148">
        <v>47.60277</v>
      </c>
      <c r="R140" s="148">
        <v>102.83017094953169</v>
      </c>
    </row>
    <row r="141" spans="1:18" ht="15.75" hidden="1" thickBot="1" x14ac:dyDescent="0.3">
      <c r="A141" s="199" t="str">
        <f t="shared" si="3"/>
        <v>NW NATURALPERMITS AND FEES</v>
      </c>
      <c r="B141" s="144" t="s">
        <v>565</v>
      </c>
      <c r="C141" s="722" t="s">
        <v>151</v>
      </c>
      <c r="D141" s="591" t="s">
        <v>152</v>
      </c>
      <c r="E141" s="147">
        <v>-172.70989</v>
      </c>
      <c r="F141" s="147">
        <v>2.2181600000000001</v>
      </c>
      <c r="G141" s="147">
        <v>-174.92805000000001</v>
      </c>
      <c r="H141" s="147">
        <v>-7886.1781837198396</v>
      </c>
      <c r="I141" s="729"/>
      <c r="J141" s="147">
        <v>-172.70989</v>
      </c>
      <c r="K141" s="147">
        <v>0</v>
      </c>
      <c r="L141" s="147">
        <v>260.8168</v>
      </c>
      <c r="M141" s="147">
        <v>237.13310000000001</v>
      </c>
      <c r="N141" s="147">
        <v>23.683700000000002</v>
      </c>
      <c r="O141" s="147">
        <v>9.9875133416633943</v>
      </c>
      <c r="P141" s="147">
        <v>284.81605000000002</v>
      </c>
      <c r="Q141" s="147">
        <v>-23.99925</v>
      </c>
      <c r="R141" s="147">
        <v>-8.4262280865140848</v>
      </c>
    </row>
    <row r="142" spans="1:18" ht="15.75" hidden="1" thickBot="1" x14ac:dyDescent="0.3">
      <c r="A142" s="199" t="str">
        <f t="shared" si="3"/>
        <v>NW NATURALCELLULAR PHONES</v>
      </c>
      <c r="B142" s="144" t="s">
        <v>565</v>
      </c>
      <c r="C142" s="722" t="s">
        <v>481</v>
      </c>
      <c r="D142" s="591" t="s">
        <v>482</v>
      </c>
      <c r="E142" s="148">
        <v>72.390069999999994</v>
      </c>
      <c r="F142" s="148">
        <v>50.045409999999997</v>
      </c>
      <c r="G142" s="148">
        <v>22.344660000000001</v>
      </c>
      <c r="H142" s="148">
        <v>44.648769987097715</v>
      </c>
      <c r="I142" s="728"/>
      <c r="J142" s="148">
        <v>72.390069999999994</v>
      </c>
      <c r="K142" s="148">
        <v>0</v>
      </c>
      <c r="L142" s="148">
        <v>767.74496999999997</v>
      </c>
      <c r="M142" s="148">
        <v>600.54499999999996</v>
      </c>
      <c r="N142" s="148">
        <v>167.19997000000001</v>
      </c>
      <c r="O142" s="148">
        <v>27.841372420051787</v>
      </c>
      <c r="P142" s="148">
        <v>350.15007000000003</v>
      </c>
      <c r="Q142" s="148">
        <v>417.5949</v>
      </c>
      <c r="R142" s="148">
        <v>119.26169256513357</v>
      </c>
    </row>
    <row r="143" spans="1:18" ht="15.75" hidden="1" thickBot="1" x14ac:dyDescent="0.3">
      <c r="A143" s="199" t="str">
        <f t="shared" si="3"/>
        <v>NW NATURALDONATIONS</v>
      </c>
      <c r="B143" s="144" t="s">
        <v>565</v>
      </c>
      <c r="C143" s="722" t="s">
        <v>483</v>
      </c>
      <c r="D143" s="591" t="s">
        <v>484</v>
      </c>
      <c r="E143" s="147">
        <v>0.55000000000000004</v>
      </c>
      <c r="F143" s="729"/>
      <c r="G143" s="147">
        <v>0.55000000000000004</v>
      </c>
      <c r="H143" s="147">
        <v>0</v>
      </c>
      <c r="I143" s="729"/>
      <c r="J143" s="147">
        <v>0.55000000000000004</v>
      </c>
      <c r="K143" s="147">
        <v>0</v>
      </c>
      <c r="L143" s="147">
        <v>7.8482399999999997</v>
      </c>
      <c r="M143" s="147">
        <v>10.7</v>
      </c>
      <c r="N143" s="147">
        <v>-2.8517600000000001</v>
      </c>
      <c r="O143" s="147">
        <v>-26.651962616822431</v>
      </c>
      <c r="P143" s="147">
        <v>2.1</v>
      </c>
      <c r="Q143" s="147">
        <v>5.74824</v>
      </c>
      <c r="R143" s="147">
        <v>273.72571428571428</v>
      </c>
    </row>
    <row r="144" spans="1:18" ht="15.75" hidden="1" thickBot="1" x14ac:dyDescent="0.3">
      <c r="A144" s="199" t="str">
        <f t="shared" si="3"/>
        <v>NW NATURALUNLEADED FUEL</v>
      </c>
      <c r="B144" s="144" t="s">
        <v>565</v>
      </c>
      <c r="C144" s="722" t="s">
        <v>175</v>
      </c>
      <c r="D144" s="591" t="s">
        <v>176</v>
      </c>
      <c r="E144" s="148">
        <v>1.06393</v>
      </c>
      <c r="F144" s="148">
        <v>0</v>
      </c>
      <c r="G144" s="148">
        <v>1.06393</v>
      </c>
      <c r="H144" s="148">
        <v>0</v>
      </c>
      <c r="I144" s="728"/>
      <c r="J144" s="148">
        <v>1.06393</v>
      </c>
      <c r="K144" s="148">
        <v>0</v>
      </c>
      <c r="L144" s="148">
        <v>33.383110000000002</v>
      </c>
      <c r="M144" s="148">
        <v>0</v>
      </c>
      <c r="N144" s="148">
        <v>33.383110000000002</v>
      </c>
      <c r="O144" s="148">
        <v>0</v>
      </c>
      <c r="P144" s="148">
        <v>21.645150000000001</v>
      </c>
      <c r="Q144" s="148">
        <v>11.737959999999999</v>
      </c>
      <c r="R144" s="148">
        <v>54.229053621712026</v>
      </c>
    </row>
    <row r="145" spans="1:18" ht="15.75" hidden="1" thickBot="1" x14ac:dyDescent="0.3">
      <c r="A145" s="199" t="str">
        <f t="shared" si="3"/>
        <v>NW NATURALDIESEL FUEL</v>
      </c>
      <c r="B145" s="144" t="s">
        <v>565</v>
      </c>
      <c r="C145" s="722" t="s">
        <v>655</v>
      </c>
      <c r="D145" s="591" t="s">
        <v>656</v>
      </c>
      <c r="E145" s="729"/>
      <c r="F145" s="147">
        <v>0</v>
      </c>
      <c r="G145" s="147">
        <v>0</v>
      </c>
      <c r="H145" s="147">
        <v>0</v>
      </c>
      <c r="I145" s="729"/>
      <c r="J145" s="729"/>
      <c r="K145" s="729"/>
      <c r="L145" s="147">
        <v>0.78273000000000004</v>
      </c>
      <c r="M145" s="147">
        <v>0</v>
      </c>
      <c r="N145" s="147">
        <v>0.78273000000000004</v>
      </c>
      <c r="O145" s="147">
        <v>0</v>
      </c>
      <c r="P145" s="147">
        <v>0.91861000000000004</v>
      </c>
      <c r="Q145" s="147">
        <v>-0.13588</v>
      </c>
      <c r="R145" s="147">
        <v>-14.791913869868607</v>
      </c>
    </row>
    <row r="146" spans="1:18" ht="15.75" hidden="1" thickBot="1" x14ac:dyDescent="0.3">
      <c r="A146" s="199" t="str">
        <f t="shared" si="3"/>
        <v>NW NATURALCNG FUEL</v>
      </c>
      <c r="B146" s="144" t="s">
        <v>565</v>
      </c>
      <c r="C146" s="722" t="s">
        <v>657</v>
      </c>
      <c r="D146" s="591" t="s">
        <v>658</v>
      </c>
      <c r="E146" s="148">
        <v>3.2280000000000003E-2</v>
      </c>
      <c r="F146" s="728"/>
      <c r="G146" s="148">
        <v>3.2280000000000003E-2</v>
      </c>
      <c r="H146" s="148">
        <v>0</v>
      </c>
      <c r="I146" s="728"/>
      <c r="J146" s="148">
        <v>3.2280000000000003E-2</v>
      </c>
      <c r="K146" s="148">
        <v>0</v>
      </c>
      <c r="L146" s="148">
        <v>3.2280000000000003E-2</v>
      </c>
      <c r="M146" s="728"/>
      <c r="N146" s="148">
        <v>3.2280000000000003E-2</v>
      </c>
      <c r="O146" s="148">
        <v>0</v>
      </c>
      <c r="P146" s="728"/>
      <c r="Q146" s="148">
        <v>3.2280000000000003E-2</v>
      </c>
      <c r="R146" s="148">
        <v>0</v>
      </c>
    </row>
    <row r="147" spans="1:18" ht="15.75" hidden="1" thickBot="1" x14ac:dyDescent="0.3">
      <c r="A147" s="199" t="str">
        <f t="shared" si="3"/>
        <v>NW NATURALINVENTORY ADJUSTMENT</v>
      </c>
      <c r="B147" s="144" t="s">
        <v>565</v>
      </c>
      <c r="C147" s="722" t="s">
        <v>659</v>
      </c>
      <c r="D147" s="591" t="s">
        <v>660</v>
      </c>
      <c r="E147" s="147">
        <v>182.60186999999999</v>
      </c>
      <c r="F147" s="729"/>
      <c r="G147" s="147">
        <v>182.60186999999999</v>
      </c>
      <c r="H147" s="147">
        <v>0</v>
      </c>
      <c r="I147" s="729"/>
      <c r="J147" s="147">
        <v>182.60186999999999</v>
      </c>
      <c r="K147" s="147">
        <v>0</v>
      </c>
      <c r="L147" s="147">
        <v>182.60186999999999</v>
      </c>
      <c r="M147" s="729"/>
      <c r="N147" s="147">
        <v>182.60186999999999</v>
      </c>
      <c r="O147" s="147">
        <v>0</v>
      </c>
      <c r="P147" s="147">
        <v>4.88727</v>
      </c>
      <c r="Q147" s="147">
        <v>177.71459999999999</v>
      </c>
      <c r="R147" s="147">
        <v>3636.2754666715773</v>
      </c>
    </row>
    <row r="148" spans="1:18" ht="15.75" hidden="1" thickBot="1" x14ac:dyDescent="0.3">
      <c r="A148" s="199" t="str">
        <f t="shared" si="3"/>
        <v>NW NATURALPLANT TRANSFERS</v>
      </c>
      <c r="B148" s="144" t="s">
        <v>565</v>
      </c>
      <c r="C148" s="722" t="s">
        <v>661</v>
      </c>
      <c r="D148" s="591" t="s">
        <v>662</v>
      </c>
      <c r="E148" s="148">
        <v>6.0072599999999996</v>
      </c>
      <c r="F148" s="728"/>
      <c r="G148" s="148">
        <v>6.0072599999999996</v>
      </c>
      <c r="H148" s="148">
        <v>0</v>
      </c>
      <c r="I148" s="728"/>
      <c r="J148" s="148">
        <v>6.0072599999999996</v>
      </c>
      <c r="K148" s="148">
        <v>0</v>
      </c>
      <c r="L148" s="148">
        <v>550.33073000000002</v>
      </c>
      <c r="M148" s="728"/>
      <c r="N148" s="148">
        <v>550.33073000000002</v>
      </c>
      <c r="O148" s="148">
        <v>0</v>
      </c>
      <c r="P148" s="148">
        <v>-106.06323</v>
      </c>
      <c r="Q148" s="148">
        <v>656.39395999999999</v>
      </c>
      <c r="R148" s="148">
        <v>618.87042286002418</v>
      </c>
    </row>
    <row r="149" spans="1:18" ht="15.75" hidden="1" thickBot="1" x14ac:dyDescent="0.3">
      <c r="A149" s="199" t="str">
        <f t="shared" si="3"/>
        <v>NW NATURALDAMAGES</v>
      </c>
      <c r="B149" s="144" t="s">
        <v>565</v>
      </c>
      <c r="C149" s="722" t="s">
        <v>663</v>
      </c>
      <c r="D149" s="591" t="s">
        <v>664</v>
      </c>
      <c r="E149" s="147">
        <v>-34.99785</v>
      </c>
      <c r="F149" s="729"/>
      <c r="G149" s="147">
        <v>-34.99785</v>
      </c>
      <c r="H149" s="147">
        <v>0</v>
      </c>
      <c r="I149" s="729"/>
      <c r="J149" s="147">
        <v>-34.99785</v>
      </c>
      <c r="K149" s="147">
        <v>0</v>
      </c>
      <c r="L149" s="147">
        <v>109.52030000000001</v>
      </c>
      <c r="M149" s="729"/>
      <c r="N149" s="147">
        <v>109.52030000000001</v>
      </c>
      <c r="O149" s="147">
        <v>0</v>
      </c>
      <c r="P149" s="147">
        <v>145.28414000000001</v>
      </c>
      <c r="Q149" s="147">
        <v>-35.763840000000002</v>
      </c>
      <c r="R149" s="147">
        <v>-24.616479128416909</v>
      </c>
    </row>
    <row r="150" spans="1:18" ht="15.75" hidden="1" thickBot="1" x14ac:dyDescent="0.3">
      <c r="A150" s="199" t="str">
        <f t="shared" si="3"/>
        <v>NW NATURALREBATES</v>
      </c>
      <c r="B150" s="144" t="s">
        <v>565</v>
      </c>
      <c r="C150" s="722" t="s">
        <v>665</v>
      </c>
      <c r="D150" s="591" t="s">
        <v>666</v>
      </c>
      <c r="E150" s="148">
        <v>236.25873999999999</v>
      </c>
      <c r="F150" s="148">
        <v>152.08516</v>
      </c>
      <c r="G150" s="148">
        <v>84.173580000000001</v>
      </c>
      <c r="H150" s="148">
        <v>55.346346744153081</v>
      </c>
      <c r="I150" s="728"/>
      <c r="J150" s="148">
        <v>236.25873999999999</v>
      </c>
      <c r="K150" s="148">
        <v>0</v>
      </c>
      <c r="L150" s="148">
        <v>2992.1874499999999</v>
      </c>
      <c r="M150" s="148">
        <v>2725.0218100000002</v>
      </c>
      <c r="N150" s="148">
        <v>267.16564</v>
      </c>
      <c r="O150" s="148">
        <v>9.8041652004245794</v>
      </c>
      <c r="P150" s="148">
        <v>1453.4283399999999</v>
      </c>
      <c r="Q150" s="148">
        <v>1538.75911</v>
      </c>
      <c r="R150" s="148">
        <v>105.8709994604894</v>
      </c>
    </row>
    <row r="151" spans="1:18" ht="15.75" hidden="1" thickBot="1" x14ac:dyDescent="0.3">
      <c r="A151" s="199" t="str">
        <f t="shared" si="3"/>
        <v>NW NATURAL RESEARCH AND DEV</v>
      </c>
      <c r="B151" s="144" t="s">
        <v>565</v>
      </c>
      <c r="C151" s="722" t="s">
        <v>667</v>
      </c>
      <c r="D151" s="591" t="s">
        <v>668</v>
      </c>
      <c r="E151" s="147">
        <v>68.438460000000006</v>
      </c>
      <c r="F151" s="147">
        <v>10</v>
      </c>
      <c r="G151" s="147">
        <v>58.438459999999999</v>
      </c>
      <c r="H151" s="147">
        <v>584.38459999999998</v>
      </c>
      <c r="I151" s="729"/>
      <c r="J151" s="147">
        <v>68.438460000000006</v>
      </c>
      <c r="K151" s="147">
        <v>0</v>
      </c>
      <c r="L151" s="147">
        <v>169.81845999999999</v>
      </c>
      <c r="M151" s="147">
        <v>770</v>
      </c>
      <c r="N151" s="147">
        <v>-600.18154000000004</v>
      </c>
      <c r="O151" s="147">
        <v>-77.945654545454545</v>
      </c>
      <c r="P151" s="729"/>
      <c r="Q151" s="147">
        <v>169.81845999999999</v>
      </c>
      <c r="R151" s="147">
        <v>0</v>
      </c>
    </row>
    <row r="152" spans="1:18" ht="15.75" hidden="1" thickBot="1" x14ac:dyDescent="0.3">
      <c r="A152" s="199" t="str">
        <f t="shared" si="3"/>
        <v>NW NATURALDIRECTOR FEES</v>
      </c>
      <c r="B152" s="144" t="s">
        <v>565</v>
      </c>
      <c r="C152" s="722" t="s">
        <v>669</v>
      </c>
      <c r="D152" s="591" t="s">
        <v>670</v>
      </c>
      <c r="E152" s="148">
        <v>60.017000000000003</v>
      </c>
      <c r="F152" s="148">
        <v>78.166669999999996</v>
      </c>
      <c r="G152" s="148">
        <v>-18.14967</v>
      </c>
      <c r="H152" s="148">
        <v>-23.219193039693259</v>
      </c>
      <c r="I152" s="728"/>
      <c r="J152" s="148">
        <v>60.017000000000003</v>
      </c>
      <c r="K152" s="148">
        <v>0</v>
      </c>
      <c r="L152" s="148">
        <v>1714.04808</v>
      </c>
      <c r="M152" s="148">
        <v>1723.0000199999999</v>
      </c>
      <c r="N152" s="148">
        <v>-8.9519400000000005</v>
      </c>
      <c r="O152" s="148">
        <v>-0.51955542055072057</v>
      </c>
      <c r="P152" s="148">
        <v>791.44799999999998</v>
      </c>
      <c r="Q152" s="148">
        <v>922.60008000000005</v>
      </c>
      <c r="R152" s="148">
        <v>116.57115565394062</v>
      </c>
    </row>
    <row r="153" spans="1:18" ht="15.75" hidden="1" thickBot="1" x14ac:dyDescent="0.3">
      <c r="A153" s="199" t="str">
        <f t="shared" si="3"/>
        <v>NW NATURALCORPORATE IDENTITY</v>
      </c>
      <c r="B153" s="144" t="s">
        <v>565</v>
      </c>
      <c r="C153" s="722" t="s">
        <v>153</v>
      </c>
      <c r="D153" s="591" t="s">
        <v>154</v>
      </c>
      <c r="E153" s="147">
        <v>51.454479999999997</v>
      </c>
      <c r="F153" s="147">
        <v>25.4</v>
      </c>
      <c r="G153" s="147">
        <v>26.054480000000002</v>
      </c>
      <c r="H153" s="147">
        <v>102.57669291338583</v>
      </c>
      <c r="I153" s="729"/>
      <c r="J153" s="147">
        <v>51.454479999999997</v>
      </c>
      <c r="K153" s="147">
        <v>0</v>
      </c>
      <c r="L153" s="147">
        <v>405.55317000000002</v>
      </c>
      <c r="M153" s="147">
        <v>315.39999999999998</v>
      </c>
      <c r="N153" s="147">
        <v>90.153170000000003</v>
      </c>
      <c r="O153" s="147">
        <v>28.58375713379835</v>
      </c>
      <c r="P153" s="147">
        <v>189.77835999999999</v>
      </c>
      <c r="Q153" s="147">
        <v>215.77481</v>
      </c>
      <c r="R153" s="147">
        <v>113.69832155784253</v>
      </c>
    </row>
    <row r="154" spans="1:18" ht="15.75" hidden="1" thickBot="1" x14ac:dyDescent="0.3">
      <c r="A154" s="199" t="str">
        <f t="shared" si="3"/>
        <v>NW NATURALSMALL TOOLS</v>
      </c>
      <c r="B154" s="144" t="s">
        <v>565</v>
      </c>
      <c r="C154" s="722" t="s">
        <v>207</v>
      </c>
      <c r="D154" s="591" t="s">
        <v>208</v>
      </c>
      <c r="E154" s="148">
        <v>0.49629000000000001</v>
      </c>
      <c r="F154" s="148">
        <v>0.2</v>
      </c>
      <c r="G154" s="148">
        <v>0.29629</v>
      </c>
      <c r="H154" s="148">
        <v>148.14500000000001</v>
      </c>
      <c r="I154" s="728"/>
      <c r="J154" s="148">
        <v>0.49629000000000001</v>
      </c>
      <c r="K154" s="148">
        <v>0</v>
      </c>
      <c r="L154" s="148">
        <v>13.784520000000001</v>
      </c>
      <c r="M154" s="148">
        <v>2.4</v>
      </c>
      <c r="N154" s="148">
        <v>11.38452</v>
      </c>
      <c r="O154" s="148">
        <v>474.35500000000002</v>
      </c>
      <c r="P154" s="148">
        <v>7.29962</v>
      </c>
      <c r="Q154" s="148">
        <v>6.4848999999999997</v>
      </c>
      <c r="R154" s="148">
        <v>88.838871064521172</v>
      </c>
    </row>
    <row r="155" spans="1:18" ht="15.75" hidden="1" thickBot="1" x14ac:dyDescent="0.3">
      <c r="A155" s="199" t="str">
        <f t="shared" si="3"/>
        <v>NW NATURALADMINISTRATIVE EXPEN</v>
      </c>
      <c r="B155" s="144" t="s">
        <v>565</v>
      </c>
      <c r="C155" s="722" t="s">
        <v>671</v>
      </c>
      <c r="D155" s="591" t="s">
        <v>672</v>
      </c>
      <c r="E155" s="147">
        <v>-872.36248000000001</v>
      </c>
      <c r="F155" s="147">
        <v>-403.97665999999998</v>
      </c>
      <c r="G155" s="147">
        <v>-468.38582000000002</v>
      </c>
      <c r="H155" s="147">
        <v>-115.94378249476095</v>
      </c>
      <c r="I155" s="729"/>
      <c r="J155" s="147">
        <v>-872.36248000000001</v>
      </c>
      <c r="K155" s="147">
        <v>0</v>
      </c>
      <c r="L155" s="147">
        <v>-7443.4096399999999</v>
      </c>
      <c r="M155" s="147">
        <v>-5551.1655000000001</v>
      </c>
      <c r="N155" s="147">
        <v>-1892.24414</v>
      </c>
      <c r="O155" s="147">
        <v>-34.087330669568402</v>
      </c>
      <c r="P155" s="147">
        <v>-3464.7103699999998</v>
      </c>
      <c r="Q155" s="147">
        <v>-3978.6992700000001</v>
      </c>
      <c r="R155" s="147">
        <v>-114.83497450322233</v>
      </c>
    </row>
    <row r="156" spans="1:18" ht="15.75" hidden="1" thickBot="1" x14ac:dyDescent="0.3">
      <c r="A156" s="199" t="str">
        <f t="shared" si="3"/>
        <v>NW NATURALSHARED SERVICES COST</v>
      </c>
      <c r="B156" s="144" t="s">
        <v>565</v>
      </c>
      <c r="C156" s="722" t="s">
        <v>673</v>
      </c>
      <c r="D156" s="591" t="s">
        <v>674</v>
      </c>
      <c r="E156" s="148">
        <v>-90.973969999999994</v>
      </c>
      <c r="F156" s="148">
        <v>-15.33337</v>
      </c>
      <c r="G156" s="148">
        <v>-75.640600000000006</v>
      </c>
      <c r="H156" s="148">
        <v>-493.3070812221971</v>
      </c>
      <c r="I156" s="728"/>
      <c r="J156" s="148">
        <v>-90.973969999999994</v>
      </c>
      <c r="K156" s="148">
        <v>0</v>
      </c>
      <c r="L156" s="148">
        <v>-136.70468</v>
      </c>
      <c r="M156" s="148">
        <v>-184</v>
      </c>
      <c r="N156" s="148">
        <v>47.295319999999997</v>
      </c>
      <c r="O156" s="148">
        <v>25.703978260869565</v>
      </c>
      <c r="P156" s="148">
        <v>-28.94961</v>
      </c>
      <c r="Q156" s="148">
        <v>-107.75507</v>
      </c>
      <c r="R156" s="148">
        <v>-372.21596422197052</v>
      </c>
    </row>
    <row r="157" spans="1:18" ht="15.75" hidden="1" thickBot="1" x14ac:dyDescent="0.3">
      <c r="A157" s="199" t="str">
        <f t="shared" si="3"/>
        <v>NW NATURAL INVENTORY DIFF</v>
      </c>
      <c r="B157" s="144" t="s">
        <v>565</v>
      </c>
      <c r="C157" s="722" t="s">
        <v>675</v>
      </c>
      <c r="D157" s="591" t="s">
        <v>676</v>
      </c>
      <c r="E157" s="147">
        <v>-9.3000000000000005E-4</v>
      </c>
      <c r="F157" s="147">
        <v>1.5</v>
      </c>
      <c r="G157" s="147">
        <v>-1.5009300000000001</v>
      </c>
      <c r="H157" s="147">
        <v>-100.062</v>
      </c>
      <c r="I157" s="729"/>
      <c r="J157" s="147">
        <v>-9.3000000000000005E-4</v>
      </c>
      <c r="K157" s="147">
        <v>0</v>
      </c>
      <c r="L157" s="147">
        <v>47.567459999999997</v>
      </c>
      <c r="M157" s="147">
        <v>18</v>
      </c>
      <c r="N157" s="147">
        <v>29.567460000000001</v>
      </c>
      <c r="O157" s="147">
        <v>164.26366666666667</v>
      </c>
      <c r="P157" s="147">
        <v>-5.1173500000000001</v>
      </c>
      <c r="Q157" s="147">
        <v>52.684809999999999</v>
      </c>
      <c r="R157" s="147">
        <v>1029.533059102856</v>
      </c>
    </row>
    <row r="158" spans="1:18" ht="15.75" hidden="1" thickBot="1" x14ac:dyDescent="0.3">
      <c r="A158" s="199" t="str">
        <f t="shared" si="3"/>
        <v>NW NATURALMEALS AND ENTERTAIN</v>
      </c>
      <c r="B158" s="144" t="s">
        <v>565</v>
      </c>
      <c r="C158" s="722" t="s">
        <v>75</v>
      </c>
      <c r="D158" s="591" t="s">
        <v>76</v>
      </c>
      <c r="E158" s="148">
        <v>74.048370000000006</v>
      </c>
      <c r="F158" s="148">
        <v>65.584950000000006</v>
      </c>
      <c r="G158" s="148">
        <v>8.4634199999999993</v>
      </c>
      <c r="H158" s="148">
        <v>12.90451544142368</v>
      </c>
      <c r="I158" s="728"/>
      <c r="J158" s="148">
        <v>74.048370000000006</v>
      </c>
      <c r="K158" s="148">
        <v>0</v>
      </c>
      <c r="L158" s="148">
        <v>595.43632000000002</v>
      </c>
      <c r="M158" s="148">
        <v>610.47613000000001</v>
      </c>
      <c r="N158" s="148">
        <v>-15.039809999999999</v>
      </c>
      <c r="O158" s="148">
        <v>-2.4636196668328374</v>
      </c>
      <c r="P158" s="148">
        <v>253.87369000000001</v>
      </c>
      <c r="Q158" s="148">
        <v>341.56263000000001</v>
      </c>
      <c r="R158" s="148">
        <v>134.54038108478275</v>
      </c>
    </row>
    <row r="159" spans="1:18" ht="15.75" hidden="1" thickBot="1" x14ac:dyDescent="0.3">
      <c r="A159" s="199" t="str">
        <f t="shared" si="3"/>
        <v>NW NATURALTRAVEL IN TERRITORY</v>
      </c>
      <c r="B159" s="144" t="s">
        <v>565</v>
      </c>
      <c r="C159" s="722" t="s">
        <v>121</v>
      </c>
      <c r="D159" s="591" t="s">
        <v>122</v>
      </c>
      <c r="E159" s="147">
        <v>5.6099300000000003</v>
      </c>
      <c r="F159" s="147">
        <v>8.6372099999999996</v>
      </c>
      <c r="G159" s="147">
        <v>-3.0272800000000002</v>
      </c>
      <c r="H159" s="147">
        <v>-35.049280959939608</v>
      </c>
      <c r="I159" s="729"/>
      <c r="J159" s="147">
        <v>5.6099300000000003</v>
      </c>
      <c r="K159" s="147">
        <v>0</v>
      </c>
      <c r="L159" s="147">
        <v>138.47396000000001</v>
      </c>
      <c r="M159" s="147">
        <v>121.22279</v>
      </c>
      <c r="N159" s="147">
        <v>17.251169999999998</v>
      </c>
      <c r="O159" s="147">
        <v>14.230962676242644</v>
      </c>
      <c r="P159" s="147">
        <v>79.739040000000003</v>
      </c>
      <c r="Q159" s="147">
        <v>58.734920000000002</v>
      </c>
      <c r="R159" s="147">
        <v>73.658925414702765</v>
      </c>
    </row>
    <row r="160" spans="1:18" ht="15.75" hidden="1" thickBot="1" x14ac:dyDescent="0.3">
      <c r="A160" s="199" t="str">
        <f t="shared" si="3"/>
        <v>NW NATURALCONFERENCE TRAVEL</v>
      </c>
      <c r="B160" s="144" t="s">
        <v>565</v>
      </c>
      <c r="C160" s="722" t="s">
        <v>77</v>
      </c>
      <c r="D160" s="591" t="s">
        <v>78</v>
      </c>
      <c r="E160" s="148">
        <v>29.946400000000001</v>
      </c>
      <c r="F160" s="148">
        <v>72.181849999999997</v>
      </c>
      <c r="G160" s="148">
        <v>-42.23545</v>
      </c>
      <c r="H160" s="148">
        <v>-58.512562368517848</v>
      </c>
      <c r="I160" s="728"/>
      <c r="J160" s="148">
        <v>29.946400000000001</v>
      </c>
      <c r="K160" s="148">
        <v>0</v>
      </c>
      <c r="L160" s="148">
        <v>634.62662</v>
      </c>
      <c r="M160" s="148">
        <v>916.78279999999995</v>
      </c>
      <c r="N160" s="148">
        <v>-282.15618000000001</v>
      </c>
      <c r="O160" s="148">
        <v>-30.776775044208943</v>
      </c>
      <c r="P160" s="148">
        <v>357.07364000000001</v>
      </c>
      <c r="Q160" s="148">
        <v>277.55297999999999</v>
      </c>
      <c r="R160" s="148">
        <v>77.729899076280176</v>
      </c>
    </row>
    <row r="161" spans="1:18" ht="15.75" hidden="1" thickBot="1" x14ac:dyDescent="0.3">
      <c r="A161" s="199" t="str">
        <f t="shared" si="3"/>
        <v>NW NATURALBUSINESS TRAVEL</v>
      </c>
      <c r="B161" s="144" t="s">
        <v>565</v>
      </c>
      <c r="C161" s="722" t="s">
        <v>79</v>
      </c>
      <c r="D161" s="592" t="s">
        <v>80</v>
      </c>
      <c r="E161" s="147">
        <v>39.761369999999999</v>
      </c>
      <c r="F161" s="147">
        <v>44.136339999999997</v>
      </c>
      <c r="G161" s="147">
        <v>-4.3749700000000002</v>
      </c>
      <c r="H161" s="147">
        <v>-9.9123987172475108</v>
      </c>
      <c r="I161" s="729"/>
      <c r="J161" s="147">
        <v>39.761369999999999</v>
      </c>
      <c r="K161" s="147">
        <v>0</v>
      </c>
      <c r="L161" s="147">
        <v>328.20557000000002</v>
      </c>
      <c r="M161" s="147">
        <v>366.40848999999997</v>
      </c>
      <c r="N161" s="147">
        <v>-38.202919999999999</v>
      </c>
      <c r="O161" s="147">
        <v>-10.426319542977838</v>
      </c>
      <c r="P161" s="147">
        <v>145.26952</v>
      </c>
      <c r="Q161" s="147">
        <v>182.93604999999999</v>
      </c>
      <c r="R161" s="147">
        <v>125.92872200582751</v>
      </c>
    </row>
    <row r="162" spans="1:18" ht="15.75" hidden="1" thickBot="1" x14ac:dyDescent="0.3">
      <c r="A162" s="199" t="str">
        <f t="shared" si="3"/>
        <v>NW NATURALEMPLOYEE AWARDS</v>
      </c>
      <c r="B162" s="144" t="s">
        <v>565</v>
      </c>
      <c r="C162" s="722" t="s">
        <v>81</v>
      </c>
      <c r="D162" s="593" t="s">
        <v>82</v>
      </c>
      <c r="E162" s="148">
        <v>105.72359</v>
      </c>
      <c r="F162" s="148">
        <v>82.330740000000006</v>
      </c>
      <c r="G162" s="148">
        <v>23.392849999999999</v>
      </c>
      <c r="H162" s="148">
        <v>28.413263381332417</v>
      </c>
      <c r="I162" s="728"/>
      <c r="J162" s="148">
        <v>105.72359</v>
      </c>
      <c r="K162" s="148">
        <v>0</v>
      </c>
      <c r="L162" s="148">
        <v>457.49941000000001</v>
      </c>
      <c r="M162" s="148">
        <v>463.73531000000003</v>
      </c>
      <c r="N162" s="148">
        <v>-6.2359</v>
      </c>
      <c r="O162" s="148">
        <v>-1.3447110594187879</v>
      </c>
      <c r="P162" s="148">
        <v>223.96034</v>
      </c>
      <c r="Q162" s="148">
        <v>233.53907000000001</v>
      </c>
      <c r="R162" s="148">
        <v>104.2769760038764</v>
      </c>
    </row>
    <row r="163" spans="1:18" ht="15.75" hidden="1" thickBot="1" x14ac:dyDescent="0.3">
      <c r="A163" s="199" t="str">
        <f t="shared" ref="A163:A226" si="4">B163&amp;C163</f>
        <v>NW NATURALEMPLOYEE AWRDS MLS &amp;</v>
      </c>
      <c r="B163" s="144" t="s">
        <v>565</v>
      </c>
      <c r="C163" s="722" t="s">
        <v>123</v>
      </c>
      <c r="D163" s="591" t="s">
        <v>124</v>
      </c>
      <c r="E163" s="147">
        <v>31.439409999999999</v>
      </c>
      <c r="F163" s="147">
        <v>12.873710000000001</v>
      </c>
      <c r="G163" s="147">
        <v>18.5657</v>
      </c>
      <c r="H163" s="147">
        <v>144.21406105932166</v>
      </c>
      <c r="I163" s="729"/>
      <c r="J163" s="147">
        <v>31.439409999999999</v>
      </c>
      <c r="K163" s="147">
        <v>0</v>
      </c>
      <c r="L163" s="147">
        <v>110.12804</v>
      </c>
      <c r="M163" s="147">
        <v>79.64264</v>
      </c>
      <c r="N163" s="147">
        <v>30.485399999999998</v>
      </c>
      <c r="O163" s="147">
        <v>38.277736649613828</v>
      </c>
      <c r="P163" s="147">
        <v>28.840949999999999</v>
      </c>
      <c r="Q163" s="147">
        <v>81.287090000000006</v>
      </c>
      <c r="R163" s="147">
        <v>281.84609036803573</v>
      </c>
    </row>
    <row r="164" spans="1:18" ht="15.75" hidden="1" thickBot="1" x14ac:dyDescent="0.3">
      <c r="A164" s="199" t="str">
        <f t="shared" si="4"/>
        <v>NW NATURALNON EMPLOYEE GIFTS</v>
      </c>
      <c r="B164" s="144" t="s">
        <v>565</v>
      </c>
      <c r="C164" s="722" t="s">
        <v>125</v>
      </c>
      <c r="D164" s="591" t="s">
        <v>126</v>
      </c>
      <c r="E164" s="148">
        <v>1.3314699999999999</v>
      </c>
      <c r="F164" s="148">
        <v>1.8109999999999999</v>
      </c>
      <c r="G164" s="148">
        <v>-0.47953000000000001</v>
      </c>
      <c r="H164" s="148">
        <v>-26.478741027056873</v>
      </c>
      <c r="I164" s="728"/>
      <c r="J164" s="148">
        <v>1.3314699999999999</v>
      </c>
      <c r="K164" s="148">
        <v>0</v>
      </c>
      <c r="L164" s="148">
        <v>5.8715999999999999</v>
      </c>
      <c r="M164" s="148">
        <v>6.1220999999999997</v>
      </c>
      <c r="N164" s="148">
        <v>-0.2505</v>
      </c>
      <c r="O164" s="148">
        <v>-4.0917332287940411</v>
      </c>
      <c r="P164" s="148">
        <v>3.13605</v>
      </c>
      <c r="Q164" s="148">
        <v>2.7355499999999999</v>
      </c>
      <c r="R164" s="148">
        <v>87.229157698378529</v>
      </c>
    </row>
    <row r="165" spans="1:18" ht="15.75" hidden="1" thickBot="1" x14ac:dyDescent="0.3">
      <c r="A165" s="199" t="str">
        <f t="shared" si="4"/>
        <v>NW NATURALBUILDER SIGNS</v>
      </c>
      <c r="B165" s="144" t="s">
        <v>565</v>
      </c>
      <c r="C165" s="722" t="s">
        <v>677</v>
      </c>
      <c r="D165" s="591" t="s">
        <v>678</v>
      </c>
      <c r="E165" s="147">
        <v>0.375</v>
      </c>
      <c r="F165" s="147">
        <v>0.58699999999999997</v>
      </c>
      <c r="G165" s="147">
        <v>-0.21199999999999999</v>
      </c>
      <c r="H165" s="147">
        <v>-36.115843270868822</v>
      </c>
      <c r="I165" s="729"/>
      <c r="J165" s="147">
        <v>0.375</v>
      </c>
      <c r="K165" s="147">
        <v>0</v>
      </c>
      <c r="L165" s="147">
        <v>2.1749999999999998</v>
      </c>
      <c r="M165" s="147">
        <v>7</v>
      </c>
      <c r="N165" s="147">
        <v>-4.8250000000000002</v>
      </c>
      <c r="O165" s="147">
        <v>-68.928571428571431</v>
      </c>
      <c r="P165" s="729"/>
      <c r="Q165" s="147">
        <v>2.1749999999999998</v>
      </c>
      <c r="R165" s="147">
        <v>0</v>
      </c>
    </row>
    <row r="166" spans="1:18" ht="15.75" hidden="1" thickBot="1" x14ac:dyDescent="0.3">
      <c r="A166" s="199" t="str">
        <f t="shared" si="4"/>
        <v>NW NATURALCLAIMS &amp; ACCRUALS</v>
      </c>
      <c r="B166" s="144" t="s">
        <v>565</v>
      </c>
      <c r="C166" s="722" t="s">
        <v>679</v>
      </c>
      <c r="D166" s="591" t="s">
        <v>680</v>
      </c>
      <c r="E166" s="148">
        <v>97.31053</v>
      </c>
      <c r="F166" s="148">
        <v>12.625</v>
      </c>
      <c r="G166" s="148">
        <v>84.68553</v>
      </c>
      <c r="H166" s="148">
        <v>670.77647524752479</v>
      </c>
      <c r="I166" s="728"/>
      <c r="J166" s="148">
        <v>97.31053</v>
      </c>
      <c r="K166" s="148">
        <v>0</v>
      </c>
      <c r="L166" s="148">
        <v>292.01812000000001</v>
      </c>
      <c r="M166" s="148">
        <v>151.5</v>
      </c>
      <c r="N166" s="148">
        <v>140.51812000000001</v>
      </c>
      <c r="O166" s="148">
        <v>92.751234323432342</v>
      </c>
      <c r="P166" s="148">
        <v>142.22659999999999</v>
      </c>
      <c r="Q166" s="148">
        <v>149.79151999999999</v>
      </c>
      <c r="R166" s="148">
        <v>105.31892065197368</v>
      </c>
    </row>
    <row r="167" spans="1:18" ht="15.75" hidden="1" thickBot="1" x14ac:dyDescent="0.3">
      <c r="A167" s="199" t="str">
        <f t="shared" si="4"/>
        <v>NW NATURALAFUDC DEBT</v>
      </c>
      <c r="B167" s="144" t="s">
        <v>565</v>
      </c>
      <c r="C167" s="722" t="s">
        <v>681</v>
      </c>
      <c r="D167" s="591" t="s">
        <v>682</v>
      </c>
      <c r="E167" s="147">
        <v>0.41971999999999998</v>
      </c>
      <c r="F167" s="729"/>
      <c r="G167" s="147">
        <v>0.41971999999999998</v>
      </c>
      <c r="H167" s="147">
        <v>0</v>
      </c>
      <c r="I167" s="729"/>
      <c r="J167" s="147">
        <v>0.41971999999999998</v>
      </c>
      <c r="K167" s="147">
        <v>0</v>
      </c>
      <c r="L167" s="147">
        <v>1.0495300000000001</v>
      </c>
      <c r="M167" s="729"/>
      <c r="N167" s="147">
        <v>1.0495300000000001</v>
      </c>
      <c r="O167" s="147">
        <v>0</v>
      </c>
      <c r="P167" s="729"/>
      <c r="Q167" s="147">
        <v>1.0495300000000001</v>
      </c>
      <c r="R167" s="147">
        <v>0</v>
      </c>
    </row>
    <row r="168" spans="1:18" ht="15.75" hidden="1" thickBot="1" x14ac:dyDescent="0.3">
      <c r="A168" s="199" t="str">
        <f t="shared" si="4"/>
        <v>NW NATURALAFUDC EQUITY</v>
      </c>
      <c r="B168" s="144" t="s">
        <v>565</v>
      </c>
      <c r="C168" s="722" t="s">
        <v>683</v>
      </c>
      <c r="D168" s="591" t="s">
        <v>684</v>
      </c>
      <c r="E168" s="148">
        <v>0.37440000000000001</v>
      </c>
      <c r="F168" s="728"/>
      <c r="G168" s="148">
        <v>0.37440000000000001</v>
      </c>
      <c r="H168" s="148">
        <v>0</v>
      </c>
      <c r="I168" s="728"/>
      <c r="J168" s="148">
        <v>0.37440000000000001</v>
      </c>
      <c r="K168" s="148">
        <v>0</v>
      </c>
      <c r="L168" s="148">
        <v>0.92517000000000005</v>
      </c>
      <c r="M168" s="728"/>
      <c r="N168" s="148">
        <v>0.92517000000000005</v>
      </c>
      <c r="O168" s="148">
        <v>0</v>
      </c>
      <c r="P168" s="728"/>
      <c r="Q168" s="148">
        <v>0.92517000000000005</v>
      </c>
      <c r="R168" s="148">
        <v>0</v>
      </c>
    </row>
    <row r="169" spans="1:18" ht="15.75" hidden="1" thickBot="1" x14ac:dyDescent="0.3">
      <c r="A169" s="199" t="str">
        <f t="shared" si="4"/>
        <v>NW NATURALCOMMODITY CHARGES</v>
      </c>
      <c r="B169" s="144" t="s">
        <v>565</v>
      </c>
      <c r="C169" s="722" t="s">
        <v>685</v>
      </c>
      <c r="D169" s="591" t="s">
        <v>686</v>
      </c>
      <c r="E169" s="147">
        <v>6.8509799999999998</v>
      </c>
      <c r="F169" s="729"/>
      <c r="G169" s="147">
        <v>6.8509799999999998</v>
      </c>
      <c r="H169" s="147">
        <v>0</v>
      </c>
      <c r="I169" s="729"/>
      <c r="J169" s="147">
        <v>6.8509799999999998</v>
      </c>
      <c r="K169" s="147">
        <v>0</v>
      </c>
      <c r="L169" s="147">
        <v>3.7140300000000002</v>
      </c>
      <c r="M169" s="729"/>
      <c r="N169" s="147">
        <v>3.7140300000000002</v>
      </c>
      <c r="O169" s="147">
        <v>0</v>
      </c>
      <c r="P169" s="147">
        <v>-2.2319499999999999</v>
      </c>
      <c r="Q169" s="147">
        <v>5.9459799999999996</v>
      </c>
      <c r="R169" s="147">
        <v>266.40292121239276</v>
      </c>
    </row>
    <row r="170" spans="1:18" ht="15.75" hidden="1" thickBot="1" x14ac:dyDescent="0.3">
      <c r="A170" s="199" t="str">
        <f t="shared" si="4"/>
        <v>NW NATURALLNG</v>
      </c>
      <c r="B170" s="144" t="s">
        <v>565</v>
      </c>
      <c r="C170" s="722" t="s">
        <v>687</v>
      </c>
      <c r="D170" s="591" t="s">
        <v>688</v>
      </c>
      <c r="E170" s="148">
        <v>7.6091199999999999</v>
      </c>
      <c r="F170" s="728"/>
      <c r="G170" s="148">
        <v>7.6091199999999999</v>
      </c>
      <c r="H170" s="148">
        <v>0</v>
      </c>
      <c r="I170" s="728"/>
      <c r="J170" s="148">
        <v>7.6091199999999999</v>
      </c>
      <c r="K170" s="148">
        <v>0</v>
      </c>
      <c r="L170" s="148">
        <v>-60.251989999999999</v>
      </c>
      <c r="M170" s="728"/>
      <c r="N170" s="148">
        <v>-60.251989999999999</v>
      </c>
      <c r="O170" s="148">
        <v>0</v>
      </c>
      <c r="P170" s="148">
        <v>-42.937730000000002</v>
      </c>
      <c r="Q170" s="148">
        <v>-17.314260000000001</v>
      </c>
      <c r="R170" s="148">
        <v>-40.324115876642757</v>
      </c>
    </row>
    <row r="171" spans="1:18" ht="15.75" hidden="1" thickBot="1" x14ac:dyDescent="0.3">
      <c r="A171" s="199" t="str">
        <f t="shared" si="4"/>
        <v>NW NATURALUNDERGROUND STORAGE</v>
      </c>
      <c r="B171" s="144" t="s">
        <v>565</v>
      </c>
      <c r="C171" s="722" t="s">
        <v>689</v>
      </c>
      <c r="D171" s="591" t="s">
        <v>690</v>
      </c>
      <c r="E171" s="729"/>
      <c r="F171" s="729"/>
      <c r="G171" s="729"/>
      <c r="H171" s="729"/>
      <c r="I171" s="729"/>
      <c r="J171" s="729"/>
      <c r="K171" s="729"/>
      <c r="L171" s="147">
        <v>0.44951999999999998</v>
      </c>
      <c r="M171" s="729"/>
      <c r="N171" s="147">
        <v>0.44951999999999998</v>
      </c>
      <c r="O171" s="147">
        <v>0</v>
      </c>
      <c r="P171" s="147">
        <v>0.44951999999999998</v>
      </c>
      <c r="Q171" s="147">
        <v>0</v>
      </c>
      <c r="R171" s="147">
        <v>0</v>
      </c>
    </row>
    <row r="172" spans="1:18" ht="15.75" hidden="1" thickBot="1" x14ac:dyDescent="0.3">
      <c r="A172" s="199" t="str">
        <f t="shared" si="4"/>
        <v>NW NATURALDMG Write-Offs</v>
      </c>
      <c r="B172" s="144" t="s">
        <v>565</v>
      </c>
      <c r="C172" s="722" t="s">
        <v>691</v>
      </c>
      <c r="D172" s="591" t="s">
        <v>692</v>
      </c>
      <c r="E172" s="148">
        <v>5.0939100000000002</v>
      </c>
      <c r="F172" s="148">
        <v>1.6</v>
      </c>
      <c r="G172" s="148">
        <v>3.4939100000000001</v>
      </c>
      <c r="H172" s="148">
        <v>218.36937499999999</v>
      </c>
      <c r="I172" s="728"/>
      <c r="J172" s="148">
        <v>5.0939100000000002</v>
      </c>
      <c r="K172" s="148">
        <v>0</v>
      </c>
      <c r="L172" s="148">
        <v>-33.261369999999999</v>
      </c>
      <c r="M172" s="148">
        <v>19</v>
      </c>
      <c r="N172" s="148">
        <v>-52.261369999999999</v>
      </c>
      <c r="O172" s="148">
        <v>-275.05984210526316</v>
      </c>
      <c r="P172" s="148">
        <v>-34.284480000000002</v>
      </c>
      <c r="Q172" s="148">
        <v>1.02311</v>
      </c>
      <c r="R172" s="148">
        <v>2.9841782637508283</v>
      </c>
    </row>
    <row r="173" spans="1:18" ht="15.75" hidden="1" thickBot="1" x14ac:dyDescent="0.3">
      <c r="A173" s="199" t="str">
        <f t="shared" si="4"/>
        <v>NW NATURALORDERS NOT SOLD W/O</v>
      </c>
      <c r="B173" s="144" t="s">
        <v>565</v>
      </c>
      <c r="C173" s="722" t="s">
        <v>693</v>
      </c>
      <c r="D173" s="591" t="s">
        <v>694</v>
      </c>
      <c r="E173" s="147">
        <v>32.944899999999997</v>
      </c>
      <c r="F173" s="147">
        <v>10.91667</v>
      </c>
      <c r="G173" s="147">
        <v>22.028230000000001</v>
      </c>
      <c r="H173" s="147">
        <v>201.78525136328201</v>
      </c>
      <c r="I173" s="729"/>
      <c r="J173" s="147">
        <v>32.944899999999997</v>
      </c>
      <c r="K173" s="147">
        <v>0</v>
      </c>
      <c r="L173" s="147">
        <v>336.70578999999998</v>
      </c>
      <c r="M173" s="147">
        <v>131</v>
      </c>
      <c r="N173" s="147">
        <v>205.70579000000001</v>
      </c>
      <c r="O173" s="147">
        <v>157.02732061068701</v>
      </c>
      <c r="P173" s="147">
        <v>154.10181</v>
      </c>
      <c r="Q173" s="147">
        <v>182.60398000000001</v>
      </c>
      <c r="R173" s="147">
        <v>118.49567503457617</v>
      </c>
    </row>
    <row r="174" spans="1:18" ht="15.75" hidden="1" thickBot="1" x14ac:dyDescent="0.3">
      <c r="A174" s="199" t="str">
        <f t="shared" si="4"/>
        <v>NW NATURALP CARD SUSPENSE</v>
      </c>
      <c r="B174" s="144" t="s">
        <v>565</v>
      </c>
      <c r="C174" s="722" t="s">
        <v>695</v>
      </c>
      <c r="D174" s="592" t="s">
        <v>696</v>
      </c>
      <c r="E174" s="728"/>
      <c r="F174" s="728"/>
      <c r="G174" s="728"/>
      <c r="H174" s="728"/>
      <c r="I174" s="728"/>
      <c r="J174" s="728"/>
      <c r="K174" s="728"/>
      <c r="L174" s="148">
        <v>0</v>
      </c>
      <c r="M174" s="728"/>
      <c r="N174" s="148">
        <v>0</v>
      </c>
      <c r="O174" s="148">
        <v>0</v>
      </c>
      <c r="P174" s="148">
        <v>-1.6979999999999999E-2</v>
      </c>
      <c r="Q174" s="148">
        <v>1.6979999999999999E-2</v>
      </c>
      <c r="R174" s="148">
        <v>100</v>
      </c>
    </row>
    <row r="175" spans="1:18" ht="15.75" hidden="1" thickBot="1" x14ac:dyDescent="0.3">
      <c r="A175" s="199" t="str">
        <f t="shared" si="4"/>
        <v>NW NATURALNWN/581500</v>
      </c>
      <c r="B175" s="144" t="s">
        <v>565</v>
      </c>
      <c r="C175" s="722" t="s">
        <v>209</v>
      </c>
      <c r="D175" s="591" t="s">
        <v>210</v>
      </c>
      <c r="E175" s="147">
        <v>1.94259</v>
      </c>
      <c r="F175" s="729"/>
      <c r="G175" s="147">
        <v>1.94259</v>
      </c>
      <c r="H175" s="147">
        <v>0</v>
      </c>
      <c r="I175" s="729"/>
      <c r="J175" s="147">
        <v>1.94259</v>
      </c>
      <c r="K175" s="147">
        <v>0</v>
      </c>
      <c r="L175" s="147">
        <v>26.25309</v>
      </c>
      <c r="M175" s="729"/>
      <c r="N175" s="147">
        <v>26.25309</v>
      </c>
      <c r="O175" s="147">
        <v>0</v>
      </c>
      <c r="P175" s="147">
        <v>15.512969999999999</v>
      </c>
      <c r="Q175" s="147">
        <v>10.740119999999999</v>
      </c>
      <c r="R175" s="147">
        <v>69.233164249012276</v>
      </c>
    </row>
    <row r="176" spans="1:18" ht="15.75" hidden="1" thickBot="1" x14ac:dyDescent="0.3">
      <c r="A176" s="199" t="str">
        <f t="shared" si="4"/>
        <v>NW NATURALNWN/585800</v>
      </c>
      <c r="B176" s="144" t="s">
        <v>565</v>
      </c>
      <c r="C176" s="722" t="s">
        <v>211</v>
      </c>
      <c r="D176" s="591" t="s">
        <v>212</v>
      </c>
      <c r="E176" s="148">
        <v>1.1700900000000001</v>
      </c>
      <c r="F176" s="728"/>
      <c r="G176" s="148">
        <v>1.1700900000000001</v>
      </c>
      <c r="H176" s="148">
        <v>0</v>
      </c>
      <c r="I176" s="728"/>
      <c r="J176" s="148">
        <v>1.1700900000000001</v>
      </c>
      <c r="K176" s="148">
        <v>0</v>
      </c>
      <c r="L176" s="148">
        <v>24.353020000000001</v>
      </c>
      <c r="M176" s="728"/>
      <c r="N176" s="148">
        <v>24.353020000000001</v>
      </c>
      <c r="O176" s="148">
        <v>0</v>
      </c>
      <c r="P176" s="148">
        <v>11.469279999999999</v>
      </c>
      <c r="Q176" s="148">
        <v>12.88374</v>
      </c>
      <c r="R176" s="148">
        <v>112.33259629200786</v>
      </c>
    </row>
    <row r="177" spans="1:18" ht="15.75" hidden="1" thickBot="1" x14ac:dyDescent="0.3">
      <c r="A177" s="199" t="str">
        <f t="shared" si="4"/>
        <v>NW NATURALNWN/586100</v>
      </c>
      <c r="B177" s="144" t="s">
        <v>565</v>
      </c>
      <c r="C177" s="722" t="s">
        <v>697</v>
      </c>
      <c r="D177" s="591" t="s">
        <v>698</v>
      </c>
      <c r="E177" s="729"/>
      <c r="F177" s="729"/>
      <c r="G177" s="729"/>
      <c r="H177" s="729"/>
      <c r="I177" s="729"/>
      <c r="J177" s="729"/>
      <c r="K177" s="729"/>
      <c r="L177" s="147">
        <v>1.8635999999999999</v>
      </c>
      <c r="M177" s="729"/>
      <c r="N177" s="147">
        <v>1.8635999999999999</v>
      </c>
      <c r="O177" s="147">
        <v>0</v>
      </c>
      <c r="P177" s="147">
        <v>1.44472</v>
      </c>
      <c r="Q177" s="147">
        <v>0.41887999999999997</v>
      </c>
      <c r="R177" s="147">
        <v>28.993853480259151</v>
      </c>
    </row>
    <row r="178" spans="1:18" ht="15.75" hidden="1" thickBot="1" x14ac:dyDescent="0.3">
      <c r="A178" s="199" t="str">
        <f t="shared" si="4"/>
        <v>NW NATURALMILEAGE REIMB ZTFSO</v>
      </c>
      <c r="B178" s="144" t="s">
        <v>565</v>
      </c>
      <c r="C178" s="722" t="s">
        <v>213</v>
      </c>
      <c r="D178" s="591" t="s">
        <v>214</v>
      </c>
      <c r="E178" s="148">
        <v>-7.5321800000000003</v>
      </c>
      <c r="F178" s="728"/>
      <c r="G178" s="148">
        <v>-7.5321800000000003</v>
      </c>
      <c r="H178" s="148">
        <v>0</v>
      </c>
      <c r="I178" s="728"/>
      <c r="J178" s="148">
        <v>-7.5321800000000003</v>
      </c>
      <c r="K178" s="148">
        <v>0</v>
      </c>
      <c r="L178" s="148">
        <v>-72.238010000000003</v>
      </c>
      <c r="M178" s="728"/>
      <c r="N178" s="148">
        <v>-72.238010000000003</v>
      </c>
      <c r="O178" s="148">
        <v>0</v>
      </c>
      <c r="P178" s="148">
        <v>-37.420920000000002</v>
      </c>
      <c r="Q178" s="148">
        <v>-34.81709</v>
      </c>
      <c r="R178" s="148">
        <v>-93.041779838657092</v>
      </c>
    </row>
    <row r="179" spans="1:18" ht="15.75" hidden="1" thickBot="1" x14ac:dyDescent="0.3">
      <c r="A179" s="199" t="str">
        <f t="shared" si="4"/>
        <v>NW NATURALMEAL TICKETS ZTFSO</v>
      </c>
      <c r="B179" s="144" t="s">
        <v>565</v>
      </c>
      <c r="C179" s="722" t="s">
        <v>215</v>
      </c>
      <c r="D179" s="591" t="s">
        <v>216</v>
      </c>
      <c r="E179" s="147">
        <v>-2.6358899999999998</v>
      </c>
      <c r="F179" s="729"/>
      <c r="G179" s="147">
        <v>-2.6358899999999998</v>
      </c>
      <c r="H179" s="147">
        <v>0</v>
      </c>
      <c r="I179" s="729"/>
      <c r="J179" s="147">
        <v>-2.6358899999999998</v>
      </c>
      <c r="K179" s="147">
        <v>0</v>
      </c>
      <c r="L179" s="147">
        <v>-52.674939999999999</v>
      </c>
      <c r="M179" s="729"/>
      <c r="N179" s="147">
        <v>-52.674939999999999</v>
      </c>
      <c r="O179" s="147">
        <v>0</v>
      </c>
      <c r="P179" s="147">
        <v>-23.46585</v>
      </c>
      <c r="Q179" s="147">
        <v>-29.20909</v>
      </c>
      <c r="R179" s="147">
        <v>-124.47488584474885</v>
      </c>
    </row>
    <row r="180" spans="1:18" ht="15.75" hidden="1" thickBot="1" x14ac:dyDescent="0.3">
      <c r="A180" s="199" t="str">
        <f t="shared" si="4"/>
        <v>NW NATURALMISC. EXPENSE BUDGET</v>
      </c>
      <c r="B180" s="144" t="s">
        <v>565</v>
      </c>
      <c r="C180" s="722" t="s">
        <v>83</v>
      </c>
      <c r="D180" s="591" t="s">
        <v>84</v>
      </c>
      <c r="E180" s="728"/>
      <c r="F180" s="148">
        <v>14.13561</v>
      </c>
      <c r="G180" s="148">
        <v>-14.13561</v>
      </c>
      <c r="H180" s="148">
        <v>-100</v>
      </c>
      <c r="I180" s="728"/>
      <c r="J180" s="728"/>
      <c r="K180" s="728"/>
      <c r="L180" s="728"/>
      <c r="M180" s="148">
        <v>170.59360000000001</v>
      </c>
      <c r="N180" s="148">
        <v>-170.59360000000001</v>
      </c>
      <c r="O180" s="148">
        <v>-100</v>
      </c>
      <c r="P180" s="728"/>
      <c r="Q180" s="728"/>
      <c r="R180" s="728"/>
    </row>
    <row r="181" spans="1:18" ht="15.75" hidden="1" thickBot="1" x14ac:dyDescent="0.3">
      <c r="A181" s="199" t="str">
        <f t="shared" si="4"/>
        <v>NW NATURALNon-Payroll</v>
      </c>
      <c r="B181" s="144" t="s">
        <v>565</v>
      </c>
      <c r="C181" s="149" t="s">
        <v>85</v>
      </c>
      <c r="D181" s="591" t="s">
        <v>86</v>
      </c>
      <c r="E181" s="147">
        <v>6028.3502900000003</v>
      </c>
      <c r="F181" s="147">
        <v>4163.21738</v>
      </c>
      <c r="G181" s="147">
        <v>1865.13291</v>
      </c>
      <c r="H181" s="147">
        <v>44.800276799382502</v>
      </c>
      <c r="I181" s="729"/>
      <c r="J181" s="147">
        <v>6028.3502900000003</v>
      </c>
      <c r="K181" s="147">
        <v>0</v>
      </c>
      <c r="L181" s="147">
        <v>60608.917200000004</v>
      </c>
      <c r="M181" s="147">
        <v>54864.674420000003</v>
      </c>
      <c r="N181" s="147">
        <v>5744.2427799999996</v>
      </c>
      <c r="O181" s="147">
        <v>10.469838453841316</v>
      </c>
      <c r="P181" s="147">
        <v>28456.923650000001</v>
      </c>
      <c r="Q181" s="147">
        <v>32151.993549999999</v>
      </c>
      <c r="R181" s="147">
        <v>112.984783406129</v>
      </c>
    </row>
    <row r="182" spans="1:18" ht="15.75" hidden="1" thickBot="1" x14ac:dyDescent="0.3">
      <c r="A182" s="199" t="str">
        <f t="shared" si="4"/>
        <v>NW NATURALEXPENSE ACCOUNTS</v>
      </c>
      <c r="B182" s="144" t="s">
        <v>565</v>
      </c>
      <c r="C182" s="144" t="s">
        <v>87</v>
      </c>
      <c r="D182" s="591" t="s">
        <v>87</v>
      </c>
      <c r="E182" s="148">
        <v>15036.906499999999</v>
      </c>
      <c r="F182" s="148">
        <v>13746.834769999999</v>
      </c>
      <c r="G182" s="148">
        <v>1290.0717299999999</v>
      </c>
      <c r="H182" s="148">
        <v>9.3845001528304532</v>
      </c>
      <c r="I182" s="728"/>
      <c r="J182" s="148">
        <v>15036.906499999999</v>
      </c>
      <c r="K182" s="148">
        <v>0</v>
      </c>
      <c r="L182" s="148">
        <v>161383.82422000001</v>
      </c>
      <c r="M182" s="148">
        <v>153893.99984999999</v>
      </c>
      <c r="N182" s="148">
        <v>7489.8243700000003</v>
      </c>
      <c r="O182" s="148">
        <v>4.8668722479760795</v>
      </c>
      <c r="P182" s="148">
        <v>79494.752120000005</v>
      </c>
      <c r="Q182" s="148">
        <v>81889.072100000005</v>
      </c>
      <c r="R182" s="148">
        <v>103.01192206547886</v>
      </c>
    </row>
    <row r="183" spans="1:18" ht="15.75" hidden="1" thickBot="1" x14ac:dyDescent="0.3">
      <c r="A183" s="199" t="str">
        <f t="shared" si="4"/>
        <v>Northwest Natural GaSALARY PAYROLL</v>
      </c>
      <c r="B183" s="149" t="s">
        <v>699</v>
      </c>
      <c r="C183" s="722" t="s">
        <v>59</v>
      </c>
      <c r="D183" s="591" t="s">
        <v>60</v>
      </c>
      <c r="E183" s="147">
        <v>3218.7341900000001</v>
      </c>
      <c r="F183" s="147">
        <v>3751.16356</v>
      </c>
      <c r="G183" s="147">
        <v>-532.42936999999995</v>
      </c>
      <c r="H183" s="147">
        <v>-14.193712470378124</v>
      </c>
      <c r="I183" s="729"/>
      <c r="J183" s="147">
        <v>3218.7341900000001</v>
      </c>
      <c r="K183" s="147">
        <v>0</v>
      </c>
      <c r="L183" s="147">
        <v>43251.855040000002</v>
      </c>
      <c r="M183" s="147">
        <v>44705.600400000003</v>
      </c>
      <c r="N183" s="147">
        <v>-1453.7453599999999</v>
      </c>
      <c r="O183" s="147">
        <v>-3.2518193402900812</v>
      </c>
      <c r="P183" s="147">
        <v>22500.815729999998</v>
      </c>
      <c r="Q183" s="147">
        <v>20751.03931</v>
      </c>
      <c r="R183" s="147">
        <v>92.223497845604555</v>
      </c>
    </row>
    <row r="184" spans="1:18" ht="15.75" hidden="1" thickBot="1" x14ac:dyDescent="0.3">
      <c r="A184" s="199" t="str">
        <f t="shared" si="4"/>
        <v>Northwest Natural GaSALARY  OVERTIME</v>
      </c>
      <c r="B184" s="149" t="s">
        <v>699</v>
      </c>
      <c r="C184" s="722" t="s">
        <v>566</v>
      </c>
      <c r="D184" s="591" t="s">
        <v>567</v>
      </c>
      <c r="E184" s="148">
        <v>1.7224600000000001</v>
      </c>
      <c r="F184" s="728"/>
      <c r="G184" s="148">
        <v>1.7224600000000001</v>
      </c>
      <c r="H184" s="148">
        <v>0</v>
      </c>
      <c r="I184" s="728"/>
      <c r="J184" s="148">
        <v>1.7224600000000001</v>
      </c>
      <c r="K184" s="148">
        <v>0</v>
      </c>
      <c r="L184" s="148">
        <v>9.5313099999999995</v>
      </c>
      <c r="M184" s="728"/>
      <c r="N184" s="148">
        <v>9.5313099999999995</v>
      </c>
      <c r="O184" s="148">
        <v>0</v>
      </c>
      <c r="P184" s="148">
        <v>3.6762199999999998</v>
      </c>
      <c r="Q184" s="148">
        <v>5.8550899999999997</v>
      </c>
      <c r="R184" s="148">
        <v>159.26930379574671</v>
      </c>
    </row>
    <row r="185" spans="1:18" ht="15.75" hidden="1" thickBot="1" x14ac:dyDescent="0.3">
      <c r="A185" s="199" t="str">
        <f t="shared" si="4"/>
        <v>Northwest Natural GaHOURLY PAYROLL</v>
      </c>
      <c r="B185" s="149" t="s">
        <v>699</v>
      </c>
      <c r="C185" s="722" t="s">
        <v>178</v>
      </c>
      <c r="D185" s="591" t="s">
        <v>179</v>
      </c>
      <c r="E185" s="147">
        <v>-19.099</v>
      </c>
      <c r="F185" s="729"/>
      <c r="G185" s="147">
        <v>-19.099</v>
      </c>
      <c r="H185" s="147">
        <v>0</v>
      </c>
      <c r="I185" s="729"/>
      <c r="J185" s="147">
        <v>-19.099</v>
      </c>
      <c r="K185" s="147">
        <v>0</v>
      </c>
      <c r="L185" s="147">
        <v>-271.673</v>
      </c>
      <c r="M185" s="729"/>
      <c r="N185" s="147">
        <v>-271.673</v>
      </c>
      <c r="O185" s="147">
        <v>0</v>
      </c>
      <c r="P185" s="147">
        <v>-169.595</v>
      </c>
      <c r="Q185" s="147">
        <v>-102.078</v>
      </c>
      <c r="R185" s="147">
        <v>-60.189274447949529</v>
      </c>
    </row>
    <row r="186" spans="1:18" ht="15.75" hidden="1" thickBot="1" x14ac:dyDescent="0.3">
      <c r="A186" s="199" t="str">
        <f t="shared" si="4"/>
        <v>Northwest Natural GaHOURLY DOUBLE PAY</v>
      </c>
      <c r="B186" s="149" t="s">
        <v>699</v>
      </c>
      <c r="C186" s="722" t="s">
        <v>89</v>
      </c>
      <c r="D186" s="591" t="s">
        <v>90</v>
      </c>
      <c r="E186" s="148">
        <v>107.2765</v>
      </c>
      <c r="F186" s="728"/>
      <c r="G186" s="148">
        <v>107.2765</v>
      </c>
      <c r="H186" s="148">
        <v>0</v>
      </c>
      <c r="I186" s="728"/>
      <c r="J186" s="148">
        <v>107.2765</v>
      </c>
      <c r="K186" s="148">
        <v>0</v>
      </c>
      <c r="L186" s="148">
        <v>1062.1839600000001</v>
      </c>
      <c r="M186" s="728"/>
      <c r="N186" s="148">
        <v>1062.1839600000001</v>
      </c>
      <c r="O186" s="148">
        <v>0</v>
      </c>
      <c r="P186" s="148">
        <v>476.08645000000001</v>
      </c>
      <c r="Q186" s="148">
        <v>586.09751000000006</v>
      </c>
      <c r="R186" s="148">
        <v>123.10737052062709</v>
      </c>
    </row>
    <row r="187" spans="1:18" ht="15.75" hidden="1" thickBot="1" x14ac:dyDescent="0.3">
      <c r="A187" s="199" t="str">
        <f t="shared" si="4"/>
        <v>Northwest Natural GaHOURLY REGULAR  PAY</v>
      </c>
      <c r="B187" s="149" t="s">
        <v>699</v>
      </c>
      <c r="C187" s="722" t="s">
        <v>91</v>
      </c>
      <c r="D187" s="591" t="s">
        <v>92</v>
      </c>
      <c r="E187" s="147">
        <v>2445.61922</v>
      </c>
      <c r="F187" s="147">
        <v>3352.7570700000001</v>
      </c>
      <c r="G187" s="147">
        <v>-907.13784999999996</v>
      </c>
      <c r="H187" s="147">
        <v>-27.056474151287077</v>
      </c>
      <c r="I187" s="729"/>
      <c r="J187" s="147">
        <v>2445.61922</v>
      </c>
      <c r="K187" s="147">
        <v>0</v>
      </c>
      <c r="L187" s="147">
        <v>36119.054680000001</v>
      </c>
      <c r="M187" s="147">
        <v>39101.802620000002</v>
      </c>
      <c r="N187" s="147">
        <v>-2982.7479400000002</v>
      </c>
      <c r="O187" s="147">
        <v>-7.6281596758773675</v>
      </c>
      <c r="P187" s="147">
        <v>18463.622650000001</v>
      </c>
      <c r="Q187" s="147">
        <v>17655.43203</v>
      </c>
      <c r="R187" s="147">
        <v>95.62279496651216</v>
      </c>
    </row>
    <row r="188" spans="1:18" ht="15.75" hidden="1" thickBot="1" x14ac:dyDescent="0.3">
      <c r="A188" s="199" t="str">
        <f t="shared" si="4"/>
        <v>Northwest Natural GaHOURLY OVERTIME PAY</v>
      </c>
      <c r="B188" s="149" t="s">
        <v>699</v>
      </c>
      <c r="C188" s="722" t="s">
        <v>93</v>
      </c>
      <c r="D188" s="591" t="s">
        <v>94</v>
      </c>
      <c r="E188" s="148">
        <v>208.30410000000001</v>
      </c>
      <c r="F188" s="148">
        <v>241.16492</v>
      </c>
      <c r="G188" s="148">
        <v>-32.860819999999997</v>
      </c>
      <c r="H188" s="148">
        <v>-13.62587062828209</v>
      </c>
      <c r="I188" s="728"/>
      <c r="J188" s="148">
        <v>208.30410000000001</v>
      </c>
      <c r="K188" s="148">
        <v>0</v>
      </c>
      <c r="L188" s="148">
        <v>4080.39768</v>
      </c>
      <c r="M188" s="148">
        <v>2280.8962499999998</v>
      </c>
      <c r="N188" s="148">
        <v>1799.50143</v>
      </c>
      <c r="O188" s="148">
        <v>78.894488515205367</v>
      </c>
      <c r="P188" s="148">
        <v>1987.0032000000001</v>
      </c>
      <c r="Q188" s="148">
        <v>2093.3944799999999</v>
      </c>
      <c r="R188" s="148">
        <v>105.35435876499847</v>
      </c>
    </row>
    <row r="189" spans="1:18" ht="15.75" hidden="1" thickBot="1" x14ac:dyDescent="0.3">
      <c r="A189" s="199" t="str">
        <f t="shared" si="4"/>
        <v>Northwest Natural GaP/T HOURLY PAYROLL</v>
      </c>
      <c r="B189" s="149" t="s">
        <v>699</v>
      </c>
      <c r="C189" s="722" t="s">
        <v>159</v>
      </c>
      <c r="D189" s="591" t="s">
        <v>160</v>
      </c>
      <c r="E189" s="147">
        <v>5.9659899999999997</v>
      </c>
      <c r="F189" s="147">
        <v>9.0218699999999998</v>
      </c>
      <c r="G189" s="147">
        <v>-3.0558800000000002</v>
      </c>
      <c r="H189" s="147">
        <v>-33.871913472484088</v>
      </c>
      <c r="I189" s="729"/>
      <c r="J189" s="147">
        <v>5.9659899999999997</v>
      </c>
      <c r="K189" s="147">
        <v>0</v>
      </c>
      <c r="L189" s="147">
        <v>91.541079999999994</v>
      </c>
      <c r="M189" s="147">
        <v>105.37186</v>
      </c>
      <c r="N189" s="147">
        <v>-13.830780000000001</v>
      </c>
      <c r="O189" s="147">
        <v>-13.125686497324807</v>
      </c>
      <c r="P189" s="147">
        <v>48.189</v>
      </c>
      <c r="Q189" s="147">
        <v>43.352080000000001</v>
      </c>
      <c r="R189" s="147">
        <v>89.962605573886151</v>
      </c>
    </row>
    <row r="190" spans="1:18" ht="15.75" hidden="1" thickBot="1" x14ac:dyDescent="0.3">
      <c r="A190" s="199" t="str">
        <f t="shared" si="4"/>
        <v>Northwest Natural GaSALARY BONUS PAYROLL</v>
      </c>
      <c r="B190" s="149" t="s">
        <v>699</v>
      </c>
      <c r="C190" s="722" t="s">
        <v>134</v>
      </c>
      <c r="D190" s="591" t="s">
        <v>135</v>
      </c>
      <c r="E190" s="148">
        <v>1940.95721</v>
      </c>
      <c r="F190" s="148">
        <v>1265.4490499999999</v>
      </c>
      <c r="G190" s="148">
        <v>675.50815999999998</v>
      </c>
      <c r="H190" s="148">
        <v>53.3809053790036</v>
      </c>
      <c r="I190" s="728"/>
      <c r="J190" s="148">
        <v>1940.95721</v>
      </c>
      <c r="K190" s="148">
        <v>0</v>
      </c>
      <c r="L190" s="148">
        <v>2612.0387799999999</v>
      </c>
      <c r="M190" s="148">
        <v>1373.34428</v>
      </c>
      <c r="N190" s="148">
        <v>1238.6945000000001</v>
      </c>
      <c r="O190" s="148">
        <v>90.195482519503415</v>
      </c>
      <c r="P190" s="148">
        <v>1356.83277</v>
      </c>
      <c r="Q190" s="148">
        <v>1255.2060100000001</v>
      </c>
      <c r="R190" s="148">
        <v>92.510001066675301</v>
      </c>
    </row>
    <row r="191" spans="1:18" ht="15.75" hidden="1" thickBot="1" x14ac:dyDescent="0.3">
      <c r="A191" s="199" t="str">
        <f t="shared" si="4"/>
        <v>Northwest Natural GaHOURLY BONUS PAYROLL</v>
      </c>
      <c r="B191" s="149" t="s">
        <v>699</v>
      </c>
      <c r="C191" s="722" t="s">
        <v>95</v>
      </c>
      <c r="D191" s="591" t="s">
        <v>96</v>
      </c>
      <c r="E191" s="147">
        <v>-216.048</v>
      </c>
      <c r="F191" s="729"/>
      <c r="G191" s="147">
        <v>-216.048</v>
      </c>
      <c r="H191" s="147">
        <v>0</v>
      </c>
      <c r="I191" s="729"/>
      <c r="J191" s="147">
        <v>-216.048</v>
      </c>
      <c r="K191" s="147">
        <v>0</v>
      </c>
      <c r="L191" s="147">
        <v>73.075919999999996</v>
      </c>
      <c r="M191" s="729"/>
      <c r="N191" s="147">
        <v>73.075919999999996</v>
      </c>
      <c r="O191" s="147">
        <v>0</v>
      </c>
      <c r="P191" s="147">
        <v>24.060919999999999</v>
      </c>
      <c r="Q191" s="147">
        <v>49.015000000000001</v>
      </c>
      <c r="R191" s="147">
        <v>203.71207750992065</v>
      </c>
    </row>
    <row r="192" spans="1:18" ht="15.75" hidden="1" thickBot="1" x14ac:dyDescent="0.3">
      <c r="A192" s="199" t="str">
        <f t="shared" si="4"/>
        <v>Northwest Natural GaSALARY P/T PAYROLL</v>
      </c>
      <c r="B192" s="149" t="s">
        <v>699</v>
      </c>
      <c r="C192" s="722" t="s">
        <v>568</v>
      </c>
      <c r="D192" s="592" t="s">
        <v>569</v>
      </c>
      <c r="E192" s="148">
        <v>13.54349</v>
      </c>
      <c r="F192" s="148">
        <v>10.50234</v>
      </c>
      <c r="G192" s="148">
        <v>3.04115</v>
      </c>
      <c r="H192" s="148">
        <v>28.95688008577136</v>
      </c>
      <c r="I192" s="728"/>
      <c r="J192" s="148">
        <v>13.54349</v>
      </c>
      <c r="K192" s="148">
        <v>0</v>
      </c>
      <c r="L192" s="148">
        <v>132.74825000000001</v>
      </c>
      <c r="M192" s="148">
        <v>125.36691999999999</v>
      </c>
      <c r="N192" s="148">
        <v>7.3813300000000002</v>
      </c>
      <c r="O192" s="148">
        <v>5.8877812424521556</v>
      </c>
      <c r="P192" s="148">
        <v>46.799950000000003</v>
      </c>
      <c r="Q192" s="148">
        <v>85.948300000000003</v>
      </c>
      <c r="R192" s="148">
        <v>183.65040988291653</v>
      </c>
    </row>
    <row r="193" spans="1:18" ht="15.75" hidden="1" thickBot="1" x14ac:dyDescent="0.3">
      <c r="A193" s="199" t="str">
        <f t="shared" si="4"/>
        <v>Northwest Natural GaVACATION, SICK &amp; HOL</v>
      </c>
      <c r="B193" s="149" t="s">
        <v>699</v>
      </c>
      <c r="C193" s="722" t="s">
        <v>61</v>
      </c>
      <c r="D193" s="593" t="s">
        <v>62</v>
      </c>
      <c r="E193" s="147">
        <v>1028.83836</v>
      </c>
      <c r="F193" s="147">
        <v>1053.5495000000001</v>
      </c>
      <c r="G193" s="147">
        <v>-24.71114</v>
      </c>
      <c r="H193" s="147">
        <v>-2.3455129540662303</v>
      </c>
      <c r="I193" s="729"/>
      <c r="J193" s="147">
        <v>1028.83836</v>
      </c>
      <c r="K193" s="147">
        <v>0</v>
      </c>
      <c r="L193" s="147">
        <v>12296.392620000001</v>
      </c>
      <c r="M193" s="147">
        <v>12629.53116</v>
      </c>
      <c r="N193" s="147">
        <v>-333.13853999999998</v>
      </c>
      <c r="O193" s="147">
        <v>-2.6377744017538021</v>
      </c>
      <c r="P193" s="147">
        <v>6045.18606</v>
      </c>
      <c r="Q193" s="147">
        <v>6251.2065599999996</v>
      </c>
      <c r="R193" s="147">
        <v>103.40800924827117</v>
      </c>
    </row>
    <row r="194" spans="1:18" ht="15.75" hidden="1" thickBot="1" x14ac:dyDescent="0.3">
      <c r="A194" s="199" t="str">
        <f t="shared" si="4"/>
        <v>Northwest Natural GaPAYROLL OVERHEAD</v>
      </c>
      <c r="B194" s="149" t="s">
        <v>699</v>
      </c>
      <c r="C194" s="722" t="s">
        <v>63</v>
      </c>
      <c r="D194" s="591" t="s">
        <v>64</v>
      </c>
      <c r="E194" s="148">
        <v>3901.2111500000001</v>
      </c>
      <c r="F194" s="148">
        <v>4148.11067</v>
      </c>
      <c r="G194" s="148">
        <v>-246.89952</v>
      </c>
      <c r="H194" s="148">
        <v>-5.9520957766539047</v>
      </c>
      <c r="I194" s="728"/>
      <c r="J194" s="148">
        <v>3901.2111500000001</v>
      </c>
      <c r="K194" s="148">
        <v>0</v>
      </c>
      <c r="L194" s="148">
        <v>46790.318050000002</v>
      </c>
      <c r="M194" s="148">
        <v>48916.355620000002</v>
      </c>
      <c r="N194" s="148">
        <v>-2126.03757</v>
      </c>
      <c r="O194" s="148">
        <v>-4.346271391343687</v>
      </c>
      <c r="P194" s="148">
        <v>23001.539239999998</v>
      </c>
      <c r="Q194" s="148">
        <v>23788.77881</v>
      </c>
      <c r="R194" s="148">
        <v>103.42255169006681</v>
      </c>
    </row>
    <row r="195" spans="1:18" ht="15.75" hidden="1" thickBot="1" x14ac:dyDescent="0.3">
      <c r="A195" s="199" t="str">
        <f t="shared" si="4"/>
        <v>Northwest Natural GaPAYROLL OH - OFFICER</v>
      </c>
      <c r="B195" s="149" t="s">
        <v>699</v>
      </c>
      <c r="C195" s="722" t="s">
        <v>570</v>
      </c>
      <c r="D195" s="591" t="s">
        <v>571</v>
      </c>
      <c r="E195" s="147">
        <v>210.03560999999999</v>
      </c>
      <c r="F195" s="147">
        <v>195.37844999999999</v>
      </c>
      <c r="G195" s="147">
        <v>14.657159999999999</v>
      </c>
      <c r="H195" s="147">
        <v>7.5019327873672861</v>
      </c>
      <c r="I195" s="729"/>
      <c r="J195" s="147">
        <v>210.03560999999999</v>
      </c>
      <c r="K195" s="147">
        <v>0</v>
      </c>
      <c r="L195" s="147">
        <v>2447.3810199999998</v>
      </c>
      <c r="M195" s="147">
        <v>2332.24154</v>
      </c>
      <c r="N195" s="147">
        <v>115.13948000000001</v>
      </c>
      <c r="O195" s="147">
        <v>4.9368591556773316</v>
      </c>
      <c r="P195" s="147">
        <v>1196.80765</v>
      </c>
      <c r="Q195" s="147">
        <v>1250.5733700000001</v>
      </c>
      <c r="R195" s="147">
        <v>104.49242783499922</v>
      </c>
    </row>
    <row r="196" spans="1:18" ht="15.75" hidden="1" thickBot="1" x14ac:dyDescent="0.3">
      <c r="A196" s="199" t="str">
        <f t="shared" si="4"/>
        <v>Northwest Natural GaCOMMISSIONS</v>
      </c>
      <c r="B196" s="149" t="s">
        <v>699</v>
      </c>
      <c r="C196" s="722" t="s">
        <v>180</v>
      </c>
      <c r="D196" s="591" t="s">
        <v>181</v>
      </c>
      <c r="E196" s="728"/>
      <c r="F196" s="148">
        <v>-375.57749999999999</v>
      </c>
      <c r="G196" s="148">
        <v>375.57749999999999</v>
      </c>
      <c r="H196" s="148">
        <v>100</v>
      </c>
      <c r="I196" s="728"/>
      <c r="J196" s="728"/>
      <c r="K196" s="728"/>
      <c r="L196" s="148">
        <v>0</v>
      </c>
      <c r="M196" s="148">
        <v>-4600.4853499999999</v>
      </c>
      <c r="N196" s="148">
        <v>4600.4853499999999</v>
      </c>
      <c r="O196" s="148">
        <v>100</v>
      </c>
      <c r="P196" s="148">
        <v>0</v>
      </c>
      <c r="Q196" s="148">
        <v>0</v>
      </c>
      <c r="R196" s="148">
        <v>0</v>
      </c>
    </row>
    <row r="197" spans="1:18" ht="15.75" hidden="1" thickBot="1" x14ac:dyDescent="0.3">
      <c r="A197" s="199" t="str">
        <f t="shared" si="4"/>
        <v>Northwest Natural GaNWN/580105</v>
      </c>
      <c r="B197" s="149" t="s">
        <v>699</v>
      </c>
      <c r="C197" s="722" t="s">
        <v>156</v>
      </c>
      <c r="D197" s="591" t="s">
        <v>157</v>
      </c>
      <c r="E197" s="147">
        <v>394.19112000000001</v>
      </c>
      <c r="F197" s="147">
        <v>68.826589999999996</v>
      </c>
      <c r="G197" s="147">
        <v>325.36453</v>
      </c>
      <c r="H197" s="147">
        <v>472.73085881488538</v>
      </c>
      <c r="I197" s="729"/>
      <c r="J197" s="147">
        <v>394.19112000000001</v>
      </c>
      <c r="K197" s="147">
        <v>0</v>
      </c>
      <c r="L197" s="147">
        <v>5775.3311599999997</v>
      </c>
      <c r="M197" s="147">
        <v>821.58615999999995</v>
      </c>
      <c r="N197" s="147">
        <v>4953.7449999999999</v>
      </c>
      <c r="O197" s="147">
        <v>602.94893477757705</v>
      </c>
      <c r="P197" s="147">
        <v>2891.1558</v>
      </c>
      <c r="Q197" s="147">
        <v>2884.1753600000002</v>
      </c>
      <c r="R197" s="147">
        <v>99.758558843490903</v>
      </c>
    </row>
    <row r="198" spans="1:18" ht="15.75" hidden="1" thickBot="1" x14ac:dyDescent="0.3">
      <c r="A198" s="199" t="str">
        <f t="shared" si="4"/>
        <v>Northwest Natural GaNWN/580106</v>
      </c>
      <c r="B198" s="149" t="s">
        <v>699</v>
      </c>
      <c r="C198" s="722" t="s">
        <v>572</v>
      </c>
      <c r="D198" s="591" t="s">
        <v>573</v>
      </c>
      <c r="E198" s="728"/>
      <c r="F198" s="728"/>
      <c r="G198" s="728"/>
      <c r="H198" s="728"/>
      <c r="I198" s="728"/>
      <c r="J198" s="728"/>
      <c r="K198" s="728"/>
      <c r="L198" s="148">
        <v>0.52937999999999996</v>
      </c>
      <c r="M198" s="728"/>
      <c r="N198" s="148">
        <v>0.52937999999999996</v>
      </c>
      <c r="O198" s="148">
        <v>0</v>
      </c>
      <c r="P198" s="728"/>
      <c r="Q198" s="148">
        <v>0.52937999999999996</v>
      </c>
      <c r="R198" s="148">
        <v>0</v>
      </c>
    </row>
    <row r="199" spans="1:18" ht="15.75" hidden="1" thickBot="1" x14ac:dyDescent="0.3">
      <c r="A199" s="199" t="str">
        <f t="shared" si="4"/>
        <v>Northwest Natural GaNWN/580301</v>
      </c>
      <c r="B199" s="149" t="s">
        <v>699</v>
      </c>
      <c r="C199" s="722" t="s">
        <v>182</v>
      </c>
      <c r="D199" s="591" t="s">
        <v>183</v>
      </c>
      <c r="E199" s="147">
        <v>89.394869999999997</v>
      </c>
      <c r="F199" s="729"/>
      <c r="G199" s="147">
        <v>89.394869999999997</v>
      </c>
      <c r="H199" s="147">
        <v>0</v>
      </c>
      <c r="I199" s="729"/>
      <c r="J199" s="147">
        <v>89.394869999999997</v>
      </c>
      <c r="K199" s="147">
        <v>0</v>
      </c>
      <c r="L199" s="147">
        <v>1064.26169</v>
      </c>
      <c r="M199" s="729"/>
      <c r="N199" s="147">
        <v>1064.26169</v>
      </c>
      <c r="O199" s="147">
        <v>0</v>
      </c>
      <c r="P199" s="147">
        <v>427.34674999999999</v>
      </c>
      <c r="Q199" s="147">
        <v>636.91494</v>
      </c>
      <c r="R199" s="147">
        <v>149.03937844385152</v>
      </c>
    </row>
    <row r="200" spans="1:18" ht="15.75" hidden="1" thickBot="1" x14ac:dyDescent="0.3">
      <c r="A200" s="199" t="str">
        <f t="shared" si="4"/>
        <v>Northwest Natural GaNWN/580305</v>
      </c>
      <c r="B200" s="149" t="s">
        <v>699</v>
      </c>
      <c r="C200" s="722" t="s">
        <v>184</v>
      </c>
      <c r="D200" s="591" t="s">
        <v>185</v>
      </c>
      <c r="E200" s="148">
        <v>1854.4884999999999</v>
      </c>
      <c r="F200" s="148">
        <v>14.57607</v>
      </c>
      <c r="G200" s="148">
        <v>1839.9124300000001</v>
      </c>
      <c r="H200" s="148">
        <v>12622.829267422563</v>
      </c>
      <c r="I200" s="728"/>
      <c r="J200" s="148">
        <v>1854.4884999999999</v>
      </c>
      <c r="K200" s="148">
        <v>0</v>
      </c>
      <c r="L200" s="148">
        <v>26730.478370000001</v>
      </c>
      <c r="M200" s="148">
        <v>170.24289999999999</v>
      </c>
      <c r="N200" s="148">
        <v>26560.23547</v>
      </c>
      <c r="O200" s="148">
        <v>15601.376309966525</v>
      </c>
      <c r="P200" s="148">
        <v>13878.89566</v>
      </c>
      <c r="Q200" s="148">
        <v>12851.582710000001</v>
      </c>
      <c r="R200" s="148">
        <v>92.598020943692291</v>
      </c>
    </row>
    <row r="201" spans="1:18" ht="15.75" hidden="1" thickBot="1" x14ac:dyDescent="0.3">
      <c r="A201" s="199" t="str">
        <f t="shared" si="4"/>
        <v>Northwest Natural GaNWN/580306</v>
      </c>
      <c r="B201" s="149" t="s">
        <v>699</v>
      </c>
      <c r="C201" s="722" t="s">
        <v>161</v>
      </c>
      <c r="D201" s="592" t="s">
        <v>162</v>
      </c>
      <c r="E201" s="147">
        <v>134.56145000000001</v>
      </c>
      <c r="F201" s="729"/>
      <c r="G201" s="147">
        <v>134.56145000000001</v>
      </c>
      <c r="H201" s="147">
        <v>0</v>
      </c>
      <c r="I201" s="729"/>
      <c r="J201" s="147">
        <v>134.56145000000001</v>
      </c>
      <c r="K201" s="147">
        <v>0</v>
      </c>
      <c r="L201" s="147">
        <v>2070.9992999999999</v>
      </c>
      <c r="M201" s="729"/>
      <c r="N201" s="147">
        <v>2070.9992999999999</v>
      </c>
      <c r="O201" s="147">
        <v>0</v>
      </c>
      <c r="P201" s="147">
        <v>955.23419999999999</v>
      </c>
      <c r="Q201" s="147">
        <v>1115.7651000000001</v>
      </c>
      <c r="R201" s="147">
        <v>116.80539704294507</v>
      </c>
    </row>
    <row r="202" spans="1:18" ht="15.75" hidden="1" thickBot="1" x14ac:dyDescent="0.3">
      <c r="A202" s="199" t="str">
        <f t="shared" si="4"/>
        <v>Northwest Natural GaNWN/580800</v>
      </c>
      <c r="B202" s="149" t="s">
        <v>699</v>
      </c>
      <c r="C202" s="722" t="s">
        <v>574</v>
      </c>
      <c r="D202" s="591" t="s">
        <v>575</v>
      </c>
      <c r="E202" s="148">
        <v>4.1338900000000001</v>
      </c>
      <c r="F202" s="728"/>
      <c r="G202" s="148">
        <v>4.1338900000000001</v>
      </c>
      <c r="H202" s="148">
        <v>0</v>
      </c>
      <c r="I202" s="728"/>
      <c r="J202" s="148">
        <v>4.1338900000000001</v>
      </c>
      <c r="K202" s="148">
        <v>0</v>
      </c>
      <c r="L202" s="148">
        <v>23.381519999999998</v>
      </c>
      <c r="M202" s="728"/>
      <c r="N202" s="148">
        <v>23.381519999999998</v>
      </c>
      <c r="O202" s="148">
        <v>0</v>
      </c>
      <c r="P202" s="728"/>
      <c r="Q202" s="148">
        <v>23.381519999999998</v>
      </c>
      <c r="R202" s="148">
        <v>0</v>
      </c>
    </row>
    <row r="203" spans="1:18" ht="15.75" hidden="1" thickBot="1" x14ac:dyDescent="0.3">
      <c r="A203" s="199" t="str">
        <f t="shared" si="4"/>
        <v>Northwest Natural GaSALARY PAYROLL ZTFSO</v>
      </c>
      <c r="B203" s="149" t="s">
        <v>699</v>
      </c>
      <c r="C203" s="722" t="s">
        <v>65</v>
      </c>
      <c r="D203" s="591" t="s">
        <v>66</v>
      </c>
      <c r="E203" s="147">
        <v>-2069.82681</v>
      </c>
      <c r="F203" s="147">
        <v>-1899.2739300000001</v>
      </c>
      <c r="G203" s="147">
        <v>-170.55287999999999</v>
      </c>
      <c r="H203" s="147">
        <v>-8.9798989659169379</v>
      </c>
      <c r="I203" s="729"/>
      <c r="J203" s="147">
        <v>-2069.82681</v>
      </c>
      <c r="K203" s="147">
        <v>0</v>
      </c>
      <c r="L203" s="147">
        <v>-26988.234570000001</v>
      </c>
      <c r="M203" s="147">
        <v>-22613.759109999999</v>
      </c>
      <c r="N203" s="147">
        <v>-4374.4754599999997</v>
      </c>
      <c r="O203" s="147">
        <v>-19.344309093951431</v>
      </c>
      <c r="P203" s="147">
        <v>-13520.241830000001</v>
      </c>
      <c r="Q203" s="147">
        <v>-13467.99274</v>
      </c>
      <c r="R203" s="147">
        <v>-99.613549146110202</v>
      </c>
    </row>
    <row r="204" spans="1:18" ht="15.75" hidden="1" thickBot="1" x14ac:dyDescent="0.3">
      <c r="A204" s="199" t="str">
        <f t="shared" si="4"/>
        <v>Northwest Natural GaSAL - OVERTIME ZTFSO</v>
      </c>
      <c r="B204" s="149" t="s">
        <v>699</v>
      </c>
      <c r="C204" s="722" t="s">
        <v>576</v>
      </c>
      <c r="D204" s="591" t="s">
        <v>577</v>
      </c>
      <c r="E204" s="148">
        <v>-0.93420000000000003</v>
      </c>
      <c r="F204" s="728"/>
      <c r="G204" s="148">
        <v>-0.93420000000000003</v>
      </c>
      <c r="H204" s="148">
        <v>0</v>
      </c>
      <c r="I204" s="728"/>
      <c r="J204" s="148">
        <v>-0.93420000000000003</v>
      </c>
      <c r="K204" s="148">
        <v>0</v>
      </c>
      <c r="L204" s="148">
        <v>-3.9256500000000001</v>
      </c>
      <c r="M204" s="728"/>
      <c r="N204" s="148">
        <v>-3.9256500000000001</v>
      </c>
      <c r="O204" s="148">
        <v>0</v>
      </c>
      <c r="P204" s="148">
        <v>-1.1230500000000001</v>
      </c>
      <c r="Q204" s="148">
        <v>-2.8026</v>
      </c>
      <c r="R204" s="148">
        <v>-249.55255776679579</v>
      </c>
    </row>
    <row r="205" spans="1:18" ht="15.75" hidden="1" thickBot="1" x14ac:dyDescent="0.3">
      <c r="A205" s="199" t="str">
        <f t="shared" si="4"/>
        <v>Northwest Natural GaHRL - DBL TIME ZTFSO</v>
      </c>
      <c r="B205" s="149" t="s">
        <v>699</v>
      </c>
      <c r="C205" s="722" t="s">
        <v>186</v>
      </c>
      <c r="D205" s="591" t="s">
        <v>187</v>
      </c>
      <c r="E205" s="147">
        <v>-102.00622</v>
      </c>
      <c r="F205" s="729"/>
      <c r="G205" s="147">
        <v>-102.00622</v>
      </c>
      <c r="H205" s="147">
        <v>0</v>
      </c>
      <c r="I205" s="729"/>
      <c r="J205" s="147">
        <v>-102.00622</v>
      </c>
      <c r="K205" s="147">
        <v>0</v>
      </c>
      <c r="L205" s="147">
        <v>-1281.9099200000001</v>
      </c>
      <c r="M205" s="729"/>
      <c r="N205" s="147">
        <v>-1281.9099200000001</v>
      </c>
      <c r="O205" s="147">
        <v>0</v>
      </c>
      <c r="P205" s="147">
        <v>-518.01477999999997</v>
      </c>
      <c r="Q205" s="147">
        <v>-763.89513999999997</v>
      </c>
      <c r="R205" s="147">
        <v>-147.46589662943595</v>
      </c>
    </row>
    <row r="206" spans="1:18" ht="15.75" hidden="1" thickBot="1" x14ac:dyDescent="0.3">
      <c r="A206" s="199" t="str">
        <f t="shared" si="4"/>
        <v>Northwest Natural GaHRLY - REGULAR ZTFSO</v>
      </c>
      <c r="B206" s="149" t="s">
        <v>699</v>
      </c>
      <c r="C206" s="722" t="s">
        <v>163</v>
      </c>
      <c r="D206" s="591" t="s">
        <v>164</v>
      </c>
      <c r="E206" s="148">
        <v>-3849.38598</v>
      </c>
      <c r="F206" s="148">
        <v>-2235.6923000000002</v>
      </c>
      <c r="G206" s="148">
        <v>-1613.6936800000001</v>
      </c>
      <c r="H206" s="148">
        <v>-72.17870187234621</v>
      </c>
      <c r="I206" s="728"/>
      <c r="J206" s="148">
        <v>-3849.38598</v>
      </c>
      <c r="K206" s="148">
        <v>0</v>
      </c>
      <c r="L206" s="148">
        <v>-50934.027860000002</v>
      </c>
      <c r="M206" s="148">
        <v>-26125.902849999999</v>
      </c>
      <c r="N206" s="148">
        <v>-24808.12501</v>
      </c>
      <c r="O206" s="148">
        <v>-94.956048609818666</v>
      </c>
      <c r="P206" s="148">
        <v>-25938.661459999999</v>
      </c>
      <c r="Q206" s="148">
        <v>-24995.366399999999</v>
      </c>
      <c r="R206" s="148">
        <v>-96.36336261431741</v>
      </c>
    </row>
    <row r="207" spans="1:18" ht="15.75" hidden="1" thickBot="1" x14ac:dyDescent="0.3">
      <c r="A207" s="199" t="str">
        <f t="shared" si="4"/>
        <v>Northwest Natural GaHRLY - OT ZTFSO</v>
      </c>
      <c r="B207" s="149" t="s">
        <v>699</v>
      </c>
      <c r="C207" s="722" t="s">
        <v>97</v>
      </c>
      <c r="D207" s="591" t="s">
        <v>98</v>
      </c>
      <c r="E207" s="147">
        <v>-288.98779999999999</v>
      </c>
      <c r="F207" s="729"/>
      <c r="G207" s="147">
        <v>-288.98779999999999</v>
      </c>
      <c r="H207" s="147">
        <v>0</v>
      </c>
      <c r="I207" s="729"/>
      <c r="J207" s="147">
        <v>-288.98779999999999</v>
      </c>
      <c r="K207" s="147">
        <v>0</v>
      </c>
      <c r="L207" s="147">
        <v>-4353.4402700000001</v>
      </c>
      <c r="M207" s="729"/>
      <c r="N207" s="147">
        <v>-4353.4402700000001</v>
      </c>
      <c r="O207" s="147">
        <v>0</v>
      </c>
      <c r="P207" s="147">
        <v>-2117.78766</v>
      </c>
      <c r="Q207" s="147">
        <v>-2235.6526100000001</v>
      </c>
      <c r="R207" s="147">
        <v>-105.56547534137582</v>
      </c>
    </row>
    <row r="208" spans="1:18" ht="15.75" hidden="1" thickBot="1" x14ac:dyDescent="0.3">
      <c r="A208" s="199" t="str">
        <f t="shared" si="4"/>
        <v>Northwest Natural GaP/T  HRLY PAY ZTFSO</v>
      </c>
      <c r="B208" s="149" t="s">
        <v>699</v>
      </c>
      <c r="C208" s="722" t="s">
        <v>578</v>
      </c>
      <c r="D208" s="591" t="s">
        <v>579</v>
      </c>
      <c r="E208" s="728"/>
      <c r="F208" s="148">
        <v>-8.4375099999999996</v>
      </c>
      <c r="G208" s="148">
        <v>8.4375099999999996</v>
      </c>
      <c r="H208" s="148">
        <v>100</v>
      </c>
      <c r="I208" s="728"/>
      <c r="J208" s="728"/>
      <c r="K208" s="728"/>
      <c r="L208" s="728"/>
      <c r="M208" s="148">
        <v>-98.546869999999998</v>
      </c>
      <c r="N208" s="148">
        <v>98.546869999999998</v>
      </c>
      <c r="O208" s="148">
        <v>100</v>
      </c>
      <c r="P208" s="728"/>
      <c r="Q208" s="728"/>
      <c r="R208" s="728"/>
    </row>
    <row r="209" spans="1:18" ht="15.75" hidden="1" thickBot="1" x14ac:dyDescent="0.3">
      <c r="A209" s="199" t="str">
        <f t="shared" si="4"/>
        <v>Northwest Natural GaSALARY P/T PAY ZTFSO</v>
      </c>
      <c r="B209" s="149" t="s">
        <v>699</v>
      </c>
      <c r="C209" s="722" t="s">
        <v>580</v>
      </c>
      <c r="D209" s="591" t="s">
        <v>581</v>
      </c>
      <c r="E209" s="147">
        <v>-4.1338900000000001</v>
      </c>
      <c r="F209" s="147">
        <v>-7.9014600000000002</v>
      </c>
      <c r="G209" s="147">
        <v>3.7675700000000001</v>
      </c>
      <c r="H209" s="147">
        <v>47.681947386938617</v>
      </c>
      <c r="I209" s="729"/>
      <c r="J209" s="147">
        <v>-4.1338900000000001</v>
      </c>
      <c r="K209" s="147">
        <v>0</v>
      </c>
      <c r="L209" s="147">
        <v>-23.381519999999998</v>
      </c>
      <c r="M209" s="147">
        <v>-94.320099999999996</v>
      </c>
      <c r="N209" s="147">
        <v>70.938580000000002</v>
      </c>
      <c r="O209" s="147">
        <v>75.210458852354904</v>
      </c>
      <c r="P209" s="729"/>
      <c r="Q209" s="147">
        <v>-23.381519999999998</v>
      </c>
      <c r="R209" s="147">
        <v>0</v>
      </c>
    </row>
    <row r="210" spans="1:18" ht="15.75" hidden="1" thickBot="1" x14ac:dyDescent="0.3">
      <c r="A210" s="199" t="str">
        <f t="shared" si="4"/>
        <v>Northwest Natural GaPayroll</v>
      </c>
      <c r="B210" s="149" t="s">
        <v>699</v>
      </c>
      <c r="C210" s="149" t="s">
        <v>67</v>
      </c>
      <c r="D210" s="591" t="s">
        <v>68</v>
      </c>
      <c r="E210" s="148">
        <v>9008.5562100000006</v>
      </c>
      <c r="F210" s="148">
        <v>9583.6173899999994</v>
      </c>
      <c r="G210" s="148">
        <v>-575.06118000000004</v>
      </c>
      <c r="H210" s="148">
        <v>-6.0004605421752961</v>
      </c>
      <c r="I210" s="728"/>
      <c r="J210" s="148">
        <v>9008.5562100000006</v>
      </c>
      <c r="K210" s="148">
        <v>0</v>
      </c>
      <c r="L210" s="148">
        <v>100774.90702</v>
      </c>
      <c r="M210" s="148">
        <v>99029.325429999997</v>
      </c>
      <c r="N210" s="148">
        <v>1745.58159</v>
      </c>
      <c r="O210" s="148">
        <v>1.762691589001971</v>
      </c>
      <c r="P210" s="148">
        <v>51037.82847</v>
      </c>
      <c r="Q210" s="148">
        <v>49737.078549999998</v>
      </c>
      <c r="R210" s="148">
        <v>97.451400345599382</v>
      </c>
    </row>
    <row r="211" spans="1:18" ht="15.75" hidden="1" thickBot="1" x14ac:dyDescent="0.3">
      <c r="A211" s="199" t="str">
        <f t="shared" si="4"/>
        <v>Northwest Natural GaEDUCATION</v>
      </c>
      <c r="B211" s="149" t="s">
        <v>699</v>
      </c>
      <c r="C211" s="722" t="s">
        <v>69</v>
      </c>
      <c r="D211" s="591" t="s">
        <v>70</v>
      </c>
      <c r="E211" s="147">
        <v>53.80959</v>
      </c>
      <c r="F211" s="147">
        <v>65.977689999999996</v>
      </c>
      <c r="G211" s="147">
        <v>-12.168100000000001</v>
      </c>
      <c r="H211" s="147">
        <v>-18.442749359669914</v>
      </c>
      <c r="I211" s="729"/>
      <c r="J211" s="147">
        <v>53.80959</v>
      </c>
      <c r="K211" s="147">
        <v>0</v>
      </c>
      <c r="L211" s="147">
        <v>597.44617000000005</v>
      </c>
      <c r="M211" s="147">
        <v>741.65192000000002</v>
      </c>
      <c r="N211" s="147">
        <v>-144.20574999999999</v>
      </c>
      <c r="O211" s="147">
        <v>-19.44385851519133</v>
      </c>
      <c r="P211" s="147">
        <v>342.46570000000003</v>
      </c>
      <c r="Q211" s="147">
        <v>254.98047</v>
      </c>
      <c r="R211" s="147">
        <v>74.454308854872181</v>
      </c>
    </row>
    <row r="212" spans="1:18" ht="15.75" hidden="1" thickBot="1" x14ac:dyDescent="0.3">
      <c r="A212" s="199" t="str">
        <f t="shared" si="4"/>
        <v>Northwest Natural GaAUTO ALLOWANCE</v>
      </c>
      <c r="B212" s="149" t="s">
        <v>699</v>
      </c>
      <c r="C212" s="722" t="s">
        <v>582</v>
      </c>
      <c r="D212" s="591" t="s">
        <v>583</v>
      </c>
      <c r="E212" s="148">
        <v>3.1342400000000001</v>
      </c>
      <c r="F212" s="148">
        <v>4.8899999999999997</v>
      </c>
      <c r="G212" s="148">
        <v>-1.75576</v>
      </c>
      <c r="H212" s="148">
        <v>-35.90511247443763</v>
      </c>
      <c r="I212" s="728"/>
      <c r="J212" s="148">
        <v>3.1342400000000001</v>
      </c>
      <c r="K212" s="148">
        <v>0</v>
      </c>
      <c r="L212" s="148">
        <v>44.111499999999999</v>
      </c>
      <c r="M212" s="148">
        <v>56.643999999999998</v>
      </c>
      <c r="N212" s="148">
        <v>-12.532500000000001</v>
      </c>
      <c r="O212" s="148">
        <v>-22.125026481180708</v>
      </c>
      <c r="P212" s="148">
        <v>23.731059999999999</v>
      </c>
      <c r="Q212" s="148">
        <v>20.38044</v>
      </c>
      <c r="R212" s="148">
        <v>85.880866678521741</v>
      </c>
    </row>
    <row r="213" spans="1:18" ht="15.75" hidden="1" thickBot="1" x14ac:dyDescent="0.3">
      <c r="A213" s="199" t="str">
        <f t="shared" si="4"/>
        <v>Northwest Natural GaMATERIALS</v>
      </c>
      <c r="B213" s="149" t="s">
        <v>699</v>
      </c>
      <c r="C213" s="722" t="s">
        <v>99</v>
      </c>
      <c r="D213" s="591" t="s">
        <v>100</v>
      </c>
      <c r="E213" s="147">
        <v>129.68427</v>
      </c>
      <c r="F213" s="147">
        <v>115.01648</v>
      </c>
      <c r="G213" s="147">
        <v>14.66779</v>
      </c>
      <c r="H213" s="147">
        <v>12.752772472257888</v>
      </c>
      <c r="I213" s="729"/>
      <c r="J213" s="147">
        <v>129.68427</v>
      </c>
      <c r="K213" s="147">
        <v>0</v>
      </c>
      <c r="L213" s="147">
        <v>1213.0994700000001</v>
      </c>
      <c r="M213" s="147">
        <v>1464.74215</v>
      </c>
      <c r="N213" s="147">
        <v>-251.64268000000001</v>
      </c>
      <c r="O213" s="147">
        <v>-17.179998541040142</v>
      </c>
      <c r="P213" s="147">
        <v>554.85512000000006</v>
      </c>
      <c r="Q213" s="147">
        <v>658.24435000000005</v>
      </c>
      <c r="R213" s="147">
        <v>118.63355428710831</v>
      </c>
    </row>
    <row r="214" spans="1:18" ht="15.75" hidden="1" thickBot="1" x14ac:dyDescent="0.3">
      <c r="A214" s="199" t="str">
        <f t="shared" si="4"/>
        <v>Northwest Natural GaMATERIALS - CONS INV</v>
      </c>
      <c r="B214" s="149" t="s">
        <v>699</v>
      </c>
      <c r="C214" s="722" t="s">
        <v>165</v>
      </c>
      <c r="D214" s="591" t="s">
        <v>166</v>
      </c>
      <c r="E214" s="148">
        <v>133.11806999999999</v>
      </c>
      <c r="F214" s="148">
        <v>1.3755599999999999</v>
      </c>
      <c r="G214" s="148">
        <v>131.74251000000001</v>
      </c>
      <c r="H214" s="148">
        <v>9577.3728517840009</v>
      </c>
      <c r="I214" s="728"/>
      <c r="J214" s="148">
        <v>133.11806999999999</v>
      </c>
      <c r="K214" s="148">
        <v>0</v>
      </c>
      <c r="L214" s="148">
        <v>815.67786999999998</v>
      </c>
      <c r="M214" s="148">
        <v>14.479200000000001</v>
      </c>
      <c r="N214" s="148">
        <v>801.19866999999999</v>
      </c>
      <c r="O214" s="148">
        <v>5533.4457014199679</v>
      </c>
      <c r="P214" s="148">
        <v>371.53023000000002</v>
      </c>
      <c r="Q214" s="148">
        <v>444.14764000000002</v>
      </c>
      <c r="R214" s="148">
        <v>119.54549162796255</v>
      </c>
    </row>
    <row r="215" spans="1:18" ht="15.75" hidden="1" thickBot="1" x14ac:dyDescent="0.3">
      <c r="A215" s="199" t="str">
        <f t="shared" si="4"/>
        <v>Northwest Natural GaMATERIALS -CONS PIPE</v>
      </c>
      <c r="B215" s="149" t="s">
        <v>699</v>
      </c>
      <c r="C215" s="722" t="s">
        <v>188</v>
      </c>
      <c r="D215" s="592" t="s">
        <v>189</v>
      </c>
      <c r="E215" s="147">
        <v>7.3292200000000003</v>
      </c>
      <c r="F215" s="729"/>
      <c r="G215" s="147">
        <v>7.3292200000000003</v>
      </c>
      <c r="H215" s="147">
        <v>0</v>
      </c>
      <c r="I215" s="729"/>
      <c r="J215" s="147">
        <v>7.3292200000000003</v>
      </c>
      <c r="K215" s="147">
        <v>0</v>
      </c>
      <c r="L215" s="147">
        <v>134.34486999999999</v>
      </c>
      <c r="M215" s="729"/>
      <c r="N215" s="147">
        <v>134.34486999999999</v>
      </c>
      <c r="O215" s="147">
        <v>0</v>
      </c>
      <c r="P215" s="147">
        <v>69.648660000000007</v>
      </c>
      <c r="Q215" s="147">
        <v>64.696209999999994</v>
      </c>
      <c r="R215" s="147">
        <v>92.889382222141819</v>
      </c>
    </row>
    <row r="216" spans="1:18" ht="15.75" hidden="1" thickBot="1" x14ac:dyDescent="0.3">
      <c r="A216" s="199" t="str">
        <f t="shared" si="4"/>
        <v>Northwest Natural GaMAT CONS -PIPE SCRAP</v>
      </c>
      <c r="B216" s="149" t="s">
        <v>699</v>
      </c>
      <c r="C216" s="722" t="s">
        <v>584</v>
      </c>
      <c r="D216" s="593" t="s">
        <v>585</v>
      </c>
      <c r="E216" s="148">
        <v>1.47E-3</v>
      </c>
      <c r="F216" s="728"/>
      <c r="G216" s="148">
        <v>1.47E-3</v>
      </c>
      <c r="H216" s="148">
        <v>0</v>
      </c>
      <c r="I216" s="728"/>
      <c r="J216" s="148">
        <v>1.47E-3</v>
      </c>
      <c r="K216" s="148">
        <v>0</v>
      </c>
      <c r="L216" s="148">
        <v>7.6060000000000003E-2</v>
      </c>
      <c r="M216" s="728"/>
      <c r="N216" s="148">
        <v>7.6060000000000003E-2</v>
      </c>
      <c r="O216" s="148">
        <v>0</v>
      </c>
      <c r="P216" s="148">
        <v>2.342E-2</v>
      </c>
      <c r="Q216" s="148">
        <v>5.2639999999999999E-2</v>
      </c>
      <c r="R216" s="148">
        <v>224.76515798462853</v>
      </c>
    </row>
    <row r="217" spans="1:18" ht="15.75" hidden="1" thickBot="1" x14ac:dyDescent="0.3">
      <c r="A217" s="199" t="str">
        <f t="shared" si="4"/>
        <v>Northwest Natural GaMATERIALS - GRAVEL</v>
      </c>
      <c r="B217" s="149" t="s">
        <v>699</v>
      </c>
      <c r="C217" s="722" t="s">
        <v>586</v>
      </c>
      <c r="D217" s="591" t="s">
        <v>587</v>
      </c>
      <c r="E217" s="729"/>
      <c r="F217" s="729"/>
      <c r="G217" s="729"/>
      <c r="H217" s="729"/>
      <c r="I217" s="729"/>
      <c r="J217" s="729"/>
      <c r="K217" s="729"/>
      <c r="L217" s="147">
        <v>3.6899099999999998</v>
      </c>
      <c r="M217" s="729"/>
      <c r="N217" s="147">
        <v>3.6899099999999998</v>
      </c>
      <c r="O217" s="147">
        <v>0</v>
      </c>
      <c r="P217" s="147">
        <v>3.6899099999999998</v>
      </c>
      <c r="Q217" s="147">
        <v>0</v>
      </c>
      <c r="R217" s="147">
        <v>0</v>
      </c>
    </row>
    <row r="218" spans="1:18" ht="15.75" hidden="1" thickBot="1" x14ac:dyDescent="0.3">
      <c r="A218" s="199" t="str">
        <f t="shared" si="4"/>
        <v>Northwest Natural GaMATERIALS - OTHER</v>
      </c>
      <c r="B218" s="149" t="s">
        <v>699</v>
      </c>
      <c r="C218" s="722" t="s">
        <v>588</v>
      </c>
      <c r="D218" s="591" t="s">
        <v>589</v>
      </c>
      <c r="E218" s="148">
        <v>1.3522099999999999</v>
      </c>
      <c r="F218" s="728"/>
      <c r="G218" s="148">
        <v>1.3522099999999999</v>
      </c>
      <c r="H218" s="148">
        <v>0</v>
      </c>
      <c r="I218" s="728"/>
      <c r="J218" s="148">
        <v>1.3522099999999999</v>
      </c>
      <c r="K218" s="148">
        <v>0</v>
      </c>
      <c r="L218" s="148">
        <v>1.8162100000000001</v>
      </c>
      <c r="M218" s="728"/>
      <c r="N218" s="148">
        <v>1.8162100000000001</v>
      </c>
      <c r="O218" s="148">
        <v>0</v>
      </c>
      <c r="P218" s="148">
        <v>0.33900000000000002</v>
      </c>
      <c r="Q218" s="148">
        <v>1.4772099999999999</v>
      </c>
      <c r="R218" s="148">
        <v>435.75516224188789</v>
      </c>
    </row>
    <row r="219" spans="1:18" ht="15.75" hidden="1" thickBot="1" x14ac:dyDescent="0.3">
      <c r="A219" s="199" t="str">
        <f t="shared" si="4"/>
        <v>Northwest Natural GaMATERIALS - FTGS &amp; V</v>
      </c>
      <c r="B219" s="149" t="s">
        <v>699</v>
      </c>
      <c r="C219" s="722" t="s">
        <v>590</v>
      </c>
      <c r="D219" s="591" t="s">
        <v>591</v>
      </c>
      <c r="E219" s="729"/>
      <c r="F219" s="729"/>
      <c r="G219" s="729"/>
      <c r="H219" s="729"/>
      <c r="I219" s="729"/>
      <c r="J219" s="729"/>
      <c r="K219" s="729"/>
      <c r="L219" s="147">
        <v>2.7534200000000002</v>
      </c>
      <c r="M219" s="729"/>
      <c r="N219" s="147">
        <v>2.7534200000000002</v>
      </c>
      <c r="O219" s="147">
        <v>0</v>
      </c>
      <c r="P219" s="147">
        <v>2.7534200000000002</v>
      </c>
      <c r="Q219" s="147">
        <v>0</v>
      </c>
      <c r="R219" s="147">
        <v>0</v>
      </c>
    </row>
    <row r="220" spans="1:18" ht="15.75" hidden="1" thickBot="1" x14ac:dyDescent="0.3">
      <c r="A220" s="199" t="str">
        <f t="shared" si="4"/>
        <v>Northwest Natural GaMATERIALS - AGGREG</v>
      </c>
      <c r="B220" s="149" t="s">
        <v>699</v>
      </c>
      <c r="C220" s="722" t="s">
        <v>592</v>
      </c>
      <c r="D220" s="591" t="s">
        <v>593</v>
      </c>
      <c r="E220" s="148">
        <v>3.1053000000000002</v>
      </c>
      <c r="F220" s="728"/>
      <c r="G220" s="148">
        <v>3.1053000000000002</v>
      </c>
      <c r="H220" s="148">
        <v>0</v>
      </c>
      <c r="I220" s="728"/>
      <c r="J220" s="148">
        <v>3.1053000000000002</v>
      </c>
      <c r="K220" s="148">
        <v>0</v>
      </c>
      <c r="L220" s="148">
        <v>56.356900000000003</v>
      </c>
      <c r="M220" s="728"/>
      <c r="N220" s="148">
        <v>56.356900000000003</v>
      </c>
      <c r="O220" s="148">
        <v>0</v>
      </c>
      <c r="P220" s="148">
        <v>33.817509999999999</v>
      </c>
      <c r="Q220" s="148">
        <v>22.539390000000001</v>
      </c>
      <c r="R220" s="148">
        <v>66.650057913784906</v>
      </c>
    </row>
    <row r="221" spans="1:18" ht="15.75" hidden="1" thickBot="1" x14ac:dyDescent="0.3">
      <c r="A221" s="199" t="str">
        <f t="shared" si="4"/>
        <v>Northwest Natural GaMATERIALS - SAND</v>
      </c>
      <c r="B221" s="149" t="s">
        <v>699</v>
      </c>
      <c r="C221" s="722" t="s">
        <v>594</v>
      </c>
      <c r="D221" s="591" t="s">
        <v>595</v>
      </c>
      <c r="E221" s="729"/>
      <c r="F221" s="729"/>
      <c r="G221" s="729"/>
      <c r="H221" s="729"/>
      <c r="I221" s="729"/>
      <c r="J221" s="729"/>
      <c r="K221" s="729"/>
      <c r="L221" s="147">
        <v>0.28536</v>
      </c>
      <c r="M221" s="729"/>
      <c r="N221" s="147">
        <v>0.28536</v>
      </c>
      <c r="O221" s="147">
        <v>0</v>
      </c>
      <c r="P221" s="147">
        <v>0.28536</v>
      </c>
      <c r="Q221" s="147">
        <v>0</v>
      </c>
      <c r="R221" s="147">
        <v>0</v>
      </c>
    </row>
    <row r="222" spans="1:18" ht="15.75" hidden="1" thickBot="1" x14ac:dyDescent="0.3">
      <c r="A222" s="199" t="str">
        <f t="shared" si="4"/>
        <v>Northwest Natural GaMILEAGE REIMBURSE</v>
      </c>
      <c r="B222" s="149" t="s">
        <v>699</v>
      </c>
      <c r="C222" s="722" t="s">
        <v>137</v>
      </c>
      <c r="D222" s="591" t="s">
        <v>138</v>
      </c>
      <c r="E222" s="148">
        <v>30.393599999999999</v>
      </c>
      <c r="F222" s="148">
        <v>19.497540000000001</v>
      </c>
      <c r="G222" s="148">
        <v>10.89606</v>
      </c>
      <c r="H222" s="148">
        <v>55.884280786191489</v>
      </c>
      <c r="I222" s="728"/>
      <c r="J222" s="148">
        <v>30.393599999999999</v>
      </c>
      <c r="K222" s="148">
        <v>0</v>
      </c>
      <c r="L222" s="148">
        <v>237.67716999999999</v>
      </c>
      <c r="M222" s="148">
        <v>219.64010999999999</v>
      </c>
      <c r="N222" s="148">
        <v>18.03706</v>
      </c>
      <c r="O222" s="148">
        <v>8.2120975080553364</v>
      </c>
      <c r="P222" s="148">
        <v>111.47</v>
      </c>
      <c r="Q222" s="148">
        <v>126.20717</v>
      </c>
      <c r="R222" s="148">
        <v>113.22074997757244</v>
      </c>
    </row>
    <row r="223" spans="1:18" ht="15.75" hidden="1" thickBot="1" x14ac:dyDescent="0.3">
      <c r="A223" s="199" t="str">
        <f t="shared" si="4"/>
        <v>Northwest Natural GaTRANSPORTATION</v>
      </c>
      <c r="B223" s="149" t="s">
        <v>699</v>
      </c>
      <c r="C223" s="722" t="s">
        <v>190</v>
      </c>
      <c r="D223" s="591" t="s">
        <v>191</v>
      </c>
      <c r="E223" s="147">
        <v>63.000129999999999</v>
      </c>
      <c r="F223" s="147">
        <v>64.461429999999993</v>
      </c>
      <c r="G223" s="147">
        <v>-1.4613</v>
      </c>
      <c r="H223" s="147">
        <v>-2.2669369885216635</v>
      </c>
      <c r="I223" s="729"/>
      <c r="J223" s="147">
        <v>63.000129999999999</v>
      </c>
      <c r="K223" s="147">
        <v>0</v>
      </c>
      <c r="L223" s="147">
        <v>775.90403000000003</v>
      </c>
      <c r="M223" s="147">
        <v>770.19716000000005</v>
      </c>
      <c r="N223" s="147">
        <v>5.7068700000000003</v>
      </c>
      <c r="O223" s="147">
        <v>0.74096222323125682</v>
      </c>
      <c r="P223" s="147">
        <v>383.70591000000002</v>
      </c>
      <c r="Q223" s="147">
        <v>392.19812000000002</v>
      </c>
      <c r="R223" s="147">
        <v>102.2132080269496</v>
      </c>
    </row>
    <row r="224" spans="1:18" ht="15.75" hidden="1" thickBot="1" x14ac:dyDescent="0.3">
      <c r="A224" s="199" t="str">
        <f t="shared" si="4"/>
        <v>Northwest Natural GaEQUIPMENT</v>
      </c>
      <c r="B224" s="149" t="s">
        <v>699</v>
      </c>
      <c r="C224" s="722" t="s">
        <v>36</v>
      </c>
      <c r="D224" s="591" t="s">
        <v>192</v>
      </c>
      <c r="E224" s="148">
        <v>194.98641000000001</v>
      </c>
      <c r="F224" s="148">
        <v>259.19580999999999</v>
      </c>
      <c r="G224" s="148">
        <v>-64.209400000000002</v>
      </c>
      <c r="H224" s="148">
        <v>-24.772545512984951</v>
      </c>
      <c r="I224" s="728"/>
      <c r="J224" s="148">
        <v>194.98641000000001</v>
      </c>
      <c r="K224" s="148">
        <v>0</v>
      </c>
      <c r="L224" s="148">
        <v>3576.5586600000001</v>
      </c>
      <c r="M224" s="148">
        <v>3164.1097199999999</v>
      </c>
      <c r="N224" s="148">
        <v>412.44893999999999</v>
      </c>
      <c r="O224" s="148">
        <v>13.035228753066123</v>
      </c>
      <c r="P224" s="148">
        <v>1829.7476799999999</v>
      </c>
      <c r="Q224" s="148">
        <v>1746.81098</v>
      </c>
      <c r="R224" s="148">
        <v>95.467314925083002</v>
      </c>
    </row>
    <row r="225" spans="1:18" ht="15.75" hidden="1" thickBot="1" x14ac:dyDescent="0.3">
      <c r="A225" s="199" t="str">
        <f t="shared" si="4"/>
        <v>Northwest Natural GaEQ - NAT GAS COMPRES</v>
      </c>
      <c r="B225" s="149" t="s">
        <v>699</v>
      </c>
      <c r="C225" s="722" t="s">
        <v>596</v>
      </c>
      <c r="D225" s="591" t="s">
        <v>597</v>
      </c>
      <c r="E225" s="729"/>
      <c r="F225" s="147">
        <v>0</v>
      </c>
      <c r="G225" s="147">
        <v>0</v>
      </c>
      <c r="H225" s="147">
        <v>0</v>
      </c>
      <c r="I225" s="729"/>
      <c r="J225" s="729"/>
      <c r="K225" s="729"/>
      <c r="L225" s="729"/>
      <c r="M225" s="147">
        <v>2</v>
      </c>
      <c r="N225" s="147">
        <v>-2</v>
      </c>
      <c r="O225" s="147">
        <v>-100</v>
      </c>
      <c r="P225" s="729"/>
      <c r="Q225" s="729"/>
      <c r="R225" s="729"/>
    </row>
    <row r="226" spans="1:18" ht="15.75" hidden="1" thickBot="1" x14ac:dyDescent="0.3">
      <c r="A226" s="199" t="str">
        <f t="shared" si="4"/>
        <v>Northwest Natural GaFURNITURE</v>
      </c>
      <c r="B226" s="149" t="s">
        <v>699</v>
      </c>
      <c r="C226" s="722" t="s">
        <v>598</v>
      </c>
      <c r="D226" s="592" t="s">
        <v>168</v>
      </c>
      <c r="E226" s="148">
        <v>0.11508</v>
      </c>
      <c r="F226" s="148">
        <v>0.81123000000000001</v>
      </c>
      <c r="G226" s="148">
        <v>-0.69615000000000005</v>
      </c>
      <c r="H226" s="148">
        <v>-85.814134092674081</v>
      </c>
      <c r="I226" s="728"/>
      <c r="J226" s="148">
        <v>0.11508</v>
      </c>
      <c r="K226" s="148">
        <v>0</v>
      </c>
      <c r="L226" s="148">
        <v>10.98316</v>
      </c>
      <c r="M226" s="148">
        <v>7.8009199999999996</v>
      </c>
      <c r="N226" s="148">
        <v>3.1822400000000002</v>
      </c>
      <c r="O226" s="148">
        <v>40.793137219712548</v>
      </c>
      <c r="P226" s="148">
        <v>9.4567999999999994</v>
      </c>
      <c r="Q226" s="148">
        <v>1.5263599999999999</v>
      </c>
      <c r="R226" s="148">
        <v>16.140343456560359</v>
      </c>
    </row>
    <row r="227" spans="1:18" ht="15.75" hidden="1" thickBot="1" x14ac:dyDescent="0.3">
      <c r="A227" s="199" t="str">
        <f t="shared" ref="A227:A290" si="5">B227&amp;C227</f>
        <v>Northwest Natural GaDUES/MEMBERSHIP</v>
      </c>
      <c r="B227" s="149" t="s">
        <v>699</v>
      </c>
      <c r="C227" s="722" t="s">
        <v>139</v>
      </c>
      <c r="D227" s="591" t="s">
        <v>140</v>
      </c>
      <c r="E227" s="147">
        <v>70.505830000000003</v>
      </c>
      <c r="F227" s="147">
        <v>46.209479999999999</v>
      </c>
      <c r="G227" s="147">
        <v>24.29635</v>
      </c>
      <c r="H227" s="147">
        <v>52.578713285672116</v>
      </c>
      <c r="I227" s="729"/>
      <c r="J227" s="147">
        <v>70.505830000000003</v>
      </c>
      <c r="K227" s="147">
        <v>0</v>
      </c>
      <c r="L227" s="147">
        <v>1601.2969800000001</v>
      </c>
      <c r="M227" s="147">
        <v>978.97916999999995</v>
      </c>
      <c r="N227" s="147">
        <v>622.31781000000001</v>
      </c>
      <c r="O227" s="147">
        <v>63.568033832629965</v>
      </c>
      <c r="P227" s="147">
        <v>1189.30882</v>
      </c>
      <c r="Q227" s="147">
        <v>411.98815999999999</v>
      </c>
      <c r="R227" s="147">
        <v>34.640974074336725</v>
      </c>
    </row>
    <row r="228" spans="1:18" ht="15.75" hidden="1" thickBot="1" x14ac:dyDescent="0.3">
      <c r="A228" s="199" t="str">
        <f t="shared" si="5"/>
        <v>Northwest Natural GaOFFICE CONTRACT WORK</v>
      </c>
      <c r="B228" s="149" t="s">
        <v>699</v>
      </c>
      <c r="C228" s="722" t="s">
        <v>169</v>
      </c>
      <c r="D228" s="591" t="s">
        <v>170</v>
      </c>
      <c r="E228" s="148">
        <v>23.233250000000002</v>
      </c>
      <c r="F228" s="148">
        <v>21.340330000000002</v>
      </c>
      <c r="G228" s="148">
        <v>1.8929199999999999</v>
      </c>
      <c r="H228" s="148">
        <v>8.8701533668879531</v>
      </c>
      <c r="I228" s="728"/>
      <c r="J228" s="148">
        <v>23.233250000000002</v>
      </c>
      <c r="K228" s="148">
        <v>0</v>
      </c>
      <c r="L228" s="148">
        <v>412.59079000000003</v>
      </c>
      <c r="M228" s="148">
        <v>275.10890999999998</v>
      </c>
      <c r="N228" s="148">
        <v>137.48187999999999</v>
      </c>
      <c r="O228" s="148">
        <v>49.973619538531125</v>
      </c>
      <c r="P228" s="148">
        <v>216.14801</v>
      </c>
      <c r="Q228" s="148">
        <v>196.44278</v>
      </c>
      <c r="R228" s="148">
        <v>90.883455276780012</v>
      </c>
    </row>
    <row r="229" spans="1:18" ht="15.75" hidden="1" thickBot="1" x14ac:dyDescent="0.3">
      <c r="A229" s="199" t="str">
        <f t="shared" si="5"/>
        <v>Northwest Natural GaOTHER CONTRACT WORK</v>
      </c>
      <c r="B229" s="149" t="s">
        <v>699</v>
      </c>
      <c r="C229" s="722" t="s">
        <v>101</v>
      </c>
      <c r="D229" s="591" t="s">
        <v>102</v>
      </c>
      <c r="E229" s="147">
        <v>1192.67392</v>
      </c>
      <c r="F229" s="147">
        <v>668.00392999999997</v>
      </c>
      <c r="G229" s="147">
        <v>524.66998999999998</v>
      </c>
      <c r="H229" s="147">
        <v>78.542949590131897</v>
      </c>
      <c r="I229" s="729"/>
      <c r="J229" s="147">
        <v>1192.67392</v>
      </c>
      <c r="K229" s="147">
        <v>0</v>
      </c>
      <c r="L229" s="147">
        <v>12163.75446</v>
      </c>
      <c r="M229" s="147">
        <v>12419.355219999999</v>
      </c>
      <c r="N229" s="147">
        <v>-255.60076000000001</v>
      </c>
      <c r="O229" s="147">
        <v>-2.0580839783725904</v>
      </c>
      <c r="P229" s="147">
        <v>5522.1929899999996</v>
      </c>
      <c r="Q229" s="147">
        <v>6641.5614699999996</v>
      </c>
      <c r="R229" s="147">
        <v>120.27036146739232</v>
      </c>
    </row>
    <row r="230" spans="1:18" ht="15.75" hidden="1" thickBot="1" x14ac:dyDescent="0.3">
      <c r="A230" s="199" t="str">
        <f t="shared" si="5"/>
        <v>Northwest Natural GaENVIRONMENTAL</v>
      </c>
      <c r="B230" s="149" t="s">
        <v>699</v>
      </c>
      <c r="C230" s="722" t="s">
        <v>599</v>
      </c>
      <c r="D230" s="591" t="s">
        <v>600</v>
      </c>
      <c r="E230" s="728"/>
      <c r="F230" s="728"/>
      <c r="G230" s="728"/>
      <c r="H230" s="728"/>
      <c r="I230" s="728"/>
      <c r="J230" s="728"/>
      <c r="K230" s="728"/>
      <c r="L230" s="148">
        <v>2.1974999999999998</v>
      </c>
      <c r="M230" s="728"/>
      <c r="N230" s="148">
        <v>2.1974999999999998</v>
      </c>
      <c r="O230" s="148">
        <v>0</v>
      </c>
      <c r="P230" s="148">
        <v>2.1974999999999998</v>
      </c>
      <c r="Q230" s="148">
        <v>0</v>
      </c>
      <c r="R230" s="148">
        <v>0</v>
      </c>
    </row>
    <row r="231" spans="1:18" ht="15.75" hidden="1" thickBot="1" x14ac:dyDescent="0.3">
      <c r="A231" s="199" t="str">
        <f t="shared" si="5"/>
        <v>Northwest Natural GaWATER SUPPLY</v>
      </c>
      <c r="B231" s="149" t="s">
        <v>699</v>
      </c>
      <c r="C231" s="722" t="s">
        <v>601</v>
      </c>
      <c r="D231" s="591" t="s">
        <v>602</v>
      </c>
      <c r="E231" s="147">
        <v>-1.32</v>
      </c>
      <c r="F231" s="729"/>
      <c r="G231" s="147">
        <v>-1.32</v>
      </c>
      <c r="H231" s="147">
        <v>0</v>
      </c>
      <c r="I231" s="729"/>
      <c r="J231" s="147">
        <v>-1.32</v>
      </c>
      <c r="K231" s="147">
        <v>0</v>
      </c>
      <c r="L231" s="147">
        <v>0</v>
      </c>
      <c r="M231" s="729"/>
      <c r="N231" s="147">
        <v>0</v>
      </c>
      <c r="O231" s="147">
        <v>0</v>
      </c>
      <c r="P231" s="729"/>
      <c r="Q231" s="147">
        <v>0</v>
      </c>
      <c r="R231" s="147">
        <v>0</v>
      </c>
    </row>
    <row r="232" spans="1:18" ht="15.75" hidden="1" thickBot="1" x14ac:dyDescent="0.3">
      <c r="A232" s="199" t="str">
        <f t="shared" si="5"/>
        <v>Northwest Natural GaTRUCKING AND HAULING</v>
      </c>
      <c r="B232" s="149" t="s">
        <v>699</v>
      </c>
      <c r="C232" s="722" t="s">
        <v>603</v>
      </c>
      <c r="D232" s="591" t="s">
        <v>604</v>
      </c>
      <c r="E232" s="728"/>
      <c r="F232" s="728"/>
      <c r="G232" s="728"/>
      <c r="H232" s="728"/>
      <c r="I232" s="728"/>
      <c r="J232" s="728"/>
      <c r="K232" s="728"/>
      <c r="L232" s="148">
        <v>2.36</v>
      </c>
      <c r="M232" s="728"/>
      <c r="N232" s="148">
        <v>2.36</v>
      </c>
      <c r="O232" s="148">
        <v>0</v>
      </c>
      <c r="P232" s="148">
        <v>1.7</v>
      </c>
      <c r="Q232" s="148">
        <v>0.66</v>
      </c>
      <c r="R232" s="148">
        <v>38.823529411764703</v>
      </c>
    </row>
    <row r="233" spans="1:18" ht="15.75" hidden="1" thickBot="1" x14ac:dyDescent="0.3">
      <c r="A233" s="199" t="str">
        <f t="shared" si="5"/>
        <v>Northwest Natural GaSIDEBOOM</v>
      </c>
      <c r="B233" s="149" t="s">
        <v>699</v>
      </c>
      <c r="C233" s="722" t="s">
        <v>605</v>
      </c>
      <c r="D233" s="591" t="s">
        <v>606</v>
      </c>
      <c r="E233" s="147">
        <v>-0.8</v>
      </c>
      <c r="F233" s="729"/>
      <c r="G233" s="147">
        <v>-0.8</v>
      </c>
      <c r="H233" s="147">
        <v>0</v>
      </c>
      <c r="I233" s="729"/>
      <c r="J233" s="147">
        <v>-0.8</v>
      </c>
      <c r="K233" s="147">
        <v>0</v>
      </c>
      <c r="L233" s="147">
        <v>29.794</v>
      </c>
      <c r="M233" s="729"/>
      <c r="N233" s="147">
        <v>29.794</v>
      </c>
      <c r="O233" s="147">
        <v>0</v>
      </c>
      <c r="P233" s="147">
        <v>17.6496</v>
      </c>
      <c r="Q233" s="147">
        <v>12.144399999999999</v>
      </c>
      <c r="R233" s="147">
        <v>68.808358263076784</v>
      </c>
    </row>
    <row r="234" spans="1:18" ht="15.75" hidden="1" thickBot="1" x14ac:dyDescent="0.3">
      <c r="A234" s="199" t="str">
        <f t="shared" si="5"/>
        <v>Northwest Natural GaTRACKHOE</v>
      </c>
      <c r="B234" s="149" t="s">
        <v>699</v>
      </c>
      <c r="C234" s="722" t="s">
        <v>218</v>
      </c>
      <c r="D234" s="591" t="s">
        <v>219</v>
      </c>
      <c r="E234" s="148">
        <v>-2.0649999999999999</v>
      </c>
      <c r="F234" s="728"/>
      <c r="G234" s="148">
        <v>-2.0649999999999999</v>
      </c>
      <c r="H234" s="148">
        <v>0</v>
      </c>
      <c r="I234" s="728"/>
      <c r="J234" s="148">
        <v>-2.0649999999999999</v>
      </c>
      <c r="K234" s="148">
        <v>0</v>
      </c>
      <c r="L234" s="148">
        <v>37.841810000000002</v>
      </c>
      <c r="M234" s="728"/>
      <c r="N234" s="148">
        <v>37.841810000000002</v>
      </c>
      <c r="O234" s="148">
        <v>0</v>
      </c>
      <c r="P234" s="148">
        <v>35.442250000000001</v>
      </c>
      <c r="Q234" s="148">
        <v>2.3995600000000001</v>
      </c>
      <c r="R234" s="148">
        <v>6.7703376619712348</v>
      </c>
    </row>
    <row r="235" spans="1:18" ht="15.75" hidden="1" thickBot="1" x14ac:dyDescent="0.3">
      <c r="A235" s="199" t="str">
        <f t="shared" si="5"/>
        <v>Northwest Natural GaBID MAIN WORK</v>
      </c>
      <c r="B235" s="149" t="s">
        <v>699</v>
      </c>
      <c r="C235" s="722" t="s">
        <v>607</v>
      </c>
      <c r="D235" s="591" t="s">
        <v>608</v>
      </c>
      <c r="E235" s="729"/>
      <c r="F235" s="729"/>
      <c r="G235" s="729"/>
      <c r="H235" s="729"/>
      <c r="I235" s="729"/>
      <c r="J235" s="729"/>
      <c r="K235" s="729"/>
      <c r="L235" s="147">
        <v>30.815819999999999</v>
      </c>
      <c r="M235" s="729"/>
      <c r="N235" s="147">
        <v>30.815819999999999</v>
      </c>
      <c r="O235" s="147">
        <v>0</v>
      </c>
      <c r="P235" s="147">
        <v>4.0235599999999998</v>
      </c>
      <c r="Q235" s="147">
        <v>26.792259999999999</v>
      </c>
      <c r="R235" s="147">
        <v>665.88444064460327</v>
      </c>
    </row>
    <row r="236" spans="1:18" ht="15.75" hidden="1" thickBot="1" x14ac:dyDescent="0.3">
      <c r="A236" s="199" t="str">
        <f t="shared" si="5"/>
        <v>Northwest Natural GaFENCING</v>
      </c>
      <c r="B236" s="149" t="s">
        <v>699</v>
      </c>
      <c r="C236" s="722" t="s">
        <v>609</v>
      </c>
      <c r="D236" s="591" t="s">
        <v>610</v>
      </c>
      <c r="E236" s="728"/>
      <c r="F236" s="728"/>
      <c r="G236" s="728"/>
      <c r="H236" s="728"/>
      <c r="I236" s="728"/>
      <c r="J236" s="728"/>
      <c r="K236" s="728"/>
      <c r="L236" s="148">
        <v>0.47049999999999997</v>
      </c>
      <c r="M236" s="728"/>
      <c r="N236" s="148">
        <v>0.47049999999999997</v>
      </c>
      <c r="O236" s="148">
        <v>0</v>
      </c>
      <c r="P236" s="728"/>
      <c r="Q236" s="148">
        <v>0.47049999999999997</v>
      </c>
      <c r="R236" s="148">
        <v>0</v>
      </c>
    </row>
    <row r="237" spans="1:18" ht="15.75" hidden="1" thickBot="1" x14ac:dyDescent="0.3">
      <c r="A237" s="199" t="str">
        <f t="shared" si="5"/>
        <v>Northwest Natural GaWELDING</v>
      </c>
      <c r="B237" s="149" t="s">
        <v>699</v>
      </c>
      <c r="C237" s="722" t="s">
        <v>462</v>
      </c>
      <c r="D237" s="591" t="s">
        <v>463</v>
      </c>
      <c r="E237" s="147">
        <v>8.6925500000000007</v>
      </c>
      <c r="F237" s="729"/>
      <c r="G237" s="147">
        <v>8.6925500000000007</v>
      </c>
      <c r="H237" s="147">
        <v>0</v>
      </c>
      <c r="I237" s="729"/>
      <c r="J237" s="147">
        <v>8.6925500000000007</v>
      </c>
      <c r="K237" s="147">
        <v>0</v>
      </c>
      <c r="L237" s="147">
        <v>92.487309999999994</v>
      </c>
      <c r="M237" s="729"/>
      <c r="N237" s="147">
        <v>92.487309999999994</v>
      </c>
      <c r="O237" s="147">
        <v>0</v>
      </c>
      <c r="P237" s="147">
        <v>37.848039999999997</v>
      </c>
      <c r="Q237" s="147">
        <v>54.639270000000003</v>
      </c>
      <c r="R237" s="147">
        <v>144.36486010900433</v>
      </c>
    </row>
    <row r="238" spans="1:18" ht="15.75" hidden="1" thickBot="1" x14ac:dyDescent="0.3">
      <c r="A238" s="199" t="str">
        <f t="shared" si="5"/>
        <v>Northwest Natural GaCONCRETE PAVING</v>
      </c>
      <c r="B238" s="149" t="s">
        <v>699</v>
      </c>
      <c r="C238" s="722" t="s">
        <v>611</v>
      </c>
      <c r="D238" s="591" t="s">
        <v>612</v>
      </c>
      <c r="E238" s="728"/>
      <c r="F238" s="728"/>
      <c r="G238" s="728"/>
      <c r="H238" s="728"/>
      <c r="I238" s="728"/>
      <c r="J238" s="728"/>
      <c r="K238" s="728"/>
      <c r="L238" s="148">
        <v>0</v>
      </c>
      <c r="M238" s="728"/>
      <c r="N238" s="148">
        <v>0</v>
      </c>
      <c r="O238" s="148">
        <v>0</v>
      </c>
      <c r="P238" s="148">
        <v>0</v>
      </c>
      <c r="Q238" s="148">
        <v>0</v>
      </c>
      <c r="R238" s="148">
        <v>0</v>
      </c>
    </row>
    <row r="239" spans="1:18" ht="15.75" hidden="1" thickBot="1" x14ac:dyDescent="0.3">
      <c r="A239" s="199" t="str">
        <f t="shared" si="5"/>
        <v>Northwest Natural GaVACUUM TRUCK</v>
      </c>
      <c r="B239" s="149" t="s">
        <v>699</v>
      </c>
      <c r="C239" s="722" t="s">
        <v>613</v>
      </c>
      <c r="D239" s="591" t="s">
        <v>614</v>
      </c>
      <c r="E239" s="147">
        <v>6.7050000000000001</v>
      </c>
      <c r="F239" s="729"/>
      <c r="G239" s="147">
        <v>6.7050000000000001</v>
      </c>
      <c r="H239" s="147">
        <v>0</v>
      </c>
      <c r="I239" s="729"/>
      <c r="J239" s="147">
        <v>6.7050000000000001</v>
      </c>
      <c r="K239" s="147">
        <v>0</v>
      </c>
      <c r="L239" s="147">
        <v>67.913989999999998</v>
      </c>
      <c r="M239" s="729"/>
      <c r="N239" s="147">
        <v>67.913989999999998</v>
      </c>
      <c r="O239" s="147">
        <v>0</v>
      </c>
      <c r="P239" s="147">
        <v>22.390450000000001</v>
      </c>
      <c r="Q239" s="147">
        <v>45.523539999999997</v>
      </c>
      <c r="R239" s="147">
        <v>203.31677121272685</v>
      </c>
    </row>
    <row r="240" spans="1:18" ht="15.75" hidden="1" thickBot="1" x14ac:dyDescent="0.3">
      <c r="A240" s="199" t="str">
        <f t="shared" si="5"/>
        <v>Northwest Natural GaDUMP TRUCK</v>
      </c>
      <c r="B240" s="149" t="s">
        <v>699</v>
      </c>
      <c r="C240" s="722" t="s">
        <v>615</v>
      </c>
      <c r="D240" s="591" t="s">
        <v>616</v>
      </c>
      <c r="E240" s="148">
        <v>1.67197</v>
      </c>
      <c r="F240" s="728"/>
      <c r="G240" s="148">
        <v>1.67197</v>
      </c>
      <c r="H240" s="148">
        <v>0</v>
      </c>
      <c r="I240" s="728"/>
      <c r="J240" s="148">
        <v>1.67197</v>
      </c>
      <c r="K240" s="148">
        <v>0</v>
      </c>
      <c r="L240" s="148">
        <v>37.872140000000002</v>
      </c>
      <c r="M240" s="728"/>
      <c r="N240" s="148">
        <v>37.872140000000002</v>
      </c>
      <c r="O240" s="148">
        <v>0</v>
      </c>
      <c r="P240" s="148">
        <v>16.422750000000001</v>
      </c>
      <c r="Q240" s="148">
        <v>21.449390000000001</v>
      </c>
      <c r="R240" s="148">
        <v>130.60778493248694</v>
      </c>
    </row>
    <row r="241" spans="1:18" ht="15.75" hidden="1" thickBot="1" x14ac:dyDescent="0.3">
      <c r="A241" s="199" t="str">
        <f t="shared" si="5"/>
        <v>Northwest Natural GaFLAGGING</v>
      </c>
      <c r="B241" s="149" t="s">
        <v>699</v>
      </c>
      <c r="C241" s="722" t="s">
        <v>193</v>
      </c>
      <c r="D241" s="591" t="s">
        <v>194</v>
      </c>
      <c r="E241" s="147">
        <v>30.026450000000001</v>
      </c>
      <c r="F241" s="147">
        <v>1</v>
      </c>
      <c r="G241" s="147">
        <v>29.026450000000001</v>
      </c>
      <c r="H241" s="147">
        <v>2902.645</v>
      </c>
      <c r="I241" s="729"/>
      <c r="J241" s="147">
        <v>30.026450000000001</v>
      </c>
      <c r="K241" s="147">
        <v>0</v>
      </c>
      <c r="L241" s="147">
        <v>529.48005999999998</v>
      </c>
      <c r="M241" s="147">
        <v>12</v>
      </c>
      <c r="N241" s="147">
        <v>517.48005999999998</v>
      </c>
      <c r="O241" s="147">
        <v>4312.3338333333331</v>
      </c>
      <c r="P241" s="147">
        <v>228.36834999999999</v>
      </c>
      <c r="Q241" s="147">
        <v>301.11171000000002</v>
      </c>
      <c r="R241" s="147">
        <v>131.85352085785968</v>
      </c>
    </row>
    <row r="242" spans="1:18" ht="15.75" hidden="1" thickBot="1" x14ac:dyDescent="0.3">
      <c r="A242" s="199" t="str">
        <f t="shared" si="5"/>
        <v>Northwest Natural GaGEO LOGICAL  SVC</v>
      </c>
      <c r="B242" s="149" t="s">
        <v>699</v>
      </c>
      <c r="C242" s="722" t="s">
        <v>617</v>
      </c>
      <c r="D242" s="591" t="s">
        <v>618</v>
      </c>
      <c r="E242" s="148">
        <v>0.26</v>
      </c>
      <c r="F242" s="728"/>
      <c r="G242" s="148">
        <v>0.26</v>
      </c>
      <c r="H242" s="148">
        <v>0</v>
      </c>
      <c r="I242" s="728"/>
      <c r="J242" s="148">
        <v>0.26</v>
      </c>
      <c r="K242" s="148">
        <v>0</v>
      </c>
      <c r="L242" s="148">
        <v>1.3</v>
      </c>
      <c r="M242" s="728"/>
      <c r="N242" s="148">
        <v>1.3</v>
      </c>
      <c r="O242" s="148">
        <v>0</v>
      </c>
      <c r="P242" s="728"/>
      <c r="Q242" s="148">
        <v>1.3</v>
      </c>
      <c r="R242" s="148">
        <v>0</v>
      </c>
    </row>
    <row r="243" spans="1:18" ht="15.75" hidden="1" thickBot="1" x14ac:dyDescent="0.3">
      <c r="A243" s="199" t="str">
        <f t="shared" si="5"/>
        <v>Northwest Natural GaASPHALT PAVING</v>
      </c>
      <c r="B243" s="149" t="s">
        <v>699</v>
      </c>
      <c r="C243" s="722" t="s">
        <v>195</v>
      </c>
      <c r="D243" s="591" t="s">
        <v>196</v>
      </c>
      <c r="E243" s="147">
        <v>30.108350000000002</v>
      </c>
      <c r="F243" s="729"/>
      <c r="G243" s="147">
        <v>30.108350000000002</v>
      </c>
      <c r="H243" s="147">
        <v>0</v>
      </c>
      <c r="I243" s="729"/>
      <c r="J243" s="147">
        <v>30.108350000000002</v>
      </c>
      <c r="K243" s="147">
        <v>0</v>
      </c>
      <c r="L243" s="147">
        <v>284.83035999999998</v>
      </c>
      <c r="M243" s="729"/>
      <c r="N243" s="147">
        <v>284.83035999999998</v>
      </c>
      <c r="O243" s="147">
        <v>0</v>
      </c>
      <c r="P243" s="147">
        <v>123.15725999999999</v>
      </c>
      <c r="Q243" s="147">
        <v>161.67310000000001</v>
      </c>
      <c r="R243" s="147">
        <v>131.27370647901716</v>
      </c>
    </row>
    <row r="244" spans="1:18" ht="15.75" hidden="1" thickBot="1" x14ac:dyDescent="0.3">
      <c r="A244" s="199" t="str">
        <f t="shared" si="5"/>
        <v>Northwest Natural GaSAW CUTS</v>
      </c>
      <c r="B244" s="149" t="s">
        <v>699</v>
      </c>
      <c r="C244" s="722" t="s">
        <v>197</v>
      </c>
      <c r="D244" s="591" t="s">
        <v>198</v>
      </c>
      <c r="E244" s="148">
        <v>5.5532000000000004</v>
      </c>
      <c r="F244" s="728"/>
      <c r="G244" s="148">
        <v>5.5532000000000004</v>
      </c>
      <c r="H244" s="148">
        <v>0</v>
      </c>
      <c r="I244" s="728"/>
      <c r="J244" s="148">
        <v>5.5532000000000004</v>
      </c>
      <c r="K244" s="148">
        <v>0</v>
      </c>
      <c r="L244" s="148">
        <v>101.44773000000001</v>
      </c>
      <c r="M244" s="728"/>
      <c r="N244" s="148">
        <v>101.44773000000001</v>
      </c>
      <c r="O244" s="148">
        <v>0</v>
      </c>
      <c r="P244" s="148">
        <v>52.40981</v>
      </c>
      <c r="Q244" s="148">
        <v>49.03792</v>
      </c>
      <c r="R244" s="148">
        <v>93.566299896908617</v>
      </c>
    </row>
    <row r="245" spans="1:18" ht="15.75" hidden="1" thickBot="1" x14ac:dyDescent="0.3">
      <c r="A245" s="199" t="str">
        <f t="shared" si="5"/>
        <v>Northwest Natural GaBENEFITS</v>
      </c>
      <c r="B245" s="149" t="s">
        <v>699</v>
      </c>
      <c r="C245" s="722" t="s">
        <v>485</v>
      </c>
      <c r="D245" s="591" t="s">
        <v>486</v>
      </c>
      <c r="E245" s="147">
        <v>1039.96298</v>
      </c>
      <c r="F245" s="147">
        <v>1289.51289</v>
      </c>
      <c r="G245" s="147">
        <v>-249.54991000000001</v>
      </c>
      <c r="H245" s="147">
        <v>-19.352261767619865</v>
      </c>
      <c r="I245" s="729"/>
      <c r="J245" s="147">
        <v>1039.96298</v>
      </c>
      <c r="K245" s="147">
        <v>0</v>
      </c>
      <c r="L245" s="147">
        <v>18227.24092</v>
      </c>
      <c r="M245" s="147">
        <v>16333.96596</v>
      </c>
      <c r="N245" s="147">
        <v>1893.27496</v>
      </c>
      <c r="O245" s="147">
        <v>11.591030400310691</v>
      </c>
      <c r="P245" s="147">
        <v>8734.7335199999998</v>
      </c>
      <c r="Q245" s="147">
        <v>9492.5074000000004</v>
      </c>
      <c r="R245" s="147">
        <v>108.67540925278279</v>
      </c>
    </row>
    <row r="246" spans="1:18" ht="15.75" hidden="1" thickBot="1" x14ac:dyDescent="0.3">
      <c r="A246" s="199" t="str">
        <f t="shared" si="5"/>
        <v>Northwest Natural GaRENTS AND LEASES</v>
      </c>
      <c r="B246" s="149" t="s">
        <v>699</v>
      </c>
      <c r="C246" s="722" t="s">
        <v>464</v>
      </c>
      <c r="D246" s="592" t="s">
        <v>465</v>
      </c>
      <c r="E246" s="148">
        <v>412.61381999999998</v>
      </c>
      <c r="F246" s="148">
        <v>424.35275000000001</v>
      </c>
      <c r="G246" s="148">
        <v>-11.73893</v>
      </c>
      <c r="H246" s="148">
        <v>-2.7663141101359661</v>
      </c>
      <c r="I246" s="728"/>
      <c r="J246" s="148">
        <v>412.61381999999998</v>
      </c>
      <c r="K246" s="148">
        <v>0</v>
      </c>
      <c r="L246" s="148">
        <v>4900.6714499999998</v>
      </c>
      <c r="M246" s="148">
        <v>4981.7319200000002</v>
      </c>
      <c r="N246" s="148">
        <v>-81.060469999999995</v>
      </c>
      <c r="O246" s="148">
        <v>-1.627154397340594</v>
      </c>
      <c r="P246" s="148">
        <v>2418.25837</v>
      </c>
      <c r="Q246" s="148">
        <v>2482.4130799999998</v>
      </c>
      <c r="R246" s="148">
        <v>102.65293034011084</v>
      </c>
    </row>
    <row r="247" spans="1:18" ht="15.75" hidden="1" thickBot="1" x14ac:dyDescent="0.3">
      <c r="A247" s="199" t="str">
        <f t="shared" si="5"/>
        <v>Northwest Natural GaTOOLS AND EQUIP RENT</v>
      </c>
      <c r="B247" s="149" t="s">
        <v>699</v>
      </c>
      <c r="C247" s="722" t="s">
        <v>619</v>
      </c>
      <c r="D247" s="593" t="s">
        <v>620</v>
      </c>
      <c r="E247" s="147">
        <v>0.63444</v>
      </c>
      <c r="F247" s="729"/>
      <c r="G247" s="147">
        <v>0.63444</v>
      </c>
      <c r="H247" s="147">
        <v>0</v>
      </c>
      <c r="I247" s="729"/>
      <c r="J247" s="147">
        <v>0.63444</v>
      </c>
      <c r="K247" s="147">
        <v>0</v>
      </c>
      <c r="L247" s="147">
        <v>121.65025</v>
      </c>
      <c r="M247" s="729"/>
      <c r="N247" s="147">
        <v>121.65025</v>
      </c>
      <c r="O247" s="147">
        <v>0</v>
      </c>
      <c r="P247" s="147">
        <v>80.334019999999995</v>
      </c>
      <c r="Q247" s="147">
        <v>41.316229999999997</v>
      </c>
      <c r="R247" s="147">
        <v>51.430552087397096</v>
      </c>
    </row>
    <row r="248" spans="1:18" ht="15.75" hidden="1" thickBot="1" x14ac:dyDescent="0.3">
      <c r="A248" s="199" t="str">
        <f t="shared" si="5"/>
        <v>Northwest Natural GaLARGE EQUIPMENT RENT</v>
      </c>
      <c r="B248" s="149" t="s">
        <v>699</v>
      </c>
      <c r="C248" s="722" t="s">
        <v>621</v>
      </c>
      <c r="D248" s="591" t="s">
        <v>622</v>
      </c>
      <c r="E248" s="728"/>
      <c r="F248" s="728"/>
      <c r="G248" s="728"/>
      <c r="H248" s="728"/>
      <c r="I248" s="728"/>
      <c r="J248" s="728"/>
      <c r="K248" s="728"/>
      <c r="L248" s="148">
        <v>6.0323000000000002</v>
      </c>
      <c r="M248" s="728"/>
      <c r="N248" s="148">
        <v>6.0323000000000002</v>
      </c>
      <c r="O248" s="148">
        <v>0</v>
      </c>
      <c r="P248" s="148">
        <v>4.18865</v>
      </c>
      <c r="Q248" s="148">
        <v>1.84365</v>
      </c>
      <c r="R248" s="148">
        <v>44.015374882121925</v>
      </c>
    </row>
    <row r="249" spans="1:18" ht="15.75" hidden="1" thickBot="1" x14ac:dyDescent="0.3">
      <c r="A249" s="199" t="str">
        <f t="shared" si="5"/>
        <v>Northwest Natural GaSTORAGE LEASES</v>
      </c>
      <c r="B249" s="149" t="s">
        <v>699</v>
      </c>
      <c r="C249" s="722" t="s">
        <v>623</v>
      </c>
      <c r="D249" s="591" t="s">
        <v>624</v>
      </c>
      <c r="E249" s="147">
        <v>39.677500000000002</v>
      </c>
      <c r="F249" s="147">
        <v>15.683770000000001</v>
      </c>
      <c r="G249" s="147">
        <v>23.993729999999999</v>
      </c>
      <c r="H249" s="147">
        <v>152.98445463048745</v>
      </c>
      <c r="I249" s="729"/>
      <c r="J249" s="147">
        <v>39.677500000000002</v>
      </c>
      <c r="K249" s="147">
        <v>0</v>
      </c>
      <c r="L249" s="147">
        <v>262.67471999999998</v>
      </c>
      <c r="M249" s="147">
        <v>266.83769999999998</v>
      </c>
      <c r="N249" s="147">
        <v>-4.1629800000000001</v>
      </c>
      <c r="O249" s="147">
        <v>-1.560116880036067</v>
      </c>
      <c r="P249" s="147">
        <v>127.14894</v>
      </c>
      <c r="Q249" s="147">
        <v>135.52578</v>
      </c>
      <c r="R249" s="147">
        <v>106.58821064493341</v>
      </c>
    </row>
    <row r="250" spans="1:18" ht="15.75" hidden="1" thickBot="1" x14ac:dyDescent="0.3">
      <c r="A250" s="199" t="str">
        <f t="shared" si="5"/>
        <v>Northwest Natural GaMISCELLANEOUS</v>
      </c>
      <c r="B250" s="149" t="s">
        <v>699</v>
      </c>
      <c r="C250" s="722" t="s">
        <v>103</v>
      </c>
      <c r="D250" s="591" t="s">
        <v>104</v>
      </c>
      <c r="E250" s="148">
        <v>-52.688609999999997</v>
      </c>
      <c r="F250" s="148">
        <v>26.625</v>
      </c>
      <c r="G250" s="148">
        <v>-79.313609999999997</v>
      </c>
      <c r="H250" s="148">
        <v>-297.89149295774649</v>
      </c>
      <c r="I250" s="728"/>
      <c r="J250" s="148">
        <v>-52.688609999999997</v>
      </c>
      <c r="K250" s="148">
        <v>0</v>
      </c>
      <c r="L250" s="148">
        <v>8.0761400000000005</v>
      </c>
      <c r="M250" s="148">
        <v>69.5</v>
      </c>
      <c r="N250" s="148">
        <v>-61.423859999999998</v>
      </c>
      <c r="O250" s="148">
        <v>-88.379654676258994</v>
      </c>
      <c r="P250" s="148">
        <v>24.310089999999999</v>
      </c>
      <c r="Q250" s="148">
        <v>-16.23395</v>
      </c>
      <c r="R250" s="148">
        <v>-66.778650346419937</v>
      </c>
    </row>
    <row r="251" spans="1:18" ht="15.75" hidden="1" thickBot="1" x14ac:dyDescent="0.3">
      <c r="A251" s="199" t="str">
        <f t="shared" si="5"/>
        <v>Northwest Natural GaCIAC RECEIPTS</v>
      </c>
      <c r="B251" s="149" t="s">
        <v>699</v>
      </c>
      <c r="C251" s="722" t="s">
        <v>625</v>
      </c>
      <c r="D251" s="591" t="s">
        <v>626</v>
      </c>
      <c r="E251" s="729"/>
      <c r="F251" s="729"/>
      <c r="G251" s="729"/>
      <c r="H251" s="729"/>
      <c r="I251" s="729"/>
      <c r="J251" s="729"/>
      <c r="K251" s="729"/>
      <c r="L251" s="147">
        <v>-0.52500000000000002</v>
      </c>
      <c r="M251" s="729"/>
      <c r="N251" s="147">
        <v>-0.52500000000000002</v>
      </c>
      <c r="O251" s="147">
        <v>0</v>
      </c>
      <c r="P251" s="147">
        <v>-0.52500000000000002</v>
      </c>
      <c r="Q251" s="147">
        <v>0</v>
      </c>
      <c r="R251" s="147">
        <v>0</v>
      </c>
    </row>
    <row r="252" spans="1:18" ht="15.75" hidden="1" thickBot="1" x14ac:dyDescent="0.3">
      <c r="A252" s="199" t="str">
        <f t="shared" si="5"/>
        <v>Northwest Natural GaP CARD UNCODED CHARG</v>
      </c>
      <c r="B252" s="149" t="s">
        <v>699</v>
      </c>
      <c r="C252" s="722" t="s">
        <v>71</v>
      </c>
      <c r="D252" s="591" t="s">
        <v>72</v>
      </c>
      <c r="E252" s="148">
        <v>0.15246000000000001</v>
      </c>
      <c r="F252" s="728"/>
      <c r="G252" s="148">
        <v>0.15246000000000001</v>
      </c>
      <c r="H252" s="148">
        <v>0</v>
      </c>
      <c r="I252" s="728"/>
      <c r="J252" s="148">
        <v>0.15246000000000001</v>
      </c>
      <c r="K252" s="148">
        <v>0</v>
      </c>
      <c r="L252" s="148">
        <v>6.1396499999999996</v>
      </c>
      <c r="M252" s="728"/>
      <c r="N252" s="148">
        <v>6.1396499999999996</v>
      </c>
      <c r="O252" s="148">
        <v>0</v>
      </c>
      <c r="P252" s="148">
        <v>8.0163499999999992</v>
      </c>
      <c r="Q252" s="148">
        <v>-1.8767</v>
      </c>
      <c r="R252" s="148">
        <v>-23.410903965021486</v>
      </c>
    </row>
    <row r="253" spans="1:18" ht="15.75" hidden="1" thickBot="1" x14ac:dyDescent="0.3">
      <c r="A253" s="199" t="str">
        <f t="shared" si="5"/>
        <v>Northwest Natural GaBANK CHARGES</v>
      </c>
      <c r="B253" s="149" t="s">
        <v>699</v>
      </c>
      <c r="C253" s="722" t="s">
        <v>105</v>
      </c>
      <c r="D253" s="592" t="s">
        <v>106</v>
      </c>
      <c r="E253" s="147">
        <v>209.50138999999999</v>
      </c>
      <c r="F253" s="147">
        <v>239.78700000000001</v>
      </c>
      <c r="G253" s="147">
        <v>-30.285609999999998</v>
      </c>
      <c r="H253" s="147">
        <v>-12.63021348113117</v>
      </c>
      <c r="I253" s="729"/>
      <c r="J253" s="147">
        <v>209.50138999999999</v>
      </c>
      <c r="K253" s="147">
        <v>0</v>
      </c>
      <c r="L253" s="147">
        <v>2324.5108100000002</v>
      </c>
      <c r="M253" s="147">
        <v>2563.1280200000001</v>
      </c>
      <c r="N253" s="147">
        <v>-238.61721</v>
      </c>
      <c r="O253" s="147">
        <v>-9.3096095137690398</v>
      </c>
      <c r="P253" s="147">
        <v>1235.5353</v>
      </c>
      <c r="Q253" s="147">
        <v>1088.97551</v>
      </c>
      <c r="R253" s="147">
        <v>88.137952027756711</v>
      </c>
    </row>
    <row r="254" spans="1:18" ht="15.75" hidden="1" thickBot="1" x14ac:dyDescent="0.3">
      <c r="A254" s="199" t="str">
        <f t="shared" si="5"/>
        <v>Northwest Natural GaUTILITIES</v>
      </c>
      <c r="B254" s="149" t="s">
        <v>699</v>
      </c>
      <c r="C254" s="722" t="s">
        <v>627</v>
      </c>
      <c r="D254" s="591" t="s">
        <v>628</v>
      </c>
      <c r="E254" s="148">
        <v>128.36240000000001</v>
      </c>
      <c r="F254" s="148">
        <v>92.39743</v>
      </c>
      <c r="G254" s="148">
        <v>35.964970000000001</v>
      </c>
      <c r="H254" s="148">
        <v>38.924210337884936</v>
      </c>
      <c r="I254" s="728"/>
      <c r="J254" s="148">
        <v>128.36240000000001</v>
      </c>
      <c r="K254" s="148">
        <v>0</v>
      </c>
      <c r="L254" s="148">
        <v>1338.3678299999999</v>
      </c>
      <c r="M254" s="148">
        <v>1166.7691600000001</v>
      </c>
      <c r="N254" s="148">
        <v>171.59867</v>
      </c>
      <c r="O254" s="148">
        <v>14.707165383082289</v>
      </c>
      <c r="P254" s="148">
        <v>656.64597000000003</v>
      </c>
      <c r="Q254" s="148">
        <v>681.72185999999999</v>
      </c>
      <c r="R254" s="148">
        <v>103.81878381131312</v>
      </c>
    </row>
    <row r="255" spans="1:18" ht="15.75" hidden="1" thickBot="1" x14ac:dyDescent="0.3">
      <c r="A255" s="199" t="str">
        <f t="shared" si="5"/>
        <v>Northwest Natural GaTELEPHONE</v>
      </c>
      <c r="B255" s="149" t="s">
        <v>699</v>
      </c>
      <c r="C255" s="722" t="s">
        <v>107</v>
      </c>
      <c r="D255" s="591" t="s">
        <v>108</v>
      </c>
      <c r="E255" s="147">
        <v>69.289550000000006</v>
      </c>
      <c r="F255" s="147">
        <v>75.846999999999994</v>
      </c>
      <c r="G255" s="147">
        <v>-6.5574500000000002</v>
      </c>
      <c r="H255" s="147">
        <v>-8.6456286998826588</v>
      </c>
      <c r="I255" s="729"/>
      <c r="J255" s="147">
        <v>69.289550000000006</v>
      </c>
      <c r="K255" s="147">
        <v>0</v>
      </c>
      <c r="L255" s="147">
        <v>885.79726000000005</v>
      </c>
      <c r="M255" s="147">
        <v>968.35</v>
      </c>
      <c r="N255" s="147">
        <v>-82.55274</v>
      </c>
      <c r="O255" s="147">
        <v>-8.5250931997728099</v>
      </c>
      <c r="P255" s="147">
        <v>445.01170000000002</v>
      </c>
      <c r="Q255" s="147">
        <v>440.78555999999998</v>
      </c>
      <c r="R255" s="147">
        <v>99.050330586813786</v>
      </c>
    </row>
    <row r="256" spans="1:18" ht="15.75" hidden="1" thickBot="1" x14ac:dyDescent="0.3">
      <c r="A256" s="199" t="str">
        <f t="shared" si="5"/>
        <v>Northwest Natural GaPOSTAGE</v>
      </c>
      <c r="B256" s="149" t="s">
        <v>699</v>
      </c>
      <c r="C256" s="722" t="s">
        <v>109</v>
      </c>
      <c r="D256" s="591" t="s">
        <v>110</v>
      </c>
      <c r="E256" s="148">
        <v>250.75621000000001</v>
      </c>
      <c r="F256" s="148">
        <v>279.66003999999998</v>
      </c>
      <c r="G256" s="148">
        <v>-28.903829999999999</v>
      </c>
      <c r="H256" s="148">
        <v>-10.335345013896157</v>
      </c>
      <c r="I256" s="728"/>
      <c r="J256" s="148">
        <v>250.75621000000001</v>
      </c>
      <c r="K256" s="148">
        <v>0</v>
      </c>
      <c r="L256" s="148">
        <v>3163.2322300000001</v>
      </c>
      <c r="M256" s="148">
        <v>3394.86762</v>
      </c>
      <c r="N256" s="148">
        <v>-231.63539</v>
      </c>
      <c r="O256" s="148">
        <v>-6.8231052261177716</v>
      </c>
      <c r="P256" s="148">
        <v>1618.91588</v>
      </c>
      <c r="Q256" s="148">
        <v>1544.3163500000001</v>
      </c>
      <c r="R256" s="148">
        <v>95.392007026331726</v>
      </c>
    </row>
    <row r="257" spans="1:18" ht="15.75" hidden="1" thickBot="1" x14ac:dyDescent="0.3">
      <c r="A257" s="199" t="str">
        <f t="shared" si="5"/>
        <v>Northwest Natural GaCOMPANY GAS USE</v>
      </c>
      <c r="B257" s="149" t="s">
        <v>699</v>
      </c>
      <c r="C257" s="722" t="s">
        <v>199</v>
      </c>
      <c r="D257" s="591" t="s">
        <v>200</v>
      </c>
      <c r="E257" s="147">
        <v>9.4315200000000008</v>
      </c>
      <c r="F257" s="147">
        <v>28</v>
      </c>
      <c r="G257" s="147">
        <v>-18.568480000000001</v>
      </c>
      <c r="H257" s="147">
        <v>-66.316000000000003</v>
      </c>
      <c r="I257" s="729"/>
      <c r="J257" s="147">
        <v>9.4315200000000008</v>
      </c>
      <c r="K257" s="147">
        <v>0</v>
      </c>
      <c r="L257" s="147">
        <v>169.28792999999999</v>
      </c>
      <c r="M257" s="147">
        <v>265</v>
      </c>
      <c r="N257" s="147">
        <v>-95.712069999999997</v>
      </c>
      <c r="O257" s="147">
        <v>-36.11776226415094</v>
      </c>
      <c r="P257" s="147">
        <v>54.663350000000001</v>
      </c>
      <c r="Q257" s="147">
        <v>114.62457999999999</v>
      </c>
      <c r="R257" s="147">
        <v>209.69183191297276</v>
      </c>
    </row>
    <row r="258" spans="1:18" ht="15.75" hidden="1" thickBot="1" x14ac:dyDescent="0.3">
      <c r="A258" s="199" t="str">
        <f t="shared" si="5"/>
        <v>Northwest Natural GaOFFICE SUPPLIES</v>
      </c>
      <c r="B258" s="149" t="s">
        <v>699</v>
      </c>
      <c r="C258" s="722" t="s">
        <v>73</v>
      </c>
      <c r="D258" s="591" t="s">
        <v>74</v>
      </c>
      <c r="E258" s="148">
        <v>24.09928</v>
      </c>
      <c r="F258" s="148">
        <v>20.14433</v>
      </c>
      <c r="G258" s="148">
        <v>3.9549500000000002</v>
      </c>
      <c r="H258" s="148">
        <v>19.63306796503036</v>
      </c>
      <c r="I258" s="728"/>
      <c r="J258" s="148">
        <v>24.09928</v>
      </c>
      <c r="K258" s="148">
        <v>0</v>
      </c>
      <c r="L258" s="148">
        <v>277.64701000000002</v>
      </c>
      <c r="M258" s="148">
        <v>229.33153999999999</v>
      </c>
      <c r="N258" s="148">
        <v>48.315469999999998</v>
      </c>
      <c r="O258" s="148">
        <v>21.067956897686205</v>
      </c>
      <c r="P258" s="148">
        <v>146.80653000000001</v>
      </c>
      <c r="Q258" s="148">
        <v>130.84048000000001</v>
      </c>
      <c r="R258" s="148">
        <v>89.124427912028167</v>
      </c>
    </row>
    <row r="259" spans="1:18" ht="15.75" hidden="1" thickBot="1" x14ac:dyDescent="0.3">
      <c r="A259" s="199" t="str">
        <f t="shared" si="5"/>
        <v>Northwest Natural GaPRINTING</v>
      </c>
      <c r="B259" s="149" t="s">
        <v>699</v>
      </c>
      <c r="C259" s="722" t="s">
        <v>111</v>
      </c>
      <c r="D259" s="591" t="s">
        <v>112</v>
      </c>
      <c r="E259" s="147">
        <v>69.270629999999997</v>
      </c>
      <c r="F259" s="147">
        <v>76.603039999999993</v>
      </c>
      <c r="G259" s="147">
        <v>-7.3324100000000003</v>
      </c>
      <c r="H259" s="147">
        <v>-9.5719569353905545</v>
      </c>
      <c r="I259" s="729"/>
      <c r="J259" s="147">
        <v>69.270629999999997</v>
      </c>
      <c r="K259" s="147">
        <v>0</v>
      </c>
      <c r="L259" s="147">
        <v>1224.8965900000001</v>
      </c>
      <c r="M259" s="147">
        <v>1057.4462900000001</v>
      </c>
      <c r="N259" s="147">
        <v>167.4503</v>
      </c>
      <c r="O259" s="147">
        <v>15.835348006185733</v>
      </c>
      <c r="P259" s="147">
        <v>573.64639</v>
      </c>
      <c r="Q259" s="147">
        <v>651.25019999999995</v>
      </c>
      <c r="R259" s="147">
        <v>113.52816148638188</v>
      </c>
    </row>
    <row r="260" spans="1:18" ht="15.75" hidden="1" thickBot="1" x14ac:dyDescent="0.3">
      <c r="A260" s="199" t="str">
        <f t="shared" si="5"/>
        <v>Northwest Natural GaBOOKS AND MAGAZINES</v>
      </c>
      <c r="B260" s="149" t="s">
        <v>699</v>
      </c>
      <c r="C260" s="722" t="s">
        <v>141</v>
      </c>
      <c r="D260" s="591" t="s">
        <v>142</v>
      </c>
      <c r="E260" s="148">
        <v>6.5540000000000003</v>
      </c>
      <c r="F260" s="148">
        <v>6.65029</v>
      </c>
      <c r="G260" s="148">
        <v>-9.6290000000000001E-2</v>
      </c>
      <c r="H260" s="148">
        <v>-1.4479067830124701</v>
      </c>
      <c r="I260" s="728"/>
      <c r="J260" s="148">
        <v>6.5540000000000003</v>
      </c>
      <c r="K260" s="148">
        <v>0</v>
      </c>
      <c r="L260" s="148">
        <v>55.1417</v>
      </c>
      <c r="M260" s="148">
        <v>43.368040000000001</v>
      </c>
      <c r="N260" s="148">
        <v>11.77366</v>
      </c>
      <c r="O260" s="148">
        <v>27.14824096269972</v>
      </c>
      <c r="P260" s="148">
        <v>32.272689999999997</v>
      </c>
      <c r="Q260" s="148">
        <v>22.869009999999999</v>
      </c>
      <c r="R260" s="148">
        <v>70.861802967152727</v>
      </c>
    </row>
    <row r="261" spans="1:18" ht="15.75" hidden="1" thickBot="1" x14ac:dyDescent="0.3">
      <c r="A261" s="199" t="str">
        <f t="shared" si="5"/>
        <v>Northwest Natural GaREFRESHMENTS</v>
      </c>
      <c r="B261" s="149" t="s">
        <v>699</v>
      </c>
      <c r="C261" s="722" t="s">
        <v>113</v>
      </c>
      <c r="D261" s="591" t="s">
        <v>114</v>
      </c>
      <c r="E261" s="147">
        <v>10.857609999999999</v>
      </c>
      <c r="F261" s="147">
        <v>6.6769999999999996</v>
      </c>
      <c r="G261" s="147">
        <v>4.1806099999999997</v>
      </c>
      <c r="H261" s="147">
        <v>62.612101243073234</v>
      </c>
      <c r="I261" s="729"/>
      <c r="J261" s="147">
        <v>10.857609999999999</v>
      </c>
      <c r="K261" s="147">
        <v>0</v>
      </c>
      <c r="L261" s="147">
        <v>115.43742</v>
      </c>
      <c r="M261" s="147">
        <v>92.786180000000002</v>
      </c>
      <c r="N261" s="147">
        <v>22.651240000000001</v>
      </c>
      <c r="O261" s="147">
        <v>24.412299331646157</v>
      </c>
      <c r="P261" s="147">
        <v>53.101689999999998</v>
      </c>
      <c r="Q261" s="147">
        <v>62.335729999999998</v>
      </c>
      <c r="R261" s="147">
        <v>117.38935239160938</v>
      </c>
    </row>
    <row r="262" spans="1:18" ht="15.75" hidden="1" thickBot="1" x14ac:dyDescent="0.3">
      <c r="A262" s="199" t="str">
        <f t="shared" si="5"/>
        <v>Northwest Natural GaTOOL EXPENSE</v>
      </c>
      <c r="B262" s="149" t="s">
        <v>699</v>
      </c>
      <c r="C262" s="722" t="s">
        <v>201</v>
      </c>
      <c r="D262" s="591" t="s">
        <v>202</v>
      </c>
      <c r="E262" s="148">
        <v>1.7993300000000001</v>
      </c>
      <c r="F262" s="148">
        <v>5.4611400000000003</v>
      </c>
      <c r="G262" s="148">
        <v>-3.66181</v>
      </c>
      <c r="H262" s="148">
        <v>-67.052117323489242</v>
      </c>
      <c r="I262" s="728"/>
      <c r="J262" s="148">
        <v>1.7993300000000001</v>
      </c>
      <c r="K262" s="148">
        <v>0</v>
      </c>
      <c r="L262" s="148">
        <v>47.410420000000002</v>
      </c>
      <c r="M262" s="148">
        <v>72.605779999999996</v>
      </c>
      <c r="N262" s="148">
        <v>-25.195360000000001</v>
      </c>
      <c r="O262" s="148">
        <v>-34.701589873423302</v>
      </c>
      <c r="P262" s="148">
        <v>28.527840000000001</v>
      </c>
      <c r="Q262" s="148">
        <v>18.882580000000001</v>
      </c>
      <c r="R262" s="148">
        <v>66.19000947846034</v>
      </c>
    </row>
    <row r="263" spans="1:18" ht="15.75" hidden="1" thickBot="1" x14ac:dyDescent="0.3">
      <c r="A263" s="199" t="str">
        <f t="shared" si="5"/>
        <v>Northwest Natural GaMOTOR OIL</v>
      </c>
      <c r="B263" s="149" t="s">
        <v>699</v>
      </c>
      <c r="C263" s="722" t="s">
        <v>629</v>
      </c>
      <c r="D263" s="591" t="s">
        <v>630</v>
      </c>
      <c r="E263" s="729"/>
      <c r="F263" s="729"/>
      <c r="G263" s="729"/>
      <c r="H263" s="729"/>
      <c r="I263" s="729"/>
      <c r="J263" s="729"/>
      <c r="K263" s="729"/>
      <c r="L263" s="147">
        <v>12.78598</v>
      </c>
      <c r="M263" s="729"/>
      <c r="N263" s="147">
        <v>12.78598</v>
      </c>
      <c r="O263" s="147">
        <v>0</v>
      </c>
      <c r="P263" s="729"/>
      <c r="Q263" s="147">
        <v>12.78598</v>
      </c>
      <c r="R263" s="147">
        <v>0</v>
      </c>
    </row>
    <row r="264" spans="1:18" ht="15.75" hidden="1" thickBot="1" x14ac:dyDescent="0.3">
      <c r="A264" s="199" t="str">
        <f t="shared" si="5"/>
        <v>Northwest Natural GaCOPIER LEASE/MAINT</v>
      </c>
      <c r="B264" s="149" t="s">
        <v>699</v>
      </c>
      <c r="C264" s="722" t="s">
        <v>466</v>
      </c>
      <c r="D264" s="591" t="s">
        <v>467</v>
      </c>
      <c r="E264" s="148">
        <v>9.7571700000000003</v>
      </c>
      <c r="F264" s="148">
        <v>9.5269999999999992</v>
      </c>
      <c r="G264" s="148">
        <v>0.23017000000000001</v>
      </c>
      <c r="H264" s="148">
        <v>2.4159756481578669</v>
      </c>
      <c r="I264" s="728"/>
      <c r="J264" s="148">
        <v>9.7571700000000003</v>
      </c>
      <c r="K264" s="148">
        <v>0</v>
      </c>
      <c r="L264" s="148">
        <v>114.39706</v>
      </c>
      <c r="M264" s="148">
        <v>114.324</v>
      </c>
      <c r="N264" s="148">
        <v>7.306E-2</v>
      </c>
      <c r="O264" s="148">
        <v>6.3906091459361117E-2</v>
      </c>
      <c r="P264" s="148">
        <v>57.254620000000003</v>
      </c>
      <c r="Q264" s="148">
        <v>57.142440000000001</v>
      </c>
      <c r="R264" s="148">
        <v>99.804068213185246</v>
      </c>
    </row>
    <row r="265" spans="1:18" ht="15.75" hidden="1" thickBot="1" x14ac:dyDescent="0.3">
      <c r="A265" s="199" t="str">
        <f t="shared" si="5"/>
        <v>Northwest Natural GaTAXES</v>
      </c>
      <c r="B265" s="149" t="s">
        <v>699</v>
      </c>
      <c r="C265" s="722" t="s">
        <v>631</v>
      </c>
      <c r="D265" s="591" t="s">
        <v>632</v>
      </c>
      <c r="E265" s="147">
        <v>-509.18</v>
      </c>
      <c r="F265" s="147">
        <v>-525.21559999999999</v>
      </c>
      <c r="G265" s="147">
        <v>16.035599999999999</v>
      </c>
      <c r="H265" s="147">
        <v>3.0531461746376154</v>
      </c>
      <c r="I265" s="729"/>
      <c r="J265" s="147">
        <v>-509.18</v>
      </c>
      <c r="K265" s="147">
        <v>0</v>
      </c>
      <c r="L265" s="147">
        <v>-6161.2224299999998</v>
      </c>
      <c r="M265" s="147">
        <v>-6302.5871999999999</v>
      </c>
      <c r="N265" s="147">
        <v>141.36476999999999</v>
      </c>
      <c r="O265" s="147">
        <v>2.2429641274935475</v>
      </c>
      <c r="P265" s="147">
        <v>-3041.9074999999998</v>
      </c>
      <c r="Q265" s="147">
        <v>-3119.31493</v>
      </c>
      <c r="R265" s="147">
        <v>-102.5447003237278</v>
      </c>
    </row>
    <row r="266" spans="1:18" ht="15.75" hidden="1" thickBot="1" x14ac:dyDescent="0.3">
      <c r="A266" s="199" t="str">
        <f t="shared" si="5"/>
        <v>Northwest Natural GaINSURANCE</v>
      </c>
      <c r="B266" s="149" t="s">
        <v>699</v>
      </c>
      <c r="C266" s="722" t="s">
        <v>633</v>
      </c>
      <c r="D266" s="591" t="s">
        <v>634</v>
      </c>
      <c r="E266" s="148">
        <v>285.56921</v>
      </c>
      <c r="F266" s="148">
        <v>317.33747</v>
      </c>
      <c r="G266" s="148">
        <v>-31.768260000000001</v>
      </c>
      <c r="H266" s="148">
        <v>-10.010875803604282</v>
      </c>
      <c r="I266" s="728"/>
      <c r="J266" s="148">
        <v>285.56921</v>
      </c>
      <c r="K266" s="148">
        <v>0</v>
      </c>
      <c r="L266" s="148">
        <v>3078.0805700000001</v>
      </c>
      <c r="M266" s="148">
        <v>3327.3996400000001</v>
      </c>
      <c r="N266" s="148">
        <v>-249.31907000000001</v>
      </c>
      <c r="O266" s="148">
        <v>-7.4929102895497097</v>
      </c>
      <c r="P266" s="148">
        <v>1484.1602399999999</v>
      </c>
      <c r="Q266" s="148">
        <v>1593.9203299999999</v>
      </c>
      <c r="R266" s="148">
        <v>107.39543393238995</v>
      </c>
    </row>
    <row r="267" spans="1:18" ht="15.75" hidden="1" thickBot="1" x14ac:dyDescent="0.3">
      <c r="A267" s="199" t="str">
        <f t="shared" si="5"/>
        <v>Northwest Natural GaCASH DISCOUNT</v>
      </c>
      <c r="B267" s="149" t="s">
        <v>699</v>
      </c>
      <c r="C267" s="722" t="s">
        <v>477</v>
      </c>
      <c r="D267" s="591" t="s">
        <v>478</v>
      </c>
      <c r="E267" s="729"/>
      <c r="F267" s="729"/>
      <c r="G267" s="729"/>
      <c r="H267" s="729"/>
      <c r="I267" s="729"/>
      <c r="J267" s="729"/>
      <c r="K267" s="729"/>
      <c r="L267" s="147">
        <v>5.9499999999999997E-2</v>
      </c>
      <c r="M267" s="729"/>
      <c r="N267" s="147">
        <v>5.9499999999999997E-2</v>
      </c>
      <c r="O267" s="147">
        <v>0</v>
      </c>
      <c r="P267" s="147">
        <v>5.9499999999999997E-2</v>
      </c>
      <c r="Q267" s="147">
        <v>0</v>
      </c>
      <c r="R267" s="147">
        <v>0</v>
      </c>
    </row>
    <row r="268" spans="1:18" ht="15.75" hidden="1" thickBot="1" x14ac:dyDescent="0.3">
      <c r="A268" s="199" t="str">
        <f t="shared" si="5"/>
        <v>Northwest Natural GaPAYSTATION COMMISSIO</v>
      </c>
      <c r="B268" s="149" t="s">
        <v>699</v>
      </c>
      <c r="C268" s="722" t="s">
        <v>115</v>
      </c>
      <c r="D268" s="592" t="s">
        <v>116</v>
      </c>
      <c r="E268" s="148">
        <v>2.4685999999999999</v>
      </c>
      <c r="F268" s="148">
        <v>3.7833299999999999</v>
      </c>
      <c r="G268" s="148">
        <v>-1.31473</v>
      </c>
      <c r="H268" s="148">
        <v>-34.750603304496302</v>
      </c>
      <c r="I268" s="728"/>
      <c r="J268" s="148">
        <v>2.4685999999999999</v>
      </c>
      <c r="K268" s="148">
        <v>0</v>
      </c>
      <c r="L268" s="148">
        <v>33.731050000000003</v>
      </c>
      <c r="M268" s="148">
        <v>45.39996</v>
      </c>
      <c r="N268" s="148">
        <v>-11.66891</v>
      </c>
      <c r="O268" s="148">
        <v>-25.702467579266589</v>
      </c>
      <c r="P268" s="148">
        <v>18.804349999999999</v>
      </c>
      <c r="Q268" s="148">
        <v>14.9267</v>
      </c>
      <c r="R268" s="148">
        <v>79.378973482199598</v>
      </c>
    </row>
    <row r="269" spans="1:18" ht="15.75" hidden="1" thickBot="1" x14ac:dyDescent="0.3">
      <c r="A269" s="199" t="str">
        <f t="shared" si="5"/>
        <v>Northwest Natural Ga REGULATORY DEFEERAL</v>
      </c>
      <c r="B269" s="149" t="s">
        <v>699</v>
      </c>
      <c r="C269" s="722" t="s">
        <v>635</v>
      </c>
      <c r="D269" s="593" t="s">
        <v>636</v>
      </c>
      <c r="E269" s="147">
        <v>-372.18711000000002</v>
      </c>
      <c r="F269" s="147">
        <v>-1139.4216200000001</v>
      </c>
      <c r="G269" s="147">
        <v>767.23451</v>
      </c>
      <c r="H269" s="147">
        <v>67.335435499284273</v>
      </c>
      <c r="I269" s="729"/>
      <c r="J269" s="147">
        <v>-372.18711000000002</v>
      </c>
      <c r="K269" s="147">
        <v>0</v>
      </c>
      <c r="L269" s="147">
        <v>-14740.1579</v>
      </c>
      <c r="M269" s="147">
        <v>-14679.414699999999</v>
      </c>
      <c r="N269" s="147">
        <v>-60.743200000000002</v>
      </c>
      <c r="O269" s="147">
        <v>-0.41379851473233464</v>
      </c>
      <c r="P269" s="147">
        <v>-7532.37763</v>
      </c>
      <c r="Q269" s="147">
        <v>-7207.7802700000002</v>
      </c>
      <c r="R269" s="147">
        <v>-95.690638787051896</v>
      </c>
    </row>
    <row r="270" spans="1:18" ht="15.75" hidden="1" thickBot="1" x14ac:dyDescent="0.3">
      <c r="A270" s="199" t="str">
        <f t="shared" si="5"/>
        <v>Northwest Natural GaCASH RECEIPTS</v>
      </c>
      <c r="B270" s="149" t="s">
        <v>699</v>
      </c>
      <c r="C270" s="722" t="s">
        <v>117</v>
      </c>
      <c r="D270" s="591" t="s">
        <v>118</v>
      </c>
      <c r="E270" s="148">
        <v>-8.2561900000000001</v>
      </c>
      <c r="F270" s="148">
        <v>-7.45</v>
      </c>
      <c r="G270" s="148">
        <v>-0.80618999999999996</v>
      </c>
      <c r="H270" s="148">
        <v>-10.821342281879195</v>
      </c>
      <c r="I270" s="728"/>
      <c r="J270" s="148">
        <v>-8.2561900000000001</v>
      </c>
      <c r="K270" s="148">
        <v>0</v>
      </c>
      <c r="L270" s="148">
        <v>-111.85077</v>
      </c>
      <c r="M270" s="148">
        <v>-79.7</v>
      </c>
      <c r="N270" s="148">
        <v>-32.150770000000001</v>
      </c>
      <c r="O270" s="148">
        <v>-40.339736511919696</v>
      </c>
      <c r="P270" s="148">
        <v>-68.488799999999998</v>
      </c>
      <c r="Q270" s="148">
        <v>-43.361969999999999</v>
      </c>
      <c r="R270" s="148">
        <v>-63.312497809860879</v>
      </c>
    </row>
    <row r="271" spans="1:18" ht="15.75" hidden="1" thickBot="1" x14ac:dyDescent="0.3">
      <c r="A271" s="199" t="str">
        <f t="shared" si="5"/>
        <v>Northwest Natural GaAMORTIZATION</v>
      </c>
      <c r="B271" s="149" t="s">
        <v>699</v>
      </c>
      <c r="C271" s="722" t="s">
        <v>637</v>
      </c>
      <c r="D271" s="591" t="s">
        <v>638</v>
      </c>
      <c r="E271" s="147">
        <v>3.6865299999999999</v>
      </c>
      <c r="F271" s="147">
        <v>20.710999999999999</v>
      </c>
      <c r="G271" s="147">
        <v>-17.024470000000001</v>
      </c>
      <c r="H271" s="147">
        <v>-82.20013519385833</v>
      </c>
      <c r="I271" s="729"/>
      <c r="J271" s="147">
        <v>3.6865299999999999</v>
      </c>
      <c r="K271" s="147">
        <v>0</v>
      </c>
      <c r="L271" s="147">
        <v>238.52475999999999</v>
      </c>
      <c r="M271" s="147">
        <v>248.53200000000001</v>
      </c>
      <c r="N271" s="147">
        <v>-10.007239999999999</v>
      </c>
      <c r="O271" s="147">
        <v>-4.0265398419519416</v>
      </c>
      <c r="P271" s="147">
        <v>141.09809999999999</v>
      </c>
      <c r="Q271" s="147">
        <v>97.426659999999998</v>
      </c>
      <c r="R271" s="147">
        <v>69.048881593728055</v>
      </c>
    </row>
    <row r="272" spans="1:18" ht="15.75" hidden="1" thickBot="1" x14ac:dyDescent="0.3">
      <c r="A272" s="199" t="str">
        <f t="shared" si="5"/>
        <v>Northwest Natural GaBAD DEBT EXPENSE</v>
      </c>
      <c r="B272" s="149" t="s">
        <v>699</v>
      </c>
      <c r="C272" s="722" t="s">
        <v>639</v>
      </c>
      <c r="D272" s="591" t="s">
        <v>640</v>
      </c>
      <c r="E272" s="148">
        <v>335.14631000000003</v>
      </c>
      <c r="F272" s="148">
        <v>111.31449000000001</v>
      </c>
      <c r="G272" s="148">
        <v>223.83181999999999</v>
      </c>
      <c r="H272" s="148">
        <v>201.08057809904173</v>
      </c>
      <c r="I272" s="728"/>
      <c r="J272" s="148">
        <v>335.14631000000003</v>
      </c>
      <c r="K272" s="148">
        <v>0</v>
      </c>
      <c r="L272" s="148">
        <v>678.55408999999997</v>
      </c>
      <c r="M272" s="148">
        <v>889.33738000000005</v>
      </c>
      <c r="N272" s="148">
        <v>-210.78328999999999</v>
      </c>
      <c r="O272" s="148">
        <v>-23.701161644639292</v>
      </c>
      <c r="P272" s="148">
        <v>130.39323999999999</v>
      </c>
      <c r="Q272" s="148">
        <v>548.16084999999998</v>
      </c>
      <c r="R272" s="148">
        <v>420.39054325208883</v>
      </c>
    </row>
    <row r="273" spans="1:18" ht="15.75" hidden="1" thickBot="1" x14ac:dyDescent="0.3">
      <c r="A273" s="199" t="str">
        <f t="shared" si="5"/>
        <v>Northwest Natural GaDEALER RELATIONS</v>
      </c>
      <c r="B273" s="149" t="s">
        <v>699</v>
      </c>
      <c r="C273" s="722" t="s">
        <v>143</v>
      </c>
      <c r="D273" s="591" t="s">
        <v>144</v>
      </c>
      <c r="E273" s="147">
        <v>41.460459999999998</v>
      </c>
      <c r="F273" s="147">
        <v>41.065510000000003</v>
      </c>
      <c r="G273" s="147">
        <v>0.39495000000000002</v>
      </c>
      <c r="H273" s="147">
        <v>0.96175598452326538</v>
      </c>
      <c r="I273" s="729"/>
      <c r="J273" s="147">
        <v>41.460459999999998</v>
      </c>
      <c r="K273" s="147">
        <v>0</v>
      </c>
      <c r="L273" s="147">
        <v>222.77110999999999</v>
      </c>
      <c r="M273" s="147">
        <v>244.94604000000001</v>
      </c>
      <c r="N273" s="147">
        <v>-22.17493</v>
      </c>
      <c r="O273" s="147">
        <v>-9.0529857106487608</v>
      </c>
      <c r="P273" s="147">
        <v>75.179540000000003</v>
      </c>
      <c r="Q273" s="147">
        <v>147.59156999999999</v>
      </c>
      <c r="R273" s="147">
        <v>196.31879897110304</v>
      </c>
    </row>
    <row r="274" spans="1:18" ht="15.75" hidden="1" thickBot="1" x14ac:dyDescent="0.3">
      <c r="A274" s="199" t="str">
        <f t="shared" si="5"/>
        <v>Northwest Natural GaPARKING</v>
      </c>
      <c r="B274" s="149" t="s">
        <v>699</v>
      </c>
      <c r="C274" s="722" t="s">
        <v>145</v>
      </c>
      <c r="D274" s="591" t="s">
        <v>146</v>
      </c>
      <c r="E274" s="148">
        <v>9.3586399999999994</v>
      </c>
      <c r="F274" s="148">
        <v>4.6149100000000001</v>
      </c>
      <c r="G274" s="148">
        <v>4.7437300000000002</v>
      </c>
      <c r="H274" s="148">
        <v>102.79138704763473</v>
      </c>
      <c r="I274" s="728"/>
      <c r="J274" s="148">
        <v>9.3586399999999994</v>
      </c>
      <c r="K274" s="148">
        <v>0</v>
      </c>
      <c r="L274" s="148">
        <v>132.73405</v>
      </c>
      <c r="M274" s="148">
        <v>51.954770000000003</v>
      </c>
      <c r="N274" s="148">
        <v>80.77928</v>
      </c>
      <c r="O274" s="148">
        <v>155.48000693680291</v>
      </c>
      <c r="P274" s="148">
        <v>64.465829999999997</v>
      </c>
      <c r="Q274" s="148">
        <v>68.268219999999999</v>
      </c>
      <c r="R274" s="148">
        <v>105.89830302347771</v>
      </c>
    </row>
    <row r="275" spans="1:18" ht="15.75" hidden="1" thickBot="1" x14ac:dyDescent="0.3">
      <c r="A275" s="199" t="str">
        <f t="shared" si="5"/>
        <v>Northwest Natural GaLAUNDRY</v>
      </c>
      <c r="B275" s="149" t="s">
        <v>699</v>
      </c>
      <c r="C275" s="722" t="s">
        <v>147</v>
      </c>
      <c r="D275" s="591" t="s">
        <v>148</v>
      </c>
      <c r="E275" s="147">
        <v>9.4471600000000002</v>
      </c>
      <c r="F275" s="147">
        <v>3.8792499999999999</v>
      </c>
      <c r="G275" s="147">
        <v>5.5679100000000004</v>
      </c>
      <c r="H275" s="147">
        <v>143.5305793645679</v>
      </c>
      <c r="I275" s="729"/>
      <c r="J275" s="147">
        <v>9.4471600000000002</v>
      </c>
      <c r="K275" s="147">
        <v>0</v>
      </c>
      <c r="L275" s="147">
        <v>65.411959999999993</v>
      </c>
      <c r="M275" s="147">
        <v>46.81512</v>
      </c>
      <c r="N275" s="147">
        <v>18.59684</v>
      </c>
      <c r="O275" s="147">
        <v>39.724003697950579</v>
      </c>
      <c r="P275" s="147">
        <v>31.930669999999999</v>
      </c>
      <c r="Q275" s="147">
        <v>33.481290000000001</v>
      </c>
      <c r="R275" s="147">
        <v>104.85620877983456</v>
      </c>
    </row>
    <row r="276" spans="1:18" ht="15.75" hidden="1" thickBot="1" x14ac:dyDescent="0.3">
      <c r="A276" s="199" t="str">
        <f t="shared" si="5"/>
        <v>Northwest Natural GaUNIFORMS</v>
      </c>
      <c r="B276" s="149" t="s">
        <v>699</v>
      </c>
      <c r="C276" s="722" t="s">
        <v>203</v>
      </c>
      <c r="D276" s="591" t="s">
        <v>204</v>
      </c>
      <c r="E276" s="148">
        <v>9.8998200000000001</v>
      </c>
      <c r="F276" s="148">
        <v>36.523980000000002</v>
      </c>
      <c r="G276" s="148">
        <v>-26.62416</v>
      </c>
      <c r="H276" s="148">
        <v>-72.895013084554307</v>
      </c>
      <c r="I276" s="728"/>
      <c r="J276" s="148">
        <v>9.8998200000000001</v>
      </c>
      <c r="K276" s="148">
        <v>0</v>
      </c>
      <c r="L276" s="148">
        <v>120.89145000000001</v>
      </c>
      <c r="M276" s="148">
        <v>763.03098</v>
      </c>
      <c r="N276" s="148">
        <v>-642.13953000000004</v>
      </c>
      <c r="O276" s="148">
        <v>-84.156416558604207</v>
      </c>
      <c r="P276" s="148">
        <v>61.623449999999998</v>
      </c>
      <c r="Q276" s="148">
        <v>59.268000000000001</v>
      </c>
      <c r="R276" s="148">
        <v>96.17767262300309</v>
      </c>
    </row>
    <row r="277" spans="1:18" ht="15.75" hidden="1" thickBot="1" x14ac:dyDescent="0.3">
      <c r="A277" s="199" t="str">
        <f t="shared" si="5"/>
        <v>Northwest Natural GaCLOTHING</v>
      </c>
      <c r="B277" s="149" t="s">
        <v>699</v>
      </c>
      <c r="C277" s="722" t="s">
        <v>641</v>
      </c>
      <c r="D277" s="591" t="s">
        <v>642</v>
      </c>
      <c r="E277" s="147">
        <v>84.530969999999996</v>
      </c>
      <c r="F277" s="729"/>
      <c r="G277" s="147">
        <v>84.530969999999996</v>
      </c>
      <c r="H277" s="147">
        <v>0</v>
      </c>
      <c r="I277" s="729"/>
      <c r="J277" s="147">
        <v>84.530969999999996</v>
      </c>
      <c r="K277" s="147">
        <v>0</v>
      </c>
      <c r="L277" s="147">
        <v>609.95971999999995</v>
      </c>
      <c r="M277" s="729"/>
      <c r="N277" s="147">
        <v>609.95971999999995</v>
      </c>
      <c r="O277" s="147">
        <v>0</v>
      </c>
      <c r="P277" s="147">
        <v>304.29899</v>
      </c>
      <c r="Q277" s="147">
        <v>305.66073</v>
      </c>
      <c r="R277" s="147">
        <v>100.44750066373865</v>
      </c>
    </row>
    <row r="278" spans="1:18" ht="15.75" hidden="1" thickBot="1" x14ac:dyDescent="0.3">
      <c r="A278" s="199" t="str">
        <f t="shared" si="5"/>
        <v>Northwest Natural GaLEGAL FEES</v>
      </c>
      <c r="B278" s="149" t="s">
        <v>699</v>
      </c>
      <c r="C278" s="722" t="s">
        <v>643</v>
      </c>
      <c r="D278" s="591" t="s">
        <v>644</v>
      </c>
      <c r="E278" s="148">
        <v>156.88531</v>
      </c>
      <c r="F278" s="148">
        <v>200.92771999999999</v>
      </c>
      <c r="G278" s="148">
        <v>-44.042409999999997</v>
      </c>
      <c r="H278" s="148">
        <v>-21.919529072444558</v>
      </c>
      <c r="I278" s="728"/>
      <c r="J278" s="148">
        <v>156.88531</v>
      </c>
      <c r="K278" s="148">
        <v>0</v>
      </c>
      <c r="L278" s="148">
        <v>2687.2627699999998</v>
      </c>
      <c r="M278" s="148">
        <v>1961.6401599999999</v>
      </c>
      <c r="N278" s="148">
        <v>725.62261000000001</v>
      </c>
      <c r="O278" s="148">
        <v>36.990607390501225</v>
      </c>
      <c r="P278" s="148">
        <v>1235.36302</v>
      </c>
      <c r="Q278" s="148">
        <v>1451.89975</v>
      </c>
      <c r="R278" s="148">
        <v>117.52818616830541</v>
      </c>
    </row>
    <row r="279" spans="1:18" ht="15.75" hidden="1" thickBot="1" x14ac:dyDescent="0.3">
      <c r="A279" s="199" t="str">
        <f t="shared" si="5"/>
        <v>Northwest Natural GaPROFESSIONAL SERVICE</v>
      </c>
      <c r="B279" s="149" t="s">
        <v>699</v>
      </c>
      <c r="C279" s="722" t="s">
        <v>149</v>
      </c>
      <c r="D279" s="591" t="s">
        <v>150</v>
      </c>
      <c r="E279" s="147">
        <v>1339.8847000000001</v>
      </c>
      <c r="F279" s="147">
        <v>439.20753000000002</v>
      </c>
      <c r="G279" s="147">
        <v>900.67717000000005</v>
      </c>
      <c r="H279" s="147">
        <v>205.06869952798851</v>
      </c>
      <c r="I279" s="729"/>
      <c r="J279" s="147">
        <v>1339.8847000000001</v>
      </c>
      <c r="K279" s="147">
        <v>0</v>
      </c>
      <c r="L279" s="147">
        <v>8934.3735400000005</v>
      </c>
      <c r="M279" s="147">
        <v>6161.3950500000001</v>
      </c>
      <c r="N279" s="147">
        <v>2772.97849</v>
      </c>
      <c r="O279" s="147">
        <v>45.005692176806612</v>
      </c>
      <c r="P279" s="147">
        <v>4135.8690999999999</v>
      </c>
      <c r="Q279" s="147">
        <v>4798.5044399999997</v>
      </c>
      <c r="R279" s="147">
        <v>116.02167099534171</v>
      </c>
    </row>
    <row r="280" spans="1:18" ht="15.75" hidden="1" thickBot="1" x14ac:dyDescent="0.3">
      <c r="A280" s="199" t="str">
        <f t="shared" si="5"/>
        <v>Northwest Natural GaADVERTISING</v>
      </c>
      <c r="B280" s="149" t="s">
        <v>699</v>
      </c>
      <c r="C280" s="722" t="s">
        <v>645</v>
      </c>
      <c r="D280" s="591" t="s">
        <v>646</v>
      </c>
      <c r="E280" s="148">
        <v>77.430000000000007</v>
      </c>
      <c r="F280" s="148">
        <v>131.04331999999999</v>
      </c>
      <c r="G280" s="148">
        <v>-53.613320000000002</v>
      </c>
      <c r="H280" s="148">
        <v>-40.912669184510897</v>
      </c>
      <c r="I280" s="728"/>
      <c r="J280" s="148">
        <v>77.430000000000007</v>
      </c>
      <c r="K280" s="148">
        <v>0</v>
      </c>
      <c r="L280" s="148">
        <v>1040.6341399999999</v>
      </c>
      <c r="M280" s="148">
        <v>1598.9505200000001</v>
      </c>
      <c r="N280" s="148">
        <v>-558.31637999999998</v>
      </c>
      <c r="O280" s="148">
        <v>-34.917677127369771</v>
      </c>
      <c r="P280" s="148">
        <v>491.09206999999998</v>
      </c>
      <c r="Q280" s="148">
        <v>549.54206999999997</v>
      </c>
      <c r="R280" s="148">
        <v>111.90204517047079</v>
      </c>
    </row>
    <row r="281" spans="1:18" ht="15.75" hidden="1" thickBot="1" x14ac:dyDescent="0.3">
      <c r="A281" s="199" t="str">
        <f t="shared" si="5"/>
        <v>Northwest Natural GaCUSTOMER RECOVERY</v>
      </c>
      <c r="B281" s="149" t="s">
        <v>699</v>
      </c>
      <c r="C281" s="722" t="s">
        <v>171</v>
      </c>
      <c r="D281" s="591" t="s">
        <v>172</v>
      </c>
      <c r="E281" s="147">
        <v>0.70311000000000001</v>
      </c>
      <c r="F281" s="147">
        <v>2.32463</v>
      </c>
      <c r="G281" s="147">
        <v>-1.6215200000000001</v>
      </c>
      <c r="H281" s="147">
        <v>-69.75389631898409</v>
      </c>
      <c r="I281" s="729"/>
      <c r="J281" s="147">
        <v>0.70311000000000001</v>
      </c>
      <c r="K281" s="147">
        <v>0</v>
      </c>
      <c r="L281" s="147">
        <v>8.6294599999999999</v>
      </c>
      <c r="M281" s="147">
        <v>23.550999999999998</v>
      </c>
      <c r="N281" s="147">
        <v>-14.92154</v>
      </c>
      <c r="O281" s="147">
        <v>-63.358413655471104</v>
      </c>
      <c r="P281" s="147">
        <v>2.7054800000000001</v>
      </c>
      <c r="Q281" s="147">
        <v>5.9239800000000002</v>
      </c>
      <c r="R281" s="147">
        <v>218.96225438739151</v>
      </c>
    </row>
    <row r="282" spans="1:18" ht="15.75" hidden="1" thickBot="1" x14ac:dyDescent="0.3">
      <c r="A282" s="199" t="str">
        <f t="shared" si="5"/>
        <v>Northwest Natural GaCLEARING</v>
      </c>
      <c r="B282" s="149" t="s">
        <v>699</v>
      </c>
      <c r="C282" s="722" t="s">
        <v>647</v>
      </c>
      <c r="D282" s="591" t="s">
        <v>648</v>
      </c>
      <c r="E282" s="148">
        <v>-7.1475900000000001</v>
      </c>
      <c r="F282" s="728"/>
      <c r="G282" s="148">
        <v>-7.1475900000000001</v>
      </c>
      <c r="H282" s="148">
        <v>0</v>
      </c>
      <c r="I282" s="728"/>
      <c r="J282" s="148">
        <v>-7.1475900000000001</v>
      </c>
      <c r="K282" s="148">
        <v>0</v>
      </c>
      <c r="L282" s="148">
        <v>-98.539410000000004</v>
      </c>
      <c r="M282" s="728"/>
      <c r="N282" s="148">
        <v>-98.539410000000004</v>
      </c>
      <c r="O282" s="148">
        <v>0</v>
      </c>
      <c r="P282" s="148">
        <v>-40.750579999999999</v>
      </c>
      <c r="Q282" s="148">
        <v>-57.788829999999997</v>
      </c>
      <c r="R282" s="148">
        <v>-141.81106133949504</v>
      </c>
    </row>
    <row r="283" spans="1:18" ht="15.75" hidden="1" thickBot="1" x14ac:dyDescent="0.3">
      <c r="A283" s="199" t="str">
        <f t="shared" si="5"/>
        <v>Northwest Natural GaREPAIRS AND MAINT</v>
      </c>
      <c r="B283" s="149" t="s">
        <v>699</v>
      </c>
      <c r="C283" s="722" t="s">
        <v>205</v>
      </c>
      <c r="D283" s="592" t="s">
        <v>206</v>
      </c>
      <c r="E283" s="147">
        <v>51.611159999999998</v>
      </c>
      <c r="F283" s="147">
        <v>45.552840000000003</v>
      </c>
      <c r="G283" s="147">
        <v>6.0583200000000001</v>
      </c>
      <c r="H283" s="147">
        <v>13.299544002086368</v>
      </c>
      <c r="I283" s="729"/>
      <c r="J283" s="147">
        <v>51.611159999999998</v>
      </c>
      <c r="K283" s="147">
        <v>0</v>
      </c>
      <c r="L283" s="147">
        <v>467.58368000000002</v>
      </c>
      <c r="M283" s="147">
        <v>546.05007999999998</v>
      </c>
      <c r="N283" s="147">
        <v>-78.466399999999993</v>
      </c>
      <c r="O283" s="147">
        <v>-14.369817508313524</v>
      </c>
      <c r="P283" s="147">
        <v>206.74112</v>
      </c>
      <c r="Q283" s="147">
        <v>260.84255999999999</v>
      </c>
      <c r="R283" s="147">
        <v>126.16868864790904</v>
      </c>
    </row>
    <row r="284" spans="1:18" ht="15.75" hidden="1" thickBot="1" x14ac:dyDescent="0.3">
      <c r="A284" s="199" t="str">
        <f t="shared" si="5"/>
        <v>Northwest Natural GaSOFTWARE MAINT</v>
      </c>
      <c r="B284" s="149" t="s">
        <v>699</v>
      </c>
      <c r="C284" s="722" t="s">
        <v>649</v>
      </c>
      <c r="D284" s="591" t="s">
        <v>650</v>
      </c>
      <c r="E284" s="148">
        <v>318.36831000000001</v>
      </c>
      <c r="F284" s="148">
        <v>314.24392999999998</v>
      </c>
      <c r="G284" s="148">
        <v>4.1243800000000004</v>
      </c>
      <c r="H284" s="148">
        <v>1.312477221119275</v>
      </c>
      <c r="I284" s="728"/>
      <c r="J284" s="148">
        <v>318.36831000000001</v>
      </c>
      <c r="K284" s="148">
        <v>0</v>
      </c>
      <c r="L284" s="148">
        <v>3885.4103399999999</v>
      </c>
      <c r="M284" s="148">
        <v>3737.1637000000001</v>
      </c>
      <c r="N284" s="148">
        <v>148.24664000000001</v>
      </c>
      <c r="O284" s="148">
        <v>3.9668222186788338</v>
      </c>
      <c r="P284" s="148">
        <v>1832.2042300000001</v>
      </c>
      <c r="Q284" s="148">
        <v>2053.2061100000001</v>
      </c>
      <c r="R284" s="148">
        <v>112.06207672602088</v>
      </c>
    </row>
    <row r="285" spans="1:18" ht="15.75" hidden="1" thickBot="1" x14ac:dyDescent="0.3">
      <c r="A285" s="199" t="str">
        <f t="shared" si="5"/>
        <v>Northwest Natural GaCOLLECTION FEES</v>
      </c>
      <c r="B285" s="149" t="s">
        <v>699</v>
      </c>
      <c r="C285" s="722" t="s">
        <v>119</v>
      </c>
      <c r="D285" s="591" t="s">
        <v>120</v>
      </c>
      <c r="E285" s="147">
        <v>9.5372599999999998</v>
      </c>
      <c r="F285" s="147">
        <v>12.125</v>
      </c>
      <c r="G285" s="147">
        <v>-2.5877400000000002</v>
      </c>
      <c r="H285" s="147">
        <v>-21.342185567010308</v>
      </c>
      <c r="I285" s="729"/>
      <c r="J285" s="147">
        <v>9.5372599999999998</v>
      </c>
      <c r="K285" s="147">
        <v>0</v>
      </c>
      <c r="L285" s="147">
        <v>159.29671999999999</v>
      </c>
      <c r="M285" s="147">
        <v>145.5</v>
      </c>
      <c r="N285" s="147">
        <v>13.796720000000001</v>
      </c>
      <c r="O285" s="147">
        <v>9.4822817869415807</v>
      </c>
      <c r="P285" s="147">
        <v>83.38373</v>
      </c>
      <c r="Q285" s="147">
        <v>75.912989999999994</v>
      </c>
      <c r="R285" s="147">
        <v>91.040530328878305</v>
      </c>
    </row>
    <row r="286" spans="1:18" ht="15.75" hidden="1" thickBot="1" x14ac:dyDescent="0.3">
      <c r="A286" s="199" t="str">
        <f t="shared" si="5"/>
        <v>Northwest Natural GaMEAL TICKETS</v>
      </c>
      <c r="B286" s="149" t="s">
        <v>699</v>
      </c>
      <c r="C286" s="722" t="s">
        <v>173</v>
      </c>
      <c r="D286" s="591" t="s">
        <v>174</v>
      </c>
      <c r="E286" s="148">
        <v>14.6065</v>
      </c>
      <c r="F286" s="148">
        <v>10.408799999999999</v>
      </c>
      <c r="G286" s="148">
        <v>4.1977000000000002</v>
      </c>
      <c r="H286" s="148">
        <v>40.328375989547304</v>
      </c>
      <c r="I286" s="728"/>
      <c r="J286" s="148">
        <v>14.6065</v>
      </c>
      <c r="K286" s="148">
        <v>0</v>
      </c>
      <c r="L286" s="148">
        <v>157.4074</v>
      </c>
      <c r="M286" s="148">
        <v>109.50134</v>
      </c>
      <c r="N286" s="148">
        <v>47.906059999999997</v>
      </c>
      <c r="O286" s="148">
        <v>43.749291104565479</v>
      </c>
      <c r="P286" s="148">
        <v>71.827619999999996</v>
      </c>
      <c r="Q286" s="148">
        <v>85.57978</v>
      </c>
      <c r="R286" s="148">
        <v>119.14606108346622</v>
      </c>
    </row>
    <row r="287" spans="1:18" ht="15.75" hidden="1" thickBot="1" x14ac:dyDescent="0.3">
      <c r="A287" s="199" t="str">
        <f t="shared" si="5"/>
        <v>Northwest Natural GaHARDWARE MAINT</v>
      </c>
      <c r="B287" s="149" t="s">
        <v>699</v>
      </c>
      <c r="C287" s="722" t="s">
        <v>479</v>
      </c>
      <c r="D287" s="591" t="s">
        <v>480</v>
      </c>
      <c r="E287" s="147">
        <v>57.436320000000002</v>
      </c>
      <c r="F287" s="147">
        <v>47.807279999999999</v>
      </c>
      <c r="G287" s="147">
        <v>9.6290399999999998</v>
      </c>
      <c r="H287" s="147">
        <v>20.141367590877373</v>
      </c>
      <c r="I287" s="729"/>
      <c r="J287" s="147">
        <v>57.436320000000002</v>
      </c>
      <c r="K287" s="147">
        <v>0</v>
      </c>
      <c r="L287" s="147">
        <v>607.33912999999995</v>
      </c>
      <c r="M287" s="147">
        <v>564.96960000000001</v>
      </c>
      <c r="N287" s="147">
        <v>42.369529999999997</v>
      </c>
      <c r="O287" s="147">
        <v>7.4994353678498804</v>
      </c>
      <c r="P287" s="147">
        <v>293.67392999999998</v>
      </c>
      <c r="Q287" s="147">
        <v>313.66520000000003</v>
      </c>
      <c r="R287" s="147">
        <v>106.80730155380152</v>
      </c>
    </row>
    <row r="288" spans="1:18" ht="15.75" hidden="1" thickBot="1" x14ac:dyDescent="0.3">
      <c r="A288" s="199" t="str">
        <f t="shared" si="5"/>
        <v>Northwest Natural GaPENSION CONTRIBUTION</v>
      </c>
      <c r="B288" s="149" t="s">
        <v>699</v>
      </c>
      <c r="C288" s="722" t="s">
        <v>651</v>
      </c>
      <c r="D288" s="591" t="s">
        <v>652</v>
      </c>
      <c r="E288" s="148">
        <v>-47.197920000000003</v>
      </c>
      <c r="F288" s="728"/>
      <c r="G288" s="148">
        <v>-47.197920000000003</v>
      </c>
      <c r="H288" s="148">
        <v>0</v>
      </c>
      <c r="I288" s="728"/>
      <c r="J288" s="148">
        <v>-47.197920000000003</v>
      </c>
      <c r="K288" s="148">
        <v>0</v>
      </c>
      <c r="L288" s="148">
        <v>-47.197920000000003</v>
      </c>
      <c r="M288" s="728"/>
      <c r="N288" s="148">
        <v>-47.197920000000003</v>
      </c>
      <c r="O288" s="148">
        <v>0</v>
      </c>
      <c r="P288" s="728"/>
      <c r="Q288" s="148">
        <v>-47.197920000000003</v>
      </c>
      <c r="R288" s="148">
        <v>0</v>
      </c>
    </row>
    <row r="289" spans="1:18" ht="15.75" hidden="1" thickBot="1" x14ac:dyDescent="0.3">
      <c r="A289" s="199" t="str">
        <f t="shared" si="5"/>
        <v>Northwest Natural GaSECURITY</v>
      </c>
      <c r="B289" s="149" t="s">
        <v>699</v>
      </c>
      <c r="C289" s="722" t="s">
        <v>653</v>
      </c>
      <c r="D289" s="591" t="s">
        <v>654</v>
      </c>
      <c r="E289" s="147">
        <v>8.9329699999999992</v>
      </c>
      <c r="F289" s="729"/>
      <c r="G289" s="147">
        <v>8.9329699999999992</v>
      </c>
      <c r="H289" s="147">
        <v>0</v>
      </c>
      <c r="I289" s="729"/>
      <c r="J289" s="147">
        <v>8.9329699999999992</v>
      </c>
      <c r="K289" s="147">
        <v>0</v>
      </c>
      <c r="L289" s="147">
        <v>93.895380000000003</v>
      </c>
      <c r="M289" s="147">
        <v>3</v>
      </c>
      <c r="N289" s="147">
        <v>90.895380000000003</v>
      </c>
      <c r="O289" s="147">
        <v>3029.846</v>
      </c>
      <c r="P289" s="147">
        <v>46.292610000000003</v>
      </c>
      <c r="Q289" s="147">
        <v>47.60277</v>
      </c>
      <c r="R289" s="147">
        <v>102.83017094953169</v>
      </c>
    </row>
    <row r="290" spans="1:18" ht="15.75" hidden="1" thickBot="1" x14ac:dyDescent="0.3">
      <c r="A290" s="199" t="str">
        <f t="shared" si="5"/>
        <v>Northwest Natural GaPERMITS AND FEES</v>
      </c>
      <c r="B290" s="149" t="s">
        <v>699</v>
      </c>
      <c r="C290" s="722" t="s">
        <v>151</v>
      </c>
      <c r="D290" s="591" t="s">
        <v>152</v>
      </c>
      <c r="E290" s="148">
        <v>-172.70989</v>
      </c>
      <c r="F290" s="148">
        <v>2.2181600000000001</v>
      </c>
      <c r="G290" s="148">
        <v>-174.92805000000001</v>
      </c>
      <c r="H290" s="148">
        <v>-7886.1781837198396</v>
      </c>
      <c r="I290" s="728"/>
      <c r="J290" s="148">
        <v>-172.70989</v>
      </c>
      <c r="K290" s="148">
        <v>0</v>
      </c>
      <c r="L290" s="148">
        <v>260.8168</v>
      </c>
      <c r="M290" s="148">
        <v>237.13310000000001</v>
      </c>
      <c r="N290" s="148">
        <v>23.683700000000002</v>
      </c>
      <c r="O290" s="148">
        <v>9.9875133416633943</v>
      </c>
      <c r="P290" s="148">
        <v>284.81605000000002</v>
      </c>
      <c r="Q290" s="148">
        <v>-23.99925</v>
      </c>
      <c r="R290" s="148">
        <v>-8.4262280865140848</v>
      </c>
    </row>
    <row r="291" spans="1:18" ht="15.75" hidden="1" thickBot="1" x14ac:dyDescent="0.3">
      <c r="A291" s="199" t="str">
        <f t="shared" ref="A291:A352" si="6">B291&amp;C291</f>
        <v>Northwest Natural GaCELLULAR PHONES</v>
      </c>
      <c r="B291" s="149" t="s">
        <v>699</v>
      </c>
      <c r="C291" s="722" t="s">
        <v>481</v>
      </c>
      <c r="D291" s="591" t="s">
        <v>482</v>
      </c>
      <c r="E291" s="147">
        <v>72.390069999999994</v>
      </c>
      <c r="F291" s="147">
        <v>50.045409999999997</v>
      </c>
      <c r="G291" s="147">
        <v>22.344660000000001</v>
      </c>
      <c r="H291" s="147">
        <v>44.648769987097715</v>
      </c>
      <c r="I291" s="729"/>
      <c r="J291" s="147">
        <v>72.390069999999994</v>
      </c>
      <c r="K291" s="147">
        <v>0</v>
      </c>
      <c r="L291" s="147">
        <v>767.74496999999997</v>
      </c>
      <c r="M291" s="147">
        <v>600.54499999999996</v>
      </c>
      <c r="N291" s="147">
        <v>167.19997000000001</v>
      </c>
      <c r="O291" s="147">
        <v>27.841372420051787</v>
      </c>
      <c r="P291" s="147">
        <v>350.15007000000003</v>
      </c>
      <c r="Q291" s="147">
        <v>417.5949</v>
      </c>
      <c r="R291" s="147">
        <v>119.26169256513357</v>
      </c>
    </row>
    <row r="292" spans="1:18" ht="15.75" hidden="1" thickBot="1" x14ac:dyDescent="0.3">
      <c r="A292" s="199" t="str">
        <f t="shared" si="6"/>
        <v>Northwest Natural GaDONATIONS</v>
      </c>
      <c r="B292" s="149" t="s">
        <v>699</v>
      </c>
      <c r="C292" s="722" t="s">
        <v>483</v>
      </c>
      <c r="D292" s="591" t="s">
        <v>484</v>
      </c>
      <c r="E292" s="148">
        <v>0.55000000000000004</v>
      </c>
      <c r="F292" s="728"/>
      <c r="G292" s="148">
        <v>0.55000000000000004</v>
      </c>
      <c r="H292" s="148">
        <v>0</v>
      </c>
      <c r="I292" s="728"/>
      <c r="J292" s="148">
        <v>0.55000000000000004</v>
      </c>
      <c r="K292" s="148">
        <v>0</v>
      </c>
      <c r="L292" s="148">
        <v>7.8482399999999997</v>
      </c>
      <c r="M292" s="148">
        <v>10.7</v>
      </c>
      <c r="N292" s="148">
        <v>-2.8517600000000001</v>
      </c>
      <c r="O292" s="148">
        <v>-26.651962616822431</v>
      </c>
      <c r="P292" s="148">
        <v>2.1</v>
      </c>
      <c r="Q292" s="148">
        <v>5.74824</v>
      </c>
      <c r="R292" s="148">
        <v>273.72571428571428</v>
      </c>
    </row>
    <row r="293" spans="1:18" ht="15.75" hidden="1" thickBot="1" x14ac:dyDescent="0.3">
      <c r="A293" s="199" t="str">
        <f t="shared" si="6"/>
        <v>Northwest Natural GaUNLEADED FUEL</v>
      </c>
      <c r="B293" s="149" t="s">
        <v>699</v>
      </c>
      <c r="C293" s="722" t="s">
        <v>175</v>
      </c>
      <c r="D293" s="591" t="s">
        <v>176</v>
      </c>
      <c r="E293" s="147">
        <v>1.06393</v>
      </c>
      <c r="F293" s="147">
        <v>0</v>
      </c>
      <c r="G293" s="147">
        <v>1.06393</v>
      </c>
      <c r="H293" s="147">
        <v>0</v>
      </c>
      <c r="I293" s="729"/>
      <c r="J293" s="147">
        <v>1.06393</v>
      </c>
      <c r="K293" s="147">
        <v>0</v>
      </c>
      <c r="L293" s="147">
        <v>33.383110000000002</v>
      </c>
      <c r="M293" s="147">
        <v>0</v>
      </c>
      <c r="N293" s="147">
        <v>33.383110000000002</v>
      </c>
      <c r="O293" s="147">
        <v>0</v>
      </c>
      <c r="P293" s="147">
        <v>21.645150000000001</v>
      </c>
      <c r="Q293" s="147">
        <v>11.737959999999999</v>
      </c>
      <c r="R293" s="147">
        <v>54.229053621712026</v>
      </c>
    </row>
    <row r="294" spans="1:18" ht="15.75" hidden="1" thickBot="1" x14ac:dyDescent="0.3">
      <c r="A294" s="199" t="str">
        <f t="shared" si="6"/>
        <v>Northwest Natural GaDIESEL FUEL</v>
      </c>
      <c r="B294" s="149" t="s">
        <v>699</v>
      </c>
      <c r="C294" s="722" t="s">
        <v>655</v>
      </c>
      <c r="D294" s="591" t="s">
        <v>656</v>
      </c>
      <c r="E294" s="728"/>
      <c r="F294" s="148">
        <v>0</v>
      </c>
      <c r="G294" s="148">
        <v>0</v>
      </c>
      <c r="H294" s="148">
        <v>0</v>
      </c>
      <c r="I294" s="728"/>
      <c r="J294" s="728"/>
      <c r="K294" s="728"/>
      <c r="L294" s="148">
        <v>0.78273000000000004</v>
      </c>
      <c r="M294" s="148">
        <v>0</v>
      </c>
      <c r="N294" s="148">
        <v>0.78273000000000004</v>
      </c>
      <c r="O294" s="148">
        <v>0</v>
      </c>
      <c r="P294" s="148">
        <v>0.91861000000000004</v>
      </c>
      <c r="Q294" s="148">
        <v>-0.13588</v>
      </c>
      <c r="R294" s="148">
        <v>-14.791913869868607</v>
      </c>
    </row>
    <row r="295" spans="1:18" ht="15.75" hidden="1" thickBot="1" x14ac:dyDescent="0.3">
      <c r="A295" s="199" t="str">
        <f t="shared" si="6"/>
        <v>Northwest Natural GaCNG FUEL</v>
      </c>
      <c r="B295" s="149" t="s">
        <v>699</v>
      </c>
      <c r="C295" s="722" t="s">
        <v>657</v>
      </c>
      <c r="D295" s="591" t="s">
        <v>658</v>
      </c>
      <c r="E295" s="147">
        <v>3.2280000000000003E-2</v>
      </c>
      <c r="F295" s="729"/>
      <c r="G295" s="147">
        <v>3.2280000000000003E-2</v>
      </c>
      <c r="H295" s="147">
        <v>0</v>
      </c>
      <c r="I295" s="729"/>
      <c r="J295" s="147">
        <v>3.2280000000000003E-2</v>
      </c>
      <c r="K295" s="147">
        <v>0</v>
      </c>
      <c r="L295" s="147">
        <v>3.2280000000000003E-2</v>
      </c>
      <c r="M295" s="729"/>
      <c r="N295" s="147">
        <v>3.2280000000000003E-2</v>
      </c>
      <c r="O295" s="147">
        <v>0</v>
      </c>
      <c r="P295" s="729"/>
      <c r="Q295" s="147">
        <v>3.2280000000000003E-2</v>
      </c>
      <c r="R295" s="147">
        <v>0</v>
      </c>
    </row>
    <row r="296" spans="1:18" ht="15.75" hidden="1" thickBot="1" x14ac:dyDescent="0.3">
      <c r="A296" s="199" t="str">
        <f t="shared" si="6"/>
        <v>Northwest Natural GaINVENTORY ADJUSTMENT</v>
      </c>
      <c r="B296" s="149" t="s">
        <v>699</v>
      </c>
      <c r="C296" s="722" t="s">
        <v>659</v>
      </c>
      <c r="D296" s="591" t="s">
        <v>660</v>
      </c>
      <c r="E296" s="148">
        <v>182.60186999999999</v>
      </c>
      <c r="F296" s="728"/>
      <c r="G296" s="148">
        <v>182.60186999999999</v>
      </c>
      <c r="H296" s="148">
        <v>0</v>
      </c>
      <c r="I296" s="728"/>
      <c r="J296" s="148">
        <v>182.60186999999999</v>
      </c>
      <c r="K296" s="148">
        <v>0</v>
      </c>
      <c r="L296" s="148">
        <v>182.60186999999999</v>
      </c>
      <c r="M296" s="728"/>
      <c r="N296" s="148">
        <v>182.60186999999999</v>
      </c>
      <c r="O296" s="148">
        <v>0</v>
      </c>
      <c r="P296" s="148">
        <v>4.88727</v>
      </c>
      <c r="Q296" s="148">
        <v>177.71459999999999</v>
      </c>
      <c r="R296" s="148">
        <v>3636.2754666715773</v>
      </c>
    </row>
    <row r="297" spans="1:18" ht="15.75" hidden="1" thickBot="1" x14ac:dyDescent="0.3">
      <c r="A297" s="199" t="str">
        <f t="shared" si="6"/>
        <v>Northwest Natural GaPLANT TRANSFERS</v>
      </c>
      <c r="B297" s="149" t="s">
        <v>699</v>
      </c>
      <c r="C297" s="722" t="s">
        <v>661</v>
      </c>
      <c r="D297" s="591" t="s">
        <v>662</v>
      </c>
      <c r="E297" s="147">
        <v>6.0072599999999996</v>
      </c>
      <c r="F297" s="729"/>
      <c r="G297" s="147">
        <v>6.0072599999999996</v>
      </c>
      <c r="H297" s="147">
        <v>0</v>
      </c>
      <c r="I297" s="729"/>
      <c r="J297" s="147">
        <v>6.0072599999999996</v>
      </c>
      <c r="K297" s="147">
        <v>0</v>
      </c>
      <c r="L297" s="147">
        <v>550.33073000000002</v>
      </c>
      <c r="M297" s="729"/>
      <c r="N297" s="147">
        <v>550.33073000000002</v>
      </c>
      <c r="O297" s="147">
        <v>0</v>
      </c>
      <c r="P297" s="147">
        <v>-106.06323</v>
      </c>
      <c r="Q297" s="147">
        <v>656.39395999999999</v>
      </c>
      <c r="R297" s="147">
        <v>618.87042286002418</v>
      </c>
    </row>
    <row r="298" spans="1:18" ht="15.75" hidden="1" thickBot="1" x14ac:dyDescent="0.3">
      <c r="A298" s="199" t="str">
        <f t="shared" si="6"/>
        <v>Northwest Natural GaDAMAGES</v>
      </c>
      <c r="B298" s="149" t="s">
        <v>699</v>
      </c>
      <c r="C298" s="722" t="s">
        <v>663</v>
      </c>
      <c r="D298" s="591" t="s">
        <v>664</v>
      </c>
      <c r="E298" s="148">
        <v>-34.99785</v>
      </c>
      <c r="F298" s="728"/>
      <c r="G298" s="148">
        <v>-34.99785</v>
      </c>
      <c r="H298" s="148">
        <v>0</v>
      </c>
      <c r="I298" s="728"/>
      <c r="J298" s="148">
        <v>-34.99785</v>
      </c>
      <c r="K298" s="148">
        <v>0</v>
      </c>
      <c r="L298" s="148">
        <v>109.52030000000001</v>
      </c>
      <c r="M298" s="728"/>
      <c r="N298" s="148">
        <v>109.52030000000001</v>
      </c>
      <c r="O298" s="148">
        <v>0</v>
      </c>
      <c r="P298" s="148">
        <v>145.28414000000001</v>
      </c>
      <c r="Q298" s="148">
        <v>-35.763840000000002</v>
      </c>
      <c r="R298" s="148">
        <v>-24.616479128416909</v>
      </c>
    </row>
    <row r="299" spans="1:18" ht="15.75" hidden="1" thickBot="1" x14ac:dyDescent="0.3">
      <c r="A299" s="199" t="str">
        <f t="shared" si="6"/>
        <v>Northwest Natural GaREBATES</v>
      </c>
      <c r="B299" s="149" t="s">
        <v>699</v>
      </c>
      <c r="C299" s="722" t="s">
        <v>665</v>
      </c>
      <c r="D299" s="591" t="s">
        <v>666</v>
      </c>
      <c r="E299" s="147">
        <v>236.25873999999999</v>
      </c>
      <c r="F299" s="147">
        <v>152.08516</v>
      </c>
      <c r="G299" s="147">
        <v>84.173580000000001</v>
      </c>
      <c r="H299" s="147">
        <v>55.346346744153081</v>
      </c>
      <c r="I299" s="729"/>
      <c r="J299" s="147">
        <v>236.25873999999999</v>
      </c>
      <c r="K299" s="147">
        <v>0</v>
      </c>
      <c r="L299" s="147">
        <v>2992.1874499999999</v>
      </c>
      <c r="M299" s="147">
        <v>2725.0218100000002</v>
      </c>
      <c r="N299" s="147">
        <v>267.16564</v>
      </c>
      <c r="O299" s="147">
        <v>9.8041652004245794</v>
      </c>
      <c r="P299" s="147">
        <v>1453.4283399999999</v>
      </c>
      <c r="Q299" s="147">
        <v>1538.75911</v>
      </c>
      <c r="R299" s="147">
        <v>105.8709994604894</v>
      </c>
    </row>
    <row r="300" spans="1:18" ht="15.75" hidden="1" thickBot="1" x14ac:dyDescent="0.3">
      <c r="A300" s="199" t="str">
        <f t="shared" si="6"/>
        <v>Northwest Natural Ga RESEARCH AND DEV</v>
      </c>
      <c r="B300" s="149" t="s">
        <v>699</v>
      </c>
      <c r="C300" s="722" t="s">
        <v>667</v>
      </c>
      <c r="D300" s="591" t="s">
        <v>668</v>
      </c>
      <c r="E300" s="148">
        <v>68.438460000000006</v>
      </c>
      <c r="F300" s="148">
        <v>10</v>
      </c>
      <c r="G300" s="148">
        <v>58.438459999999999</v>
      </c>
      <c r="H300" s="148">
        <v>584.38459999999998</v>
      </c>
      <c r="I300" s="728"/>
      <c r="J300" s="148">
        <v>68.438460000000006</v>
      </c>
      <c r="K300" s="148">
        <v>0</v>
      </c>
      <c r="L300" s="148">
        <v>169.81845999999999</v>
      </c>
      <c r="M300" s="148">
        <v>770</v>
      </c>
      <c r="N300" s="148">
        <v>-600.18154000000004</v>
      </c>
      <c r="O300" s="148">
        <v>-77.945654545454545</v>
      </c>
      <c r="P300" s="728"/>
      <c r="Q300" s="148">
        <v>169.81845999999999</v>
      </c>
      <c r="R300" s="148">
        <v>0</v>
      </c>
    </row>
    <row r="301" spans="1:18" ht="15.75" hidden="1" thickBot="1" x14ac:dyDescent="0.3">
      <c r="A301" s="199" t="str">
        <f t="shared" si="6"/>
        <v>Northwest Natural GaDIRECTOR FEES</v>
      </c>
      <c r="B301" s="149" t="s">
        <v>699</v>
      </c>
      <c r="C301" s="722" t="s">
        <v>669</v>
      </c>
      <c r="D301" s="591" t="s">
        <v>670</v>
      </c>
      <c r="E301" s="147">
        <v>60.017000000000003</v>
      </c>
      <c r="F301" s="147">
        <v>78.166669999999996</v>
      </c>
      <c r="G301" s="147">
        <v>-18.14967</v>
      </c>
      <c r="H301" s="147">
        <v>-23.219193039693259</v>
      </c>
      <c r="I301" s="729"/>
      <c r="J301" s="147">
        <v>60.017000000000003</v>
      </c>
      <c r="K301" s="147">
        <v>0</v>
      </c>
      <c r="L301" s="147">
        <v>1714.04808</v>
      </c>
      <c r="M301" s="147">
        <v>1723.0000199999999</v>
      </c>
      <c r="N301" s="147">
        <v>-8.9519400000000005</v>
      </c>
      <c r="O301" s="147">
        <v>-0.51955542055072057</v>
      </c>
      <c r="P301" s="147">
        <v>791.44799999999998</v>
      </c>
      <c r="Q301" s="147">
        <v>922.60008000000005</v>
      </c>
      <c r="R301" s="147">
        <v>116.57115565394062</v>
      </c>
    </row>
    <row r="302" spans="1:18" ht="15.75" hidden="1" thickBot="1" x14ac:dyDescent="0.3">
      <c r="A302" s="199" t="str">
        <f t="shared" si="6"/>
        <v>Northwest Natural GaCORPORATE IDENTITY</v>
      </c>
      <c r="B302" s="149" t="s">
        <v>699</v>
      </c>
      <c r="C302" s="722" t="s">
        <v>153</v>
      </c>
      <c r="D302" s="591" t="s">
        <v>154</v>
      </c>
      <c r="E302" s="148">
        <v>51.454479999999997</v>
      </c>
      <c r="F302" s="148">
        <v>25.4</v>
      </c>
      <c r="G302" s="148">
        <v>26.054480000000002</v>
      </c>
      <c r="H302" s="148">
        <v>102.57669291338583</v>
      </c>
      <c r="I302" s="728"/>
      <c r="J302" s="148">
        <v>51.454479999999997</v>
      </c>
      <c r="K302" s="148">
        <v>0</v>
      </c>
      <c r="L302" s="148">
        <v>405.55317000000002</v>
      </c>
      <c r="M302" s="148">
        <v>315.39999999999998</v>
      </c>
      <c r="N302" s="148">
        <v>90.153170000000003</v>
      </c>
      <c r="O302" s="148">
        <v>28.58375713379835</v>
      </c>
      <c r="P302" s="148">
        <v>189.77835999999999</v>
      </c>
      <c r="Q302" s="148">
        <v>215.77481</v>
      </c>
      <c r="R302" s="148">
        <v>113.69832155784253</v>
      </c>
    </row>
    <row r="303" spans="1:18" ht="15.75" hidden="1" thickBot="1" x14ac:dyDescent="0.3">
      <c r="A303" s="199" t="str">
        <f t="shared" si="6"/>
        <v>Northwest Natural GaSMALL TOOLS</v>
      </c>
      <c r="B303" s="149" t="s">
        <v>699</v>
      </c>
      <c r="C303" s="722" t="s">
        <v>207</v>
      </c>
      <c r="D303" s="591" t="s">
        <v>208</v>
      </c>
      <c r="E303" s="147">
        <v>0.49629000000000001</v>
      </c>
      <c r="F303" s="147">
        <v>0.2</v>
      </c>
      <c r="G303" s="147">
        <v>0.29629</v>
      </c>
      <c r="H303" s="147">
        <v>148.14500000000001</v>
      </c>
      <c r="I303" s="729"/>
      <c r="J303" s="147">
        <v>0.49629000000000001</v>
      </c>
      <c r="K303" s="147">
        <v>0</v>
      </c>
      <c r="L303" s="147">
        <v>13.784520000000001</v>
      </c>
      <c r="M303" s="147">
        <v>2.4</v>
      </c>
      <c r="N303" s="147">
        <v>11.38452</v>
      </c>
      <c r="O303" s="147">
        <v>474.35500000000002</v>
      </c>
      <c r="P303" s="147">
        <v>7.29962</v>
      </c>
      <c r="Q303" s="147">
        <v>6.4848999999999997</v>
      </c>
      <c r="R303" s="147">
        <v>88.838871064521172</v>
      </c>
    </row>
    <row r="304" spans="1:18" ht="15.75" hidden="1" thickBot="1" x14ac:dyDescent="0.3">
      <c r="A304" s="199" t="str">
        <f t="shared" si="6"/>
        <v>Northwest Natural GaADMINISTRATIVE EXPEN</v>
      </c>
      <c r="B304" s="149" t="s">
        <v>699</v>
      </c>
      <c r="C304" s="722" t="s">
        <v>671</v>
      </c>
      <c r="D304" s="591" t="s">
        <v>672</v>
      </c>
      <c r="E304" s="148">
        <v>-872.36248000000001</v>
      </c>
      <c r="F304" s="148">
        <v>-403.97665999999998</v>
      </c>
      <c r="G304" s="148">
        <v>-468.38582000000002</v>
      </c>
      <c r="H304" s="148">
        <v>-115.94378249476095</v>
      </c>
      <c r="I304" s="728"/>
      <c r="J304" s="148">
        <v>-872.36248000000001</v>
      </c>
      <c r="K304" s="148">
        <v>0</v>
      </c>
      <c r="L304" s="148">
        <v>-7443.4096399999999</v>
      </c>
      <c r="M304" s="148">
        <v>-5551.1655000000001</v>
      </c>
      <c r="N304" s="148">
        <v>-1892.24414</v>
      </c>
      <c r="O304" s="148">
        <v>-34.087330669568402</v>
      </c>
      <c r="P304" s="148">
        <v>-3464.7103699999998</v>
      </c>
      <c r="Q304" s="148">
        <v>-3978.6992700000001</v>
      </c>
      <c r="R304" s="148">
        <v>-114.83497450322233</v>
      </c>
    </row>
    <row r="305" spans="1:18" ht="15.75" hidden="1" thickBot="1" x14ac:dyDescent="0.3">
      <c r="A305" s="199" t="str">
        <f t="shared" si="6"/>
        <v>Northwest Natural GaSHARED SERVICES COST</v>
      </c>
      <c r="B305" s="149" t="s">
        <v>699</v>
      </c>
      <c r="C305" s="722" t="s">
        <v>673</v>
      </c>
      <c r="D305" s="592" t="s">
        <v>674</v>
      </c>
      <c r="E305" s="147">
        <v>-90.973969999999994</v>
      </c>
      <c r="F305" s="147">
        <v>-15.33337</v>
      </c>
      <c r="G305" s="147">
        <v>-75.640600000000006</v>
      </c>
      <c r="H305" s="147">
        <v>-493.3070812221971</v>
      </c>
      <c r="I305" s="729"/>
      <c r="J305" s="147">
        <v>-90.973969999999994</v>
      </c>
      <c r="K305" s="147">
        <v>0</v>
      </c>
      <c r="L305" s="147">
        <v>-136.70468</v>
      </c>
      <c r="M305" s="147">
        <v>-184</v>
      </c>
      <c r="N305" s="147">
        <v>47.295319999999997</v>
      </c>
      <c r="O305" s="147">
        <v>25.703978260869565</v>
      </c>
      <c r="P305" s="147">
        <v>-28.94961</v>
      </c>
      <c r="Q305" s="147">
        <v>-107.75507</v>
      </c>
      <c r="R305" s="147">
        <v>-372.21596422197052</v>
      </c>
    </row>
    <row r="306" spans="1:18" ht="15.75" hidden="1" thickBot="1" x14ac:dyDescent="0.3">
      <c r="A306" s="199" t="str">
        <f t="shared" si="6"/>
        <v>Northwest Natural Ga INVENTORY DIFF</v>
      </c>
      <c r="B306" s="149" t="s">
        <v>699</v>
      </c>
      <c r="C306" s="722" t="s">
        <v>675</v>
      </c>
      <c r="D306" s="593" t="s">
        <v>676</v>
      </c>
      <c r="E306" s="148">
        <v>-9.3000000000000005E-4</v>
      </c>
      <c r="F306" s="148">
        <v>1.5</v>
      </c>
      <c r="G306" s="148">
        <v>-1.5009300000000001</v>
      </c>
      <c r="H306" s="148">
        <v>-100.062</v>
      </c>
      <c r="I306" s="728"/>
      <c r="J306" s="148">
        <v>-9.3000000000000005E-4</v>
      </c>
      <c r="K306" s="148">
        <v>0</v>
      </c>
      <c r="L306" s="148">
        <v>47.567459999999997</v>
      </c>
      <c r="M306" s="148">
        <v>18</v>
      </c>
      <c r="N306" s="148">
        <v>29.567460000000001</v>
      </c>
      <c r="O306" s="148">
        <v>164.26366666666667</v>
      </c>
      <c r="P306" s="148">
        <v>-5.1173500000000001</v>
      </c>
      <c r="Q306" s="148">
        <v>52.684809999999999</v>
      </c>
      <c r="R306" s="148">
        <v>1029.533059102856</v>
      </c>
    </row>
    <row r="307" spans="1:18" ht="15.75" hidden="1" thickBot="1" x14ac:dyDescent="0.3">
      <c r="A307" s="199" t="str">
        <f t="shared" si="6"/>
        <v>Northwest Natural GaMEALS AND ENTERTAIN</v>
      </c>
      <c r="B307" s="149" t="s">
        <v>699</v>
      </c>
      <c r="C307" s="722" t="s">
        <v>75</v>
      </c>
      <c r="D307" s="591" t="s">
        <v>76</v>
      </c>
      <c r="E307" s="147">
        <v>74.048370000000006</v>
      </c>
      <c r="F307" s="147">
        <v>65.584950000000006</v>
      </c>
      <c r="G307" s="147">
        <v>8.4634199999999993</v>
      </c>
      <c r="H307" s="147">
        <v>12.90451544142368</v>
      </c>
      <c r="I307" s="729"/>
      <c r="J307" s="147">
        <v>74.048370000000006</v>
      </c>
      <c r="K307" s="147">
        <v>0</v>
      </c>
      <c r="L307" s="147">
        <v>595.43632000000002</v>
      </c>
      <c r="M307" s="147">
        <v>610.47613000000001</v>
      </c>
      <c r="N307" s="147">
        <v>-15.039809999999999</v>
      </c>
      <c r="O307" s="147">
        <v>-2.4636196668328374</v>
      </c>
      <c r="P307" s="147">
        <v>253.87369000000001</v>
      </c>
      <c r="Q307" s="147">
        <v>341.56263000000001</v>
      </c>
      <c r="R307" s="147">
        <v>134.54038108478275</v>
      </c>
    </row>
    <row r="308" spans="1:18" ht="15.75" hidden="1" thickBot="1" x14ac:dyDescent="0.3">
      <c r="A308" s="199" t="str">
        <f t="shared" si="6"/>
        <v>Northwest Natural GaTRAVEL IN TERRITORY</v>
      </c>
      <c r="B308" s="149" t="s">
        <v>699</v>
      </c>
      <c r="C308" s="722" t="s">
        <v>121</v>
      </c>
      <c r="D308" s="591" t="s">
        <v>122</v>
      </c>
      <c r="E308" s="148">
        <v>5.6099300000000003</v>
      </c>
      <c r="F308" s="148">
        <v>8.6372099999999996</v>
      </c>
      <c r="G308" s="148">
        <v>-3.0272800000000002</v>
      </c>
      <c r="H308" s="148">
        <v>-35.049280959939608</v>
      </c>
      <c r="I308" s="728"/>
      <c r="J308" s="148">
        <v>5.6099300000000003</v>
      </c>
      <c r="K308" s="148">
        <v>0</v>
      </c>
      <c r="L308" s="148">
        <v>138.47396000000001</v>
      </c>
      <c r="M308" s="148">
        <v>121.22279</v>
      </c>
      <c r="N308" s="148">
        <v>17.251169999999998</v>
      </c>
      <c r="O308" s="148">
        <v>14.230962676242644</v>
      </c>
      <c r="P308" s="148">
        <v>79.739040000000003</v>
      </c>
      <c r="Q308" s="148">
        <v>58.734920000000002</v>
      </c>
      <c r="R308" s="148">
        <v>73.658925414702765</v>
      </c>
    </row>
    <row r="309" spans="1:18" ht="15.75" hidden="1" thickBot="1" x14ac:dyDescent="0.3">
      <c r="A309" s="199" t="str">
        <f t="shared" si="6"/>
        <v>Northwest Natural GaCONFERENCE TRAVEL</v>
      </c>
      <c r="B309" s="149" t="s">
        <v>699</v>
      </c>
      <c r="C309" s="722" t="s">
        <v>77</v>
      </c>
      <c r="D309" s="591" t="s">
        <v>78</v>
      </c>
      <c r="E309" s="147">
        <v>29.946400000000001</v>
      </c>
      <c r="F309" s="147">
        <v>72.181849999999997</v>
      </c>
      <c r="G309" s="147">
        <v>-42.23545</v>
      </c>
      <c r="H309" s="147">
        <v>-58.512562368517848</v>
      </c>
      <c r="I309" s="729"/>
      <c r="J309" s="147">
        <v>29.946400000000001</v>
      </c>
      <c r="K309" s="147">
        <v>0</v>
      </c>
      <c r="L309" s="147">
        <v>634.62662</v>
      </c>
      <c r="M309" s="147">
        <v>916.78279999999995</v>
      </c>
      <c r="N309" s="147">
        <v>-282.15618000000001</v>
      </c>
      <c r="O309" s="147">
        <v>-30.776775044208943</v>
      </c>
      <c r="P309" s="147">
        <v>357.07364000000001</v>
      </c>
      <c r="Q309" s="147">
        <v>277.55297999999999</v>
      </c>
      <c r="R309" s="147">
        <v>77.729899076280176</v>
      </c>
    </row>
    <row r="310" spans="1:18" ht="15.75" hidden="1" thickBot="1" x14ac:dyDescent="0.3">
      <c r="A310" s="199" t="str">
        <f t="shared" si="6"/>
        <v>Northwest Natural GaBUSINESS TRAVEL</v>
      </c>
      <c r="B310" s="149" t="s">
        <v>699</v>
      </c>
      <c r="C310" s="722" t="s">
        <v>79</v>
      </c>
      <c r="D310" s="591" t="s">
        <v>80</v>
      </c>
      <c r="E310" s="148">
        <v>39.761369999999999</v>
      </c>
      <c r="F310" s="148">
        <v>44.136339999999997</v>
      </c>
      <c r="G310" s="148">
        <v>-4.3749700000000002</v>
      </c>
      <c r="H310" s="148">
        <v>-9.9123987172475108</v>
      </c>
      <c r="I310" s="728"/>
      <c r="J310" s="148">
        <v>39.761369999999999</v>
      </c>
      <c r="K310" s="148">
        <v>0</v>
      </c>
      <c r="L310" s="148">
        <v>328.20557000000002</v>
      </c>
      <c r="M310" s="148">
        <v>366.40848999999997</v>
      </c>
      <c r="N310" s="148">
        <v>-38.202919999999999</v>
      </c>
      <c r="O310" s="148">
        <v>-10.426319542977838</v>
      </c>
      <c r="P310" s="148">
        <v>145.26952</v>
      </c>
      <c r="Q310" s="148">
        <v>182.93604999999999</v>
      </c>
      <c r="R310" s="148">
        <v>125.92872200582751</v>
      </c>
    </row>
    <row r="311" spans="1:18" ht="15.75" hidden="1" thickBot="1" x14ac:dyDescent="0.3">
      <c r="A311" s="199" t="str">
        <f t="shared" si="6"/>
        <v>Northwest Natural GaEMPLOYEE AWARDS</v>
      </c>
      <c r="B311" s="149" t="s">
        <v>699</v>
      </c>
      <c r="C311" s="722" t="s">
        <v>81</v>
      </c>
      <c r="D311" s="591" t="s">
        <v>82</v>
      </c>
      <c r="E311" s="147">
        <v>105.72359</v>
      </c>
      <c r="F311" s="147">
        <v>82.330740000000006</v>
      </c>
      <c r="G311" s="147">
        <v>23.392849999999999</v>
      </c>
      <c r="H311" s="147">
        <v>28.413263381332417</v>
      </c>
      <c r="I311" s="729"/>
      <c r="J311" s="147">
        <v>105.72359</v>
      </c>
      <c r="K311" s="147">
        <v>0</v>
      </c>
      <c r="L311" s="147">
        <v>457.49941000000001</v>
      </c>
      <c r="M311" s="147">
        <v>463.73531000000003</v>
      </c>
      <c r="N311" s="147">
        <v>-6.2359</v>
      </c>
      <c r="O311" s="147">
        <v>-1.3447110594187879</v>
      </c>
      <c r="P311" s="147">
        <v>223.96034</v>
      </c>
      <c r="Q311" s="147">
        <v>233.53907000000001</v>
      </c>
      <c r="R311" s="147">
        <v>104.2769760038764</v>
      </c>
    </row>
    <row r="312" spans="1:18" ht="15.75" hidden="1" thickBot="1" x14ac:dyDescent="0.3">
      <c r="A312" s="199" t="str">
        <f t="shared" si="6"/>
        <v>Northwest Natural GaEMPLOYEE AWRDS MLS &amp;</v>
      </c>
      <c r="B312" s="149" t="s">
        <v>699</v>
      </c>
      <c r="C312" s="722" t="s">
        <v>123</v>
      </c>
      <c r="D312" s="591" t="s">
        <v>124</v>
      </c>
      <c r="E312" s="148">
        <v>31.439409999999999</v>
      </c>
      <c r="F312" s="148">
        <v>12.873710000000001</v>
      </c>
      <c r="G312" s="148">
        <v>18.5657</v>
      </c>
      <c r="H312" s="148">
        <v>144.21406105932166</v>
      </c>
      <c r="I312" s="728"/>
      <c r="J312" s="148">
        <v>31.439409999999999</v>
      </c>
      <c r="K312" s="148">
        <v>0</v>
      </c>
      <c r="L312" s="148">
        <v>110.12804</v>
      </c>
      <c r="M312" s="148">
        <v>79.64264</v>
      </c>
      <c r="N312" s="148">
        <v>30.485399999999998</v>
      </c>
      <c r="O312" s="148">
        <v>38.277736649613828</v>
      </c>
      <c r="P312" s="148">
        <v>28.840949999999999</v>
      </c>
      <c r="Q312" s="148">
        <v>81.287090000000006</v>
      </c>
      <c r="R312" s="148">
        <v>281.84609036803573</v>
      </c>
    </row>
    <row r="313" spans="1:18" ht="15.75" hidden="1" thickBot="1" x14ac:dyDescent="0.3">
      <c r="A313" s="199" t="str">
        <f t="shared" si="6"/>
        <v>Northwest Natural GaNON EMPLOYEE GIFTS</v>
      </c>
      <c r="B313" s="149" t="s">
        <v>699</v>
      </c>
      <c r="C313" s="722" t="s">
        <v>125</v>
      </c>
      <c r="D313" s="591" t="s">
        <v>126</v>
      </c>
      <c r="E313" s="147">
        <v>1.3314699999999999</v>
      </c>
      <c r="F313" s="147">
        <v>1.8109999999999999</v>
      </c>
      <c r="G313" s="147">
        <v>-0.47953000000000001</v>
      </c>
      <c r="H313" s="147">
        <v>-26.478741027056873</v>
      </c>
      <c r="I313" s="729"/>
      <c r="J313" s="147">
        <v>1.3314699999999999</v>
      </c>
      <c r="K313" s="147">
        <v>0</v>
      </c>
      <c r="L313" s="147">
        <v>5.8715999999999999</v>
      </c>
      <c r="M313" s="147">
        <v>6.1220999999999997</v>
      </c>
      <c r="N313" s="147">
        <v>-0.2505</v>
      </c>
      <c r="O313" s="147">
        <v>-4.0917332287940411</v>
      </c>
      <c r="P313" s="147">
        <v>3.13605</v>
      </c>
      <c r="Q313" s="147">
        <v>2.7355499999999999</v>
      </c>
      <c r="R313" s="147">
        <v>87.229157698378529</v>
      </c>
    </row>
    <row r="314" spans="1:18" ht="15.75" hidden="1" thickBot="1" x14ac:dyDescent="0.3">
      <c r="A314" s="199" t="str">
        <f t="shared" si="6"/>
        <v>Northwest Natural GaBUILDER SIGNS</v>
      </c>
      <c r="B314" s="149" t="s">
        <v>699</v>
      </c>
      <c r="C314" s="722" t="s">
        <v>677</v>
      </c>
      <c r="D314" s="591" t="s">
        <v>678</v>
      </c>
      <c r="E314" s="148">
        <v>0.375</v>
      </c>
      <c r="F314" s="148">
        <v>0.58699999999999997</v>
      </c>
      <c r="G314" s="148">
        <v>-0.21199999999999999</v>
      </c>
      <c r="H314" s="148">
        <v>-36.115843270868822</v>
      </c>
      <c r="I314" s="728"/>
      <c r="J314" s="148">
        <v>0.375</v>
      </c>
      <c r="K314" s="148">
        <v>0</v>
      </c>
      <c r="L314" s="148">
        <v>2.1749999999999998</v>
      </c>
      <c r="M314" s="148">
        <v>7</v>
      </c>
      <c r="N314" s="148">
        <v>-4.8250000000000002</v>
      </c>
      <c r="O314" s="148">
        <v>-68.928571428571431</v>
      </c>
      <c r="P314" s="728"/>
      <c r="Q314" s="148">
        <v>2.1749999999999998</v>
      </c>
      <c r="R314" s="148">
        <v>0</v>
      </c>
    </row>
    <row r="315" spans="1:18" ht="15.75" hidden="1" thickBot="1" x14ac:dyDescent="0.3">
      <c r="A315" s="199" t="str">
        <f t="shared" si="6"/>
        <v>Northwest Natural GaCLAIMS &amp; ACCRUALS</v>
      </c>
      <c r="B315" s="149" t="s">
        <v>699</v>
      </c>
      <c r="C315" s="722" t="s">
        <v>679</v>
      </c>
      <c r="D315" s="591" t="s">
        <v>680</v>
      </c>
      <c r="E315" s="147">
        <v>97.31053</v>
      </c>
      <c r="F315" s="147">
        <v>12.625</v>
      </c>
      <c r="G315" s="147">
        <v>84.68553</v>
      </c>
      <c r="H315" s="147">
        <v>670.77647524752479</v>
      </c>
      <c r="I315" s="729"/>
      <c r="J315" s="147">
        <v>97.31053</v>
      </c>
      <c r="K315" s="147">
        <v>0</v>
      </c>
      <c r="L315" s="147">
        <v>292.01812000000001</v>
      </c>
      <c r="M315" s="147">
        <v>151.5</v>
      </c>
      <c r="N315" s="147">
        <v>140.51812000000001</v>
      </c>
      <c r="O315" s="147">
        <v>92.751234323432342</v>
      </c>
      <c r="P315" s="147">
        <v>142.22659999999999</v>
      </c>
      <c r="Q315" s="147">
        <v>149.79151999999999</v>
      </c>
      <c r="R315" s="147">
        <v>105.31892065197368</v>
      </c>
    </row>
    <row r="316" spans="1:18" ht="15.75" hidden="1" thickBot="1" x14ac:dyDescent="0.3">
      <c r="A316" s="199" t="str">
        <f t="shared" si="6"/>
        <v>Northwest Natural GaAFUDC DEBT</v>
      </c>
      <c r="B316" s="149" t="s">
        <v>699</v>
      </c>
      <c r="C316" s="722" t="s">
        <v>681</v>
      </c>
      <c r="D316" s="591" t="s">
        <v>682</v>
      </c>
      <c r="E316" s="148">
        <v>0.41971999999999998</v>
      </c>
      <c r="F316" s="728"/>
      <c r="G316" s="148">
        <v>0.41971999999999998</v>
      </c>
      <c r="H316" s="148">
        <v>0</v>
      </c>
      <c r="I316" s="728"/>
      <c r="J316" s="148">
        <v>0.41971999999999998</v>
      </c>
      <c r="K316" s="148">
        <v>0</v>
      </c>
      <c r="L316" s="148">
        <v>1.0495300000000001</v>
      </c>
      <c r="M316" s="728"/>
      <c r="N316" s="148">
        <v>1.0495300000000001</v>
      </c>
      <c r="O316" s="148">
        <v>0</v>
      </c>
      <c r="P316" s="728"/>
      <c r="Q316" s="148">
        <v>1.0495300000000001</v>
      </c>
      <c r="R316" s="148">
        <v>0</v>
      </c>
    </row>
    <row r="317" spans="1:18" ht="15.75" hidden="1" thickBot="1" x14ac:dyDescent="0.3">
      <c r="A317" s="199" t="str">
        <f t="shared" si="6"/>
        <v>Northwest Natural GaAFUDC EQUITY</v>
      </c>
      <c r="B317" s="149" t="s">
        <v>699</v>
      </c>
      <c r="C317" s="722" t="s">
        <v>683</v>
      </c>
      <c r="D317" s="591" t="s">
        <v>684</v>
      </c>
      <c r="E317" s="147">
        <v>0.37440000000000001</v>
      </c>
      <c r="F317" s="729"/>
      <c r="G317" s="147">
        <v>0.37440000000000001</v>
      </c>
      <c r="H317" s="147">
        <v>0</v>
      </c>
      <c r="I317" s="729"/>
      <c r="J317" s="147">
        <v>0.37440000000000001</v>
      </c>
      <c r="K317" s="147">
        <v>0</v>
      </c>
      <c r="L317" s="147">
        <v>0.92517000000000005</v>
      </c>
      <c r="M317" s="729"/>
      <c r="N317" s="147">
        <v>0.92517000000000005</v>
      </c>
      <c r="O317" s="147">
        <v>0</v>
      </c>
      <c r="P317" s="729"/>
      <c r="Q317" s="147">
        <v>0.92517000000000005</v>
      </c>
      <c r="R317" s="147">
        <v>0</v>
      </c>
    </row>
    <row r="318" spans="1:18" ht="15.75" hidden="1" thickBot="1" x14ac:dyDescent="0.3">
      <c r="A318" s="199" t="str">
        <f t="shared" si="6"/>
        <v>Northwest Natural GaCOMMODITY CHARGES</v>
      </c>
      <c r="B318" s="149" t="s">
        <v>699</v>
      </c>
      <c r="C318" s="722" t="s">
        <v>685</v>
      </c>
      <c r="D318" s="591" t="s">
        <v>686</v>
      </c>
      <c r="E318" s="148">
        <v>6.8509799999999998</v>
      </c>
      <c r="F318" s="728"/>
      <c r="G318" s="148">
        <v>6.8509799999999998</v>
      </c>
      <c r="H318" s="148">
        <v>0</v>
      </c>
      <c r="I318" s="728"/>
      <c r="J318" s="148">
        <v>6.8509799999999998</v>
      </c>
      <c r="K318" s="148">
        <v>0</v>
      </c>
      <c r="L318" s="148">
        <v>3.7140300000000002</v>
      </c>
      <c r="M318" s="728"/>
      <c r="N318" s="148">
        <v>3.7140300000000002</v>
      </c>
      <c r="O318" s="148">
        <v>0</v>
      </c>
      <c r="P318" s="148">
        <v>-2.2319499999999999</v>
      </c>
      <c r="Q318" s="148">
        <v>5.9459799999999996</v>
      </c>
      <c r="R318" s="148">
        <v>266.40292121239276</v>
      </c>
    </row>
    <row r="319" spans="1:18" ht="15.75" hidden="1" thickBot="1" x14ac:dyDescent="0.3">
      <c r="A319" s="199" t="str">
        <f t="shared" si="6"/>
        <v>Northwest Natural GaLNG</v>
      </c>
      <c r="B319" s="149" t="s">
        <v>699</v>
      </c>
      <c r="C319" s="722" t="s">
        <v>687</v>
      </c>
      <c r="D319" s="591" t="s">
        <v>688</v>
      </c>
      <c r="E319" s="147">
        <v>7.6091199999999999</v>
      </c>
      <c r="F319" s="729"/>
      <c r="G319" s="147">
        <v>7.6091199999999999</v>
      </c>
      <c r="H319" s="147">
        <v>0</v>
      </c>
      <c r="I319" s="729"/>
      <c r="J319" s="147">
        <v>7.6091199999999999</v>
      </c>
      <c r="K319" s="147">
        <v>0</v>
      </c>
      <c r="L319" s="147">
        <v>-60.251989999999999</v>
      </c>
      <c r="M319" s="729"/>
      <c r="N319" s="147">
        <v>-60.251989999999999</v>
      </c>
      <c r="O319" s="147">
        <v>0</v>
      </c>
      <c r="P319" s="147">
        <v>-42.937730000000002</v>
      </c>
      <c r="Q319" s="147">
        <v>-17.314260000000001</v>
      </c>
      <c r="R319" s="147">
        <v>-40.324115876642757</v>
      </c>
    </row>
    <row r="320" spans="1:18" ht="15.75" hidden="1" thickBot="1" x14ac:dyDescent="0.3">
      <c r="A320" s="199" t="str">
        <f t="shared" si="6"/>
        <v>Northwest Natural GaUNDERGROUND STORAGE</v>
      </c>
      <c r="B320" s="149" t="s">
        <v>699</v>
      </c>
      <c r="C320" s="722" t="s">
        <v>689</v>
      </c>
      <c r="D320" s="591" t="s">
        <v>690</v>
      </c>
      <c r="E320" s="728"/>
      <c r="F320" s="728"/>
      <c r="G320" s="728"/>
      <c r="H320" s="728"/>
      <c r="I320" s="728"/>
      <c r="J320" s="728"/>
      <c r="K320" s="728"/>
      <c r="L320" s="148">
        <v>0.44951999999999998</v>
      </c>
      <c r="M320" s="728"/>
      <c r="N320" s="148">
        <v>0.44951999999999998</v>
      </c>
      <c r="O320" s="148">
        <v>0</v>
      </c>
      <c r="P320" s="148">
        <v>0.44951999999999998</v>
      </c>
      <c r="Q320" s="148">
        <v>0</v>
      </c>
      <c r="R320" s="148">
        <v>0</v>
      </c>
    </row>
    <row r="321" spans="1:18" ht="15.75" hidden="1" thickBot="1" x14ac:dyDescent="0.3">
      <c r="A321" s="199" t="str">
        <f t="shared" si="6"/>
        <v>Northwest Natural GaDMG Write-Offs</v>
      </c>
      <c r="B321" s="149" t="s">
        <v>699</v>
      </c>
      <c r="C321" s="722" t="s">
        <v>691</v>
      </c>
      <c r="D321" s="591" t="s">
        <v>692</v>
      </c>
      <c r="E321" s="147">
        <v>5.0939100000000002</v>
      </c>
      <c r="F321" s="147">
        <v>1.6</v>
      </c>
      <c r="G321" s="147">
        <v>3.4939100000000001</v>
      </c>
      <c r="H321" s="147">
        <v>218.36937499999999</v>
      </c>
      <c r="I321" s="729"/>
      <c r="J321" s="147">
        <v>5.0939100000000002</v>
      </c>
      <c r="K321" s="147">
        <v>0</v>
      </c>
      <c r="L321" s="147">
        <v>-33.261369999999999</v>
      </c>
      <c r="M321" s="147">
        <v>19</v>
      </c>
      <c r="N321" s="147">
        <v>-52.261369999999999</v>
      </c>
      <c r="O321" s="147">
        <v>-275.05984210526316</v>
      </c>
      <c r="P321" s="147">
        <v>-34.284480000000002</v>
      </c>
      <c r="Q321" s="147">
        <v>1.02311</v>
      </c>
      <c r="R321" s="147">
        <v>2.9841782637508283</v>
      </c>
    </row>
    <row r="322" spans="1:18" ht="15.75" hidden="1" thickBot="1" x14ac:dyDescent="0.3">
      <c r="A322" s="199" t="str">
        <f t="shared" si="6"/>
        <v>Northwest Natural GaORDERS NOT SOLD W/O</v>
      </c>
      <c r="B322" s="149" t="s">
        <v>699</v>
      </c>
      <c r="C322" s="722" t="s">
        <v>693</v>
      </c>
      <c r="D322" s="591" t="s">
        <v>694</v>
      </c>
      <c r="E322" s="148">
        <v>32.944899999999997</v>
      </c>
      <c r="F322" s="148">
        <v>10.91667</v>
      </c>
      <c r="G322" s="148">
        <v>22.028230000000001</v>
      </c>
      <c r="H322" s="148">
        <v>201.78525136328201</v>
      </c>
      <c r="I322" s="728"/>
      <c r="J322" s="148">
        <v>32.944899999999997</v>
      </c>
      <c r="K322" s="148">
        <v>0</v>
      </c>
      <c r="L322" s="148">
        <v>336.70578999999998</v>
      </c>
      <c r="M322" s="148">
        <v>131</v>
      </c>
      <c r="N322" s="148">
        <v>205.70579000000001</v>
      </c>
      <c r="O322" s="148">
        <v>157.02732061068701</v>
      </c>
      <c r="P322" s="148">
        <v>154.10181</v>
      </c>
      <c r="Q322" s="148">
        <v>182.60398000000001</v>
      </c>
      <c r="R322" s="148">
        <v>118.49567503457617</v>
      </c>
    </row>
    <row r="323" spans="1:18" ht="15.75" hidden="1" thickBot="1" x14ac:dyDescent="0.3">
      <c r="A323" s="199" t="str">
        <f t="shared" si="6"/>
        <v>Northwest Natural GaP CARD SUSPENSE</v>
      </c>
      <c r="B323" s="149" t="s">
        <v>699</v>
      </c>
      <c r="C323" s="722" t="s">
        <v>695</v>
      </c>
      <c r="D323" s="591" t="s">
        <v>696</v>
      </c>
      <c r="E323" s="729"/>
      <c r="F323" s="729"/>
      <c r="G323" s="729"/>
      <c r="H323" s="729"/>
      <c r="I323" s="729"/>
      <c r="J323" s="729"/>
      <c r="K323" s="729"/>
      <c r="L323" s="147">
        <v>0</v>
      </c>
      <c r="M323" s="729"/>
      <c r="N323" s="147">
        <v>0</v>
      </c>
      <c r="O323" s="147">
        <v>0</v>
      </c>
      <c r="P323" s="147">
        <v>-1.6979999999999999E-2</v>
      </c>
      <c r="Q323" s="147">
        <v>1.6979999999999999E-2</v>
      </c>
      <c r="R323" s="147">
        <v>100</v>
      </c>
    </row>
    <row r="324" spans="1:18" ht="15.75" hidden="1" thickBot="1" x14ac:dyDescent="0.3">
      <c r="A324" s="199" t="str">
        <f t="shared" si="6"/>
        <v>Northwest Natural GaNWN/581500</v>
      </c>
      <c r="B324" s="149" t="s">
        <v>699</v>
      </c>
      <c r="C324" s="722" t="s">
        <v>209</v>
      </c>
      <c r="D324" s="591" t="s">
        <v>210</v>
      </c>
      <c r="E324" s="148">
        <v>1.94259</v>
      </c>
      <c r="F324" s="728"/>
      <c r="G324" s="148">
        <v>1.94259</v>
      </c>
      <c r="H324" s="148">
        <v>0</v>
      </c>
      <c r="I324" s="728"/>
      <c r="J324" s="148">
        <v>1.94259</v>
      </c>
      <c r="K324" s="148">
        <v>0</v>
      </c>
      <c r="L324" s="148">
        <v>26.25309</v>
      </c>
      <c r="M324" s="728"/>
      <c r="N324" s="148">
        <v>26.25309</v>
      </c>
      <c r="O324" s="148">
        <v>0</v>
      </c>
      <c r="P324" s="148">
        <v>15.512969999999999</v>
      </c>
      <c r="Q324" s="148">
        <v>10.740119999999999</v>
      </c>
      <c r="R324" s="148">
        <v>69.233164249012276</v>
      </c>
    </row>
    <row r="325" spans="1:18" ht="15.75" hidden="1" thickBot="1" x14ac:dyDescent="0.3">
      <c r="A325" s="199" t="str">
        <f t="shared" si="6"/>
        <v>Northwest Natural GaNWN/585800</v>
      </c>
      <c r="B325" s="149" t="s">
        <v>699</v>
      </c>
      <c r="C325" s="722" t="s">
        <v>211</v>
      </c>
      <c r="D325" s="591" t="s">
        <v>212</v>
      </c>
      <c r="E325" s="147">
        <v>1.1700900000000001</v>
      </c>
      <c r="F325" s="729"/>
      <c r="G325" s="147">
        <v>1.1700900000000001</v>
      </c>
      <c r="H325" s="147">
        <v>0</v>
      </c>
      <c r="I325" s="729"/>
      <c r="J325" s="147">
        <v>1.1700900000000001</v>
      </c>
      <c r="K325" s="147">
        <v>0</v>
      </c>
      <c r="L325" s="147">
        <v>24.353020000000001</v>
      </c>
      <c r="M325" s="729"/>
      <c r="N325" s="147">
        <v>24.353020000000001</v>
      </c>
      <c r="O325" s="147">
        <v>0</v>
      </c>
      <c r="P325" s="147">
        <v>11.469279999999999</v>
      </c>
      <c r="Q325" s="147">
        <v>12.88374</v>
      </c>
      <c r="R325" s="147">
        <v>112.33259629200786</v>
      </c>
    </row>
    <row r="326" spans="1:18" ht="15.75" hidden="1" thickBot="1" x14ac:dyDescent="0.3">
      <c r="A326" s="199" t="str">
        <f t="shared" si="6"/>
        <v>Northwest Natural GaNWN/586100</v>
      </c>
      <c r="B326" s="149" t="s">
        <v>699</v>
      </c>
      <c r="C326" s="722" t="s">
        <v>697</v>
      </c>
      <c r="D326" s="591" t="s">
        <v>698</v>
      </c>
      <c r="E326" s="728"/>
      <c r="F326" s="728"/>
      <c r="G326" s="728"/>
      <c r="H326" s="728"/>
      <c r="I326" s="728"/>
      <c r="J326" s="728"/>
      <c r="K326" s="728"/>
      <c r="L326" s="148">
        <v>1.8635999999999999</v>
      </c>
      <c r="M326" s="728"/>
      <c r="N326" s="148">
        <v>1.8635999999999999</v>
      </c>
      <c r="O326" s="148">
        <v>0</v>
      </c>
      <c r="P326" s="148">
        <v>1.44472</v>
      </c>
      <c r="Q326" s="148">
        <v>0.41887999999999997</v>
      </c>
      <c r="R326" s="148">
        <v>28.993853480259151</v>
      </c>
    </row>
    <row r="327" spans="1:18" ht="15.75" hidden="1" thickBot="1" x14ac:dyDescent="0.3">
      <c r="A327" s="199" t="str">
        <f t="shared" si="6"/>
        <v>Northwest Natural GaMILEAGE REIMB ZTFSO</v>
      </c>
      <c r="B327" s="149" t="s">
        <v>699</v>
      </c>
      <c r="C327" s="722" t="s">
        <v>213</v>
      </c>
      <c r="D327" s="591" t="s">
        <v>214</v>
      </c>
      <c r="E327" s="147">
        <v>-7.5321800000000003</v>
      </c>
      <c r="F327" s="729"/>
      <c r="G327" s="147">
        <v>-7.5321800000000003</v>
      </c>
      <c r="H327" s="147">
        <v>0</v>
      </c>
      <c r="I327" s="729"/>
      <c r="J327" s="147">
        <v>-7.5321800000000003</v>
      </c>
      <c r="K327" s="147">
        <v>0</v>
      </c>
      <c r="L327" s="147">
        <v>-72.238010000000003</v>
      </c>
      <c r="M327" s="729"/>
      <c r="N327" s="147">
        <v>-72.238010000000003</v>
      </c>
      <c r="O327" s="147">
        <v>0</v>
      </c>
      <c r="P327" s="147">
        <v>-37.420920000000002</v>
      </c>
      <c r="Q327" s="147">
        <v>-34.81709</v>
      </c>
      <c r="R327" s="147">
        <v>-93.041779838657092</v>
      </c>
    </row>
    <row r="328" spans="1:18" ht="15.75" hidden="1" thickBot="1" x14ac:dyDescent="0.3">
      <c r="A328" s="199" t="str">
        <f t="shared" si="6"/>
        <v>Northwest Natural GaMEAL TICKETS ZTFSO</v>
      </c>
      <c r="B328" s="149" t="s">
        <v>699</v>
      </c>
      <c r="C328" s="722" t="s">
        <v>215</v>
      </c>
      <c r="D328" s="591" t="s">
        <v>216</v>
      </c>
      <c r="E328" s="148">
        <v>-2.6358899999999998</v>
      </c>
      <c r="F328" s="728"/>
      <c r="G328" s="148">
        <v>-2.6358899999999998</v>
      </c>
      <c r="H328" s="148">
        <v>0</v>
      </c>
      <c r="I328" s="728"/>
      <c r="J328" s="148">
        <v>-2.6358899999999998</v>
      </c>
      <c r="K328" s="148">
        <v>0</v>
      </c>
      <c r="L328" s="148">
        <v>-52.674939999999999</v>
      </c>
      <c r="M328" s="728"/>
      <c r="N328" s="148">
        <v>-52.674939999999999</v>
      </c>
      <c r="O328" s="148">
        <v>0</v>
      </c>
      <c r="P328" s="148">
        <v>-23.46585</v>
      </c>
      <c r="Q328" s="148">
        <v>-29.20909</v>
      </c>
      <c r="R328" s="148">
        <v>-124.47488584474885</v>
      </c>
    </row>
    <row r="329" spans="1:18" ht="15.75" hidden="1" thickBot="1" x14ac:dyDescent="0.3">
      <c r="A329" s="199" t="str">
        <f t="shared" si="6"/>
        <v>Northwest Natural GaMISC. EXPENSE BUDGET</v>
      </c>
      <c r="B329" s="149" t="s">
        <v>699</v>
      </c>
      <c r="C329" s="722" t="s">
        <v>83</v>
      </c>
      <c r="D329" s="591" t="s">
        <v>84</v>
      </c>
      <c r="E329" s="729"/>
      <c r="F329" s="147">
        <v>14.13561</v>
      </c>
      <c r="G329" s="147">
        <v>-14.13561</v>
      </c>
      <c r="H329" s="147">
        <v>-100</v>
      </c>
      <c r="I329" s="729"/>
      <c r="J329" s="729"/>
      <c r="K329" s="729"/>
      <c r="L329" s="729"/>
      <c r="M329" s="147">
        <v>170.59360000000001</v>
      </c>
      <c r="N329" s="147">
        <v>-170.59360000000001</v>
      </c>
      <c r="O329" s="147">
        <v>-100</v>
      </c>
      <c r="P329" s="729"/>
      <c r="Q329" s="729"/>
      <c r="R329" s="729"/>
    </row>
    <row r="330" spans="1:18" ht="15.75" hidden="1" thickBot="1" x14ac:dyDescent="0.3">
      <c r="A330" s="199" t="str">
        <f t="shared" si="6"/>
        <v>Northwest Natural GaNon-Payroll</v>
      </c>
      <c r="B330" s="149" t="s">
        <v>699</v>
      </c>
      <c r="C330" s="149" t="s">
        <v>85</v>
      </c>
      <c r="D330" s="591" t="s">
        <v>86</v>
      </c>
      <c r="E330" s="148">
        <v>6028.3502900000003</v>
      </c>
      <c r="F330" s="148">
        <v>4163.21738</v>
      </c>
      <c r="G330" s="148">
        <v>1865.13291</v>
      </c>
      <c r="H330" s="148">
        <v>44.800276799382502</v>
      </c>
      <c r="I330" s="728"/>
      <c r="J330" s="148">
        <v>6028.3502900000003</v>
      </c>
      <c r="K330" s="148">
        <v>0</v>
      </c>
      <c r="L330" s="148">
        <v>60608.917200000004</v>
      </c>
      <c r="M330" s="148">
        <v>54864.674420000003</v>
      </c>
      <c r="N330" s="148">
        <v>5744.2427799999996</v>
      </c>
      <c r="O330" s="148">
        <v>10.469838453841316</v>
      </c>
      <c r="P330" s="148">
        <v>28456.923650000001</v>
      </c>
      <c r="Q330" s="148">
        <v>32151.993549999999</v>
      </c>
      <c r="R330" s="148">
        <v>112.984783406129</v>
      </c>
    </row>
    <row r="331" spans="1:18" ht="15.75" hidden="1" thickBot="1" x14ac:dyDescent="0.3">
      <c r="A331" s="199" t="str">
        <f t="shared" si="6"/>
        <v>Northwest Natural GaEXPENSE ACCOUNTS</v>
      </c>
      <c r="B331" s="149" t="s">
        <v>699</v>
      </c>
      <c r="C331" s="144" t="s">
        <v>87</v>
      </c>
      <c r="D331" s="591" t="s">
        <v>87</v>
      </c>
      <c r="E331" s="147">
        <v>15036.906499999999</v>
      </c>
      <c r="F331" s="147">
        <v>13746.834769999999</v>
      </c>
      <c r="G331" s="147">
        <v>1290.0717299999999</v>
      </c>
      <c r="H331" s="147">
        <v>9.3845001528304532</v>
      </c>
      <c r="I331" s="729"/>
      <c r="J331" s="147">
        <v>15036.906499999999</v>
      </c>
      <c r="K331" s="147">
        <v>0</v>
      </c>
      <c r="L331" s="147">
        <v>161383.82422000001</v>
      </c>
      <c r="M331" s="147">
        <v>153893.99984999999</v>
      </c>
      <c r="N331" s="147">
        <v>7489.8243700000003</v>
      </c>
      <c r="O331" s="147">
        <v>4.8668722479760795</v>
      </c>
      <c r="P331" s="147">
        <v>79494.752120000005</v>
      </c>
      <c r="Q331" s="147">
        <v>81889.072100000005</v>
      </c>
      <c r="R331" s="147">
        <v>103.01192206547886</v>
      </c>
    </row>
    <row r="332" spans="1:18" ht="15.75" hidden="1" thickBot="1" x14ac:dyDescent="0.3">
      <c r="A332" s="199" t="str">
        <f t="shared" si="6"/>
        <v>INCOME STATMNT DETAISALARY BONUS PAYROLL</v>
      </c>
      <c r="B332" s="722" t="s">
        <v>700</v>
      </c>
      <c r="C332" s="722" t="s">
        <v>134</v>
      </c>
      <c r="D332" s="591" t="s">
        <v>135</v>
      </c>
      <c r="E332" s="728"/>
      <c r="F332" s="728"/>
      <c r="G332" s="728"/>
      <c r="H332" s="728"/>
      <c r="I332" s="728"/>
      <c r="J332" s="728"/>
      <c r="K332" s="728"/>
      <c r="L332" s="148">
        <v>-6.8572600000000001</v>
      </c>
      <c r="M332" s="728"/>
      <c r="N332" s="148">
        <v>-6.8572600000000001</v>
      </c>
      <c r="O332" s="148">
        <v>0</v>
      </c>
      <c r="P332" s="148">
        <v>-13.270379999999999</v>
      </c>
      <c r="Q332" s="148">
        <v>6.4131200000000002</v>
      </c>
      <c r="R332" s="148">
        <v>48.326573918757411</v>
      </c>
    </row>
    <row r="333" spans="1:18" ht="15.75" hidden="1" thickBot="1" x14ac:dyDescent="0.3">
      <c r="A333" s="199" t="str">
        <f t="shared" si="6"/>
        <v>INCOME STATMNT DETAIPayroll</v>
      </c>
      <c r="B333" s="722" t="s">
        <v>700</v>
      </c>
      <c r="C333" s="149" t="s">
        <v>67</v>
      </c>
      <c r="D333" s="591" t="s">
        <v>68</v>
      </c>
      <c r="E333" s="729"/>
      <c r="F333" s="729"/>
      <c r="G333" s="729"/>
      <c r="H333" s="729"/>
      <c r="I333" s="729"/>
      <c r="J333" s="729"/>
      <c r="K333" s="729"/>
      <c r="L333" s="147">
        <v>-6.8572600000000001</v>
      </c>
      <c r="M333" s="729"/>
      <c r="N333" s="147">
        <v>-6.8572600000000001</v>
      </c>
      <c r="O333" s="147">
        <v>0</v>
      </c>
      <c r="P333" s="147">
        <v>-13.270379999999999</v>
      </c>
      <c r="Q333" s="147">
        <v>6.4131200000000002</v>
      </c>
      <c r="R333" s="147">
        <v>48.326573918757411</v>
      </c>
    </row>
    <row r="334" spans="1:18" ht="15.75" hidden="1" thickBot="1" x14ac:dyDescent="0.3">
      <c r="A334" s="199" t="str">
        <f t="shared" si="6"/>
        <v>INCOME STATMNT DETAIPARKING</v>
      </c>
      <c r="B334" s="722" t="s">
        <v>700</v>
      </c>
      <c r="C334" s="722" t="s">
        <v>145</v>
      </c>
      <c r="D334" s="591" t="s">
        <v>146</v>
      </c>
      <c r="E334" s="148">
        <v>0.158</v>
      </c>
      <c r="F334" s="728"/>
      <c r="G334" s="148">
        <v>0.158</v>
      </c>
      <c r="H334" s="148">
        <v>0</v>
      </c>
      <c r="I334" s="728"/>
      <c r="J334" s="148">
        <v>0.158</v>
      </c>
      <c r="K334" s="148">
        <v>0</v>
      </c>
      <c r="L334" s="148">
        <v>0.92400000000000004</v>
      </c>
      <c r="M334" s="728"/>
      <c r="N334" s="148">
        <v>0.92400000000000004</v>
      </c>
      <c r="O334" s="148">
        <v>0</v>
      </c>
      <c r="P334" s="148">
        <v>0.45</v>
      </c>
      <c r="Q334" s="148">
        <v>0.47399999999999998</v>
      </c>
      <c r="R334" s="148">
        <v>105.33333333333333</v>
      </c>
    </row>
    <row r="335" spans="1:18" ht="15.75" hidden="1" thickBot="1" x14ac:dyDescent="0.3">
      <c r="A335" s="199" t="str">
        <f t="shared" si="6"/>
        <v>INCOME STATMNT DETAINon-Payroll</v>
      </c>
      <c r="B335" s="722" t="s">
        <v>700</v>
      </c>
      <c r="C335" s="149" t="s">
        <v>85</v>
      </c>
      <c r="D335" s="591" t="s">
        <v>86</v>
      </c>
      <c r="E335" s="147">
        <v>0.158</v>
      </c>
      <c r="F335" s="729"/>
      <c r="G335" s="147">
        <v>0.158</v>
      </c>
      <c r="H335" s="147">
        <v>0</v>
      </c>
      <c r="I335" s="729"/>
      <c r="J335" s="147">
        <v>0.158</v>
      </c>
      <c r="K335" s="147">
        <v>0</v>
      </c>
      <c r="L335" s="147">
        <v>0.92400000000000004</v>
      </c>
      <c r="M335" s="729"/>
      <c r="N335" s="147">
        <v>0.92400000000000004</v>
      </c>
      <c r="O335" s="147">
        <v>0</v>
      </c>
      <c r="P335" s="147">
        <v>0.45</v>
      </c>
      <c r="Q335" s="147">
        <v>0.47399999999999998</v>
      </c>
      <c r="R335" s="147">
        <v>105.33333333333333</v>
      </c>
    </row>
    <row r="336" spans="1:18" ht="15.75" hidden="1" thickBot="1" x14ac:dyDescent="0.3">
      <c r="A336" s="199" t="str">
        <f t="shared" si="6"/>
        <v>INCOME STATMNT DETAIEXPENSE ACCOUNTS</v>
      </c>
      <c r="B336" s="722" t="s">
        <v>700</v>
      </c>
      <c r="C336" s="144" t="s">
        <v>87</v>
      </c>
      <c r="D336" s="591" t="s">
        <v>87</v>
      </c>
      <c r="E336" s="148">
        <v>0.158</v>
      </c>
      <c r="F336" s="728"/>
      <c r="G336" s="148">
        <v>0.158</v>
      </c>
      <c r="H336" s="148">
        <v>0</v>
      </c>
      <c r="I336" s="728"/>
      <c r="J336" s="148">
        <v>0.158</v>
      </c>
      <c r="K336" s="148">
        <v>0</v>
      </c>
      <c r="L336" s="148">
        <v>-5.9332599999999998</v>
      </c>
      <c r="M336" s="728"/>
      <c r="N336" s="148">
        <v>-5.9332599999999998</v>
      </c>
      <c r="O336" s="148">
        <v>0</v>
      </c>
      <c r="P336" s="148">
        <v>-12.82038</v>
      </c>
      <c r="Q336" s="148">
        <v>6.8871200000000004</v>
      </c>
      <c r="R336" s="148">
        <v>53.720092540158717</v>
      </c>
    </row>
    <row r="337" spans="1:18" ht="15.75" hidden="1" thickBot="1" x14ac:dyDescent="0.3">
      <c r="A337" s="199" t="str">
        <f t="shared" si="6"/>
        <v>COST OF GASCOMMODITY CHARGES</v>
      </c>
      <c r="B337" s="722" t="s">
        <v>701</v>
      </c>
      <c r="C337" s="722" t="s">
        <v>685</v>
      </c>
      <c r="D337" s="591" t="s">
        <v>686</v>
      </c>
      <c r="E337" s="147">
        <v>7.1413599999999997</v>
      </c>
      <c r="F337" s="729"/>
      <c r="G337" s="147">
        <v>7.1413599999999997</v>
      </c>
      <c r="H337" s="147">
        <v>0</v>
      </c>
      <c r="I337" s="729"/>
      <c r="J337" s="147">
        <v>7.1413599999999997</v>
      </c>
      <c r="K337" s="147">
        <v>0</v>
      </c>
      <c r="L337" s="147">
        <v>7.1413599999999997</v>
      </c>
      <c r="M337" s="729"/>
      <c r="N337" s="147">
        <v>7.1413599999999997</v>
      </c>
      <c r="O337" s="147">
        <v>0</v>
      </c>
      <c r="P337" s="729"/>
      <c r="Q337" s="147">
        <v>7.1413599999999997</v>
      </c>
      <c r="R337" s="147">
        <v>0</v>
      </c>
    </row>
    <row r="338" spans="1:18" ht="15.75" hidden="1" thickBot="1" x14ac:dyDescent="0.3">
      <c r="A338" s="199" t="str">
        <f t="shared" si="6"/>
        <v>COST OF GASNon-Payroll</v>
      </c>
      <c r="B338" s="722" t="s">
        <v>701</v>
      </c>
      <c r="C338" s="149" t="s">
        <v>85</v>
      </c>
      <c r="D338" s="591" t="s">
        <v>86</v>
      </c>
      <c r="E338" s="148">
        <v>7.1413599999999997</v>
      </c>
      <c r="F338" s="728"/>
      <c r="G338" s="148">
        <v>7.1413599999999997</v>
      </c>
      <c r="H338" s="148">
        <v>0</v>
      </c>
      <c r="I338" s="728"/>
      <c r="J338" s="148">
        <v>7.1413599999999997</v>
      </c>
      <c r="K338" s="148">
        <v>0</v>
      </c>
      <c r="L338" s="148">
        <v>7.1413599999999997</v>
      </c>
      <c r="M338" s="728"/>
      <c r="N338" s="148">
        <v>7.1413599999999997</v>
      </c>
      <c r="O338" s="148">
        <v>0</v>
      </c>
      <c r="P338" s="728"/>
      <c r="Q338" s="148">
        <v>7.1413599999999997</v>
      </c>
      <c r="R338" s="148">
        <v>0</v>
      </c>
    </row>
    <row r="339" spans="1:18" ht="15.75" hidden="1" thickBot="1" x14ac:dyDescent="0.3">
      <c r="A339" s="199" t="str">
        <f t="shared" si="6"/>
        <v>COST OF GASEXPENSE ACCOUNTS</v>
      </c>
      <c r="B339" s="722" t="s">
        <v>701</v>
      </c>
      <c r="C339" s="144" t="s">
        <v>87</v>
      </c>
      <c r="D339" s="591" t="s">
        <v>87</v>
      </c>
      <c r="E339" s="147">
        <v>7.1413599999999997</v>
      </c>
      <c r="F339" s="729"/>
      <c r="G339" s="147">
        <v>7.1413599999999997</v>
      </c>
      <c r="H339" s="147">
        <v>0</v>
      </c>
      <c r="I339" s="729"/>
      <c r="J339" s="147">
        <v>7.1413599999999997</v>
      </c>
      <c r="K339" s="147">
        <v>0</v>
      </c>
      <c r="L339" s="147">
        <v>7.1413599999999997</v>
      </c>
      <c r="M339" s="729"/>
      <c r="N339" s="147">
        <v>7.1413599999999997</v>
      </c>
      <c r="O339" s="147">
        <v>0</v>
      </c>
      <c r="P339" s="729"/>
      <c r="Q339" s="147">
        <v>7.1413599999999997</v>
      </c>
      <c r="R339" s="147">
        <v>0</v>
      </c>
    </row>
    <row r="340" spans="1:18" ht="15.75" hidden="1" thickBot="1" x14ac:dyDescent="0.3">
      <c r="A340" s="199" t="str">
        <f t="shared" si="6"/>
        <v>TOTAL DEPARTMENTALSALARY PAYROLL</v>
      </c>
      <c r="B340" s="722" t="s">
        <v>702</v>
      </c>
      <c r="C340" s="722" t="s">
        <v>59</v>
      </c>
      <c r="D340" s="591" t="s">
        <v>60</v>
      </c>
      <c r="E340" s="148">
        <v>3459.2451900000001</v>
      </c>
      <c r="F340" s="148">
        <v>4099.1721299999999</v>
      </c>
      <c r="G340" s="148">
        <v>-639.92693999999995</v>
      </c>
      <c r="H340" s="148">
        <v>-15.611126337356319</v>
      </c>
      <c r="I340" s="728"/>
      <c r="J340" s="148">
        <v>3459.2451900000001</v>
      </c>
      <c r="K340" s="148">
        <v>0</v>
      </c>
      <c r="L340" s="148">
        <v>46600.097710000002</v>
      </c>
      <c r="M340" s="148">
        <v>48868.240010000001</v>
      </c>
      <c r="N340" s="148">
        <v>-2268.1423</v>
      </c>
      <c r="O340" s="148">
        <v>-4.6413423105392493</v>
      </c>
      <c r="P340" s="148">
        <v>24024.530729999999</v>
      </c>
      <c r="Q340" s="148">
        <v>22575.56698</v>
      </c>
      <c r="R340" s="148">
        <v>93.968815598172554</v>
      </c>
    </row>
    <row r="341" spans="1:18" ht="15.75" hidden="1" thickBot="1" x14ac:dyDescent="0.3">
      <c r="A341" s="199" t="str">
        <f t="shared" si="6"/>
        <v>TOTAL DEPARTMENTALSALARY  OVERTIME</v>
      </c>
      <c r="B341" s="722" t="s">
        <v>702</v>
      </c>
      <c r="C341" s="722" t="s">
        <v>566</v>
      </c>
      <c r="D341" s="591" t="s">
        <v>567</v>
      </c>
      <c r="E341" s="147">
        <v>1.7224600000000001</v>
      </c>
      <c r="F341" s="729"/>
      <c r="G341" s="147">
        <v>1.7224600000000001</v>
      </c>
      <c r="H341" s="147">
        <v>0</v>
      </c>
      <c r="I341" s="729"/>
      <c r="J341" s="147">
        <v>1.7224600000000001</v>
      </c>
      <c r="K341" s="147">
        <v>0</v>
      </c>
      <c r="L341" s="147">
        <v>9.5313099999999995</v>
      </c>
      <c r="M341" s="729"/>
      <c r="N341" s="147">
        <v>9.5313099999999995</v>
      </c>
      <c r="O341" s="147">
        <v>0</v>
      </c>
      <c r="P341" s="147">
        <v>3.6762199999999998</v>
      </c>
      <c r="Q341" s="147">
        <v>5.8550899999999997</v>
      </c>
      <c r="R341" s="147">
        <v>159.26930379574671</v>
      </c>
    </row>
    <row r="342" spans="1:18" ht="15.75" hidden="1" thickBot="1" x14ac:dyDescent="0.3">
      <c r="A342" s="199" t="str">
        <f t="shared" si="6"/>
        <v>TOTAL DEPARTMENTALHOURLY PAYROLL</v>
      </c>
      <c r="B342" s="722" t="s">
        <v>702</v>
      </c>
      <c r="C342" s="722" t="s">
        <v>178</v>
      </c>
      <c r="D342" s="591" t="s">
        <v>179</v>
      </c>
      <c r="E342" s="728"/>
      <c r="F342" s="728"/>
      <c r="G342" s="728"/>
      <c r="H342" s="728"/>
      <c r="I342" s="728"/>
      <c r="J342" s="728"/>
      <c r="K342" s="728"/>
      <c r="L342" s="148">
        <v>0</v>
      </c>
      <c r="M342" s="728"/>
      <c r="N342" s="148">
        <v>0</v>
      </c>
      <c r="O342" s="148">
        <v>0</v>
      </c>
      <c r="P342" s="148">
        <v>0</v>
      </c>
      <c r="Q342" s="148">
        <v>0</v>
      </c>
      <c r="R342" s="148">
        <v>0</v>
      </c>
    </row>
    <row r="343" spans="1:18" ht="15.75" hidden="1" thickBot="1" x14ac:dyDescent="0.3">
      <c r="A343" s="199" t="str">
        <f t="shared" si="6"/>
        <v>TOTAL DEPARTMENTALHOURLY DOUBLE PAY</v>
      </c>
      <c r="B343" s="722" t="s">
        <v>702</v>
      </c>
      <c r="C343" s="722" t="s">
        <v>89</v>
      </c>
      <c r="D343" s="591" t="s">
        <v>90</v>
      </c>
      <c r="E343" s="147">
        <v>107.2765</v>
      </c>
      <c r="F343" s="729"/>
      <c r="G343" s="147">
        <v>107.2765</v>
      </c>
      <c r="H343" s="147">
        <v>0</v>
      </c>
      <c r="I343" s="729"/>
      <c r="J343" s="147">
        <v>107.2765</v>
      </c>
      <c r="K343" s="147">
        <v>0</v>
      </c>
      <c r="L343" s="147">
        <v>1062.1839600000001</v>
      </c>
      <c r="M343" s="729"/>
      <c r="N343" s="147">
        <v>1062.1839600000001</v>
      </c>
      <c r="O343" s="147">
        <v>0</v>
      </c>
      <c r="P343" s="147">
        <v>476.08645000000001</v>
      </c>
      <c r="Q343" s="147">
        <v>586.09751000000006</v>
      </c>
      <c r="R343" s="147">
        <v>123.10737052062709</v>
      </c>
    </row>
    <row r="344" spans="1:18" ht="15.75" hidden="1" thickBot="1" x14ac:dyDescent="0.3">
      <c r="A344" s="199" t="str">
        <f t="shared" si="6"/>
        <v>TOTAL DEPARTMENTALHOURLY REGULAR  PAY</v>
      </c>
      <c r="B344" s="722" t="s">
        <v>702</v>
      </c>
      <c r="C344" s="722" t="s">
        <v>91</v>
      </c>
      <c r="D344" s="591" t="s">
        <v>92</v>
      </c>
      <c r="E344" s="148">
        <v>2445.61922</v>
      </c>
      <c r="F344" s="148">
        <v>3413.6782600000001</v>
      </c>
      <c r="G344" s="148">
        <v>-968.05903999999998</v>
      </c>
      <c r="H344" s="148">
        <v>-28.35823900990599</v>
      </c>
      <c r="I344" s="728"/>
      <c r="J344" s="148">
        <v>2445.61922</v>
      </c>
      <c r="K344" s="148">
        <v>0</v>
      </c>
      <c r="L344" s="148">
        <v>36119.054680000001</v>
      </c>
      <c r="M344" s="148">
        <v>39813.338499999998</v>
      </c>
      <c r="N344" s="148">
        <v>-3694.2838200000001</v>
      </c>
      <c r="O344" s="148">
        <v>-9.2790103999944638</v>
      </c>
      <c r="P344" s="148">
        <v>18463.622650000001</v>
      </c>
      <c r="Q344" s="148">
        <v>17655.43203</v>
      </c>
      <c r="R344" s="148">
        <v>95.62279496651216</v>
      </c>
    </row>
    <row r="345" spans="1:18" ht="15.75" hidden="1" thickBot="1" x14ac:dyDescent="0.3">
      <c r="A345" s="199" t="str">
        <f t="shared" si="6"/>
        <v>TOTAL DEPARTMENTALHOURLY OVERTIME PAY</v>
      </c>
      <c r="B345" s="722" t="s">
        <v>702</v>
      </c>
      <c r="C345" s="722" t="s">
        <v>93</v>
      </c>
      <c r="D345" s="591" t="s">
        <v>94</v>
      </c>
      <c r="E345" s="147">
        <v>208.30410000000001</v>
      </c>
      <c r="F345" s="147">
        <v>243.45366000000001</v>
      </c>
      <c r="G345" s="147">
        <v>-35.149560000000001</v>
      </c>
      <c r="H345" s="147">
        <v>-14.437885222181503</v>
      </c>
      <c r="I345" s="729"/>
      <c r="J345" s="147">
        <v>208.30410000000001</v>
      </c>
      <c r="K345" s="147">
        <v>0</v>
      </c>
      <c r="L345" s="147">
        <v>4080.39768</v>
      </c>
      <c r="M345" s="147">
        <v>2307.6277599999999</v>
      </c>
      <c r="N345" s="147">
        <v>1772.76992</v>
      </c>
      <c r="O345" s="147">
        <v>76.822178634217849</v>
      </c>
      <c r="P345" s="147">
        <v>1987.0032000000001</v>
      </c>
      <c r="Q345" s="147">
        <v>2093.3944799999999</v>
      </c>
      <c r="R345" s="147">
        <v>105.35435876499847</v>
      </c>
    </row>
    <row r="346" spans="1:18" ht="15.75" hidden="1" thickBot="1" x14ac:dyDescent="0.3">
      <c r="A346" s="199" t="str">
        <f t="shared" si="6"/>
        <v>TOTAL DEPARTMENTALP/T HOURLY PAYROLL</v>
      </c>
      <c r="B346" s="722" t="s">
        <v>702</v>
      </c>
      <c r="C346" s="722" t="s">
        <v>159</v>
      </c>
      <c r="D346" s="591" t="s">
        <v>160</v>
      </c>
      <c r="E346" s="148">
        <v>6.1839899999999997</v>
      </c>
      <c r="F346" s="148">
        <v>9.2938899999999993</v>
      </c>
      <c r="G346" s="148">
        <v>-3.1099000000000001</v>
      </c>
      <c r="H346" s="148">
        <v>-33.461768968644989</v>
      </c>
      <c r="I346" s="728"/>
      <c r="J346" s="148">
        <v>6.1839899999999997</v>
      </c>
      <c r="K346" s="148">
        <v>0</v>
      </c>
      <c r="L346" s="148">
        <v>94.666079999999994</v>
      </c>
      <c r="M346" s="148">
        <v>108.54898</v>
      </c>
      <c r="N346" s="148">
        <v>-13.882899999999999</v>
      </c>
      <c r="O346" s="148">
        <v>-12.789525981727326</v>
      </c>
      <c r="P346" s="148">
        <v>49.968000000000004</v>
      </c>
      <c r="Q346" s="148">
        <v>44.698079999999997</v>
      </c>
      <c r="R346" s="148">
        <v>89.453410182516805</v>
      </c>
    </row>
    <row r="347" spans="1:18" ht="15.75" hidden="1" thickBot="1" x14ac:dyDescent="0.3">
      <c r="A347" s="199" t="str">
        <f t="shared" si="6"/>
        <v>TOTAL DEPARTMENTALSALARY BONUS PAYROLL</v>
      </c>
      <c r="B347" s="722" t="s">
        <v>702</v>
      </c>
      <c r="C347" s="722" t="s">
        <v>134</v>
      </c>
      <c r="D347" s="591" t="s">
        <v>135</v>
      </c>
      <c r="E347" s="147">
        <v>191.82721000000001</v>
      </c>
      <c r="F347" s="147">
        <v>1.7965199999999999</v>
      </c>
      <c r="G347" s="147">
        <v>190.03068999999999</v>
      </c>
      <c r="H347" s="147">
        <v>10577.710796428652</v>
      </c>
      <c r="I347" s="729"/>
      <c r="J347" s="147">
        <v>191.82721000000001</v>
      </c>
      <c r="K347" s="147">
        <v>0</v>
      </c>
      <c r="L347" s="147">
        <v>854.84348</v>
      </c>
      <c r="M347" s="147">
        <v>54.7042</v>
      </c>
      <c r="N347" s="147">
        <v>800.13927999999999</v>
      </c>
      <c r="O347" s="147">
        <v>1462.6651701331891</v>
      </c>
      <c r="P347" s="147">
        <v>311.66559000000001</v>
      </c>
      <c r="Q347" s="147">
        <v>543.17789000000005</v>
      </c>
      <c r="R347" s="147">
        <v>174.28227800188014</v>
      </c>
    </row>
    <row r="348" spans="1:18" ht="15.75" hidden="1" thickBot="1" x14ac:dyDescent="0.3">
      <c r="A348" s="199" t="str">
        <f t="shared" si="6"/>
        <v>TOTAL DEPARTMENTALHOURLY BONUS PAYROLL</v>
      </c>
      <c r="B348" s="722" t="s">
        <v>702</v>
      </c>
      <c r="C348" s="722" t="s">
        <v>95</v>
      </c>
      <c r="D348" s="591" t="s">
        <v>96</v>
      </c>
      <c r="E348" s="728"/>
      <c r="F348" s="728"/>
      <c r="G348" s="728"/>
      <c r="H348" s="728"/>
      <c r="I348" s="728"/>
      <c r="J348" s="728"/>
      <c r="K348" s="728"/>
      <c r="L348" s="148">
        <v>1.2600199999999999</v>
      </c>
      <c r="M348" s="728"/>
      <c r="N348" s="148">
        <v>1.2600199999999999</v>
      </c>
      <c r="O348" s="148">
        <v>0</v>
      </c>
      <c r="P348" s="148">
        <v>1.2600199999999999</v>
      </c>
      <c r="Q348" s="148">
        <v>0</v>
      </c>
      <c r="R348" s="148">
        <v>0</v>
      </c>
    </row>
    <row r="349" spans="1:18" ht="15.75" hidden="1" thickBot="1" x14ac:dyDescent="0.3">
      <c r="A349" s="199" t="str">
        <f t="shared" si="6"/>
        <v>TOTAL DEPARTMENTALSALARY P/T PAYROLL</v>
      </c>
      <c r="B349" s="722" t="s">
        <v>702</v>
      </c>
      <c r="C349" s="722" t="s">
        <v>568</v>
      </c>
      <c r="D349" s="591" t="s">
        <v>569</v>
      </c>
      <c r="E349" s="147">
        <v>14.11849</v>
      </c>
      <c r="F349" s="147">
        <v>11.197480000000001</v>
      </c>
      <c r="G349" s="147">
        <v>2.9210099999999999</v>
      </c>
      <c r="H349" s="147">
        <v>26.086315849637597</v>
      </c>
      <c r="I349" s="729"/>
      <c r="J349" s="147">
        <v>14.11849</v>
      </c>
      <c r="K349" s="147">
        <v>0</v>
      </c>
      <c r="L349" s="147">
        <v>143.41024999999999</v>
      </c>
      <c r="M349" s="147">
        <v>133.66484</v>
      </c>
      <c r="N349" s="147">
        <v>9.7454099999999997</v>
      </c>
      <c r="O349" s="147">
        <v>7.2909300605903544</v>
      </c>
      <c r="P349" s="147">
        <v>50.879950000000001</v>
      </c>
      <c r="Q349" s="147">
        <v>92.530299999999997</v>
      </c>
      <c r="R349" s="147">
        <v>181.8600450668682</v>
      </c>
    </row>
    <row r="350" spans="1:18" ht="15.75" hidden="1" thickBot="1" x14ac:dyDescent="0.3">
      <c r="A350" s="199" t="str">
        <f t="shared" si="6"/>
        <v>TOTAL DEPARTMENTALVACATION, SICK &amp; HOL</v>
      </c>
      <c r="B350" s="722" t="s">
        <v>702</v>
      </c>
      <c r="C350" s="722" t="s">
        <v>61</v>
      </c>
      <c r="D350" s="591" t="s">
        <v>62</v>
      </c>
      <c r="E350" s="148">
        <v>1079.32646</v>
      </c>
      <c r="F350" s="148">
        <v>1167.66797</v>
      </c>
      <c r="G350" s="148">
        <v>-88.34151</v>
      </c>
      <c r="H350" s="148">
        <v>-7.5656361456930261</v>
      </c>
      <c r="I350" s="728"/>
      <c r="J350" s="148">
        <v>1079.32646</v>
      </c>
      <c r="K350" s="148">
        <v>0</v>
      </c>
      <c r="L350" s="148">
        <v>12855.99172</v>
      </c>
      <c r="M350" s="148">
        <v>13783.1878</v>
      </c>
      <c r="N350" s="148">
        <v>-927.19608000000005</v>
      </c>
      <c r="O350" s="148">
        <v>-6.7270075214385452</v>
      </c>
      <c r="P350" s="148">
        <v>6364.3660600000003</v>
      </c>
      <c r="Q350" s="148">
        <v>6491.6256599999997</v>
      </c>
      <c r="R350" s="148">
        <v>101.99956443108805</v>
      </c>
    </row>
    <row r="351" spans="1:18" ht="15.75" hidden="1" thickBot="1" x14ac:dyDescent="0.3">
      <c r="A351" s="199" t="str">
        <f t="shared" si="6"/>
        <v>TOTAL DEPARTMENTALPAYROLL OVERHEAD</v>
      </c>
      <c r="B351" s="722" t="s">
        <v>702</v>
      </c>
      <c r="C351" s="722" t="s">
        <v>63</v>
      </c>
      <c r="D351" s="591" t="s">
        <v>64</v>
      </c>
      <c r="E351" s="147">
        <v>4089.0551500000001</v>
      </c>
      <c r="F351" s="147">
        <v>4370.1200500000004</v>
      </c>
      <c r="G351" s="147">
        <v>-281.06490000000002</v>
      </c>
      <c r="H351" s="147">
        <v>-6.4315143928368741</v>
      </c>
      <c r="I351" s="729"/>
      <c r="J351" s="147">
        <v>4089.0551500000001</v>
      </c>
      <c r="K351" s="147">
        <v>0</v>
      </c>
      <c r="L351" s="147">
        <v>49032.011720000002</v>
      </c>
      <c r="M351" s="147">
        <v>51562.085140000003</v>
      </c>
      <c r="N351" s="147">
        <v>-2530.0734200000002</v>
      </c>
      <c r="O351" s="147">
        <v>-4.9068485363429586</v>
      </c>
      <c r="P351" s="147">
        <v>24283.819240000001</v>
      </c>
      <c r="Q351" s="147">
        <v>24748.192480000002</v>
      </c>
      <c r="R351" s="147">
        <v>101.91227432312249</v>
      </c>
    </row>
    <row r="352" spans="1:18" ht="15.75" hidden="1" thickBot="1" x14ac:dyDescent="0.3">
      <c r="A352" s="199" t="str">
        <f t="shared" si="6"/>
        <v>TOTAL DEPARTMENTALPAYROLL OH - OFFICER</v>
      </c>
      <c r="B352" s="722" t="s">
        <v>702</v>
      </c>
      <c r="C352" s="722" t="s">
        <v>570</v>
      </c>
      <c r="D352" s="583" t="s">
        <v>571</v>
      </c>
      <c r="E352" s="148">
        <v>210.03560999999999</v>
      </c>
      <c r="F352" s="148">
        <v>229.857</v>
      </c>
      <c r="G352" s="148">
        <v>-19.821390000000001</v>
      </c>
      <c r="H352" s="148">
        <v>-8.6233571307378067</v>
      </c>
      <c r="I352" s="728"/>
      <c r="J352" s="148">
        <v>210.03560999999999</v>
      </c>
      <c r="K352" s="148">
        <v>0</v>
      </c>
      <c r="L352" s="148">
        <v>2447.3810199999998</v>
      </c>
      <c r="M352" s="148">
        <v>2743.81358</v>
      </c>
      <c r="N352" s="148">
        <v>-296.43256000000002</v>
      </c>
      <c r="O352" s="148">
        <v>-10.80366983240895</v>
      </c>
      <c r="P352" s="148">
        <v>1196.80765</v>
      </c>
      <c r="Q352" s="148">
        <v>1250.5733700000001</v>
      </c>
      <c r="R352" s="148">
        <v>104.49242783499922</v>
      </c>
    </row>
    <row r="353" spans="2:18" ht="15.75" hidden="1" thickBot="1" x14ac:dyDescent="0.3">
      <c r="B353" s="722" t="s">
        <v>702</v>
      </c>
      <c r="C353" s="722" t="s">
        <v>180</v>
      </c>
      <c r="D353" t="s">
        <v>181</v>
      </c>
      <c r="E353" s="729"/>
      <c r="F353" s="147">
        <v>-476.26220999999998</v>
      </c>
      <c r="G353" s="147">
        <v>476.26220999999998</v>
      </c>
      <c r="H353" s="147">
        <v>100</v>
      </c>
      <c r="I353" s="729"/>
      <c r="J353" s="729"/>
      <c r="K353" s="729"/>
      <c r="L353" s="147">
        <v>0</v>
      </c>
      <c r="M353" s="147">
        <v>-5590.3819899999999</v>
      </c>
      <c r="N353" s="147">
        <v>5590.3819899999999</v>
      </c>
      <c r="O353" s="147">
        <v>100</v>
      </c>
      <c r="P353" s="147">
        <v>0</v>
      </c>
      <c r="Q353" s="147">
        <v>0</v>
      </c>
      <c r="R353" s="147">
        <v>0</v>
      </c>
    </row>
    <row r="354" spans="2:18" ht="15.75" hidden="1" thickBot="1" x14ac:dyDescent="0.3">
      <c r="B354" s="722" t="s">
        <v>702</v>
      </c>
      <c r="C354" s="722" t="s">
        <v>156</v>
      </c>
      <c r="D354" t="s">
        <v>157</v>
      </c>
      <c r="E354" s="148">
        <v>394.19112000000001</v>
      </c>
      <c r="F354" s="148">
        <v>76.916700000000006</v>
      </c>
      <c r="G354" s="148">
        <v>317.27442000000002</v>
      </c>
      <c r="H354" s="148">
        <v>412.49094149905028</v>
      </c>
      <c r="I354" s="728"/>
      <c r="J354" s="148">
        <v>394.19112000000001</v>
      </c>
      <c r="K354" s="148">
        <v>0</v>
      </c>
      <c r="L354" s="148">
        <v>5774.8799099999997</v>
      </c>
      <c r="M354" s="148">
        <v>918.15818000000002</v>
      </c>
      <c r="N354" s="148">
        <v>4856.7217300000002</v>
      </c>
      <c r="O354" s="148">
        <v>528.96350931600909</v>
      </c>
      <c r="P354" s="148">
        <v>2891.1558</v>
      </c>
      <c r="Q354" s="148">
        <v>2883.7241100000001</v>
      </c>
      <c r="R354" s="148">
        <v>99.742950898737448</v>
      </c>
    </row>
    <row r="355" spans="2:18" ht="15.75" hidden="1" thickBot="1" x14ac:dyDescent="0.3">
      <c r="B355" s="722" t="s">
        <v>702</v>
      </c>
      <c r="C355" s="722" t="s">
        <v>572</v>
      </c>
      <c r="D355" t="s">
        <v>573</v>
      </c>
      <c r="E355" s="729"/>
      <c r="F355" s="729"/>
      <c r="G355" s="729"/>
      <c r="H355" s="729"/>
      <c r="I355" s="729"/>
      <c r="J355" s="729"/>
      <c r="K355" s="729"/>
      <c r="L355" s="147">
        <v>0.52937999999999996</v>
      </c>
      <c r="M355" s="729"/>
      <c r="N355" s="147">
        <v>0.52937999999999996</v>
      </c>
      <c r="O355" s="147">
        <v>0</v>
      </c>
      <c r="P355" s="729"/>
      <c r="Q355" s="147">
        <v>0.52937999999999996</v>
      </c>
      <c r="R355" s="147">
        <v>0</v>
      </c>
    </row>
    <row r="356" spans="2:18" ht="15.75" hidden="1" thickBot="1" x14ac:dyDescent="0.3">
      <c r="B356" s="722" t="s">
        <v>702</v>
      </c>
      <c r="C356" s="722" t="s">
        <v>182</v>
      </c>
      <c r="D356" t="s">
        <v>183</v>
      </c>
      <c r="E356" s="148">
        <v>89.394869999999997</v>
      </c>
      <c r="F356" s="728"/>
      <c r="G356" s="148">
        <v>89.394869999999997</v>
      </c>
      <c r="H356" s="148">
        <v>0</v>
      </c>
      <c r="I356" s="728"/>
      <c r="J356" s="148">
        <v>89.394869999999997</v>
      </c>
      <c r="K356" s="148">
        <v>0</v>
      </c>
      <c r="L356" s="148">
        <v>1064.26169</v>
      </c>
      <c r="M356" s="728"/>
      <c r="N356" s="148">
        <v>1064.26169</v>
      </c>
      <c r="O356" s="148">
        <v>0</v>
      </c>
      <c r="P356" s="148">
        <v>427.34674999999999</v>
      </c>
      <c r="Q356" s="148">
        <v>636.91494</v>
      </c>
      <c r="R356" s="148">
        <v>149.03937844385152</v>
      </c>
    </row>
    <row r="357" spans="2:18" ht="15.75" hidden="1" thickBot="1" x14ac:dyDescent="0.3">
      <c r="B357" s="722" t="s">
        <v>702</v>
      </c>
      <c r="C357" s="722" t="s">
        <v>184</v>
      </c>
      <c r="D357" t="s">
        <v>185</v>
      </c>
      <c r="E357" s="147">
        <v>1854.4884999999999</v>
      </c>
      <c r="F357" s="147">
        <v>14.752319999999999</v>
      </c>
      <c r="G357" s="147">
        <v>1839.7361800000001</v>
      </c>
      <c r="H357" s="147">
        <v>12470.826148022819</v>
      </c>
      <c r="I357" s="729"/>
      <c r="J357" s="147">
        <v>1854.4884999999999</v>
      </c>
      <c r="K357" s="147">
        <v>0</v>
      </c>
      <c r="L357" s="147">
        <v>26730.478370000001</v>
      </c>
      <c r="M357" s="147">
        <v>172.30146999999999</v>
      </c>
      <c r="N357" s="147">
        <v>26558.176899999999</v>
      </c>
      <c r="O357" s="147">
        <v>15413.784281701137</v>
      </c>
      <c r="P357" s="147">
        <v>13878.89566</v>
      </c>
      <c r="Q357" s="147">
        <v>12851.582710000001</v>
      </c>
      <c r="R357" s="147">
        <v>92.598020943692291</v>
      </c>
    </row>
    <row r="358" spans="2:18" ht="15.75" hidden="1" thickBot="1" x14ac:dyDescent="0.3">
      <c r="B358" s="722" t="s">
        <v>702</v>
      </c>
      <c r="C358" s="722" t="s">
        <v>161</v>
      </c>
      <c r="D358" t="s">
        <v>162</v>
      </c>
      <c r="E358" s="148">
        <v>134.56145000000001</v>
      </c>
      <c r="F358" s="728"/>
      <c r="G358" s="148">
        <v>134.56145000000001</v>
      </c>
      <c r="H358" s="148">
        <v>0</v>
      </c>
      <c r="I358" s="728"/>
      <c r="J358" s="148">
        <v>134.56145000000001</v>
      </c>
      <c r="K358" s="148">
        <v>0</v>
      </c>
      <c r="L358" s="148">
        <v>2070.9992999999999</v>
      </c>
      <c r="M358" s="728"/>
      <c r="N358" s="148">
        <v>2070.9992999999999</v>
      </c>
      <c r="O358" s="148">
        <v>0</v>
      </c>
      <c r="P358" s="148">
        <v>955.23419999999999</v>
      </c>
      <c r="Q358" s="148">
        <v>1115.7651000000001</v>
      </c>
      <c r="R358" s="148">
        <v>116.80539704294507</v>
      </c>
    </row>
    <row r="359" spans="2:18" ht="15.75" hidden="1" thickBot="1" x14ac:dyDescent="0.3">
      <c r="B359" s="722" t="s">
        <v>702</v>
      </c>
      <c r="C359" s="722" t="s">
        <v>574</v>
      </c>
      <c r="D359" t="s">
        <v>575</v>
      </c>
      <c r="E359" s="147">
        <v>4.1338900000000001</v>
      </c>
      <c r="F359" s="729"/>
      <c r="G359" s="147">
        <v>4.1338900000000001</v>
      </c>
      <c r="H359" s="147">
        <v>0</v>
      </c>
      <c r="I359" s="729"/>
      <c r="J359" s="147">
        <v>4.1338900000000001</v>
      </c>
      <c r="K359" s="147">
        <v>0</v>
      </c>
      <c r="L359" s="147">
        <v>23.381519999999998</v>
      </c>
      <c r="M359" s="729"/>
      <c r="N359" s="147">
        <v>23.381519999999998</v>
      </c>
      <c r="O359" s="147">
        <v>0</v>
      </c>
      <c r="P359" s="729"/>
      <c r="Q359" s="147">
        <v>23.381519999999998</v>
      </c>
      <c r="R359" s="147">
        <v>0</v>
      </c>
    </row>
    <row r="360" spans="2:18" ht="15.75" hidden="1" thickBot="1" x14ac:dyDescent="0.3">
      <c r="B360" s="722" t="s">
        <v>702</v>
      </c>
      <c r="C360" s="722" t="s">
        <v>65</v>
      </c>
      <c r="D360" t="s">
        <v>66</v>
      </c>
      <c r="E360" s="148">
        <v>-2069.82681</v>
      </c>
      <c r="F360" s="148">
        <v>-1969.39392</v>
      </c>
      <c r="G360" s="148">
        <v>-100.43289</v>
      </c>
      <c r="H360" s="148">
        <v>-5.0996851863948072</v>
      </c>
      <c r="I360" s="728"/>
      <c r="J360" s="148">
        <v>-2069.82681</v>
      </c>
      <c r="K360" s="148">
        <v>0</v>
      </c>
      <c r="L360" s="148">
        <v>-26988.234570000001</v>
      </c>
      <c r="M360" s="148">
        <v>-23453.656609999998</v>
      </c>
      <c r="N360" s="148">
        <v>-3534.5779600000001</v>
      </c>
      <c r="O360" s="148">
        <v>-15.070477148936138</v>
      </c>
      <c r="P360" s="148">
        <v>-13520.241830000001</v>
      </c>
      <c r="Q360" s="148">
        <v>-13467.99274</v>
      </c>
      <c r="R360" s="148">
        <v>-99.613549146110202</v>
      </c>
    </row>
    <row r="361" spans="2:18" ht="15.75" hidden="1" thickBot="1" x14ac:dyDescent="0.3">
      <c r="B361" s="722" t="s">
        <v>702</v>
      </c>
      <c r="C361" s="722" t="s">
        <v>576</v>
      </c>
      <c r="D361" t="s">
        <v>577</v>
      </c>
      <c r="E361" s="147">
        <v>-0.93420000000000003</v>
      </c>
      <c r="F361" s="729"/>
      <c r="G361" s="147">
        <v>-0.93420000000000003</v>
      </c>
      <c r="H361" s="147">
        <v>0</v>
      </c>
      <c r="I361" s="729"/>
      <c r="J361" s="147">
        <v>-0.93420000000000003</v>
      </c>
      <c r="K361" s="147">
        <v>0</v>
      </c>
      <c r="L361" s="147">
        <v>-3.9256500000000001</v>
      </c>
      <c r="M361" s="729"/>
      <c r="N361" s="147">
        <v>-3.9256500000000001</v>
      </c>
      <c r="O361" s="147">
        <v>0</v>
      </c>
      <c r="P361" s="147">
        <v>-1.1230500000000001</v>
      </c>
      <c r="Q361" s="147">
        <v>-2.8026</v>
      </c>
      <c r="R361" s="147">
        <v>-249.55255776679579</v>
      </c>
    </row>
    <row r="362" spans="2:18" ht="15.75" hidden="1" thickBot="1" x14ac:dyDescent="0.3">
      <c r="B362" s="722" t="s">
        <v>702</v>
      </c>
      <c r="C362" s="722" t="s">
        <v>186</v>
      </c>
      <c r="D362" t="s">
        <v>187</v>
      </c>
      <c r="E362" s="148">
        <v>-102.00622</v>
      </c>
      <c r="F362" s="728"/>
      <c r="G362" s="148">
        <v>-102.00622</v>
      </c>
      <c r="H362" s="148">
        <v>0</v>
      </c>
      <c r="I362" s="728"/>
      <c r="J362" s="148">
        <v>-102.00622</v>
      </c>
      <c r="K362" s="148">
        <v>0</v>
      </c>
      <c r="L362" s="148">
        <v>-1281.9099200000001</v>
      </c>
      <c r="M362" s="728"/>
      <c r="N362" s="148">
        <v>-1281.9099200000001</v>
      </c>
      <c r="O362" s="148">
        <v>0</v>
      </c>
      <c r="P362" s="148">
        <v>-518.01477999999997</v>
      </c>
      <c r="Q362" s="148">
        <v>-763.89513999999997</v>
      </c>
      <c r="R362" s="148">
        <v>-147.46589662943595</v>
      </c>
    </row>
    <row r="363" spans="2:18" ht="15.75" hidden="1" thickBot="1" x14ac:dyDescent="0.3">
      <c r="B363" s="722" t="s">
        <v>702</v>
      </c>
      <c r="C363" s="722" t="s">
        <v>163</v>
      </c>
      <c r="D363" t="s">
        <v>164</v>
      </c>
      <c r="E363" s="147">
        <v>-3849.38598</v>
      </c>
      <c r="F363" s="147">
        <v>-2317.7433599999999</v>
      </c>
      <c r="G363" s="147">
        <v>-1531.6426200000001</v>
      </c>
      <c r="H363" s="147">
        <v>-66.083357046053621</v>
      </c>
      <c r="I363" s="729"/>
      <c r="J363" s="147">
        <v>-3849.38598</v>
      </c>
      <c r="K363" s="147">
        <v>0</v>
      </c>
      <c r="L363" s="147">
        <v>-50934.027860000002</v>
      </c>
      <c r="M363" s="147">
        <v>-27082.545529999999</v>
      </c>
      <c r="N363" s="147">
        <v>-23851.482329999999</v>
      </c>
      <c r="O363" s="147">
        <v>-88.069573458592089</v>
      </c>
      <c r="P363" s="147">
        <v>-25938.661459999999</v>
      </c>
      <c r="Q363" s="147">
        <v>-24995.366399999999</v>
      </c>
      <c r="R363" s="147">
        <v>-96.36336261431741</v>
      </c>
    </row>
    <row r="364" spans="2:18" ht="15.75" hidden="1" thickBot="1" x14ac:dyDescent="0.3">
      <c r="B364" s="722" t="s">
        <v>702</v>
      </c>
      <c r="C364" s="722" t="s">
        <v>97</v>
      </c>
      <c r="D364" t="s">
        <v>98</v>
      </c>
      <c r="E364" s="148">
        <v>-288.98779999999999</v>
      </c>
      <c r="F364" s="728"/>
      <c r="G364" s="148">
        <v>-288.98779999999999</v>
      </c>
      <c r="H364" s="148">
        <v>0</v>
      </c>
      <c r="I364" s="728"/>
      <c r="J364" s="148">
        <v>-288.98779999999999</v>
      </c>
      <c r="K364" s="148">
        <v>0</v>
      </c>
      <c r="L364" s="148">
        <v>-4353.4402700000001</v>
      </c>
      <c r="M364" s="728"/>
      <c r="N364" s="148">
        <v>-4353.4402700000001</v>
      </c>
      <c r="O364" s="148">
        <v>0</v>
      </c>
      <c r="P364" s="148">
        <v>-2117.78766</v>
      </c>
      <c r="Q364" s="148">
        <v>-2235.6526100000001</v>
      </c>
      <c r="R364" s="148">
        <v>-105.56547534137582</v>
      </c>
    </row>
    <row r="365" spans="2:18" ht="15.75" hidden="1" thickBot="1" x14ac:dyDescent="0.3">
      <c r="B365" s="722" t="s">
        <v>702</v>
      </c>
      <c r="C365" s="722" t="s">
        <v>578</v>
      </c>
      <c r="D365" t="s">
        <v>579</v>
      </c>
      <c r="E365" s="729"/>
      <c r="F365" s="147">
        <v>-8.5660000000000007</v>
      </c>
      <c r="G365" s="147">
        <v>8.5660000000000007</v>
      </c>
      <c r="H365" s="147">
        <v>100</v>
      </c>
      <c r="I365" s="729"/>
      <c r="J365" s="729"/>
      <c r="K365" s="729"/>
      <c r="L365" s="729"/>
      <c r="M365" s="147">
        <v>-100.04761000000001</v>
      </c>
      <c r="N365" s="147">
        <v>100.04761000000001</v>
      </c>
      <c r="O365" s="147">
        <v>100</v>
      </c>
      <c r="P365" s="729"/>
      <c r="Q365" s="729"/>
      <c r="R365" s="729"/>
    </row>
    <row r="366" spans="2:18" ht="15.75" hidden="1" thickBot="1" x14ac:dyDescent="0.3">
      <c r="B366" s="722" t="s">
        <v>702</v>
      </c>
      <c r="C366" s="722" t="s">
        <v>580</v>
      </c>
      <c r="D366" t="s">
        <v>581</v>
      </c>
      <c r="E366" s="148">
        <v>-4.1338900000000001</v>
      </c>
      <c r="F366" s="148">
        <v>-8.0217899999999993</v>
      </c>
      <c r="G366" s="148">
        <v>3.8879000000000001</v>
      </c>
      <c r="H366" s="148">
        <v>48.466738720410284</v>
      </c>
      <c r="I366" s="728"/>
      <c r="J366" s="148">
        <v>-4.1338900000000001</v>
      </c>
      <c r="K366" s="148">
        <v>0</v>
      </c>
      <c r="L366" s="148">
        <v>-23.381519999999998</v>
      </c>
      <c r="M366" s="148">
        <v>-95.756479999999996</v>
      </c>
      <c r="N366" s="148">
        <v>72.374960000000002</v>
      </c>
      <c r="O366" s="148">
        <v>75.582310460869067</v>
      </c>
      <c r="P366" s="728"/>
      <c r="Q366" s="148">
        <v>-23.381519999999998</v>
      </c>
      <c r="R366" s="148">
        <v>0</v>
      </c>
    </row>
    <row r="367" spans="2:18" ht="15.75" hidden="1" thickBot="1" x14ac:dyDescent="0.3">
      <c r="B367" s="722" t="s">
        <v>702</v>
      </c>
      <c r="C367" s="149" t="s">
        <v>67</v>
      </c>
      <c r="D367" t="s">
        <v>68</v>
      </c>
      <c r="E367" s="147">
        <v>7974.2093100000002</v>
      </c>
      <c r="F367" s="147">
        <v>8857.9187000000002</v>
      </c>
      <c r="G367" s="147">
        <v>-883.70938999999998</v>
      </c>
      <c r="H367" s="147">
        <v>-9.9764901883779995</v>
      </c>
      <c r="I367" s="729"/>
      <c r="J367" s="147">
        <v>7974.2093100000002</v>
      </c>
      <c r="K367" s="147">
        <v>0</v>
      </c>
      <c r="L367" s="147">
        <v>105380.44001000001</v>
      </c>
      <c r="M367" s="147">
        <v>104143.28224</v>
      </c>
      <c r="N367" s="147">
        <v>1237.15777</v>
      </c>
      <c r="O367" s="147">
        <v>1.1879381400222708</v>
      </c>
      <c r="P367" s="147">
        <v>53270.489390000002</v>
      </c>
      <c r="Q367" s="147">
        <v>52109.950620000003</v>
      </c>
      <c r="R367" s="147">
        <v>97.82142273651074</v>
      </c>
    </row>
    <row r="368" spans="2:18" ht="15.75" hidden="1" thickBot="1" x14ac:dyDescent="0.3">
      <c r="B368" s="722" t="s">
        <v>702</v>
      </c>
      <c r="C368" s="722" t="s">
        <v>69</v>
      </c>
      <c r="D368" t="s">
        <v>70</v>
      </c>
      <c r="E368" s="148">
        <v>53.80959</v>
      </c>
      <c r="F368" s="148">
        <v>65.977689999999996</v>
      </c>
      <c r="G368" s="148">
        <v>-12.168100000000001</v>
      </c>
      <c r="H368" s="148">
        <v>-18.442749359669914</v>
      </c>
      <c r="I368" s="728"/>
      <c r="J368" s="148">
        <v>53.80959</v>
      </c>
      <c r="K368" s="148">
        <v>0</v>
      </c>
      <c r="L368" s="148">
        <v>597.44617000000005</v>
      </c>
      <c r="M368" s="148">
        <v>741.65192000000002</v>
      </c>
      <c r="N368" s="148">
        <v>-144.20574999999999</v>
      </c>
      <c r="O368" s="148">
        <v>-19.44385851519133</v>
      </c>
      <c r="P368" s="148">
        <v>342.46570000000003</v>
      </c>
      <c r="Q368" s="148">
        <v>254.98047</v>
      </c>
      <c r="R368" s="148">
        <v>74.454308854872181</v>
      </c>
    </row>
    <row r="369" spans="2:18" ht="15.75" hidden="1" thickBot="1" x14ac:dyDescent="0.3">
      <c r="B369" s="722" t="s">
        <v>702</v>
      </c>
      <c r="C369" s="722" t="s">
        <v>582</v>
      </c>
      <c r="D369" t="s">
        <v>583</v>
      </c>
      <c r="E369" s="147">
        <v>3.1342400000000001</v>
      </c>
      <c r="F369" s="147">
        <v>4.8899999999999997</v>
      </c>
      <c r="G369" s="147">
        <v>-1.75576</v>
      </c>
      <c r="H369" s="147">
        <v>-35.90511247443763</v>
      </c>
      <c r="I369" s="729"/>
      <c r="J369" s="147">
        <v>3.1342400000000001</v>
      </c>
      <c r="K369" s="147">
        <v>0</v>
      </c>
      <c r="L369" s="147">
        <v>44.111499999999999</v>
      </c>
      <c r="M369" s="147">
        <v>56.643999999999998</v>
      </c>
      <c r="N369" s="147">
        <v>-12.532500000000001</v>
      </c>
      <c r="O369" s="147">
        <v>-22.125026481180708</v>
      </c>
      <c r="P369" s="147">
        <v>23.731059999999999</v>
      </c>
      <c r="Q369" s="147">
        <v>20.38044</v>
      </c>
      <c r="R369" s="147">
        <v>85.880866678521741</v>
      </c>
    </row>
    <row r="370" spans="2:18" ht="15.75" hidden="1" thickBot="1" x14ac:dyDescent="0.3">
      <c r="B370" s="722" t="s">
        <v>702</v>
      </c>
      <c r="C370" s="722" t="s">
        <v>99</v>
      </c>
      <c r="D370" t="s">
        <v>100</v>
      </c>
      <c r="E370" s="148">
        <v>129.68427</v>
      </c>
      <c r="F370" s="148">
        <v>115.01648</v>
      </c>
      <c r="G370" s="148">
        <v>14.66779</v>
      </c>
      <c r="H370" s="148">
        <v>12.752772472257888</v>
      </c>
      <c r="I370" s="728"/>
      <c r="J370" s="148">
        <v>129.68427</v>
      </c>
      <c r="K370" s="148">
        <v>0</v>
      </c>
      <c r="L370" s="148">
        <v>1213.0994700000001</v>
      </c>
      <c r="M370" s="148">
        <v>1464.74215</v>
      </c>
      <c r="N370" s="148">
        <v>-251.64268000000001</v>
      </c>
      <c r="O370" s="148">
        <v>-17.179998541040142</v>
      </c>
      <c r="P370" s="148">
        <v>554.85512000000006</v>
      </c>
      <c r="Q370" s="148">
        <v>658.24435000000005</v>
      </c>
      <c r="R370" s="148">
        <v>118.63355428710831</v>
      </c>
    </row>
    <row r="371" spans="2:18" ht="15.75" hidden="1" thickBot="1" x14ac:dyDescent="0.3">
      <c r="B371" s="722" t="s">
        <v>702</v>
      </c>
      <c r="C371" s="722" t="s">
        <v>165</v>
      </c>
      <c r="D371" t="s">
        <v>166</v>
      </c>
      <c r="E371" s="147">
        <v>133.11806999999999</v>
      </c>
      <c r="F371" s="147">
        <v>1.3755599999999999</v>
      </c>
      <c r="G371" s="147">
        <v>131.74251000000001</v>
      </c>
      <c r="H371" s="147">
        <v>9577.3728517840009</v>
      </c>
      <c r="I371" s="729"/>
      <c r="J371" s="147">
        <v>133.11806999999999</v>
      </c>
      <c r="K371" s="147">
        <v>0</v>
      </c>
      <c r="L371" s="147">
        <v>815.67786999999998</v>
      </c>
      <c r="M371" s="147">
        <v>14.479200000000001</v>
      </c>
      <c r="N371" s="147">
        <v>801.19866999999999</v>
      </c>
      <c r="O371" s="147">
        <v>5533.4457014199679</v>
      </c>
      <c r="P371" s="147">
        <v>371.53023000000002</v>
      </c>
      <c r="Q371" s="147">
        <v>444.14764000000002</v>
      </c>
      <c r="R371" s="147">
        <v>119.54549162796255</v>
      </c>
    </row>
    <row r="372" spans="2:18" ht="15.75" hidden="1" thickBot="1" x14ac:dyDescent="0.3">
      <c r="B372" s="722" t="s">
        <v>702</v>
      </c>
      <c r="C372" s="722" t="s">
        <v>188</v>
      </c>
      <c r="D372" t="s">
        <v>189</v>
      </c>
      <c r="E372" s="148">
        <v>7.3292200000000003</v>
      </c>
      <c r="F372" s="728"/>
      <c r="G372" s="148">
        <v>7.3292200000000003</v>
      </c>
      <c r="H372" s="148">
        <v>0</v>
      </c>
      <c r="I372" s="728"/>
      <c r="J372" s="148">
        <v>7.3292200000000003</v>
      </c>
      <c r="K372" s="148">
        <v>0</v>
      </c>
      <c r="L372" s="148">
        <v>134.34486999999999</v>
      </c>
      <c r="M372" s="728"/>
      <c r="N372" s="148">
        <v>134.34486999999999</v>
      </c>
      <c r="O372" s="148">
        <v>0</v>
      </c>
      <c r="P372" s="148">
        <v>69.648660000000007</v>
      </c>
      <c r="Q372" s="148">
        <v>64.696209999999994</v>
      </c>
      <c r="R372" s="148">
        <v>92.889382222141819</v>
      </c>
    </row>
    <row r="373" spans="2:18" ht="15.75" hidden="1" thickBot="1" x14ac:dyDescent="0.3">
      <c r="B373" s="722" t="s">
        <v>702</v>
      </c>
      <c r="C373" s="722" t="s">
        <v>584</v>
      </c>
      <c r="D373" t="s">
        <v>585</v>
      </c>
      <c r="E373" s="147">
        <v>1.47E-3</v>
      </c>
      <c r="F373" s="729"/>
      <c r="G373" s="147">
        <v>1.47E-3</v>
      </c>
      <c r="H373" s="147">
        <v>0</v>
      </c>
      <c r="I373" s="729"/>
      <c r="J373" s="147">
        <v>1.47E-3</v>
      </c>
      <c r="K373" s="147">
        <v>0</v>
      </c>
      <c r="L373" s="147">
        <v>7.6060000000000003E-2</v>
      </c>
      <c r="M373" s="729"/>
      <c r="N373" s="147">
        <v>7.6060000000000003E-2</v>
      </c>
      <c r="O373" s="147">
        <v>0</v>
      </c>
      <c r="P373" s="147">
        <v>2.342E-2</v>
      </c>
      <c r="Q373" s="147">
        <v>5.2639999999999999E-2</v>
      </c>
      <c r="R373" s="147">
        <v>224.76515798462853</v>
      </c>
    </row>
    <row r="374" spans="2:18" ht="15.75" hidden="1" thickBot="1" x14ac:dyDescent="0.3">
      <c r="B374" s="722" t="s">
        <v>702</v>
      </c>
      <c r="C374" s="722" t="s">
        <v>586</v>
      </c>
      <c r="D374" t="s">
        <v>587</v>
      </c>
      <c r="E374" s="728"/>
      <c r="F374" s="728"/>
      <c r="G374" s="728"/>
      <c r="H374" s="728"/>
      <c r="I374" s="728"/>
      <c r="J374" s="728"/>
      <c r="K374" s="728"/>
      <c r="L374" s="148">
        <v>3.6899099999999998</v>
      </c>
      <c r="M374" s="728"/>
      <c r="N374" s="148">
        <v>3.6899099999999998</v>
      </c>
      <c r="O374" s="148">
        <v>0</v>
      </c>
      <c r="P374" s="148">
        <v>3.6899099999999998</v>
      </c>
      <c r="Q374" s="148">
        <v>0</v>
      </c>
      <c r="R374" s="148">
        <v>0</v>
      </c>
    </row>
    <row r="375" spans="2:18" ht="15.75" hidden="1" thickBot="1" x14ac:dyDescent="0.3">
      <c r="B375" s="722" t="s">
        <v>702</v>
      </c>
      <c r="C375" s="722" t="s">
        <v>588</v>
      </c>
      <c r="D375" t="s">
        <v>589</v>
      </c>
      <c r="E375" s="147">
        <v>1.3522099999999999</v>
      </c>
      <c r="F375" s="729"/>
      <c r="G375" s="147">
        <v>1.3522099999999999</v>
      </c>
      <c r="H375" s="147">
        <v>0</v>
      </c>
      <c r="I375" s="729"/>
      <c r="J375" s="147">
        <v>1.3522099999999999</v>
      </c>
      <c r="K375" s="147">
        <v>0</v>
      </c>
      <c r="L375" s="147">
        <v>1.8162100000000001</v>
      </c>
      <c r="M375" s="729"/>
      <c r="N375" s="147">
        <v>1.8162100000000001</v>
      </c>
      <c r="O375" s="147">
        <v>0</v>
      </c>
      <c r="P375" s="147">
        <v>0.33900000000000002</v>
      </c>
      <c r="Q375" s="147">
        <v>1.4772099999999999</v>
      </c>
      <c r="R375" s="147">
        <v>435.75516224188789</v>
      </c>
    </row>
    <row r="376" spans="2:18" ht="15.75" hidden="1" thickBot="1" x14ac:dyDescent="0.3">
      <c r="B376" s="722" t="s">
        <v>702</v>
      </c>
      <c r="C376" s="722" t="s">
        <v>590</v>
      </c>
      <c r="D376" t="s">
        <v>591</v>
      </c>
      <c r="E376" s="728"/>
      <c r="F376" s="728"/>
      <c r="G376" s="728"/>
      <c r="H376" s="728"/>
      <c r="I376" s="728"/>
      <c r="J376" s="728"/>
      <c r="K376" s="728"/>
      <c r="L376" s="148">
        <v>2.7534200000000002</v>
      </c>
      <c r="M376" s="728"/>
      <c r="N376" s="148">
        <v>2.7534200000000002</v>
      </c>
      <c r="O376" s="148">
        <v>0</v>
      </c>
      <c r="P376" s="148">
        <v>2.7534200000000002</v>
      </c>
      <c r="Q376" s="148">
        <v>0</v>
      </c>
      <c r="R376" s="148">
        <v>0</v>
      </c>
    </row>
    <row r="377" spans="2:18" ht="15.75" hidden="1" thickBot="1" x14ac:dyDescent="0.3">
      <c r="B377" s="722" t="s">
        <v>702</v>
      </c>
      <c r="C377" s="722" t="s">
        <v>592</v>
      </c>
      <c r="D377" t="s">
        <v>593</v>
      </c>
      <c r="E377" s="147">
        <v>3.1053000000000002</v>
      </c>
      <c r="F377" s="729"/>
      <c r="G377" s="147">
        <v>3.1053000000000002</v>
      </c>
      <c r="H377" s="147">
        <v>0</v>
      </c>
      <c r="I377" s="729"/>
      <c r="J377" s="147">
        <v>3.1053000000000002</v>
      </c>
      <c r="K377" s="147">
        <v>0</v>
      </c>
      <c r="L377" s="147">
        <v>56.356900000000003</v>
      </c>
      <c r="M377" s="729"/>
      <c r="N377" s="147">
        <v>56.356900000000003</v>
      </c>
      <c r="O377" s="147">
        <v>0</v>
      </c>
      <c r="P377" s="147">
        <v>33.817509999999999</v>
      </c>
      <c r="Q377" s="147">
        <v>22.539390000000001</v>
      </c>
      <c r="R377" s="147">
        <v>66.650057913784906</v>
      </c>
    </row>
    <row r="378" spans="2:18" ht="15.75" hidden="1" thickBot="1" x14ac:dyDescent="0.3">
      <c r="B378" s="722" t="s">
        <v>702</v>
      </c>
      <c r="C378" s="722" t="s">
        <v>594</v>
      </c>
      <c r="D378" t="s">
        <v>595</v>
      </c>
      <c r="E378" s="728"/>
      <c r="F378" s="728"/>
      <c r="G378" s="728"/>
      <c r="H378" s="728"/>
      <c r="I378" s="728"/>
      <c r="J378" s="728"/>
      <c r="K378" s="728"/>
      <c r="L378" s="148">
        <v>0.28536</v>
      </c>
      <c r="M378" s="728"/>
      <c r="N378" s="148">
        <v>0.28536</v>
      </c>
      <c r="O378" s="148">
        <v>0</v>
      </c>
      <c r="P378" s="148">
        <v>0.28536</v>
      </c>
      <c r="Q378" s="148">
        <v>0</v>
      </c>
      <c r="R378" s="148">
        <v>0</v>
      </c>
    </row>
    <row r="379" spans="2:18" ht="15.75" hidden="1" thickBot="1" x14ac:dyDescent="0.3">
      <c r="B379" s="722" t="s">
        <v>702</v>
      </c>
      <c r="C379" s="722" t="s">
        <v>137</v>
      </c>
      <c r="D379" t="s">
        <v>138</v>
      </c>
      <c r="E379" s="147">
        <v>30.393599999999999</v>
      </c>
      <c r="F379" s="147">
        <v>19.497540000000001</v>
      </c>
      <c r="G379" s="147">
        <v>10.89606</v>
      </c>
      <c r="H379" s="147">
        <v>55.884280786191489</v>
      </c>
      <c r="I379" s="729"/>
      <c r="J379" s="147">
        <v>30.393599999999999</v>
      </c>
      <c r="K379" s="147">
        <v>0</v>
      </c>
      <c r="L379" s="147">
        <v>237.67716999999999</v>
      </c>
      <c r="M379" s="147">
        <v>219.64010999999999</v>
      </c>
      <c r="N379" s="147">
        <v>18.03706</v>
      </c>
      <c r="O379" s="147">
        <v>8.2120975080553364</v>
      </c>
      <c r="P379" s="147">
        <v>111.47</v>
      </c>
      <c r="Q379" s="147">
        <v>126.20717</v>
      </c>
      <c r="R379" s="147">
        <v>113.22074997757244</v>
      </c>
    </row>
    <row r="380" spans="2:18" ht="15.75" hidden="1" thickBot="1" x14ac:dyDescent="0.3">
      <c r="B380" s="722" t="s">
        <v>702</v>
      </c>
      <c r="C380" s="722" t="s">
        <v>190</v>
      </c>
      <c r="D380" t="s">
        <v>191</v>
      </c>
      <c r="E380" s="148">
        <v>63.000129999999999</v>
      </c>
      <c r="F380" s="148">
        <v>64.461429999999993</v>
      </c>
      <c r="G380" s="148">
        <v>-1.4613</v>
      </c>
      <c r="H380" s="148">
        <v>-2.2669369885216635</v>
      </c>
      <c r="I380" s="728"/>
      <c r="J380" s="148">
        <v>63.000129999999999</v>
      </c>
      <c r="K380" s="148">
        <v>0</v>
      </c>
      <c r="L380" s="148">
        <v>775.90403000000003</v>
      </c>
      <c r="M380" s="148">
        <v>770.19716000000005</v>
      </c>
      <c r="N380" s="148">
        <v>5.7068700000000003</v>
      </c>
      <c r="O380" s="148">
        <v>0.74096222323125682</v>
      </c>
      <c r="P380" s="148">
        <v>383.70591000000002</v>
      </c>
      <c r="Q380" s="148">
        <v>392.19812000000002</v>
      </c>
      <c r="R380" s="148">
        <v>102.2132080269496</v>
      </c>
    </row>
    <row r="381" spans="2:18" ht="15.75" hidden="1" thickBot="1" x14ac:dyDescent="0.3">
      <c r="B381" s="722" t="s">
        <v>702</v>
      </c>
      <c r="C381" s="722" t="s">
        <v>36</v>
      </c>
      <c r="D381" t="s">
        <v>192</v>
      </c>
      <c r="E381" s="147">
        <v>194.98641000000001</v>
      </c>
      <c r="F381" s="147">
        <v>259.19580999999999</v>
      </c>
      <c r="G381" s="147">
        <v>-64.209400000000002</v>
      </c>
      <c r="H381" s="147">
        <v>-24.772545512984951</v>
      </c>
      <c r="I381" s="729"/>
      <c r="J381" s="147">
        <v>194.98641000000001</v>
      </c>
      <c r="K381" s="147">
        <v>0</v>
      </c>
      <c r="L381" s="147">
        <v>3576.5586600000001</v>
      </c>
      <c r="M381" s="147">
        <v>3164.1097199999999</v>
      </c>
      <c r="N381" s="147">
        <v>412.44893999999999</v>
      </c>
      <c r="O381" s="147">
        <v>13.035228753066123</v>
      </c>
      <c r="P381" s="147">
        <v>1829.7476799999999</v>
      </c>
      <c r="Q381" s="147">
        <v>1746.81098</v>
      </c>
      <c r="R381" s="147">
        <v>95.467314925083002</v>
      </c>
    </row>
    <row r="382" spans="2:18" ht="15.75" hidden="1" thickBot="1" x14ac:dyDescent="0.3">
      <c r="B382" s="722" t="s">
        <v>702</v>
      </c>
      <c r="C382" s="722" t="s">
        <v>596</v>
      </c>
      <c r="D382" t="s">
        <v>597</v>
      </c>
      <c r="E382" s="728"/>
      <c r="F382" s="148">
        <v>0</v>
      </c>
      <c r="G382" s="148">
        <v>0</v>
      </c>
      <c r="H382" s="148">
        <v>0</v>
      </c>
      <c r="I382" s="728"/>
      <c r="J382" s="728"/>
      <c r="K382" s="728"/>
      <c r="L382" s="728"/>
      <c r="M382" s="148">
        <v>2</v>
      </c>
      <c r="N382" s="148">
        <v>-2</v>
      </c>
      <c r="O382" s="148">
        <v>-100</v>
      </c>
      <c r="P382" s="728"/>
      <c r="Q382" s="728"/>
      <c r="R382" s="728"/>
    </row>
    <row r="383" spans="2:18" ht="15.75" hidden="1" thickBot="1" x14ac:dyDescent="0.3">
      <c r="B383" s="722" t="s">
        <v>702</v>
      </c>
      <c r="C383" s="722" t="s">
        <v>598</v>
      </c>
      <c r="D383" t="s">
        <v>168</v>
      </c>
      <c r="E383" s="147">
        <v>0.11508</v>
      </c>
      <c r="F383" s="147">
        <v>0.81123000000000001</v>
      </c>
      <c r="G383" s="147">
        <v>-0.69615000000000005</v>
      </c>
      <c r="H383" s="147">
        <v>-85.814134092674081</v>
      </c>
      <c r="I383" s="729"/>
      <c r="J383" s="147">
        <v>0.11508</v>
      </c>
      <c r="K383" s="147">
        <v>0</v>
      </c>
      <c r="L383" s="147">
        <v>10.98316</v>
      </c>
      <c r="M383" s="147">
        <v>7.8009199999999996</v>
      </c>
      <c r="N383" s="147">
        <v>3.1822400000000002</v>
      </c>
      <c r="O383" s="147">
        <v>40.793137219712548</v>
      </c>
      <c r="P383" s="147">
        <v>9.4567999999999994</v>
      </c>
      <c r="Q383" s="147">
        <v>1.5263599999999999</v>
      </c>
      <c r="R383" s="147">
        <v>16.140343456560359</v>
      </c>
    </row>
    <row r="384" spans="2:18" ht="15.75" hidden="1" thickBot="1" x14ac:dyDescent="0.3">
      <c r="B384" s="722" t="s">
        <v>702</v>
      </c>
      <c r="C384" s="722" t="s">
        <v>139</v>
      </c>
      <c r="D384" t="s">
        <v>140</v>
      </c>
      <c r="E384" s="148">
        <v>70.505830000000003</v>
      </c>
      <c r="F384" s="148">
        <v>46.209479999999999</v>
      </c>
      <c r="G384" s="148">
        <v>24.29635</v>
      </c>
      <c r="H384" s="148">
        <v>52.578713285672116</v>
      </c>
      <c r="I384" s="728"/>
      <c r="J384" s="148">
        <v>70.505830000000003</v>
      </c>
      <c r="K384" s="148">
        <v>0</v>
      </c>
      <c r="L384" s="148">
        <v>1601.2969800000001</v>
      </c>
      <c r="M384" s="148">
        <v>978.97916999999995</v>
      </c>
      <c r="N384" s="148">
        <v>622.31781000000001</v>
      </c>
      <c r="O384" s="148">
        <v>63.568033832629965</v>
      </c>
      <c r="P384" s="148">
        <v>1189.30882</v>
      </c>
      <c r="Q384" s="148">
        <v>411.98815999999999</v>
      </c>
      <c r="R384" s="148">
        <v>34.640974074336725</v>
      </c>
    </row>
    <row r="385" spans="2:18" ht="15.75" hidden="1" thickBot="1" x14ac:dyDescent="0.3">
      <c r="B385" s="722" t="s">
        <v>702</v>
      </c>
      <c r="C385" s="722" t="s">
        <v>169</v>
      </c>
      <c r="D385" t="s">
        <v>170</v>
      </c>
      <c r="E385" s="147">
        <v>27.277249999999999</v>
      </c>
      <c r="F385" s="147">
        <v>23.11215</v>
      </c>
      <c r="G385" s="147">
        <v>4.1650999999999998</v>
      </c>
      <c r="H385" s="147">
        <v>18.021257217524116</v>
      </c>
      <c r="I385" s="729"/>
      <c r="J385" s="147">
        <v>27.277249999999999</v>
      </c>
      <c r="K385" s="147">
        <v>0</v>
      </c>
      <c r="L385" s="147">
        <v>462.35178999999999</v>
      </c>
      <c r="M385" s="147">
        <v>301.55462999999997</v>
      </c>
      <c r="N385" s="147">
        <v>160.79715999999999</v>
      </c>
      <c r="O385" s="147">
        <v>53.322729616189278</v>
      </c>
      <c r="P385" s="147">
        <v>234.16101</v>
      </c>
      <c r="Q385" s="147">
        <v>228.19077999999999</v>
      </c>
      <c r="R385" s="147">
        <v>97.450373996934843</v>
      </c>
    </row>
    <row r="386" spans="2:18" ht="15.75" hidden="1" thickBot="1" x14ac:dyDescent="0.3">
      <c r="B386" s="722" t="s">
        <v>702</v>
      </c>
      <c r="C386" s="722" t="s">
        <v>101</v>
      </c>
      <c r="D386" t="s">
        <v>102</v>
      </c>
      <c r="E386" s="148">
        <v>1192.67392</v>
      </c>
      <c r="F386" s="148">
        <v>668.00392999999997</v>
      </c>
      <c r="G386" s="148">
        <v>524.66998999999998</v>
      </c>
      <c r="H386" s="148">
        <v>78.542949590131897</v>
      </c>
      <c r="I386" s="728"/>
      <c r="J386" s="148">
        <v>1192.67392</v>
      </c>
      <c r="K386" s="148">
        <v>0</v>
      </c>
      <c r="L386" s="148">
        <v>12163.75446</v>
      </c>
      <c r="M386" s="148">
        <v>12419.355219999999</v>
      </c>
      <c r="N386" s="148">
        <v>-255.60076000000001</v>
      </c>
      <c r="O386" s="148">
        <v>-2.0580839783725904</v>
      </c>
      <c r="P386" s="148">
        <v>5522.1929899999996</v>
      </c>
      <c r="Q386" s="148">
        <v>6641.5614699999996</v>
      </c>
      <c r="R386" s="148">
        <v>120.27036146739232</v>
      </c>
    </row>
    <row r="387" spans="2:18" ht="15.75" hidden="1" thickBot="1" x14ac:dyDescent="0.3">
      <c r="B387" s="722" t="s">
        <v>702</v>
      </c>
      <c r="C387" s="722" t="s">
        <v>599</v>
      </c>
      <c r="D387" t="s">
        <v>600</v>
      </c>
      <c r="E387" s="729"/>
      <c r="F387" s="729"/>
      <c r="G387" s="729"/>
      <c r="H387" s="729"/>
      <c r="I387" s="729"/>
      <c r="J387" s="729"/>
      <c r="K387" s="729"/>
      <c r="L387" s="147">
        <v>2.1974999999999998</v>
      </c>
      <c r="M387" s="729"/>
      <c r="N387" s="147">
        <v>2.1974999999999998</v>
      </c>
      <c r="O387" s="147">
        <v>0</v>
      </c>
      <c r="P387" s="147">
        <v>2.1974999999999998</v>
      </c>
      <c r="Q387" s="147">
        <v>0</v>
      </c>
      <c r="R387" s="147">
        <v>0</v>
      </c>
    </row>
    <row r="388" spans="2:18" ht="15.75" hidden="1" thickBot="1" x14ac:dyDescent="0.3">
      <c r="B388" s="722" t="s">
        <v>702</v>
      </c>
      <c r="C388" s="722" t="s">
        <v>601</v>
      </c>
      <c r="D388" t="s">
        <v>602</v>
      </c>
      <c r="E388" s="148">
        <v>-1.32</v>
      </c>
      <c r="F388" s="728"/>
      <c r="G388" s="148">
        <v>-1.32</v>
      </c>
      <c r="H388" s="148">
        <v>0</v>
      </c>
      <c r="I388" s="728"/>
      <c r="J388" s="148">
        <v>-1.32</v>
      </c>
      <c r="K388" s="148">
        <v>0</v>
      </c>
      <c r="L388" s="148">
        <v>0</v>
      </c>
      <c r="M388" s="728"/>
      <c r="N388" s="148">
        <v>0</v>
      </c>
      <c r="O388" s="148">
        <v>0</v>
      </c>
      <c r="P388" s="728"/>
      <c r="Q388" s="148">
        <v>0</v>
      </c>
      <c r="R388" s="148">
        <v>0</v>
      </c>
    </row>
    <row r="389" spans="2:18" ht="15.75" hidden="1" thickBot="1" x14ac:dyDescent="0.3">
      <c r="B389" s="722" t="s">
        <v>702</v>
      </c>
      <c r="C389" s="722" t="s">
        <v>603</v>
      </c>
      <c r="D389" t="s">
        <v>604</v>
      </c>
      <c r="E389" s="729"/>
      <c r="F389" s="729"/>
      <c r="G389" s="729"/>
      <c r="H389" s="729"/>
      <c r="I389" s="729"/>
      <c r="J389" s="729"/>
      <c r="K389" s="729"/>
      <c r="L389" s="147">
        <v>2.36</v>
      </c>
      <c r="M389" s="729"/>
      <c r="N389" s="147">
        <v>2.36</v>
      </c>
      <c r="O389" s="147">
        <v>0</v>
      </c>
      <c r="P389" s="147">
        <v>1.7</v>
      </c>
      <c r="Q389" s="147">
        <v>0.66</v>
      </c>
      <c r="R389" s="147">
        <v>38.823529411764703</v>
      </c>
    </row>
    <row r="390" spans="2:18" ht="15.75" hidden="1" thickBot="1" x14ac:dyDescent="0.3">
      <c r="B390" s="722" t="s">
        <v>702</v>
      </c>
      <c r="C390" s="722" t="s">
        <v>605</v>
      </c>
      <c r="D390" t="s">
        <v>606</v>
      </c>
      <c r="E390" s="148">
        <v>-0.8</v>
      </c>
      <c r="F390" s="728"/>
      <c r="G390" s="148">
        <v>-0.8</v>
      </c>
      <c r="H390" s="148">
        <v>0</v>
      </c>
      <c r="I390" s="728"/>
      <c r="J390" s="148">
        <v>-0.8</v>
      </c>
      <c r="K390" s="148">
        <v>0</v>
      </c>
      <c r="L390" s="148">
        <v>29.794</v>
      </c>
      <c r="M390" s="728"/>
      <c r="N390" s="148">
        <v>29.794</v>
      </c>
      <c r="O390" s="148">
        <v>0</v>
      </c>
      <c r="P390" s="148">
        <v>17.6496</v>
      </c>
      <c r="Q390" s="148">
        <v>12.144399999999999</v>
      </c>
      <c r="R390" s="148">
        <v>68.808358263076784</v>
      </c>
    </row>
    <row r="391" spans="2:18" ht="15.75" hidden="1" thickBot="1" x14ac:dyDescent="0.3">
      <c r="B391" s="722" t="s">
        <v>702</v>
      </c>
      <c r="C391" s="722" t="s">
        <v>218</v>
      </c>
      <c r="D391" t="s">
        <v>219</v>
      </c>
      <c r="E391" s="147">
        <v>-2.0649999999999999</v>
      </c>
      <c r="F391" s="729"/>
      <c r="G391" s="147">
        <v>-2.0649999999999999</v>
      </c>
      <c r="H391" s="147">
        <v>0</v>
      </c>
      <c r="I391" s="729"/>
      <c r="J391" s="147">
        <v>-2.0649999999999999</v>
      </c>
      <c r="K391" s="147">
        <v>0</v>
      </c>
      <c r="L391" s="147">
        <v>37.841810000000002</v>
      </c>
      <c r="M391" s="729"/>
      <c r="N391" s="147">
        <v>37.841810000000002</v>
      </c>
      <c r="O391" s="147">
        <v>0</v>
      </c>
      <c r="P391" s="147">
        <v>35.442250000000001</v>
      </c>
      <c r="Q391" s="147">
        <v>2.3995600000000001</v>
      </c>
      <c r="R391" s="147">
        <v>6.7703376619712348</v>
      </c>
    </row>
    <row r="392" spans="2:18" ht="15.75" hidden="1" thickBot="1" x14ac:dyDescent="0.3">
      <c r="B392" s="722" t="s">
        <v>702</v>
      </c>
      <c r="C392" s="722" t="s">
        <v>607</v>
      </c>
      <c r="D392" t="s">
        <v>608</v>
      </c>
      <c r="E392" s="728"/>
      <c r="F392" s="728"/>
      <c r="G392" s="728"/>
      <c r="H392" s="728"/>
      <c r="I392" s="728"/>
      <c r="J392" s="728"/>
      <c r="K392" s="728"/>
      <c r="L392" s="148">
        <v>30.815819999999999</v>
      </c>
      <c r="M392" s="728"/>
      <c r="N392" s="148">
        <v>30.815819999999999</v>
      </c>
      <c r="O392" s="148">
        <v>0</v>
      </c>
      <c r="P392" s="148">
        <v>4.0235599999999998</v>
      </c>
      <c r="Q392" s="148">
        <v>26.792259999999999</v>
      </c>
      <c r="R392" s="148">
        <v>665.88444064460327</v>
      </c>
    </row>
    <row r="393" spans="2:18" ht="15.75" hidden="1" thickBot="1" x14ac:dyDescent="0.3">
      <c r="B393" s="722" t="s">
        <v>702</v>
      </c>
      <c r="C393" s="722" t="s">
        <v>609</v>
      </c>
      <c r="D393" t="s">
        <v>610</v>
      </c>
      <c r="E393" s="729"/>
      <c r="F393" s="729"/>
      <c r="G393" s="729"/>
      <c r="H393" s="729"/>
      <c r="I393" s="729"/>
      <c r="J393" s="729"/>
      <c r="K393" s="729"/>
      <c r="L393" s="147">
        <v>0.47049999999999997</v>
      </c>
      <c r="M393" s="729"/>
      <c r="N393" s="147">
        <v>0.47049999999999997</v>
      </c>
      <c r="O393" s="147">
        <v>0</v>
      </c>
      <c r="P393" s="729"/>
      <c r="Q393" s="147">
        <v>0.47049999999999997</v>
      </c>
      <c r="R393" s="147">
        <v>0</v>
      </c>
    </row>
    <row r="394" spans="2:18" ht="15.75" hidden="1" thickBot="1" x14ac:dyDescent="0.3">
      <c r="B394" s="722" t="s">
        <v>702</v>
      </c>
      <c r="C394" s="722" t="s">
        <v>462</v>
      </c>
      <c r="D394" t="s">
        <v>463</v>
      </c>
      <c r="E394" s="148">
        <v>8.6925500000000007</v>
      </c>
      <c r="F394" s="728"/>
      <c r="G394" s="148">
        <v>8.6925500000000007</v>
      </c>
      <c r="H394" s="148">
        <v>0</v>
      </c>
      <c r="I394" s="728"/>
      <c r="J394" s="148">
        <v>8.6925500000000007</v>
      </c>
      <c r="K394" s="148">
        <v>0</v>
      </c>
      <c r="L394" s="148">
        <v>92.487309999999994</v>
      </c>
      <c r="M394" s="728"/>
      <c r="N394" s="148">
        <v>92.487309999999994</v>
      </c>
      <c r="O394" s="148">
        <v>0</v>
      </c>
      <c r="P394" s="148">
        <v>37.848039999999997</v>
      </c>
      <c r="Q394" s="148">
        <v>54.639270000000003</v>
      </c>
      <c r="R394" s="148">
        <v>144.36486010900433</v>
      </c>
    </row>
    <row r="395" spans="2:18" ht="15.75" hidden="1" thickBot="1" x14ac:dyDescent="0.3">
      <c r="B395" s="722" t="s">
        <v>702</v>
      </c>
      <c r="C395" s="722" t="s">
        <v>611</v>
      </c>
      <c r="D395" t="s">
        <v>612</v>
      </c>
      <c r="E395" s="729"/>
      <c r="F395" s="729"/>
      <c r="G395" s="729"/>
      <c r="H395" s="729"/>
      <c r="I395" s="729"/>
      <c r="J395" s="729"/>
      <c r="K395" s="729"/>
      <c r="L395" s="147">
        <v>0</v>
      </c>
      <c r="M395" s="729"/>
      <c r="N395" s="147">
        <v>0</v>
      </c>
      <c r="O395" s="147">
        <v>0</v>
      </c>
      <c r="P395" s="147">
        <v>0</v>
      </c>
      <c r="Q395" s="147">
        <v>0</v>
      </c>
      <c r="R395" s="147">
        <v>0</v>
      </c>
    </row>
    <row r="396" spans="2:18" ht="15.75" hidden="1" thickBot="1" x14ac:dyDescent="0.3">
      <c r="B396" s="722" t="s">
        <v>702</v>
      </c>
      <c r="C396" s="722" t="s">
        <v>613</v>
      </c>
      <c r="D396" t="s">
        <v>614</v>
      </c>
      <c r="E396" s="148">
        <v>6.7050000000000001</v>
      </c>
      <c r="F396" s="728"/>
      <c r="G396" s="148">
        <v>6.7050000000000001</v>
      </c>
      <c r="H396" s="148">
        <v>0</v>
      </c>
      <c r="I396" s="728"/>
      <c r="J396" s="148">
        <v>6.7050000000000001</v>
      </c>
      <c r="K396" s="148">
        <v>0</v>
      </c>
      <c r="L396" s="148">
        <v>67.913989999999998</v>
      </c>
      <c r="M396" s="728"/>
      <c r="N396" s="148">
        <v>67.913989999999998</v>
      </c>
      <c r="O396" s="148">
        <v>0</v>
      </c>
      <c r="P396" s="148">
        <v>22.390450000000001</v>
      </c>
      <c r="Q396" s="148">
        <v>45.523539999999997</v>
      </c>
      <c r="R396" s="148">
        <v>203.31677121272685</v>
      </c>
    </row>
    <row r="397" spans="2:18" ht="15.75" hidden="1" thickBot="1" x14ac:dyDescent="0.3">
      <c r="B397" s="722" t="s">
        <v>702</v>
      </c>
      <c r="C397" s="722" t="s">
        <v>615</v>
      </c>
      <c r="D397" t="s">
        <v>616</v>
      </c>
      <c r="E397" s="147">
        <v>1.67197</v>
      </c>
      <c r="F397" s="729"/>
      <c r="G397" s="147">
        <v>1.67197</v>
      </c>
      <c r="H397" s="147">
        <v>0</v>
      </c>
      <c r="I397" s="729"/>
      <c r="J397" s="147">
        <v>1.67197</v>
      </c>
      <c r="K397" s="147">
        <v>0</v>
      </c>
      <c r="L397" s="147">
        <v>37.872140000000002</v>
      </c>
      <c r="M397" s="729"/>
      <c r="N397" s="147">
        <v>37.872140000000002</v>
      </c>
      <c r="O397" s="147">
        <v>0</v>
      </c>
      <c r="P397" s="147">
        <v>16.422750000000001</v>
      </c>
      <c r="Q397" s="147">
        <v>21.449390000000001</v>
      </c>
      <c r="R397" s="147">
        <v>130.60778493248694</v>
      </c>
    </row>
    <row r="398" spans="2:18" ht="15.75" hidden="1" thickBot="1" x14ac:dyDescent="0.3">
      <c r="B398" s="722" t="s">
        <v>702</v>
      </c>
      <c r="C398" s="722" t="s">
        <v>193</v>
      </c>
      <c r="D398" t="s">
        <v>194</v>
      </c>
      <c r="E398" s="148">
        <v>30.026450000000001</v>
      </c>
      <c r="F398" s="148">
        <v>1</v>
      </c>
      <c r="G398" s="148">
        <v>29.026450000000001</v>
      </c>
      <c r="H398" s="148">
        <v>2902.645</v>
      </c>
      <c r="I398" s="728"/>
      <c r="J398" s="148">
        <v>30.026450000000001</v>
      </c>
      <c r="K398" s="148">
        <v>0</v>
      </c>
      <c r="L398" s="148">
        <v>529.48005999999998</v>
      </c>
      <c r="M398" s="148">
        <v>12</v>
      </c>
      <c r="N398" s="148">
        <v>517.48005999999998</v>
      </c>
      <c r="O398" s="148">
        <v>4312.3338333333331</v>
      </c>
      <c r="P398" s="148">
        <v>228.36834999999999</v>
      </c>
      <c r="Q398" s="148">
        <v>301.11171000000002</v>
      </c>
      <c r="R398" s="148">
        <v>131.85352085785968</v>
      </c>
    </row>
    <row r="399" spans="2:18" ht="15.75" hidden="1" thickBot="1" x14ac:dyDescent="0.3">
      <c r="B399" s="722" t="s">
        <v>702</v>
      </c>
      <c r="C399" s="722" t="s">
        <v>617</v>
      </c>
      <c r="D399" t="s">
        <v>618</v>
      </c>
      <c r="E399" s="147">
        <v>0.26</v>
      </c>
      <c r="F399" s="729"/>
      <c r="G399" s="147">
        <v>0.26</v>
      </c>
      <c r="H399" s="147">
        <v>0</v>
      </c>
      <c r="I399" s="729"/>
      <c r="J399" s="147">
        <v>0.26</v>
      </c>
      <c r="K399" s="147">
        <v>0</v>
      </c>
      <c r="L399" s="147">
        <v>1.3</v>
      </c>
      <c r="M399" s="729"/>
      <c r="N399" s="147">
        <v>1.3</v>
      </c>
      <c r="O399" s="147">
        <v>0</v>
      </c>
      <c r="P399" s="729"/>
      <c r="Q399" s="147">
        <v>1.3</v>
      </c>
      <c r="R399" s="147">
        <v>0</v>
      </c>
    </row>
    <row r="400" spans="2:18" ht="15.75" hidden="1" thickBot="1" x14ac:dyDescent="0.3">
      <c r="B400" s="722" t="s">
        <v>702</v>
      </c>
      <c r="C400" s="722" t="s">
        <v>195</v>
      </c>
      <c r="D400" t="s">
        <v>196</v>
      </c>
      <c r="E400" s="148">
        <v>30.108350000000002</v>
      </c>
      <c r="F400" s="728"/>
      <c r="G400" s="148">
        <v>30.108350000000002</v>
      </c>
      <c r="H400" s="148">
        <v>0</v>
      </c>
      <c r="I400" s="728"/>
      <c r="J400" s="148">
        <v>30.108350000000002</v>
      </c>
      <c r="K400" s="148">
        <v>0</v>
      </c>
      <c r="L400" s="148">
        <v>284.83035999999998</v>
      </c>
      <c r="M400" s="728"/>
      <c r="N400" s="148">
        <v>284.83035999999998</v>
      </c>
      <c r="O400" s="148">
        <v>0</v>
      </c>
      <c r="P400" s="148">
        <v>123.15725999999999</v>
      </c>
      <c r="Q400" s="148">
        <v>161.67310000000001</v>
      </c>
      <c r="R400" s="148">
        <v>131.27370647901716</v>
      </c>
    </row>
    <row r="401" spans="2:18" ht="15.75" hidden="1" thickBot="1" x14ac:dyDescent="0.3">
      <c r="B401" s="722" t="s">
        <v>702</v>
      </c>
      <c r="C401" s="722" t="s">
        <v>197</v>
      </c>
      <c r="D401" t="s">
        <v>198</v>
      </c>
      <c r="E401" s="147">
        <v>5.5532000000000004</v>
      </c>
      <c r="F401" s="729"/>
      <c r="G401" s="147">
        <v>5.5532000000000004</v>
      </c>
      <c r="H401" s="147">
        <v>0</v>
      </c>
      <c r="I401" s="729"/>
      <c r="J401" s="147">
        <v>5.5532000000000004</v>
      </c>
      <c r="K401" s="147">
        <v>0</v>
      </c>
      <c r="L401" s="147">
        <v>101.44773000000001</v>
      </c>
      <c r="M401" s="729"/>
      <c r="N401" s="147">
        <v>101.44773000000001</v>
      </c>
      <c r="O401" s="147">
        <v>0</v>
      </c>
      <c r="P401" s="147">
        <v>52.40981</v>
      </c>
      <c r="Q401" s="147">
        <v>49.03792</v>
      </c>
      <c r="R401" s="147">
        <v>93.566299896908617</v>
      </c>
    </row>
    <row r="402" spans="2:18" ht="15.75" hidden="1" thickBot="1" x14ac:dyDescent="0.3">
      <c r="B402" s="722" t="s">
        <v>702</v>
      </c>
      <c r="C402" s="722" t="s">
        <v>485</v>
      </c>
      <c r="D402" t="s">
        <v>486</v>
      </c>
      <c r="E402" s="148">
        <v>5.3135199999999996</v>
      </c>
      <c r="F402" s="148">
        <v>2.5</v>
      </c>
      <c r="G402" s="148">
        <v>2.81352</v>
      </c>
      <c r="H402" s="148">
        <v>112.5408</v>
      </c>
      <c r="I402" s="728"/>
      <c r="J402" s="148">
        <v>5.3135199999999996</v>
      </c>
      <c r="K402" s="148">
        <v>0</v>
      </c>
      <c r="L402" s="148">
        <v>42.102699999999999</v>
      </c>
      <c r="M402" s="148">
        <v>67</v>
      </c>
      <c r="N402" s="148">
        <v>-24.897300000000001</v>
      </c>
      <c r="O402" s="148">
        <v>-37.16014925373134</v>
      </c>
      <c r="P402" s="148">
        <v>-10.52749</v>
      </c>
      <c r="Q402" s="148">
        <v>52.630189999999999</v>
      </c>
      <c r="R402" s="148">
        <v>499.93103769274535</v>
      </c>
    </row>
    <row r="403" spans="2:18" ht="15.75" hidden="1" thickBot="1" x14ac:dyDescent="0.3">
      <c r="B403" s="722" t="s">
        <v>702</v>
      </c>
      <c r="C403" s="722" t="s">
        <v>464</v>
      </c>
      <c r="D403" t="s">
        <v>465</v>
      </c>
      <c r="E403" s="147">
        <v>412.61381999999998</v>
      </c>
      <c r="F403" s="147">
        <v>424.35275000000001</v>
      </c>
      <c r="G403" s="147">
        <v>-11.73893</v>
      </c>
      <c r="H403" s="147">
        <v>-2.7663141101359661</v>
      </c>
      <c r="I403" s="729"/>
      <c r="J403" s="147">
        <v>412.61381999999998</v>
      </c>
      <c r="K403" s="147">
        <v>0</v>
      </c>
      <c r="L403" s="147">
        <v>4900.6714499999998</v>
      </c>
      <c r="M403" s="147">
        <v>4981.7319200000002</v>
      </c>
      <c r="N403" s="147">
        <v>-81.060469999999995</v>
      </c>
      <c r="O403" s="147">
        <v>-1.627154397340594</v>
      </c>
      <c r="P403" s="147">
        <v>2418.25837</v>
      </c>
      <c r="Q403" s="147">
        <v>2482.4130799999998</v>
      </c>
      <c r="R403" s="147">
        <v>102.65293034011084</v>
      </c>
    </row>
    <row r="404" spans="2:18" ht="15.75" hidden="1" thickBot="1" x14ac:dyDescent="0.3">
      <c r="B404" s="722" t="s">
        <v>702</v>
      </c>
      <c r="C404" s="722" t="s">
        <v>619</v>
      </c>
      <c r="D404" t="s">
        <v>620</v>
      </c>
      <c r="E404" s="148">
        <v>0.63444</v>
      </c>
      <c r="F404" s="728"/>
      <c r="G404" s="148">
        <v>0.63444</v>
      </c>
      <c r="H404" s="148">
        <v>0</v>
      </c>
      <c r="I404" s="728"/>
      <c r="J404" s="148">
        <v>0.63444</v>
      </c>
      <c r="K404" s="148">
        <v>0</v>
      </c>
      <c r="L404" s="148">
        <v>121.65025</v>
      </c>
      <c r="M404" s="728"/>
      <c r="N404" s="148">
        <v>121.65025</v>
      </c>
      <c r="O404" s="148">
        <v>0</v>
      </c>
      <c r="P404" s="148">
        <v>80.334019999999995</v>
      </c>
      <c r="Q404" s="148">
        <v>41.316229999999997</v>
      </c>
      <c r="R404" s="148">
        <v>51.430552087397096</v>
      </c>
    </row>
    <row r="405" spans="2:18" ht="15.75" hidden="1" thickBot="1" x14ac:dyDescent="0.3">
      <c r="B405" s="722" t="s">
        <v>702</v>
      </c>
      <c r="C405" s="722" t="s">
        <v>621</v>
      </c>
      <c r="D405" t="s">
        <v>622</v>
      </c>
      <c r="E405" s="729"/>
      <c r="F405" s="729"/>
      <c r="G405" s="729"/>
      <c r="H405" s="729"/>
      <c r="I405" s="729"/>
      <c r="J405" s="729"/>
      <c r="K405" s="729"/>
      <c r="L405" s="147">
        <v>6.0323000000000002</v>
      </c>
      <c r="M405" s="729"/>
      <c r="N405" s="147">
        <v>6.0323000000000002</v>
      </c>
      <c r="O405" s="147">
        <v>0</v>
      </c>
      <c r="P405" s="147">
        <v>4.18865</v>
      </c>
      <c r="Q405" s="147">
        <v>1.84365</v>
      </c>
      <c r="R405" s="147">
        <v>44.015374882121925</v>
      </c>
    </row>
    <row r="406" spans="2:18" ht="15.75" hidden="1" thickBot="1" x14ac:dyDescent="0.3">
      <c r="B406" s="722" t="s">
        <v>702</v>
      </c>
      <c r="C406" s="722" t="s">
        <v>623</v>
      </c>
      <c r="D406" t="s">
        <v>624</v>
      </c>
      <c r="E406" s="148">
        <v>39.677500000000002</v>
      </c>
      <c r="F406" s="148">
        <v>15.683770000000001</v>
      </c>
      <c r="G406" s="148">
        <v>23.993729999999999</v>
      </c>
      <c r="H406" s="148">
        <v>152.98445463048745</v>
      </c>
      <c r="I406" s="728"/>
      <c r="J406" s="148">
        <v>39.677500000000002</v>
      </c>
      <c r="K406" s="148">
        <v>0</v>
      </c>
      <c r="L406" s="148">
        <v>262.67471999999998</v>
      </c>
      <c r="M406" s="148">
        <v>266.83769999999998</v>
      </c>
      <c r="N406" s="148">
        <v>-4.1629800000000001</v>
      </c>
      <c r="O406" s="148">
        <v>-1.560116880036067</v>
      </c>
      <c r="P406" s="148">
        <v>127.14894</v>
      </c>
      <c r="Q406" s="148">
        <v>135.52578</v>
      </c>
      <c r="R406" s="148">
        <v>106.58821064493341</v>
      </c>
    </row>
    <row r="407" spans="2:18" ht="15.75" hidden="1" thickBot="1" x14ac:dyDescent="0.3">
      <c r="B407" s="722" t="s">
        <v>702</v>
      </c>
      <c r="C407" s="722" t="s">
        <v>103</v>
      </c>
      <c r="D407" t="s">
        <v>104</v>
      </c>
      <c r="E407" s="147">
        <v>-2.5710099999999998</v>
      </c>
      <c r="F407" s="147">
        <v>26.625</v>
      </c>
      <c r="G407" s="147">
        <v>-29.196010000000001</v>
      </c>
      <c r="H407" s="147">
        <v>-109.65637558685447</v>
      </c>
      <c r="I407" s="729"/>
      <c r="J407" s="147">
        <v>-2.5710099999999998</v>
      </c>
      <c r="K407" s="147">
        <v>0</v>
      </c>
      <c r="L407" s="147">
        <v>66.627440000000007</v>
      </c>
      <c r="M407" s="147">
        <v>69.5</v>
      </c>
      <c r="N407" s="147">
        <v>-2.87256</v>
      </c>
      <c r="O407" s="147">
        <v>-4.1331798561151079</v>
      </c>
      <c r="P407" s="147">
        <v>23.087119999999999</v>
      </c>
      <c r="Q407" s="147">
        <v>43.540320000000001</v>
      </c>
      <c r="R407" s="147">
        <v>188.59138775213194</v>
      </c>
    </row>
    <row r="408" spans="2:18" ht="15.75" hidden="1" thickBot="1" x14ac:dyDescent="0.3">
      <c r="B408" s="722" t="s">
        <v>702</v>
      </c>
      <c r="C408" s="722" t="s">
        <v>625</v>
      </c>
      <c r="D408" t="s">
        <v>626</v>
      </c>
      <c r="E408" s="728"/>
      <c r="F408" s="728"/>
      <c r="G408" s="728"/>
      <c r="H408" s="728"/>
      <c r="I408" s="728"/>
      <c r="J408" s="728"/>
      <c r="K408" s="728"/>
      <c r="L408" s="148">
        <v>-0.52500000000000002</v>
      </c>
      <c r="M408" s="728"/>
      <c r="N408" s="148">
        <v>-0.52500000000000002</v>
      </c>
      <c r="O408" s="148">
        <v>0</v>
      </c>
      <c r="P408" s="148">
        <v>-0.52500000000000002</v>
      </c>
      <c r="Q408" s="148">
        <v>0</v>
      </c>
      <c r="R408" s="148">
        <v>0</v>
      </c>
    </row>
    <row r="409" spans="2:18" ht="15.75" hidden="1" thickBot="1" x14ac:dyDescent="0.3">
      <c r="B409" s="722" t="s">
        <v>702</v>
      </c>
      <c r="C409" s="722" t="s">
        <v>71</v>
      </c>
      <c r="D409" t="s">
        <v>72</v>
      </c>
      <c r="E409" s="147">
        <v>0.15246000000000001</v>
      </c>
      <c r="F409" s="729"/>
      <c r="G409" s="147">
        <v>0.15246000000000001</v>
      </c>
      <c r="H409" s="147">
        <v>0</v>
      </c>
      <c r="I409" s="729"/>
      <c r="J409" s="147">
        <v>0.15246000000000001</v>
      </c>
      <c r="K409" s="147">
        <v>0</v>
      </c>
      <c r="L409" s="147">
        <v>6.1396499999999996</v>
      </c>
      <c r="M409" s="729"/>
      <c r="N409" s="147">
        <v>6.1396499999999996</v>
      </c>
      <c r="O409" s="147">
        <v>0</v>
      </c>
      <c r="P409" s="147">
        <v>8.0163499999999992</v>
      </c>
      <c r="Q409" s="147">
        <v>-1.8767</v>
      </c>
      <c r="R409" s="147">
        <v>-23.410903965021486</v>
      </c>
    </row>
    <row r="410" spans="2:18" ht="15.75" hidden="1" thickBot="1" x14ac:dyDescent="0.3">
      <c r="B410" s="722" t="s">
        <v>702</v>
      </c>
      <c r="C410" s="722" t="s">
        <v>105</v>
      </c>
      <c r="D410" t="s">
        <v>106</v>
      </c>
      <c r="E410" s="148">
        <v>209.50138999999999</v>
      </c>
      <c r="F410" s="148">
        <v>239.78700000000001</v>
      </c>
      <c r="G410" s="148">
        <v>-30.285609999999998</v>
      </c>
      <c r="H410" s="148">
        <v>-12.63021348113117</v>
      </c>
      <c r="I410" s="728"/>
      <c r="J410" s="148">
        <v>209.50138999999999</v>
      </c>
      <c r="K410" s="148">
        <v>0</v>
      </c>
      <c r="L410" s="148">
        <v>2324.5108100000002</v>
      </c>
      <c r="M410" s="148">
        <v>2563.1280200000001</v>
      </c>
      <c r="N410" s="148">
        <v>-238.61721</v>
      </c>
      <c r="O410" s="148">
        <v>-9.3096095137690398</v>
      </c>
      <c r="P410" s="148">
        <v>1235.5353</v>
      </c>
      <c r="Q410" s="148">
        <v>1088.97551</v>
      </c>
      <c r="R410" s="148">
        <v>88.137952027756711</v>
      </c>
    </row>
    <row r="411" spans="2:18" ht="15.75" hidden="1" thickBot="1" x14ac:dyDescent="0.3">
      <c r="B411" s="722" t="s">
        <v>702</v>
      </c>
      <c r="C411" s="722" t="s">
        <v>627</v>
      </c>
      <c r="D411" t="s">
        <v>628</v>
      </c>
      <c r="E411" s="147">
        <v>128.36240000000001</v>
      </c>
      <c r="F411" s="147">
        <v>92.39743</v>
      </c>
      <c r="G411" s="147">
        <v>35.964970000000001</v>
      </c>
      <c r="H411" s="147">
        <v>38.924210337884936</v>
      </c>
      <c r="I411" s="729"/>
      <c r="J411" s="147">
        <v>128.36240000000001</v>
      </c>
      <c r="K411" s="147">
        <v>0</v>
      </c>
      <c r="L411" s="147">
        <v>1338.3678299999999</v>
      </c>
      <c r="M411" s="147">
        <v>1166.7691600000001</v>
      </c>
      <c r="N411" s="147">
        <v>171.59867</v>
      </c>
      <c r="O411" s="147">
        <v>14.707165383082289</v>
      </c>
      <c r="P411" s="147">
        <v>656.64597000000003</v>
      </c>
      <c r="Q411" s="147">
        <v>681.72185999999999</v>
      </c>
      <c r="R411" s="147">
        <v>103.81878381131312</v>
      </c>
    </row>
    <row r="412" spans="2:18" ht="15.75" hidden="1" thickBot="1" x14ac:dyDescent="0.3">
      <c r="B412" s="722" t="s">
        <v>702</v>
      </c>
      <c r="C412" s="722" t="s">
        <v>107</v>
      </c>
      <c r="D412" t="s">
        <v>108</v>
      </c>
      <c r="E412" s="148">
        <v>69.289550000000006</v>
      </c>
      <c r="F412" s="148">
        <v>75.846999999999994</v>
      </c>
      <c r="G412" s="148">
        <v>-6.5574500000000002</v>
      </c>
      <c r="H412" s="148">
        <v>-8.6456286998826588</v>
      </c>
      <c r="I412" s="728"/>
      <c r="J412" s="148">
        <v>69.289550000000006</v>
      </c>
      <c r="K412" s="148">
        <v>0</v>
      </c>
      <c r="L412" s="148">
        <v>885.79726000000005</v>
      </c>
      <c r="M412" s="148">
        <v>968.35</v>
      </c>
      <c r="N412" s="148">
        <v>-82.55274</v>
      </c>
      <c r="O412" s="148">
        <v>-8.5250931997728099</v>
      </c>
      <c r="P412" s="148">
        <v>445.01170000000002</v>
      </c>
      <c r="Q412" s="148">
        <v>440.78555999999998</v>
      </c>
      <c r="R412" s="148">
        <v>99.050330586813786</v>
      </c>
    </row>
    <row r="413" spans="2:18" ht="15.75" hidden="1" thickBot="1" x14ac:dyDescent="0.3">
      <c r="B413" s="722" t="s">
        <v>702</v>
      </c>
      <c r="C413" s="722" t="s">
        <v>109</v>
      </c>
      <c r="D413" t="s">
        <v>110</v>
      </c>
      <c r="E413" s="147">
        <v>250.75621000000001</v>
      </c>
      <c r="F413" s="147">
        <v>279.66003999999998</v>
      </c>
      <c r="G413" s="147">
        <v>-28.903829999999999</v>
      </c>
      <c r="H413" s="147">
        <v>-10.335345013896157</v>
      </c>
      <c r="I413" s="729"/>
      <c r="J413" s="147">
        <v>250.75621000000001</v>
      </c>
      <c r="K413" s="147">
        <v>0</v>
      </c>
      <c r="L413" s="147">
        <v>3163.18703</v>
      </c>
      <c r="M413" s="147">
        <v>3394.86762</v>
      </c>
      <c r="N413" s="147">
        <v>-231.68059</v>
      </c>
      <c r="O413" s="147">
        <v>-6.8244366476946752</v>
      </c>
      <c r="P413" s="147">
        <v>1618.91588</v>
      </c>
      <c r="Q413" s="147">
        <v>1544.27115</v>
      </c>
      <c r="R413" s="147">
        <v>95.38921503444638</v>
      </c>
    </row>
    <row r="414" spans="2:18" ht="15.75" hidden="1" thickBot="1" x14ac:dyDescent="0.3">
      <c r="B414" s="722" t="s">
        <v>702</v>
      </c>
      <c r="C414" s="722" t="s">
        <v>199</v>
      </c>
      <c r="D414" t="s">
        <v>200</v>
      </c>
      <c r="E414" s="148">
        <v>9.4315200000000008</v>
      </c>
      <c r="F414" s="148">
        <v>28</v>
      </c>
      <c r="G414" s="148">
        <v>-18.568480000000001</v>
      </c>
      <c r="H414" s="148">
        <v>-66.316000000000003</v>
      </c>
      <c r="I414" s="728"/>
      <c r="J414" s="148">
        <v>9.4315200000000008</v>
      </c>
      <c r="K414" s="148">
        <v>0</v>
      </c>
      <c r="L414" s="148">
        <v>169.28792999999999</v>
      </c>
      <c r="M414" s="148">
        <v>265</v>
      </c>
      <c r="N414" s="148">
        <v>-95.712069999999997</v>
      </c>
      <c r="O414" s="148">
        <v>-36.11776226415094</v>
      </c>
      <c r="P414" s="148">
        <v>54.663350000000001</v>
      </c>
      <c r="Q414" s="148">
        <v>114.62457999999999</v>
      </c>
      <c r="R414" s="148">
        <v>209.69183191297276</v>
      </c>
    </row>
    <row r="415" spans="2:18" ht="15.75" hidden="1" thickBot="1" x14ac:dyDescent="0.3">
      <c r="B415" s="722" t="s">
        <v>702</v>
      </c>
      <c r="C415" s="722" t="s">
        <v>73</v>
      </c>
      <c r="D415" t="s">
        <v>74</v>
      </c>
      <c r="E415" s="147">
        <v>24.09928</v>
      </c>
      <c r="F415" s="147">
        <v>20.14433</v>
      </c>
      <c r="G415" s="147">
        <v>3.9549500000000002</v>
      </c>
      <c r="H415" s="147">
        <v>19.63306796503036</v>
      </c>
      <c r="I415" s="729"/>
      <c r="J415" s="147">
        <v>24.09928</v>
      </c>
      <c r="K415" s="147">
        <v>0</v>
      </c>
      <c r="L415" s="147">
        <v>277.64701000000002</v>
      </c>
      <c r="M415" s="147">
        <v>229.33153999999999</v>
      </c>
      <c r="N415" s="147">
        <v>48.315469999999998</v>
      </c>
      <c r="O415" s="147">
        <v>21.067956897686205</v>
      </c>
      <c r="P415" s="147">
        <v>146.80653000000001</v>
      </c>
      <c r="Q415" s="147">
        <v>130.84048000000001</v>
      </c>
      <c r="R415" s="147">
        <v>89.124427912028167</v>
      </c>
    </row>
    <row r="416" spans="2:18" ht="15.75" hidden="1" thickBot="1" x14ac:dyDescent="0.3">
      <c r="B416" s="722" t="s">
        <v>702</v>
      </c>
      <c r="C416" s="722" t="s">
        <v>111</v>
      </c>
      <c r="D416" t="s">
        <v>112</v>
      </c>
      <c r="E416" s="148">
        <v>69.270629999999997</v>
      </c>
      <c r="F416" s="148">
        <v>76.603039999999993</v>
      </c>
      <c r="G416" s="148">
        <v>-7.3324100000000003</v>
      </c>
      <c r="H416" s="148">
        <v>-9.5719569353905545</v>
      </c>
      <c r="I416" s="728"/>
      <c r="J416" s="148">
        <v>69.270629999999997</v>
      </c>
      <c r="K416" s="148">
        <v>0</v>
      </c>
      <c r="L416" s="148">
        <v>1224.8965900000001</v>
      </c>
      <c r="M416" s="148">
        <v>1057.4462900000001</v>
      </c>
      <c r="N416" s="148">
        <v>167.4503</v>
      </c>
      <c r="O416" s="148">
        <v>15.835348006185733</v>
      </c>
      <c r="P416" s="148">
        <v>573.64639</v>
      </c>
      <c r="Q416" s="148">
        <v>651.25019999999995</v>
      </c>
      <c r="R416" s="148">
        <v>113.52816148638188</v>
      </c>
    </row>
    <row r="417" spans="2:18" ht="15.75" hidden="1" thickBot="1" x14ac:dyDescent="0.3">
      <c r="B417" s="722" t="s">
        <v>702</v>
      </c>
      <c r="C417" s="722" t="s">
        <v>141</v>
      </c>
      <c r="D417" t="s">
        <v>142</v>
      </c>
      <c r="E417" s="147">
        <v>6.5540000000000003</v>
      </c>
      <c r="F417" s="147">
        <v>6.65029</v>
      </c>
      <c r="G417" s="147">
        <v>-9.6290000000000001E-2</v>
      </c>
      <c r="H417" s="147">
        <v>-1.4479067830124701</v>
      </c>
      <c r="I417" s="729"/>
      <c r="J417" s="147">
        <v>6.5540000000000003</v>
      </c>
      <c r="K417" s="147">
        <v>0</v>
      </c>
      <c r="L417" s="147">
        <v>55.1417</v>
      </c>
      <c r="M417" s="147">
        <v>43.368040000000001</v>
      </c>
      <c r="N417" s="147">
        <v>11.77366</v>
      </c>
      <c r="O417" s="147">
        <v>27.14824096269972</v>
      </c>
      <c r="P417" s="147">
        <v>32.272689999999997</v>
      </c>
      <c r="Q417" s="147">
        <v>22.869009999999999</v>
      </c>
      <c r="R417" s="147">
        <v>70.861802967152727</v>
      </c>
    </row>
    <row r="418" spans="2:18" ht="15.75" hidden="1" thickBot="1" x14ac:dyDescent="0.3">
      <c r="B418" s="722" t="s">
        <v>702</v>
      </c>
      <c r="C418" s="722" t="s">
        <v>113</v>
      </c>
      <c r="D418" t="s">
        <v>114</v>
      </c>
      <c r="E418" s="148">
        <v>10.857609999999999</v>
      </c>
      <c r="F418" s="148">
        <v>6.6769999999999996</v>
      </c>
      <c r="G418" s="148">
        <v>4.1806099999999997</v>
      </c>
      <c r="H418" s="148">
        <v>62.612101243073234</v>
      </c>
      <c r="I418" s="728"/>
      <c r="J418" s="148">
        <v>10.857609999999999</v>
      </c>
      <c r="K418" s="148">
        <v>0</v>
      </c>
      <c r="L418" s="148">
        <v>115.43742</v>
      </c>
      <c r="M418" s="148">
        <v>92.786180000000002</v>
      </c>
      <c r="N418" s="148">
        <v>22.651240000000001</v>
      </c>
      <c r="O418" s="148">
        <v>24.412299331646157</v>
      </c>
      <c r="P418" s="148">
        <v>53.101689999999998</v>
      </c>
      <c r="Q418" s="148">
        <v>62.335729999999998</v>
      </c>
      <c r="R418" s="148">
        <v>117.38935239160938</v>
      </c>
    </row>
    <row r="419" spans="2:18" ht="15.75" hidden="1" thickBot="1" x14ac:dyDescent="0.3">
      <c r="B419" s="722" t="s">
        <v>702</v>
      </c>
      <c r="C419" s="722" t="s">
        <v>201</v>
      </c>
      <c r="D419" t="s">
        <v>202</v>
      </c>
      <c r="E419" s="147">
        <v>1.7993300000000001</v>
      </c>
      <c r="F419" s="147">
        <v>5.4611400000000003</v>
      </c>
      <c r="G419" s="147">
        <v>-3.66181</v>
      </c>
      <c r="H419" s="147">
        <v>-67.052117323489242</v>
      </c>
      <c r="I419" s="729"/>
      <c r="J419" s="147">
        <v>1.7993300000000001</v>
      </c>
      <c r="K419" s="147">
        <v>0</v>
      </c>
      <c r="L419" s="147">
        <v>47.410420000000002</v>
      </c>
      <c r="M419" s="147">
        <v>72.605779999999996</v>
      </c>
      <c r="N419" s="147">
        <v>-25.195360000000001</v>
      </c>
      <c r="O419" s="147">
        <v>-34.701589873423302</v>
      </c>
      <c r="P419" s="147">
        <v>28.527840000000001</v>
      </c>
      <c r="Q419" s="147">
        <v>18.882580000000001</v>
      </c>
      <c r="R419" s="147">
        <v>66.19000947846034</v>
      </c>
    </row>
    <row r="420" spans="2:18" ht="15.75" hidden="1" thickBot="1" x14ac:dyDescent="0.3">
      <c r="B420" s="722" t="s">
        <v>702</v>
      </c>
      <c r="C420" s="722" t="s">
        <v>629</v>
      </c>
      <c r="D420" t="s">
        <v>630</v>
      </c>
      <c r="E420" s="728"/>
      <c r="F420" s="728"/>
      <c r="G420" s="728"/>
      <c r="H420" s="728"/>
      <c r="I420" s="728"/>
      <c r="J420" s="728"/>
      <c r="K420" s="728"/>
      <c r="L420" s="148">
        <v>12.78598</v>
      </c>
      <c r="M420" s="728"/>
      <c r="N420" s="148">
        <v>12.78598</v>
      </c>
      <c r="O420" s="148">
        <v>0</v>
      </c>
      <c r="P420" s="728"/>
      <c r="Q420" s="148">
        <v>12.78598</v>
      </c>
      <c r="R420" s="148">
        <v>0</v>
      </c>
    </row>
    <row r="421" spans="2:18" ht="15.75" hidden="1" thickBot="1" x14ac:dyDescent="0.3">
      <c r="B421" s="722" t="s">
        <v>702</v>
      </c>
      <c r="C421" s="722" t="s">
        <v>466</v>
      </c>
      <c r="D421" t="s">
        <v>467</v>
      </c>
      <c r="E421" s="147">
        <v>9.7571700000000003</v>
      </c>
      <c r="F421" s="147">
        <v>9.5269999999999992</v>
      </c>
      <c r="G421" s="147">
        <v>0.23017000000000001</v>
      </c>
      <c r="H421" s="147">
        <v>2.4159756481578669</v>
      </c>
      <c r="I421" s="729"/>
      <c r="J421" s="147">
        <v>9.7571700000000003</v>
      </c>
      <c r="K421" s="147">
        <v>0</v>
      </c>
      <c r="L421" s="147">
        <v>114.39706</v>
      </c>
      <c r="M421" s="147">
        <v>114.324</v>
      </c>
      <c r="N421" s="147">
        <v>7.306E-2</v>
      </c>
      <c r="O421" s="147">
        <v>6.3906091459361117E-2</v>
      </c>
      <c r="P421" s="147">
        <v>57.254620000000003</v>
      </c>
      <c r="Q421" s="147">
        <v>57.142440000000001</v>
      </c>
      <c r="R421" s="147">
        <v>99.804068213185246</v>
      </c>
    </row>
    <row r="422" spans="2:18" ht="15.75" hidden="1" thickBot="1" x14ac:dyDescent="0.3">
      <c r="B422" s="722" t="s">
        <v>702</v>
      </c>
      <c r="C422" s="722" t="s">
        <v>631</v>
      </c>
      <c r="D422" t="s">
        <v>632</v>
      </c>
      <c r="E422" s="148">
        <v>0.21498999999999999</v>
      </c>
      <c r="F422" s="728"/>
      <c r="G422" s="148">
        <v>0.21498999999999999</v>
      </c>
      <c r="H422" s="148">
        <v>0</v>
      </c>
      <c r="I422" s="728"/>
      <c r="J422" s="148">
        <v>0.21498999999999999</v>
      </c>
      <c r="K422" s="148">
        <v>0</v>
      </c>
      <c r="L422" s="148">
        <v>0.59540000000000004</v>
      </c>
      <c r="M422" s="728"/>
      <c r="N422" s="148">
        <v>0.59540000000000004</v>
      </c>
      <c r="O422" s="148">
        <v>0</v>
      </c>
      <c r="P422" s="148">
        <v>5.4059999999999997E-2</v>
      </c>
      <c r="Q422" s="148">
        <v>0.54134000000000004</v>
      </c>
      <c r="R422" s="148">
        <v>1001.3688494265631</v>
      </c>
    </row>
    <row r="423" spans="2:18" ht="15.75" hidden="1" thickBot="1" x14ac:dyDescent="0.3">
      <c r="B423" s="722" t="s">
        <v>702</v>
      </c>
      <c r="C423" s="722" t="s">
        <v>633</v>
      </c>
      <c r="D423" t="s">
        <v>634</v>
      </c>
      <c r="E423" s="147">
        <v>285.56921</v>
      </c>
      <c r="F423" s="147">
        <v>317.33747</v>
      </c>
      <c r="G423" s="147">
        <v>-31.768260000000001</v>
      </c>
      <c r="H423" s="147">
        <v>-10.010875803604282</v>
      </c>
      <c r="I423" s="729"/>
      <c r="J423" s="147">
        <v>285.56921</v>
      </c>
      <c r="K423" s="147">
        <v>0</v>
      </c>
      <c r="L423" s="147">
        <v>3120.8365699999999</v>
      </c>
      <c r="M423" s="147">
        <v>3327.3996400000001</v>
      </c>
      <c r="N423" s="147">
        <v>-206.56307000000001</v>
      </c>
      <c r="O423" s="147">
        <v>-6.2079429088355615</v>
      </c>
      <c r="P423" s="147">
        <v>1526.91624</v>
      </c>
      <c r="Q423" s="147">
        <v>1593.9203299999999</v>
      </c>
      <c r="R423" s="147">
        <v>104.38819682735183</v>
      </c>
    </row>
    <row r="424" spans="2:18" ht="15.75" hidden="1" thickBot="1" x14ac:dyDescent="0.3">
      <c r="B424" s="722" t="s">
        <v>702</v>
      </c>
      <c r="C424" s="722" t="s">
        <v>477</v>
      </c>
      <c r="D424" t="s">
        <v>478</v>
      </c>
      <c r="E424" s="728"/>
      <c r="F424" s="728"/>
      <c r="G424" s="728"/>
      <c r="H424" s="728"/>
      <c r="I424" s="728"/>
      <c r="J424" s="728"/>
      <c r="K424" s="728"/>
      <c r="L424" s="148">
        <v>5.9499999999999997E-2</v>
      </c>
      <c r="M424" s="728"/>
      <c r="N424" s="148">
        <v>5.9499999999999997E-2</v>
      </c>
      <c r="O424" s="148">
        <v>0</v>
      </c>
      <c r="P424" s="148">
        <v>5.9499999999999997E-2</v>
      </c>
      <c r="Q424" s="148">
        <v>0</v>
      </c>
      <c r="R424" s="148">
        <v>0</v>
      </c>
    </row>
    <row r="425" spans="2:18" ht="15.75" hidden="1" thickBot="1" x14ac:dyDescent="0.3">
      <c r="B425" s="722" t="s">
        <v>702</v>
      </c>
      <c r="C425" s="722" t="s">
        <v>115</v>
      </c>
      <c r="D425" t="s">
        <v>116</v>
      </c>
      <c r="E425" s="147">
        <v>2.4685999999999999</v>
      </c>
      <c r="F425" s="147">
        <v>3.7833299999999999</v>
      </c>
      <c r="G425" s="147">
        <v>-1.31473</v>
      </c>
      <c r="H425" s="147">
        <v>-34.750603304496302</v>
      </c>
      <c r="I425" s="729"/>
      <c r="J425" s="147">
        <v>2.4685999999999999</v>
      </c>
      <c r="K425" s="147">
        <v>0</v>
      </c>
      <c r="L425" s="147">
        <v>33.731050000000003</v>
      </c>
      <c r="M425" s="147">
        <v>45.39996</v>
      </c>
      <c r="N425" s="147">
        <v>-11.66891</v>
      </c>
      <c r="O425" s="147">
        <v>-25.702467579266589</v>
      </c>
      <c r="P425" s="147">
        <v>18.804349999999999</v>
      </c>
      <c r="Q425" s="147">
        <v>14.9267</v>
      </c>
      <c r="R425" s="147">
        <v>79.378973482199598</v>
      </c>
    </row>
    <row r="426" spans="2:18" ht="15.75" hidden="1" thickBot="1" x14ac:dyDescent="0.3">
      <c r="B426" s="722" t="s">
        <v>702</v>
      </c>
      <c r="C426" s="722" t="s">
        <v>635</v>
      </c>
      <c r="D426" t="s">
        <v>636</v>
      </c>
      <c r="E426" s="148">
        <v>-372.18711000000002</v>
      </c>
      <c r="F426" s="148">
        <v>-242.69186999999999</v>
      </c>
      <c r="G426" s="148">
        <v>-129.49524</v>
      </c>
      <c r="H426" s="148">
        <v>-53.357881333231312</v>
      </c>
      <c r="I426" s="728"/>
      <c r="J426" s="148">
        <v>-372.18711000000002</v>
      </c>
      <c r="K426" s="148">
        <v>0</v>
      </c>
      <c r="L426" s="148">
        <v>-4426.0128999999997</v>
      </c>
      <c r="M426" s="148">
        <v>-3918.6577000000002</v>
      </c>
      <c r="N426" s="148">
        <v>-507.35520000000002</v>
      </c>
      <c r="O426" s="148">
        <v>-12.947168108099874</v>
      </c>
      <c r="P426" s="148">
        <v>-2029.7476300000001</v>
      </c>
      <c r="Q426" s="148">
        <v>-2396.2652699999999</v>
      </c>
      <c r="R426" s="148">
        <v>-118.05730104485946</v>
      </c>
    </row>
    <row r="427" spans="2:18" ht="15.75" hidden="1" thickBot="1" x14ac:dyDescent="0.3">
      <c r="B427" s="722" t="s">
        <v>702</v>
      </c>
      <c r="C427" s="722" t="s">
        <v>117</v>
      </c>
      <c r="D427" t="s">
        <v>118</v>
      </c>
      <c r="E427" s="147">
        <v>-8.2561900000000001</v>
      </c>
      <c r="F427" s="147">
        <v>-7.45</v>
      </c>
      <c r="G427" s="147">
        <v>-0.80618999999999996</v>
      </c>
      <c r="H427" s="147">
        <v>-10.821342281879195</v>
      </c>
      <c r="I427" s="729"/>
      <c r="J427" s="147">
        <v>-8.2561900000000001</v>
      </c>
      <c r="K427" s="147">
        <v>0</v>
      </c>
      <c r="L427" s="147">
        <v>-111.85077</v>
      </c>
      <c r="M427" s="147">
        <v>-79.7</v>
      </c>
      <c r="N427" s="147">
        <v>-32.150770000000001</v>
      </c>
      <c r="O427" s="147">
        <v>-40.339736511919696</v>
      </c>
      <c r="P427" s="147">
        <v>-68.488799999999998</v>
      </c>
      <c r="Q427" s="147">
        <v>-43.361969999999999</v>
      </c>
      <c r="R427" s="147">
        <v>-63.312497809860879</v>
      </c>
    </row>
    <row r="428" spans="2:18" ht="15.75" hidden="1" thickBot="1" x14ac:dyDescent="0.3">
      <c r="B428" s="722" t="s">
        <v>702</v>
      </c>
      <c r="C428" s="722" t="s">
        <v>637</v>
      </c>
      <c r="D428" t="s">
        <v>638</v>
      </c>
      <c r="E428" s="148">
        <v>3.6865299999999999</v>
      </c>
      <c r="F428" s="148">
        <v>20.710999999999999</v>
      </c>
      <c r="G428" s="148">
        <v>-17.024470000000001</v>
      </c>
      <c r="H428" s="148">
        <v>-82.20013519385833</v>
      </c>
      <c r="I428" s="728"/>
      <c r="J428" s="148">
        <v>3.6865299999999999</v>
      </c>
      <c r="K428" s="148">
        <v>0</v>
      </c>
      <c r="L428" s="148">
        <v>238.52475999999999</v>
      </c>
      <c r="M428" s="148">
        <v>248.53200000000001</v>
      </c>
      <c r="N428" s="148">
        <v>-10.007239999999999</v>
      </c>
      <c r="O428" s="148">
        <v>-4.0265398419519416</v>
      </c>
      <c r="P428" s="148">
        <v>141.09809999999999</v>
      </c>
      <c r="Q428" s="148">
        <v>97.426659999999998</v>
      </c>
      <c r="R428" s="148">
        <v>69.048881593728055</v>
      </c>
    </row>
    <row r="429" spans="2:18" ht="15.75" hidden="1" thickBot="1" x14ac:dyDescent="0.3">
      <c r="B429" s="722" t="s">
        <v>702</v>
      </c>
      <c r="C429" s="722" t="s">
        <v>143</v>
      </c>
      <c r="D429" t="s">
        <v>144</v>
      </c>
      <c r="E429" s="147">
        <v>41.460459999999998</v>
      </c>
      <c r="F429" s="147">
        <v>41.065510000000003</v>
      </c>
      <c r="G429" s="147">
        <v>0.39495000000000002</v>
      </c>
      <c r="H429" s="147">
        <v>0.96175598452326538</v>
      </c>
      <c r="I429" s="729"/>
      <c r="J429" s="147">
        <v>41.460459999999998</v>
      </c>
      <c r="K429" s="147">
        <v>0</v>
      </c>
      <c r="L429" s="147">
        <v>222.77110999999999</v>
      </c>
      <c r="M429" s="147">
        <v>244.94604000000001</v>
      </c>
      <c r="N429" s="147">
        <v>-22.17493</v>
      </c>
      <c r="O429" s="147">
        <v>-9.0529857106487608</v>
      </c>
      <c r="P429" s="147">
        <v>75.179540000000003</v>
      </c>
      <c r="Q429" s="147">
        <v>147.59156999999999</v>
      </c>
      <c r="R429" s="147">
        <v>196.31879897110304</v>
      </c>
    </row>
    <row r="430" spans="2:18" ht="15.75" hidden="1" thickBot="1" x14ac:dyDescent="0.3">
      <c r="B430" s="722" t="s">
        <v>702</v>
      </c>
      <c r="C430" s="722" t="s">
        <v>145</v>
      </c>
      <c r="D430" t="s">
        <v>146</v>
      </c>
      <c r="E430" s="148">
        <v>9.2006399999999999</v>
      </c>
      <c r="F430" s="148">
        <v>4.6149100000000001</v>
      </c>
      <c r="G430" s="148">
        <v>4.5857299999999999</v>
      </c>
      <c r="H430" s="148">
        <v>99.367701645319187</v>
      </c>
      <c r="I430" s="728"/>
      <c r="J430" s="148">
        <v>9.2006399999999999</v>
      </c>
      <c r="K430" s="148">
        <v>0</v>
      </c>
      <c r="L430" s="148">
        <v>131.81004999999999</v>
      </c>
      <c r="M430" s="148">
        <v>51.954770000000003</v>
      </c>
      <c r="N430" s="148">
        <v>79.855279999999993</v>
      </c>
      <c r="O430" s="148">
        <v>153.70153693299</v>
      </c>
      <c r="P430" s="148">
        <v>64.015829999999994</v>
      </c>
      <c r="Q430" s="148">
        <v>67.794219999999996</v>
      </c>
      <c r="R430" s="148">
        <v>105.90227448429553</v>
      </c>
    </row>
    <row r="431" spans="2:18" ht="15.75" hidden="1" thickBot="1" x14ac:dyDescent="0.3">
      <c r="B431" s="722" t="s">
        <v>702</v>
      </c>
      <c r="C431" s="722" t="s">
        <v>147</v>
      </c>
      <c r="D431" t="s">
        <v>148</v>
      </c>
      <c r="E431" s="147">
        <v>9.4471600000000002</v>
      </c>
      <c r="F431" s="147">
        <v>3.8792499999999999</v>
      </c>
      <c r="G431" s="147">
        <v>5.5679100000000004</v>
      </c>
      <c r="H431" s="147">
        <v>143.5305793645679</v>
      </c>
      <c r="I431" s="729"/>
      <c r="J431" s="147">
        <v>9.4471600000000002</v>
      </c>
      <c r="K431" s="147">
        <v>0</v>
      </c>
      <c r="L431" s="147">
        <v>65.411959999999993</v>
      </c>
      <c r="M431" s="147">
        <v>46.81512</v>
      </c>
      <c r="N431" s="147">
        <v>18.59684</v>
      </c>
      <c r="O431" s="147">
        <v>39.724003697950579</v>
      </c>
      <c r="P431" s="147">
        <v>31.930669999999999</v>
      </c>
      <c r="Q431" s="147">
        <v>33.481290000000001</v>
      </c>
      <c r="R431" s="147">
        <v>104.85620877983456</v>
      </c>
    </row>
    <row r="432" spans="2:18" ht="15.75" hidden="1" thickBot="1" x14ac:dyDescent="0.3">
      <c r="B432" s="722" t="s">
        <v>702</v>
      </c>
      <c r="C432" s="722" t="s">
        <v>203</v>
      </c>
      <c r="D432" t="s">
        <v>204</v>
      </c>
      <c r="E432" s="148">
        <v>9.8998200000000001</v>
      </c>
      <c r="F432" s="148">
        <v>36.523980000000002</v>
      </c>
      <c r="G432" s="148">
        <v>-26.62416</v>
      </c>
      <c r="H432" s="148">
        <v>-72.895013084554307</v>
      </c>
      <c r="I432" s="728"/>
      <c r="J432" s="148">
        <v>9.8998200000000001</v>
      </c>
      <c r="K432" s="148">
        <v>0</v>
      </c>
      <c r="L432" s="148">
        <v>120.89145000000001</v>
      </c>
      <c r="M432" s="148">
        <v>763.03098</v>
      </c>
      <c r="N432" s="148">
        <v>-642.13953000000004</v>
      </c>
      <c r="O432" s="148">
        <v>-84.156416558604207</v>
      </c>
      <c r="P432" s="148">
        <v>61.623449999999998</v>
      </c>
      <c r="Q432" s="148">
        <v>59.268000000000001</v>
      </c>
      <c r="R432" s="148">
        <v>96.17767262300309</v>
      </c>
    </row>
    <row r="433" spans="2:18" ht="15.75" hidden="1" thickBot="1" x14ac:dyDescent="0.3">
      <c r="B433" s="722" t="s">
        <v>702</v>
      </c>
      <c r="C433" s="722" t="s">
        <v>641</v>
      </c>
      <c r="D433" t="s">
        <v>642</v>
      </c>
      <c r="E433" s="147">
        <v>84.530969999999996</v>
      </c>
      <c r="F433" s="729"/>
      <c r="G433" s="147">
        <v>84.530969999999996</v>
      </c>
      <c r="H433" s="147">
        <v>0</v>
      </c>
      <c r="I433" s="729"/>
      <c r="J433" s="147">
        <v>84.530969999999996</v>
      </c>
      <c r="K433" s="147">
        <v>0</v>
      </c>
      <c r="L433" s="147">
        <v>609.95971999999995</v>
      </c>
      <c r="M433" s="729"/>
      <c r="N433" s="147">
        <v>609.95971999999995</v>
      </c>
      <c r="O433" s="147">
        <v>0</v>
      </c>
      <c r="P433" s="147">
        <v>304.29899</v>
      </c>
      <c r="Q433" s="147">
        <v>305.66073</v>
      </c>
      <c r="R433" s="147">
        <v>100.44750066373865</v>
      </c>
    </row>
    <row r="434" spans="2:18" ht="15.75" hidden="1" thickBot="1" x14ac:dyDescent="0.3">
      <c r="B434" s="722" t="s">
        <v>702</v>
      </c>
      <c r="C434" s="722" t="s">
        <v>643</v>
      </c>
      <c r="D434" t="s">
        <v>644</v>
      </c>
      <c r="E434" s="148">
        <v>156.88531</v>
      </c>
      <c r="F434" s="148">
        <v>200.92771999999999</v>
      </c>
      <c r="G434" s="148">
        <v>-44.042409999999997</v>
      </c>
      <c r="H434" s="148">
        <v>-21.919529072444558</v>
      </c>
      <c r="I434" s="728"/>
      <c r="J434" s="148">
        <v>156.88531</v>
      </c>
      <c r="K434" s="148">
        <v>0</v>
      </c>
      <c r="L434" s="148">
        <v>2687.2627699999998</v>
      </c>
      <c r="M434" s="148">
        <v>1961.6401599999999</v>
      </c>
      <c r="N434" s="148">
        <v>725.62261000000001</v>
      </c>
      <c r="O434" s="148">
        <v>36.990607390501225</v>
      </c>
      <c r="P434" s="148">
        <v>1235.36302</v>
      </c>
      <c r="Q434" s="148">
        <v>1451.89975</v>
      </c>
      <c r="R434" s="148">
        <v>117.52818616830541</v>
      </c>
    </row>
    <row r="435" spans="2:18" ht="15.75" hidden="1" thickBot="1" x14ac:dyDescent="0.3">
      <c r="B435" s="722" t="s">
        <v>702</v>
      </c>
      <c r="C435" s="722" t="s">
        <v>149</v>
      </c>
      <c r="D435" t="s">
        <v>150</v>
      </c>
      <c r="E435" s="147">
        <v>1339.8847000000001</v>
      </c>
      <c r="F435" s="147">
        <v>439.20753000000002</v>
      </c>
      <c r="G435" s="147">
        <v>900.67717000000005</v>
      </c>
      <c r="H435" s="147">
        <v>205.06869952798851</v>
      </c>
      <c r="I435" s="729"/>
      <c r="J435" s="147">
        <v>1339.8847000000001</v>
      </c>
      <c r="K435" s="147">
        <v>0</v>
      </c>
      <c r="L435" s="147">
        <v>8934.3735400000005</v>
      </c>
      <c r="M435" s="147">
        <v>6161.3950500000001</v>
      </c>
      <c r="N435" s="147">
        <v>2772.97849</v>
      </c>
      <c r="O435" s="147">
        <v>45.005692176806612</v>
      </c>
      <c r="P435" s="147">
        <v>4135.8690999999999</v>
      </c>
      <c r="Q435" s="147">
        <v>4798.5044399999997</v>
      </c>
      <c r="R435" s="147">
        <v>116.02167099534171</v>
      </c>
    </row>
    <row r="436" spans="2:18" ht="15.75" hidden="1" thickBot="1" x14ac:dyDescent="0.3">
      <c r="B436" s="722" t="s">
        <v>702</v>
      </c>
      <c r="C436" s="722" t="s">
        <v>645</v>
      </c>
      <c r="D436" t="s">
        <v>646</v>
      </c>
      <c r="E436" s="148">
        <v>77.430000000000007</v>
      </c>
      <c r="F436" s="148">
        <v>131.04331999999999</v>
      </c>
      <c r="G436" s="148">
        <v>-53.613320000000002</v>
      </c>
      <c r="H436" s="148">
        <v>-40.912669184510897</v>
      </c>
      <c r="I436" s="728"/>
      <c r="J436" s="148">
        <v>77.430000000000007</v>
      </c>
      <c r="K436" s="148">
        <v>0</v>
      </c>
      <c r="L436" s="148">
        <v>1040.6341399999999</v>
      </c>
      <c r="M436" s="148">
        <v>1598.9505200000001</v>
      </c>
      <c r="N436" s="148">
        <v>-558.31637999999998</v>
      </c>
      <c r="O436" s="148">
        <v>-34.917677127369771</v>
      </c>
      <c r="P436" s="148">
        <v>491.09206999999998</v>
      </c>
      <c r="Q436" s="148">
        <v>549.54206999999997</v>
      </c>
      <c r="R436" s="148">
        <v>111.90204517047079</v>
      </c>
    </row>
    <row r="437" spans="2:18" ht="15.75" hidden="1" thickBot="1" x14ac:dyDescent="0.3">
      <c r="B437" s="722" t="s">
        <v>702</v>
      </c>
      <c r="C437" s="722" t="s">
        <v>171</v>
      </c>
      <c r="D437" t="s">
        <v>172</v>
      </c>
      <c r="E437" s="147">
        <v>0.70311000000000001</v>
      </c>
      <c r="F437" s="147">
        <v>2.32463</v>
      </c>
      <c r="G437" s="147">
        <v>-1.6215200000000001</v>
      </c>
      <c r="H437" s="147">
        <v>-69.75389631898409</v>
      </c>
      <c r="I437" s="729"/>
      <c r="J437" s="147">
        <v>0.70311000000000001</v>
      </c>
      <c r="K437" s="147">
        <v>0</v>
      </c>
      <c r="L437" s="147">
        <v>8.6294599999999999</v>
      </c>
      <c r="M437" s="147">
        <v>23.550999999999998</v>
      </c>
      <c r="N437" s="147">
        <v>-14.92154</v>
      </c>
      <c r="O437" s="147">
        <v>-63.358413655471104</v>
      </c>
      <c r="P437" s="147">
        <v>2.7054800000000001</v>
      </c>
      <c r="Q437" s="147">
        <v>5.9239800000000002</v>
      </c>
      <c r="R437" s="147">
        <v>218.96225438739151</v>
      </c>
    </row>
    <row r="438" spans="2:18" ht="15.75" hidden="1" thickBot="1" x14ac:dyDescent="0.3">
      <c r="B438" s="722" t="s">
        <v>702</v>
      </c>
      <c r="C438" s="722" t="s">
        <v>647</v>
      </c>
      <c r="D438" t="s">
        <v>648</v>
      </c>
      <c r="E438" s="148">
        <v>-7.1475900000000001</v>
      </c>
      <c r="F438" s="728"/>
      <c r="G438" s="148">
        <v>-7.1475900000000001</v>
      </c>
      <c r="H438" s="148">
        <v>0</v>
      </c>
      <c r="I438" s="728"/>
      <c r="J438" s="148">
        <v>-7.1475900000000001</v>
      </c>
      <c r="K438" s="148">
        <v>0</v>
      </c>
      <c r="L438" s="148">
        <v>-98.539410000000004</v>
      </c>
      <c r="M438" s="728"/>
      <c r="N438" s="148">
        <v>-98.539410000000004</v>
      </c>
      <c r="O438" s="148">
        <v>0</v>
      </c>
      <c r="P438" s="148">
        <v>-40.750579999999999</v>
      </c>
      <c r="Q438" s="148">
        <v>-57.788829999999997</v>
      </c>
      <c r="R438" s="148">
        <v>-141.81106133949504</v>
      </c>
    </row>
    <row r="439" spans="2:18" ht="15.75" hidden="1" thickBot="1" x14ac:dyDescent="0.3">
      <c r="B439" s="722" t="s">
        <v>702</v>
      </c>
      <c r="C439" s="722" t="s">
        <v>205</v>
      </c>
      <c r="D439" t="s">
        <v>206</v>
      </c>
      <c r="E439" s="147">
        <v>51.611159999999998</v>
      </c>
      <c r="F439" s="147">
        <v>45.552840000000003</v>
      </c>
      <c r="G439" s="147">
        <v>6.0583200000000001</v>
      </c>
      <c r="H439" s="147">
        <v>13.299544002086368</v>
      </c>
      <c r="I439" s="729"/>
      <c r="J439" s="147">
        <v>51.611159999999998</v>
      </c>
      <c r="K439" s="147">
        <v>0</v>
      </c>
      <c r="L439" s="147">
        <v>467.58368000000002</v>
      </c>
      <c r="M439" s="147">
        <v>546.05007999999998</v>
      </c>
      <c r="N439" s="147">
        <v>-78.466399999999993</v>
      </c>
      <c r="O439" s="147">
        <v>-14.369817508313524</v>
      </c>
      <c r="P439" s="147">
        <v>206.74112</v>
      </c>
      <c r="Q439" s="147">
        <v>260.84255999999999</v>
      </c>
      <c r="R439" s="147">
        <v>126.16868864790904</v>
      </c>
    </row>
    <row r="440" spans="2:18" ht="15.75" hidden="1" thickBot="1" x14ac:dyDescent="0.3">
      <c r="B440" s="722" t="s">
        <v>702</v>
      </c>
      <c r="C440" s="722" t="s">
        <v>649</v>
      </c>
      <c r="D440" t="s">
        <v>650</v>
      </c>
      <c r="E440" s="148">
        <v>318.36831000000001</v>
      </c>
      <c r="F440" s="148">
        <v>314.24392999999998</v>
      </c>
      <c r="G440" s="148">
        <v>4.1243800000000004</v>
      </c>
      <c r="H440" s="148">
        <v>1.312477221119275</v>
      </c>
      <c r="I440" s="728"/>
      <c r="J440" s="148">
        <v>318.36831000000001</v>
      </c>
      <c r="K440" s="148">
        <v>0</v>
      </c>
      <c r="L440" s="148">
        <v>3885.4103399999999</v>
      </c>
      <c r="M440" s="148">
        <v>3737.1637000000001</v>
      </c>
      <c r="N440" s="148">
        <v>148.24664000000001</v>
      </c>
      <c r="O440" s="148">
        <v>3.9668222186788338</v>
      </c>
      <c r="P440" s="148">
        <v>1832.2042300000001</v>
      </c>
      <c r="Q440" s="148">
        <v>2053.2061100000001</v>
      </c>
      <c r="R440" s="148">
        <v>112.06207672602088</v>
      </c>
    </row>
    <row r="441" spans="2:18" ht="15.75" hidden="1" thickBot="1" x14ac:dyDescent="0.3">
      <c r="B441" s="722" t="s">
        <v>702</v>
      </c>
      <c r="C441" s="722" t="s">
        <v>119</v>
      </c>
      <c r="D441" t="s">
        <v>120</v>
      </c>
      <c r="E441" s="147">
        <v>9.5372599999999998</v>
      </c>
      <c r="F441" s="147">
        <v>12.125</v>
      </c>
      <c r="G441" s="147">
        <v>-2.5877400000000002</v>
      </c>
      <c r="H441" s="147">
        <v>-21.342185567010308</v>
      </c>
      <c r="I441" s="729"/>
      <c r="J441" s="147">
        <v>9.5372599999999998</v>
      </c>
      <c r="K441" s="147">
        <v>0</v>
      </c>
      <c r="L441" s="147">
        <v>159.29671999999999</v>
      </c>
      <c r="M441" s="147">
        <v>145.5</v>
      </c>
      <c r="N441" s="147">
        <v>13.796720000000001</v>
      </c>
      <c r="O441" s="147">
        <v>9.4822817869415807</v>
      </c>
      <c r="P441" s="147">
        <v>83.38373</v>
      </c>
      <c r="Q441" s="147">
        <v>75.912989999999994</v>
      </c>
      <c r="R441" s="147">
        <v>91.040530328878305</v>
      </c>
    </row>
    <row r="442" spans="2:18" ht="15.75" hidden="1" thickBot="1" x14ac:dyDescent="0.3">
      <c r="B442" s="722" t="s">
        <v>702</v>
      </c>
      <c r="C442" s="722" t="s">
        <v>173</v>
      </c>
      <c r="D442" t="s">
        <v>174</v>
      </c>
      <c r="E442" s="148">
        <v>14.6065</v>
      </c>
      <c r="F442" s="148">
        <v>10.408799999999999</v>
      </c>
      <c r="G442" s="148">
        <v>4.1977000000000002</v>
      </c>
      <c r="H442" s="148">
        <v>40.328375989547304</v>
      </c>
      <c r="I442" s="728"/>
      <c r="J442" s="148">
        <v>14.6065</v>
      </c>
      <c r="K442" s="148">
        <v>0</v>
      </c>
      <c r="L442" s="148">
        <v>157.4074</v>
      </c>
      <c r="M442" s="148">
        <v>109.50134</v>
      </c>
      <c r="N442" s="148">
        <v>47.906059999999997</v>
      </c>
      <c r="O442" s="148">
        <v>43.749291104565479</v>
      </c>
      <c r="P442" s="148">
        <v>71.827619999999996</v>
      </c>
      <c r="Q442" s="148">
        <v>85.57978</v>
      </c>
      <c r="R442" s="148">
        <v>119.14606108346622</v>
      </c>
    </row>
    <row r="443" spans="2:18" ht="15.75" hidden="1" thickBot="1" x14ac:dyDescent="0.3">
      <c r="B443" s="722" t="s">
        <v>702</v>
      </c>
      <c r="C443" s="722" t="s">
        <v>479</v>
      </c>
      <c r="D443" t="s">
        <v>480</v>
      </c>
      <c r="E443" s="147">
        <v>57.436320000000002</v>
      </c>
      <c r="F443" s="147">
        <v>47.807279999999999</v>
      </c>
      <c r="G443" s="147">
        <v>9.6290399999999998</v>
      </c>
      <c r="H443" s="147">
        <v>20.141367590877373</v>
      </c>
      <c r="I443" s="729"/>
      <c r="J443" s="147">
        <v>57.436320000000002</v>
      </c>
      <c r="K443" s="147">
        <v>0</v>
      </c>
      <c r="L443" s="147">
        <v>607.33912999999995</v>
      </c>
      <c r="M443" s="147">
        <v>564.96960000000001</v>
      </c>
      <c r="N443" s="147">
        <v>42.369529999999997</v>
      </c>
      <c r="O443" s="147">
        <v>7.4994353678498804</v>
      </c>
      <c r="P443" s="147">
        <v>293.67392999999998</v>
      </c>
      <c r="Q443" s="147">
        <v>313.66520000000003</v>
      </c>
      <c r="R443" s="147">
        <v>106.80730155380152</v>
      </c>
    </row>
    <row r="444" spans="2:18" ht="15.75" hidden="1" thickBot="1" x14ac:dyDescent="0.3">
      <c r="B444" s="722" t="s">
        <v>702</v>
      </c>
      <c r="C444" s="722" t="s">
        <v>651</v>
      </c>
      <c r="D444" t="s">
        <v>652</v>
      </c>
      <c r="E444" s="148">
        <v>-47.197920000000003</v>
      </c>
      <c r="F444" s="728"/>
      <c r="G444" s="148">
        <v>-47.197920000000003</v>
      </c>
      <c r="H444" s="148">
        <v>0</v>
      </c>
      <c r="I444" s="728"/>
      <c r="J444" s="148">
        <v>-47.197920000000003</v>
      </c>
      <c r="K444" s="148">
        <v>0</v>
      </c>
      <c r="L444" s="148">
        <v>-47.197920000000003</v>
      </c>
      <c r="M444" s="728"/>
      <c r="N444" s="148">
        <v>-47.197920000000003</v>
      </c>
      <c r="O444" s="148">
        <v>0</v>
      </c>
      <c r="P444" s="728"/>
      <c r="Q444" s="148">
        <v>-47.197920000000003</v>
      </c>
      <c r="R444" s="148">
        <v>0</v>
      </c>
    </row>
    <row r="445" spans="2:18" ht="15.75" hidden="1" thickBot="1" x14ac:dyDescent="0.3">
      <c r="B445" s="722" t="s">
        <v>702</v>
      </c>
      <c r="C445" s="722" t="s">
        <v>653</v>
      </c>
      <c r="D445" t="s">
        <v>654</v>
      </c>
      <c r="E445" s="147">
        <v>8.9329699999999992</v>
      </c>
      <c r="F445" s="729"/>
      <c r="G445" s="147">
        <v>8.9329699999999992</v>
      </c>
      <c r="H445" s="147">
        <v>0</v>
      </c>
      <c r="I445" s="729"/>
      <c r="J445" s="147">
        <v>8.9329699999999992</v>
      </c>
      <c r="K445" s="147">
        <v>0</v>
      </c>
      <c r="L445" s="147">
        <v>93.895380000000003</v>
      </c>
      <c r="M445" s="147">
        <v>3</v>
      </c>
      <c r="N445" s="147">
        <v>90.895380000000003</v>
      </c>
      <c r="O445" s="147">
        <v>3029.846</v>
      </c>
      <c r="P445" s="147">
        <v>46.292610000000003</v>
      </c>
      <c r="Q445" s="147">
        <v>47.60277</v>
      </c>
      <c r="R445" s="147">
        <v>102.83017094953169</v>
      </c>
    </row>
    <row r="446" spans="2:18" ht="15.75" hidden="1" thickBot="1" x14ac:dyDescent="0.3">
      <c r="B446" s="722" t="s">
        <v>702</v>
      </c>
      <c r="C446" s="722" t="s">
        <v>151</v>
      </c>
      <c r="D446" t="s">
        <v>152</v>
      </c>
      <c r="E446" s="148">
        <v>-172.70989</v>
      </c>
      <c r="F446" s="148">
        <v>2.2181600000000001</v>
      </c>
      <c r="G446" s="148">
        <v>-174.92805000000001</v>
      </c>
      <c r="H446" s="148">
        <v>-7886.1781837198396</v>
      </c>
      <c r="I446" s="728"/>
      <c r="J446" s="148">
        <v>-172.70989</v>
      </c>
      <c r="K446" s="148">
        <v>0</v>
      </c>
      <c r="L446" s="148">
        <v>260.8168</v>
      </c>
      <c r="M446" s="148">
        <v>237.13310000000001</v>
      </c>
      <c r="N446" s="148">
        <v>23.683700000000002</v>
      </c>
      <c r="O446" s="148">
        <v>9.9875133416633943</v>
      </c>
      <c r="P446" s="148">
        <v>284.81605000000002</v>
      </c>
      <c r="Q446" s="148">
        <v>-23.99925</v>
      </c>
      <c r="R446" s="148">
        <v>-8.4262280865140848</v>
      </c>
    </row>
    <row r="447" spans="2:18" ht="15.75" hidden="1" thickBot="1" x14ac:dyDescent="0.3">
      <c r="B447" s="722" t="s">
        <v>702</v>
      </c>
      <c r="C447" s="722" t="s">
        <v>481</v>
      </c>
      <c r="D447" t="s">
        <v>482</v>
      </c>
      <c r="E447" s="147">
        <v>72.390069999999994</v>
      </c>
      <c r="F447" s="147">
        <v>50.045409999999997</v>
      </c>
      <c r="G447" s="147">
        <v>22.344660000000001</v>
      </c>
      <c r="H447" s="147">
        <v>44.648769987097715</v>
      </c>
      <c r="I447" s="729"/>
      <c r="J447" s="147">
        <v>72.390069999999994</v>
      </c>
      <c r="K447" s="147">
        <v>0</v>
      </c>
      <c r="L447" s="147">
        <v>767.74496999999997</v>
      </c>
      <c r="M447" s="147">
        <v>600.54499999999996</v>
      </c>
      <c r="N447" s="147">
        <v>167.19997000000001</v>
      </c>
      <c r="O447" s="147">
        <v>27.841372420051787</v>
      </c>
      <c r="P447" s="147">
        <v>350.15007000000003</v>
      </c>
      <c r="Q447" s="147">
        <v>417.5949</v>
      </c>
      <c r="R447" s="147">
        <v>119.26169256513357</v>
      </c>
    </row>
    <row r="448" spans="2:18" ht="15.75" hidden="1" thickBot="1" x14ac:dyDescent="0.3">
      <c r="B448" s="722" t="s">
        <v>702</v>
      </c>
      <c r="C448" s="722" t="s">
        <v>483</v>
      </c>
      <c r="D448" t="s">
        <v>484</v>
      </c>
      <c r="E448" s="148">
        <v>0.55000000000000004</v>
      </c>
      <c r="F448" s="728"/>
      <c r="G448" s="148">
        <v>0.55000000000000004</v>
      </c>
      <c r="H448" s="148">
        <v>0</v>
      </c>
      <c r="I448" s="728"/>
      <c r="J448" s="148">
        <v>0.55000000000000004</v>
      </c>
      <c r="K448" s="148">
        <v>0</v>
      </c>
      <c r="L448" s="148">
        <v>7.8482399999999997</v>
      </c>
      <c r="M448" s="148">
        <v>10.7</v>
      </c>
      <c r="N448" s="148">
        <v>-2.8517600000000001</v>
      </c>
      <c r="O448" s="148">
        <v>-26.651962616822431</v>
      </c>
      <c r="P448" s="148">
        <v>2.1</v>
      </c>
      <c r="Q448" s="148">
        <v>5.74824</v>
      </c>
      <c r="R448" s="148">
        <v>273.72571428571428</v>
      </c>
    </row>
    <row r="449" spans="2:18" ht="15.75" hidden="1" thickBot="1" x14ac:dyDescent="0.3">
      <c r="B449" s="722" t="s">
        <v>702</v>
      </c>
      <c r="C449" s="722" t="s">
        <v>175</v>
      </c>
      <c r="D449" t="s">
        <v>176</v>
      </c>
      <c r="E449" s="147">
        <v>1.06393</v>
      </c>
      <c r="F449" s="147">
        <v>0</v>
      </c>
      <c r="G449" s="147">
        <v>1.06393</v>
      </c>
      <c r="H449" s="147">
        <v>0</v>
      </c>
      <c r="I449" s="729"/>
      <c r="J449" s="147">
        <v>1.06393</v>
      </c>
      <c r="K449" s="147">
        <v>0</v>
      </c>
      <c r="L449" s="147">
        <v>33.383110000000002</v>
      </c>
      <c r="M449" s="147">
        <v>0</v>
      </c>
      <c r="N449" s="147">
        <v>33.383110000000002</v>
      </c>
      <c r="O449" s="147">
        <v>0</v>
      </c>
      <c r="P449" s="147">
        <v>21.645150000000001</v>
      </c>
      <c r="Q449" s="147">
        <v>11.737959999999999</v>
      </c>
      <c r="R449" s="147">
        <v>54.229053621712026</v>
      </c>
    </row>
    <row r="450" spans="2:18" ht="15.75" hidden="1" thickBot="1" x14ac:dyDescent="0.3">
      <c r="B450" s="722" t="s">
        <v>702</v>
      </c>
      <c r="C450" s="722" t="s">
        <v>655</v>
      </c>
      <c r="D450" t="s">
        <v>656</v>
      </c>
      <c r="E450" s="728"/>
      <c r="F450" s="148">
        <v>0</v>
      </c>
      <c r="G450" s="148">
        <v>0</v>
      </c>
      <c r="H450" s="148">
        <v>0</v>
      </c>
      <c r="I450" s="728"/>
      <c r="J450" s="728"/>
      <c r="K450" s="728"/>
      <c r="L450" s="148">
        <v>0.78273000000000004</v>
      </c>
      <c r="M450" s="148">
        <v>0</v>
      </c>
      <c r="N450" s="148">
        <v>0.78273000000000004</v>
      </c>
      <c r="O450" s="148">
        <v>0</v>
      </c>
      <c r="P450" s="148">
        <v>0.91861000000000004</v>
      </c>
      <c r="Q450" s="148">
        <v>-0.13588</v>
      </c>
      <c r="R450" s="148">
        <v>-14.791913869868607</v>
      </c>
    </row>
    <row r="451" spans="2:18" ht="15.75" hidden="1" thickBot="1" x14ac:dyDescent="0.3">
      <c r="B451" s="722" t="s">
        <v>702</v>
      </c>
      <c r="C451" s="722" t="s">
        <v>657</v>
      </c>
      <c r="D451" t="s">
        <v>658</v>
      </c>
      <c r="E451" s="147">
        <v>3.2280000000000003E-2</v>
      </c>
      <c r="F451" s="729"/>
      <c r="G451" s="147">
        <v>3.2280000000000003E-2</v>
      </c>
      <c r="H451" s="147">
        <v>0</v>
      </c>
      <c r="I451" s="729"/>
      <c r="J451" s="147">
        <v>3.2280000000000003E-2</v>
      </c>
      <c r="K451" s="147">
        <v>0</v>
      </c>
      <c r="L451" s="147">
        <v>3.2280000000000003E-2</v>
      </c>
      <c r="M451" s="729"/>
      <c r="N451" s="147">
        <v>3.2280000000000003E-2</v>
      </c>
      <c r="O451" s="147">
        <v>0</v>
      </c>
      <c r="P451" s="729"/>
      <c r="Q451" s="147">
        <v>3.2280000000000003E-2</v>
      </c>
      <c r="R451" s="147">
        <v>0</v>
      </c>
    </row>
    <row r="452" spans="2:18" ht="15.75" hidden="1" thickBot="1" x14ac:dyDescent="0.3">
      <c r="B452" s="722" t="s">
        <v>702</v>
      </c>
      <c r="C452" s="722" t="s">
        <v>659</v>
      </c>
      <c r="D452" t="s">
        <v>660</v>
      </c>
      <c r="E452" s="148">
        <v>182.60186999999999</v>
      </c>
      <c r="F452" s="728"/>
      <c r="G452" s="148">
        <v>182.60186999999999</v>
      </c>
      <c r="H452" s="148">
        <v>0</v>
      </c>
      <c r="I452" s="728"/>
      <c r="J452" s="148">
        <v>182.60186999999999</v>
      </c>
      <c r="K452" s="148">
        <v>0</v>
      </c>
      <c r="L452" s="148">
        <v>182.60186999999999</v>
      </c>
      <c r="M452" s="728"/>
      <c r="N452" s="148">
        <v>182.60186999999999</v>
      </c>
      <c r="O452" s="148">
        <v>0</v>
      </c>
      <c r="P452" s="148">
        <v>4.88727</v>
      </c>
      <c r="Q452" s="148">
        <v>177.71459999999999</v>
      </c>
      <c r="R452" s="148">
        <v>3636.2754666715773</v>
      </c>
    </row>
    <row r="453" spans="2:18" ht="15.75" hidden="1" thickBot="1" x14ac:dyDescent="0.3">
      <c r="B453" s="722" t="s">
        <v>702</v>
      </c>
      <c r="C453" s="722" t="s">
        <v>661</v>
      </c>
      <c r="D453" t="s">
        <v>662</v>
      </c>
      <c r="E453" s="147">
        <v>-176.62273999999999</v>
      </c>
      <c r="F453" s="729"/>
      <c r="G453" s="147">
        <v>-176.62273999999999</v>
      </c>
      <c r="H453" s="147">
        <v>0</v>
      </c>
      <c r="I453" s="729"/>
      <c r="J453" s="147">
        <v>-176.62273999999999</v>
      </c>
      <c r="K453" s="147">
        <v>0</v>
      </c>
      <c r="L453" s="147">
        <v>367.70073000000002</v>
      </c>
      <c r="M453" s="729"/>
      <c r="N453" s="147">
        <v>367.70073000000002</v>
      </c>
      <c r="O453" s="147">
        <v>0</v>
      </c>
      <c r="P453" s="147">
        <v>-106.06323</v>
      </c>
      <c r="Q453" s="147">
        <v>473.76396</v>
      </c>
      <c r="R453" s="147">
        <v>446.6806828341924</v>
      </c>
    </row>
    <row r="454" spans="2:18" ht="15.75" hidden="1" thickBot="1" x14ac:dyDescent="0.3">
      <c r="B454" s="722" t="s">
        <v>702</v>
      </c>
      <c r="C454" s="722" t="s">
        <v>663</v>
      </c>
      <c r="D454" t="s">
        <v>664</v>
      </c>
      <c r="E454" s="148">
        <v>-34.99785</v>
      </c>
      <c r="F454" s="728"/>
      <c r="G454" s="148">
        <v>-34.99785</v>
      </c>
      <c r="H454" s="148">
        <v>0</v>
      </c>
      <c r="I454" s="728"/>
      <c r="J454" s="148">
        <v>-34.99785</v>
      </c>
      <c r="K454" s="148">
        <v>0</v>
      </c>
      <c r="L454" s="148">
        <v>109.52030000000001</v>
      </c>
      <c r="M454" s="728"/>
      <c r="N454" s="148">
        <v>109.52030000000001</v>
      </c>
      <c r="O454" s="148">
        <v>0</v>
      </c>
      <c r="P454" s="148">
        <v>145.28414000000001</v>
      </c>
      <c r="Q454" s="148">
        <v>-35.763840000000002</v>
      </c>
      <c r="R454" s="148">
        <v>-24.616479128416909</v>
      </c>
    </row>
    <row r="455" spans="2:18" ht="15.75" hidden="1" thickBot="1" x14ac:dyDescent="0.3">
      <c r="B455" s="722" t="s">
        <v>702</v>
      </c>
      <c r="C455" s="722" t="s">
        <v>665</v>
      </c>
      <c r="D455" t="s">
        <v>666</v>
      </c>
      <c r="E455" s="147">
        <v>235.17124000000001</v>
      </c>
      <c r="F455" s="147">
        <v>151.09649999999999</v>
      </c>
      <c r="G455" s="147">
        <v>84.074740000000006</v>
      </c>
      <c r="H455" s="147">
        <v>55.643075782695163</v>
      </c>
      <c r="I455" s="729"/>
      <c r="J455" s="147">
        <v>235.17124000000001</v>
      </c>
      <c r="K455" s="147">
        <v>0</v>
      </c>
      <c r="L455" s="147">
        <v>2990.35113</v>
      </c>
      <c r="M455" s="147">
        <v>2713.15789</v>
      </c>
      <c r="N455" s="147">
        <v>277.19324</v>
      </c>
      <c r="O455" s="147">
        <v>10.216627680300611</v>
      </c>
      <c r="P455" s="147">
        <v>1453.4106999999999</v>
      </c>
      <c r="Q455" s="147">
        <v>1536.9404300000001</v>
      </c>
      <c r="R455" s="147">
        <v>105.74715254263643</v>
      </c>
    </row>
    <row r="456" spans="2:18" ht="15.75" hidden="1" thickBot="1" x14ac:dyDescent="0.3">
      <c r="B456" s="722" t="s">
        <v>702</v>
      </c>
      <c r="C456" s="722" t="s">
        <v>667</v>
      </c>
      <c r="D456" t="s">
        <v>668</v>
      </c>
      <c r="E456" s="148">
        <v>68.438460000000006</v>
      </c>
      <c r="F456" s="148">
        <v>10</v>
      </c>
      <c r="G456" s="148">
        <v>58.438459999999999</v>
      </c>
      <c r="H456" s="148">
        <v>584.38459999999998</v>
      </c>
      <c r="I456" s="728"/>
      <c r="J456" s="148">
        <v>68.438460000000006</v>
      </c>
      <c r="K456" s="148">
        <v>0</v>
      </c>
      <c r="L456" s="148">
        <v>169.81845999999999</v>
      </c>
      <c r="M456" s="148">
        <v>770</v>
      </c>
      <c r="N456" s="148">
        <v>-600.18154000000004</v>
      </c>
      <c r="O456" s="148">
        <v>-77.945654545454545</v>
      </c>
      <c r="P456" s="728"/>
      <c r="Q456" s="148">
        <v>169.81845999999999</v>
      </c>
      <c r="R456" s="148">
        <v>0</v>
      </c>
    </row>
    <row r="457" spans="2:18" ht="15.75" hidden="1" thickBot="1" x14ac:dyDescent="0.3">
      <c r="B457" s="722" t="s">
        <v>702</v>
      </c>
      <c r="C457" s="722" t="s">
        <v>669</v>
      </c>
      <c r="D457" t="s">
        <v>670</v>
      </c>
      <c r="E457" s="147">
        <v>60.017000000000003</v>
      </c>
      <c r="F457" s="147">
        <v>78.166669999999996</v>
      </c>
      <c r="G457" s="147">
        <v>-18.14967</v>
      </c>
      <c r="H457" s="147">
        <v>-23.219193039693259</v>
      </c>
      <c r="I457" s="729"/>
      <c r="J457" s="147">
        <v>60.017000000000003</v>
      </c>
      <c r="K457" s="147">
        <v>0</v>
      </c>
      <c r="L457" s="147">
        <v>1714.04808</v>
      </c>
      <c r="M457" s="147">
        <v>1723.0000199999999</v>
      </c>
      <c r="N457" s="147">
        <v>-8.9519400000000005</v>
      </c>
      <c r="O457" s="147">
        <v>-0.51955542055072057</v>
      </c>
      <c r="P457" s="147">
        <v>791.44799999999998</v>
      </c>
      <c r="Q457" s="147">
        <v>922.60008000000005</v>
      </c>
      <c r="R457" s="147">
        <v>116.57115565394062</v>
      </c>
    </row>
    <row r="458" spans="2:18" ht="15.75" hidden="1" thickBot="1" x14ac:dyDescent="0.3">
      <c r="B458" s="722" t="s">
        <v>702</v>
      </c>
      <c r="C458" s="722" t="s">
        <v>153</v>
      </c>
      <c r="D458" t="s">
        <v>154</v>
      </c>
      <c r="E458" s="148">
        <v>51.454479999999997</v>
      </c>
      <c r="F458" s="148">
        <v>25.4</v>
      </c>
      <c r="G458" s="148">
        <v>26.054480000000002</v>
      </c>
      <c r="H458" s="148">
        <v>102.57669291338583</v>
      </c>
      <c r="I458" s="728"/>
      <c r="J458" s="148">
        <v>51.454479999999997</v>
      </c>
      <c r="K458" s="148">
        <v>0</v>
      </c>
      <c r="L458" s="148">
        <v>405.55317000000002</v>
      </c>
      <c r="M458" s="148">
        <v>315.39999999999998</v>
      </c>
      <c r="N458" s="148">
        <v>90.153170000000003</v>
      </c>
      <c r="O458" s="148">
        <v>28.58375713379835</v>
      </c>
      <c r="P458" s="148">
        <v>189.77835999999999</v>
      </c>
      <c r="Q458" s="148">
        <v>215.77481</v>
      </c>
      <c r="R458" s="148">
        <v>113.69832155784253</v>
      </c>
    </row>
    <row r="459" spans="2:18" ht="15.75" hidden="1" thickBot="1" x14ac:dyDescent="0.3">
      <c r="B459" s="722" t="s">
        <v>702</v>
      </c>
      <c r="C459" s="722" t="s">
        <v>207</v>
      </c>
      <c r="D459" t="s">
        <v>208</v>
      </c>
      <c r="E459" s="147">
        <v>0.49629000000000001</v>
      </c>
      <c r="F459" s="147">
        <v>0.2</v>
      </c>
      <c r="G459" s="147">
        <v>0.29629</v>
      </c>
      <c r="H459" s="147">
        <v>148.14500000000001</v>
      </c>
      <c r="I459" s="729"/>
      <c r="J459" s="147">
        <v>0.49629000000000001</v>
      </c>
      <c r="K459" s="147">
        <v>0</v>
      </c>
      <c r="L459" s="147">
        <v>13.784520000000001</v>
      </c>
      <c r="M459" s="147">
        <v>2.4</v>
      </c>
      <c r="N459" s="147">
        <v>11.38452</v>
      </c>
      <c r="O459" s="147">
        <v>474.35500000000002</v>
      </c>
      <c r="P459" s="147">
        <v>7.29962</v>
      </c>
      <c r="Q459" s="147">
        <v>6.4848999999999997</v>
      </c>
      <c r="R459" s="147">
        <v>88.838871064521172</v>
      </c>
    </row>
    <row r="460" spans="2:18" ht="15.75" hidden="1" thickBot="1" x14ac:dyDescent="0.3">
      <c r="B460" s="722" t="s">
        <v>702</v>
      </c>
      <c r="C460" s="722" t="s">
        <v>671</v>
      </c>
      <c r="D460" t="s">
        <v>672</v>
      </c>
      <c r="E460" s="728"/>
      <c r="F460" s="728"/>
      <c r="G460" s="728"/>
      <c r="H460" s="728"/>
      <c r="I460" s="728"/>
      <c r="J460" s="728"/>
      <c r="K460" s="728"/>
      <c r="L460" s="148">
        <v>0.01</v>
      </c>
      <c r="M460" s="728"/>
      <c r="N460" s="148">
        <v>0.01</v>
      </c>
      <c r="O460" s="148">
        <v>0</v>
      </c>
      <c r="P460" s="148">
        <v>0.01</v>
      </c>
      <c r="Q460" s="148">
        <v>0</v>
      </c>
      <c r="R460" s="148">
        <v>0</v>
      </c>
    </row>
    <row r="461" spans="2:18" ht="15.75" hidden="1" thickBot="1" x14ac:dyDescent="0.3">
      <c r="B461" s="722" t="s">
        <v>702</v>
      </c>
      <c r="C461" s="722" t="s">
        <v>673</v>
      </c>
      <c r="D461" t="s">
        <v>674</v>
      </c>
      <c r="E461" s="147">
        <v>-36.104959999999998</v>
      </c>
      <c r="F461" s="147">
        <v>3</v>
      </c>
      <c r="G461" s="147">
        <v>-39.104959999999998</v>
      </c>
      <c r="H461" s="147">
        <v>-1303.4986666666666</v>
      </c>
      <c r="I461" s="729"/>
      <c r="J461" s="147">
        <v>-36.104959999999998</v>
      </c>
      <c r="K461" s="147">
        <v>0</v>
      </c>
      <c r="L461" s="147">
        <v>-9.0880399999999995</v>
      </c>
      <c r="M461" s="147">
        <v>36</v>
      </c>
      <c r="N461" s="147">
        <v>-45.088039999999999</v>
      </c>
      <c r="O461" s="147">
        <v>-125.24455555555555</v>
      </c>
      <c r="P461" s="147">
        <v>14.407730000000001</v>
      </c>
      <c r="Q461" s="147">
        <v>-23.49577</v>
      </c>
      <c r="R461" s="147">
        <v>-163.07752852114803</v>
      </c>
    </row>
    <row r="462" spans="2:18" ht="15.75" hidden="1" thickBot="1" x14ac:dyDescent="0.3">
      <c r="B462" s="722" t="s">
        <v>702</v>
      </c>
      <c r="C462" s="722" t="s">
        <v>675</v>
      </c>
      <c r="D462" t="s">
        <v>676</v>
      </c>
      <c r="E462" s="148">
        <v>-9.3000000000000005E-4</v>
      </c>
      <c r="F462" s="148">
        <v>1.5</v>
      </c>
      <c r="G462" s="148">
        <v>-1.5009300000000001</v>
      </c>
      <c r="H462" s="148">
        <v>-100.062</v>
      </c>
      <c r="I462" s="728"/>
      <c r="J462" s="148">
        <v>-9.3000000000000005E-4</v>
      </c>
      <c r="K462" s="148">
        <v>0</v>
      </c>
      <c r="L462" s="148">
        <v>47.567459999999997</v>
      </c>
      <c r="M462" s="148">
        <v>18</v>
      </c>
      <c r="N462" s="148">
        <v>29.567460000000001</v>
      </c>
      <c r="O462" s="148">
        <v>164.26366666666667</v>
      </c>
      <c r="P462" s="148">
        <v>-5.1173500000000001</v>
      </c>
      <c r="Q462" s="148">
        <v>52.684809999999999</v>
      </c>
      <c r="R462" s="148">
        <v>1029.533059102856</v>
      </c>
    </row>
    <row r="463" spans="2:18" ht="15.75" hidden="1" thickBot="1" x14ac:dyDescent="0.3">
      <c r="B463" s="722" t="s">
        <v>702</v>
      </c>
      <c r="C463" s="722" t="s">
        <v>75</v>
      </c>
      <c r="D463" t="s">
        <v>76</v>
      </c>
      <c r="E463" s="147">
        <v>74.048370000000006</v>
      </c>
      <c r="F463" s="147">
        <v>65.584950000000006</v>
      </c>
      <c r="G463" s="147">
        <v>8.4634199999999993</v>
      </c>
      <c r="H463" s="147">
        <v>12.90451544142368</v>
      </c>
      <c r="I463" s="729"/>
      <c r="J463" s="147">
        <v>74.048370000000006</v>
      </c>
      <c r="K463" s="147">
        <v>0</v>
      </c>
      <c r="L463" s="147">
        <v>595.43632000000002</v>
      </c>
      <c r="M463" s="147">
        <v>610.47613000000001</v>
      </c>
      <c r="N463" s="147">
        <v>-15.039809999999999</v>
      </c>
      <c r="O463" s="147">
        <v>-2.4636196668328374</v>
      </c>
      <c r="P463" s="147">
        <v>253.87369000000001</v>
      </c>
      <c r="Q463" s="147">
        <v>341.56263000000001</v>
      </c>
      <c r="R463" s="147">
        <v>134.54038108478275</v>
      </c>
    </row>
    <row r="464" spans="2:18" ht="15.75" hidden="1" thickBot="1" x14ac:dyDescent="0.3">
      <c r="B464" s="722" t="s">
        <v>702</v>
      </c>
      <c r="C464" s="722" t="s">
        <v>121</v>
      </c>
      <c r="D464" t="s">
        <v>122</v>
      </c>
      <c r="E464" s="148">
        <v>5.6099300000000003</v>
      </c>
      <c r="F464" s="148">
        <v>8.6372099999999996</v>
      </c>
      <c r="G464" s="148">
        <v>-3.0272800000000002</v>
      </c>
      <c r="H464" s="148">
        <v>-35.049280959939608</v>
      </c>
      <c r="I464" s="728"/>
      <c r="J464" s="148">
        <v>5.6099300000000003</v>
      </c>
      <c r="K464" s="148">
        <v>0</v>
      </c>
      <c r="L464" s="148">
        <v>138.47396000000001</v>
      </c>
      <c r="M464" s="148">
        <v>121.22279</v>
      </c>
      <c r="N464" s="148">
        <v>17.251169999999998</v>
      </c>
      <c r="O464" s="148">
        <v>14.230962676242644</v>
      </c>
      <c r="P464" s="148">
        <v>79.739040000000003</v>
      </c>
      <c r="Q464" s="148">
        <v>58.734920000000002</v>
      </c>
      <c r="R464" s="148">
        <v>73.658925414702765</v>
      </c>
    </row>
    <row r="465" spans="2:18" ht="15.75" hidden="1" thickBot="1" x14ac:dyDescent="0.3">
      <c r="B465" s="722" t="s">
        <v>702</v>
      </c>
      <c r="C465" s="722" t="s">
        <v>77</v>
      </c>
      <c r="D465" t="s">
        <v>78</v>
      </c>
      <c r="E465" s="147">
        <v>29.946400000000001</v>
      </c>
      <c r="F465" s="147">
        <v>72.181849999999997</v>
      </c>
      <c r="G465" s="147">
        <v>-42.23545</v>
      </c>
      <c r="H465" s="147">
        <v>-58.512562368517848</v>
      </c>
      <c r="I465" s="729"/>
      <c r="J465" s="147">
        <v>29.946400000000001</v>
      </c>
      <c r="K465" s="147">
        <v>0</v>
      </c>
      <c r="L465" s="147">
        <v>634.62662</v>
      </c>
      <c r="M465" s="147">
        <v>916.78279999999995</v>
      </c>
      <c r="N465" s="147">
        <v>-282.15618000000001</v>
      </c>
      <c r="O465" s="147">
        <v>-30.776775044208943</v>
      </c>
      <c r="P465" s="147">
        <v>357.07364000000001</v>
      </c>
      <c r="Q465" s="147">
        <v>277.55297999999999</v>
      </c>
      <c r="R465" s="147">
        <v>77.729899076280176</v>
      </c>
    </row>
    <row r="466" spans="2:18" ht="15.75" hidden="1" thickBot="1" x14ac:dyDescent="0.3">
      <c r="B466" s="722" t="s">
        <v>702</v>
      </c>
      <c r="C466" s="722" t="s">
        <v>79</v>
      </c>
      <c r="D466" t="s">
        <v>80</v>
      </c>
      <c r="E466" s="148">
        <v>39.761369999999999</v>
      </c>
      <c r="F466" s="148">
        <v>44.136339999999997</v>
      </c>
      <c r="G466" s="148">
        <v>-4.3749700000000002</v>
      </c>
      <c r="H466" s="148">
        <v>-9.9123987172475108</v>
      </c>
      <c r="I466" s="728"/>
      <c r="J466" s="148">
        <v>39.761369999999999</v>
      </c>
      <c r="K466" s="148">
        <v>0</v>
      </c>
      <c r="L466" s="148">
        <v>328.20557000000002</v>
      </c>
      <c r="M466" s="148">
        <v>366.40848999999997</v>
      </c>
      <c r="N466" s="148">
        <v>-38.202919999999999</v>
      </c>
      <c r="O466" s="148">
        <v>-10.426319542977838</v>
      </c>
      <c r="P466" s="148">
        <v>145.26952</v>
      </c>
      <c r="Q466" s="148">
        <v>182.93604999999999</v>
      </c>
      <c r="R466" s="148">
        <v>125.92872200582751</v>
      </c>
    </row>
    <row r="467" spans="2:18" ht="15.75" hidden="1" thickBot="1" x14ac:dyDescent="0.3">
      <c r="B467" s="722" t="s">
        <v>702</v>
      </c>
      <c r="C467" s="722" t="s">
        <v>81</v>
      </c>
      <c r="D467" t="s">
        <v>82</v>
      </c>
      <c r="E467" s="147">
        <v>105.72359</v>
      </c>
      <c r="F467" s="147">
        <v>82.330740000000006</v>
      </c>
      <c r="G467" s="147">
        <v>23.392849999999999</v>
      </c>
      <c r="H467" s="147">
        <v>28.413263381332417</v>
      </c>
      <c r="I467" s="729"/>
      <c r="J467" s="147">
        <v>105.72359</v>
      </c>
      <c r="K467" s="147">
        <v>0</v>
      </c>
      <c r="L467" s="147">
        <v>457.49941000000001</v>
      </c>
      <c r="M467" s="147">
        <v>463.73531000000003</v>
      </c>
      <c r="N467" s="147">
        <v>-6.2359</v>
      </c>
      <c r="O467" s="147">
        <v>-1.3447110594187879</v>
      </c>
      <c r="P467" s="147">
        <v>223.96034</v>
      </c>
      <c r="Q467" s="147">
        <v>233.53907000000001</v>
      </c>
      <c r="R467" s="147">
        <v>104.2769760038764</v>
      </c>
    </row>
    <row r="468" spans="2:18" ht="15.75" hidden="1" thickBot="1" x14ac:dyDescent="0.3">
      <c r="B468" s="722" t="s">
        <v>702</v>
      </c>
      <c r="C468" s="722" t="s">
        <v>123</v>
      </c>
      <c r="D468" t="s">
        <v>124</v>
      </c>
      <c r="E468" s="148">
        <v>31.439409999999999</v>
      </c>
      <c r="F468" s="148">
        <v>12.873710000000001</v>
      </c>
      <c r="G468" s="148">
        <v>18.5657</v>
      </c>
      <c r="H468" s="148">
        <v>144.21406105932166</v>
      </c>
      <c r="I468" s="728"/>
      <c r="J468" s="148">
        <v>31.439409999999999</v>
      </c>
      <c r="K468" s="148">
        <v>0</v>
      </c>
      <c r="L468" s="148">
        <v>110.12804</v>
      </c>
      <c r="M468" s="148">
        <v>79.64264</v>
      </c>
      <c r="N468" s="148">
        <v>30.485399999999998</v>
      </c>
      <c r="O468" s="148">
        <v>38.277736649613828</v>
      </c>
      <c r="P468" s="148">
        <v>28.840949999999999</v>
      </c>
      <c r="Q468" s="148">
        <v>81.287090000000006</v>
      </c>
      <c r="R468" s="148">
        <v>281.84609036803573</v>
      </c>
    </row>
    <row r="469" spans="2:18" ht="15.75" hidden="1" thickBot="1" x14ac:dyDescent="0.3">
      <c r="B469" s="722" t="s">
        <v>702</v>
      </c>
      <c r="C469" s="722" t="s">
        <v>125</v>
      </c>
      <c r="D469" t="s">
        <v>126</v>
      </c>
      <c r="E469" s="147">
        <v>1.3314699999999999</v>
      </c>
      <c r="F469" s="147">
        <v>1.8109999999999999</v>
      </c>
      <c r="G469" s="147">
        <v>-0.47953000000000001</v>
      </c>
      <c r="H469" s="147">
        <v>-26.478741027056873</v>
      </c>
      <c r="I469" s="729"/>
      <c r="J469" s="147">
        <v>1.3314699999999999</v>
      </c>
      <c r="K469" s="147">
        <v>0</v>
      </c>
      <c r="L469" s="147">
        <v>5.8715999999999999</v>
      </c>
      <c r="M469" s="147">
        <v>6.1220999999999997</v>
      </c>
      <c r="N469" s="147">
        <v>-0.2505</v>
      </c>
      <c r="O469" s="147">
        <v>-4.0917332287940411</v>
      </c>
      <c r="P469" s="147">
        <v>3.13605</v>
      </c>
      <c r="Q469" s="147">
        <v>2.7355499999999999</v>
      </c>
      <c r="R469" s="147">
        <v>87.229157698378529</v>
      </c>
    </row>
    <row r="470" spans="2:18" ht="15.75" hidden="1" thickBot="1" x14ac:dyDescent="0.3">
      <c r="B470" s="722" t="s">
        <v>702</v>
      </c>
      <c r="C470" s="722" t="s">
        <v>677</v>
      </c>
      <c r="D470" t="s">
        <v>678</v>
      </c>
      <c r="E470" s="148">
        <v>0.375</v>
      </c>
      <c r="F470" s="148">
        <v>0.58699999999999997</v>
      </c>
      <c r="G470" s="148">
        <v>-0.21199999999999999</v>
      </c>
      <c r="H470" s="148">
        <v>-36.115843270868822</v>
      </c>
      <c r="I470" s="728"/>
      <c r="J470" s="148">
        <v>0.375</v>
      </c>
      <c r="K470" s="148">
        <v>0</v>
      </c>
      <c r="L470" s="148">
        <v>2.1749999999999998</v>
      </c>
      <c r="M470" s="148">
        <v>7</v>
      </c>
      <c r="N470" s="148">
        <v>-4.8250000000000002</v>
      </c>
      <c r="O470" s="148">
        <v>-68.928571428571431</v>
      </c>
      <c r="P470" s="728"/>
      <c r="Q470" s="148">
        <v>2.1749999999999998</v>
      </c>
      <c r="R470" s="148">
        <v>0</v>
      </c>
    </row>
    <row r="471" spans="2:18" ht="15.75" hidden="1" thickBot="1" x14ac:dyDescent="0.3">
      <c r="B471" s="722" t="s">
        <v>702</v>
      </c>
      <c r="C471" s="722" t="s">
        <v>681</v>
      </c>
      <c r="D471" t="s">
        <v>682</v>
      </c>
      <c r="E471" s="147">
        <v>0.41971999999999998</v>
      </c>
      <c r="F471" s="729"/>
      <c r="G471" s="147">
        <v>0.41971999999999998</v>
      </c>
      <c r="H471" s="147">
        <v>0</v>
      </c>
      <c r="I471" s="729"/>
      <c r="J471" s="147">
        <v>0.41971999999999998</v>
      </c>
      <c r="K471" s="147">
        <v>0</v>
      </c>
      <c r="L471" s="147">
        <v>1.0495300000000001</v>
      </c>
      <c r="M471" s="729"/>
      <c r="N471" s="147">
        <v>1.0495300000000001</v>
      </c>
      <c r="O471" s="147">
        <v>0</v>
      </c>
      <c r="P471" s="729"/>
      <c r="Q471" s="147">
        <v>1.0495300000000001</v>
      </c>
      <c r="R471" s="147">
        <v>0</v>
      </c>
    </row>
    <row r="472" spans="2:18" ht="15.75" hidden="1" thickBot="1" x14ac:dyDescent="0.3">
      <c r="B472" s="722" t="s">
        <v>702</v>
      </c>
      <c r="C472" s="722" t="s">
        <v>683</v>
      </c>
      <c r="D472" t="s">
        <v>684</v>
      </c>
      <c r="E472" s="148">
        <v>0.37440000000000001</v>
      </c>
      <c r="F472" s="728"/>
      <c r="G472" s="148">
        <v>0.37440000000000001</v>
      </c>
      <c r="H472" s="148">
        <v>0</v>
      </c>
      <c r="I472" s="728"/>
      <c r="J472" s="148">
        <v>0.37440000000000001</v>
      </c>
      <c r="K472" s="148">
        <v>0</v>
      </c>
      <c r="L472" s="148">
        <v>0.92517000000000005</v>
      </c>
      <c r="M472" s="728"/>
      <c r="N472" s="148">
        <v>0.92517000000000005</v>
      </c>
      <c r="O472" s="148">
        <v>0</v>
      </c>
      <c r="P472" s="728"/>
      <c r="Q472" s="148">
        <v>0.92517000000000005</v>
      </c>
      <c r="R472" s="148">
        <v>0</v>
      </c>
    </row>
    <row r="473" spans="2:18" ht="15.75" hidden="1" thickBot="1" x14ac:dyDescent="0.3">
      <c r="B473" s="722" t="s">
        <v>702</v>
      </c>
      <c r="C473" s="722" t="s">
        <v>685</v>
      </c>
      <c r="D473" t="s">
        <v>686</v>
      </c>
      <c r="E473" s="147">
        <v>-0.29038000000000003</v>
      </c>
      <c r="F473" s="729"/>
      <c r="G473" s="147">
        <v>-0.29038000000000003</v>
      </c>
      <c r="H473" s="147">
        <v>0</v>
      </c>
      <c r="I473" s="729"/>
      <c r="J473" s="147">
        <v>-0.29038000000000003</v>
      </c>
      <c r="K473" s="147">
        <v>0</v>
      </c>
      <c r="L473" s="147">
        <v>-3.42733</v>
      </c>
      <c r="M473" s="729"/>
      <c r="N473" s="147">
        <v>-3.42733</v>
      </c>
      <c r="O473" s="147">
        <v>0</v>
      </c>
      <c r="P473" s="147">
        <v>-2.2319499999999999</v>
      </c>
      <c r="Q473" s="147">
        <v>-1.1953800000000001</v>
      </c>
      <c r="R473" s="147">
        <v>-53.557651381079324</v>
      </c>
    </row>
    <row r="474" spans="2:18" ht="15.75" hidden="1" thickBot="1" x14ac:dyDescent="0.3">
      <c r="B474" s="722" t="s">
        <v>702</v>
      </c>
      <c r="C474" s="722" t="s">
        <v>687</v>
      </c>
      <c r="D474" t="s">
        <v>688</v>
      </c>
      <c r="E474" s="148">
        <v>7.6091199999999999</v>
      </c>
      <c r="F474" s="728"/>
      <c r="G474" s="148">
        <v>7.6091199999999999</v>
      </c>
      <c r="H474" s="148">
        <v>0</v>
      </c>
      <c r="I474" s="728"/>
      <c r="J474" s="148">
        <v>7.6091199999999999</v>
      </c>
      <c r="K474" s="148">
        <v>0</v>
      </c>
      <c r="L474" s="148">
        <v>-60.251989999999999</v>
      </c>
      <c r="M474" s="728"/>
      <c r="N474" s="148">
        <v>-60.251989999999999</v>
      </c>
      <c r="O474" s="148">
        <v>0</v>
      </c>
      <c r="P474" s="148">
        <v>-42.937730000000002</v>
      </c>
      <c r="Q474" s="148">
        <v>-17.314260000000001</v>
      </c>
      <c r="R474" s="148">
        <v>-40.324115876642757</v>
      </c>
    </row>
    <row r="475" spans="2:18" ht="15.75" hidden="1" thickBot="1" x14ac:dyDescent="0.3">
      <c r="B475" s="722" t="s">
        <v>702</v>
      </c>
      <c r="C475" s="722" t="s">
        <v>689</v>
      </c>
      <c r="D475" t="s">
        <v>690</v>
      </c>
      <c r="E475" s="729"/>
      <c r="F475" s="729"/>
      <c r="G475" s="729"/>
      <c r="H475" s="729"/>
      <c r="I475" s="729"/>
      <c r="J475" s="729"/>
      <c r="K475" s="729"/>
      <c r="L475" s="147">
        <v>0.44951999999999998</v>
      </c>
      <c r="M475" s="729"/>
      <c r="N475" s="147">
        <v>0.44951999999999998</v>
      </c>
      <c r="O475" s="147">
        <v>0</v>
      </c>
      <c r="P475" s="147">
        <v>0.44951999999999998</v>
      </c>
      <c r="Q475" s="147">
        <v>0</v>
      </c>
      <c r="R475" s="147">
        <v>0</v>
      </c>
    </row>
    <row r="476" spans="2:18" ht="15.75" hidden="1" thickBot="1" x14ac:dyDescent="0.3">
      <c r="B476" s="722" t="s">
        <v>702</v>
      </c>
      <c r="C476" s="722" t="s">
        <v>691</v>
      </c>
      <c r="D476" t="s">
        <v>692</v>
      </c>
      <c r="E476" s="148">
        <v>5.0939100000000002</v>
      </c>
      <c r="F476" s="148">
        <v>1.6</v>
      </c>
      <c r="G476" s="148">
        <v>3.4939100000000001</v>
      </c>
      <c r="H476" s="148">
        <v>218.36937499999999</v>
      </c>
      <c r="I476" s="728"/>
      <c r="J476" s="148">
        <v>5.0939100000000002</v>
      </c>
      <c r="K476" s="148">
        <v>0</v>
      </c>
      <c r="L476" s="148">
        <v>-33.261369999999999</v>
      </c>
      <c r="M476" s="148">
        <v>19</v>
      </c>
      <c r="N476" s="148">
        <v>-52.261369999999999</v>
      </c>
      <c r="O476" s="148">
        <v>-275.05984210526316</v>
      </c>
      <c r="P476" s="148">
        <v>-34.284480000000002</v>
      </c>
      <c r="Q476" s="148">
        <v>1.02311</v>
      </c>
      <c r="R476" s="148">
        <v>2.9841782637508283</v>
      </c>
    </row>
    <row r="477" spans="2:18" ht="15.75" hidden="1" thickBot="1" x14ac:dyDescent="0.3">
      <c r="B477" s="722" t="s">
        <v>702</v>
      </c>
      <c r="C477" s="722" t="s">
        <v>693</v>
      </c>
      <c r="D477" t="s">
        <v>694</v>
      </c>
      <c r="E477" s="147">
        <v>32.944899999999997</v>
      </c>
      <c r="F477" s="147">
        <v>10.91667</v>
      </c>
      <c r="G477" s="147">
        <v>22.028230000000001</v>
      </c>
      <c r="H477" s="147">
        <v>201.78525136328201</v>
      </c>
      <c r="I477" s="729"/>
      <c r="J477" s="147">
        <v>32.944899999999997</v>
      </c>
      <c r="K477" s="147">
        <v>0</v>
      </c>
      <c r="L477" s="147">
        <v>336.70578999999998</v>
      </c>
      <c r="M477" s="147">
        <v>131</v>
      </c>
      <c r="N477" s="147">
        <v>205.70579000000001</v>
      </c>
      <c r="O477" s="147">
        <v>157.02732061068701</v>
      </c>
      <c r="P477" s="147">
        <v>154.10181</v>
      </c>
      <c r="Q477" s="147">
        <v>182.60398000000001</v>
      </c>
      <c r="R477" s="147">
        <v>118.49567503457617</v>
      </c>
    </row>
    <row r="478" spans="2:18" ht="15.75" hidden="1" thickBot="1" x14ac:dyDescent="0.3">
      <c r="B478" s="722" t="s">
        <v>702</v>
      </c>
      <c r="C478" s="722" t="s">
        <v>695</v>
      </c>
      <c r="D478" t="s">
        <v>696</v>
      </c>
      <c r="E478" s="728"/>
      <c r="F478" s="728"/>
      <c r="G478" s="728"/>
      <c r="H478" s="728"/>
      <c r="I478" s="728"/>
      <c r="J478" s="728"/>
      <c r="K478" s="728"/>
      <c r="L478" s="148">
        <v>0</v>
      </c>
      <c r="M478" s="728"/>
      <c r="N478" s="148">
        <v>0</v>
      </c>
      <c r="O478" s="148">
        <v>0</v>
      </c>
      <c r="P478" s="148">
        <v>-1.6979999999999999E-2</v>
      </c>
      <c r="Q478" s="148">
        <v>1.6979999999999999E-2</v>
      </c>
      <c r="R478" s="148">
        <v>100</v>
      </c>
    </row>
    <row r="479" spans="2:18" ht="15.75" hidden="1" thickBot="1" x14ac:dyDescent="0.3">
      <c r="B479" s="722" t="s">
        <v>702</v>
      </c>
      <c r="C479" s="722" t="s">
        <v>209</v>
      </c>
      <c r="D479" t="s">
        <v>210</v>
      </c>
      <c r="E479" s="147">
        <v>1.94259</v>
      </c>
      <c r="F479" s="729"/>
      <c r="G479" s="147">
        <v>1.94259</v>
      </c>
      <c r="H479" s="147">
        <v>0</v>
      </c>
      <c r="I479" s="729"/>
      <c r="J479" s="147">
        <v>1.94259</v>
      </c>
      <c r="K479" s="147">
        <v>0</v>
      </c>
      <c r="L479" s="147">
        <v>26.25309</v>
      </c>
      <c r="M479" s="729"/>
      <c r="N479" s="147">
        <v>26.25309</v>
      </c>
      <c r="O479" s="147">
        <v>0</v>
      </c>
      <c r="P479" s="147">
        <v>15.512969999999999</v>
      </c>
      <c r="Q479" s="147">
        <v>10.740119999999999</v>
      </c>
      <c r="R479" s="147">
        <v>69.233164249012276</v>
      </c>
    </row>
    <row r="480" spans="2:18" ht="15.75" hidden="1" thickBot="1" x14ac:dyDescent="0.3">
      <c r="B480" s="722" t="s">
        <v>702</v>
      </c>
      <c r="C480" s="722" t="s">
        <v>211</v>
      </c>
      <c r="D480" t="s">
        <v>212</v>
      </c>
      <c r="E480" s="148">
        <v>1.1700900000000001</v>
      </c>
      <c r="F480" s="728"/>
      <c r="G480" s="148">
        <v>1.1700900000000001</v>
      </c>
      <c r="H480" s="148">
        <v>0</v>
      </c>
      <c r="I480" s="728"/>
      <c r="J480" s="148">
        <v>1.1700900000000001</v>
      </c>
      <c r="K480" s="148">
        <v>0</v>
      </c>
      <c r="L480" s="148">
        <v>24.353020000000001</v>
      </c>
      <c r="M480" s="728"/>
      <c r="N480" s="148">
        <v>24.353020000000001</v>
      </c>
      <c r="O480" s="148">
        <v>0</v>
      </c>
      <c r="P480" s="148">
        <v>11.469279999999999</v>
      </c>
      <c r="Q480" s="148">
        <v>12.88374</v>
      </c>
      <c r="R480" s="148">
        <v>112.33259629200786</v>
      </c>
    </row>
    <row r="481" spans="2:18" ht="15.75" hidden="1" thickBot="1" x14ac:dyDescent="0.3">
      <c r="B481" s="722" t="s">
        <v>702</v>
      </c>
      <c r="C481" s="722" t="s">
        <v>697</v>
      </c>
      <c r="D481" t="s">
        <v>698</v>
      </c>
      <c r="E481" s="729"/>
      <c r="F481" s="729"/>
      <c r="G481" s="729"/>
      <c r="H481" s="729"/>
      <c r="I481" s="729"/>
      <c r="J481" s="729"/>
      <c r="K481" s="729"/>
      <c r="L481" s="147">
        <v>1.8635999999999999</v>
      </c>
      <c r="M481" s="729"/>
      <c r="N481" s="147">
        <v>1.8635999999999999</v>
      </c>
      <c r="O481" s="147">
        <v>0</v>
      </c>
      <c r="P481" s="147">
        <v>1.44472</v>
      </c>
      <c r="Q481" s="147">
        <v>0.41887999999999997</v>
      </c>
      <c r="R481" s="147">
        <v>28.993853480259151</v>
      </c>
    </row>
    <row r="482" spans="2:18" ht="15.75" hidden="1" thickBot="1" x14ac:dyDescent="0.3">
      <c r="B482" s="722" t="s">
        <v>702</v>
      </c>
      <c r="C482" s="722" t="s">
        <v>213</v>
      </c>
      <c r="D482" t="s">
        <v>214</v>
      </c>
      <c r="E482" s="148">
        <v>-7.5321800000000003</v>
      </c>
      <c r="F482" s="728"/>
      <c r="G482" s="148">
        <v>-7.5321800000000003</v>
      </c>
      <c r="H482" s="148">
        <v>0</v>
      </c>
      <c r="I482" s="728"/>
      <c r="J482" s="148">
        <v>-7.5321800000000003</v>
      </c>
      <c r="K482" s="148">
        <v>0</v>
      </c>
      <c r="L482" s="148">
        <v>-72.238010000000003</v>
      </c>
      <c r="M482" s="728"/>
      <c r="N482" s="148">
        <v>-72.238010000000003</v>
      </c>
      <c r="O482" s="148">
        <v>0</v>
      </c>
      <c r="P482" s="148">
        <v>-37.420920000000002</v>
      </c>
      <c r="Q482" s="148">
        <v>-34.81709</v>
      </c>
      <c r="R482" s="148">
        <v>-93.041779838657092</v>
      </c>
    </row>
    <row r="483" spans="2:18" ht="15.75" hidden="1" thickBot="1" x14ac:dyDescent="0.3">
      <c r="B483" s="722" t="s">
        <v>702</v>
      </c>
      <c r="C483" s="722" t="s">
        <v>215</v>
      </c>
      <c r="D483" t="s">
        <v>216</v>
      </c>
      <c r="E483" s="147">
        <v>-2.6358899999999998</v>
      </c>
      <c r="F483" s="729"/>
      <c r="G483" s="147">
        <v>-2.6358899999999998</v>
      </c>
      <c r="H483" s="147">
        <v>0</v>
      </c>
      <c r="I483" s="729"/>
      <c r="J483" s="147">
        <v>-2.6358899999999998</v>
      </c>
      <c r="K483" s="147">
        <v>0</v>
      </c>
      <c r="L483" s="147">
        <v>-52.674939999999999</v>
      </c>
      <c r="M483" s="729"/>
      <c r="N483" s="147">
        <v>-52.674939999999999</v>
      </c>
      <c r="O483" s="147">
        <v>0</v>
      </c>
      <c r="P483" s="147">
        <v>-23.46585</v>
      </c>
      <c r="Q483" s="147">
        <v>-29.20909</v>
      </c>
      <c r="R483" s="147">
        <v>-124.47488584474885</v>
      </c>
    </row>
    <row r="484" spans="2:18" ht="15.75" hidden="1" thickBot="1" x14ac:dyDescent="0.3">
      <c r="B484" s="722" t="s">
        <v>702</v>
      </c>
      <c r="C484" s="722" t="s">
        <v>83</v>
      </c>
      <c r="D484" t="s">
        <v>84</v>
      </c>
      <c r="E484" s="728"/>
      <c r="F484" s="148">
        <v>45.366930000000004</v>
      </c>
      <c r="G484" s="148">
        <v>-45.366930000000004</v>
      </c>
      <c r="H484" s="148">
        <v>-100</v>
      </c>
      <c r="I484" s="728"/>
      <c r="J484" s="728"/>
      <c r="K484" s="728"/>
      <c r="L484" s="728"/>
      <c r="M484" s="148">
        <v>545.36937999999998</v>
      </c>
      <c r="N484" s="148">
        <v>-545.36937999999998</v>
      </c>
      <c r="O484" s="148">
        <v>-100</v>
      </c>
      <c r="P484" s="728"/>
      <c r="Q484" s="728"/>
      <c r="R484" s="728"/>
    </row>
    <row r="485" spans="2:18" ht="15.75" hidden="1" thickBot="1" x14ac:dyDescent="0.3">
      <c r="B485" s="722" t="s">
        <v>702</v>
      </c>
      <c r="C485" s="149" t="s">
        <v>85</v>
      </c>
      <c r="D485" t="s">
        <v>86</v>
      </c>
      <c r="E485" s="147">
        <v>5861.0152099999996</v>
      </c>
      <c r="F485" s="147">
        <v>4628.5348599999998</v>
      </c>
      <c r="G485" s="147">
        <v>1232.48035</v>
      </c>
      <c r="H485" s="147">
        <v>26.627872259343857</v>
      </c>
      <c r="I485" s="729"/>
      <c r="J485" s="147">
        <v>5861.0152099999996</v>
      </c>
      <c r="K485" s="147">
        <v>0</v>
      </c>
      <c r="L485" s="147">
        <v>65458.6973</v>
      </c>
      <c r="M485" s="147">
        <v>60780.738360000003</v>
      </c>
      <c r="N485" s="147">
        <v>4677.9589400000004</v>
      </c>
      <c r="O485" s="147">
        <v>7.696449675048008</v>
      </c>
      <c r="P485" s="147">
        <v>31550.79046</v>
      </c>
      <c r="Q485" s="147">
        <v>33907.906840000003</v>
      </c>
      <c r="R485" s="147">
        <v>107.47086315630774</v>
      </c>
    </row>
    <row r="486" spans="2:18" ht="15.75" hidden="1" thickBot="1" x14ac:dyDescent="0.3">
      <c r="B486" s="722" t="s">
        <v>702</v>
      </c>
      <c r="C486" s="144" t="s">
        <v>87</v>
      </c>
      <c r="D486" t="s">
        <v>87</v>
      </c>
      <c r="E486" s="148">
        <v>13835.22452</v>
      </c>
      <c r="F486" s="148">
        <v>13486.45356</v>
      </c>
      <c r="G486" s="148">
        <v>348.77096</v>
      </c>
      <c r="H486" s="148">
        <v>2.5860835722923738</v>
      </c>
      <c r="I486" s="728"/>
      <c r="J486" s="148">
        <v>13835.22452</v>
      </c>
      <c r="K486" s="148">
        <v>0</v>
      </c>
      <c r="L486" s="148">
        <v>170839.13730999999</v>
      </c>
      <c r="M486" s="148">
        <v>164924.02059999999</v>
      </c>
      <c r="N486" s="148">
        <v>5915.1167100000002</v>
      </c>
      <c r="O486" s="148">
        <v>3.5865707666357971</v>
      </c>
      <c r="P486" s="148">
        <v>84821.279850000006</v>
      </c>
      <c r="Q486" s="148">
        <v>86017.857459999999</v>
      </c>
      <c r="R486" s="148">
        <v>101.41070449787607</v>
      </c>
    </row>
    <row r="487" spans="2:18" ht="15.75" hidden="1" thickBot="1" x14ac:dyDescent="0.3">
      <c r="B487" s="145" t="s">
        <v>703</v>
      </c>
      <c r="C487" s="722" t="s">
        <v>59</v>
      </c>
      <c r="D487" t="s">
        <v>60</v>
      </c>
      <c r="E487" s="147">
        <v>1045.6175800000001</v>
      </c>
      <c r="F487" s="147">
        <v>1186.63579</v>
      </c>
      <c r="G487" s="147">
        <v>-141.01821000000001</v>
      </c>
      <c r="H487" s="147">
        <v>-11.883866236665591</v>
      </c>
      <c r="I487" s="729"/>
      <c r="J487" s="147">
        <v>1045.6175800000001</v>
      </c>
      <c r="K487" s="147">
        <v>0</v>
      </c>
      <c r="L487" s="147">
        <v>13687.733</v>
      </c>
      <c r="M487" s="147">
        <v>14203.33187</v>
      </c>
      <c r="N487" s="147">
        <v>-515.59887000000003</v>
      </c>
      <c r="O487" s="147">
        <v>-3.6301261895389341</v>
      </c>
      <c r="P487" s="147">
        <v>6947.5451800000001</v>
      </c>
      <c r="Q487" s="147">
        <v>6740.1878200000001</v>
      </c>
      <c r="R487" s="147">
        <v>97.015386663523643</v>
      </c>
    </row>
    <row r="488" spans="2:18" ht="15.75" hidden="1" thickBot="1" x14ac:dyDescent="0.3">
      <c r="B488" s="145" t="s">
        <v>703</v>
      </c>
      <c r="C488" s="722" t="s">
        <v>566</v>
      </c>
      <c r="D488" t="s">
        <v>567</v>
      </c>
      <c r="E488" s="728"/>
      <c r="F488" s="728"/>
      <c r="G488" s="728"/>
      <c r="H488" s="728"/>
      <c r="I488" s="728"/>
      <c r="J488" s="728"/>
      <c r="K488" s="728"/>
      <c r="L488" s="148">
        <v>1.1508499999999999</v>
      </c>
      <c r="M488" s="728"/>
      <c r="N488" s="148">
        <v>1.1508499999999999</v>
      </c>
      <c r="O488" s="148">
        <v>0</v>
      </c>
      <c r="P488" s="148">
        <v>1.1508499999999999</v>
      </c>
      <c r="Q488" s="148">
        <v>0</v>
      </c>
      <c r="R488" s="148">
        <v>0</v>
      </c>
    </row>
    <row r="489" spans="2:18" ht="15.75" hidden="1" thickBot="1" x14ac:dyDescent="0.3">
      <c r="B489" s="145" t="s">
        <v>703</v>
      </c>
      <c r="C489" s="722" t="s">
        <v>89</v>
      </c>
      <c r="D489" t="s">
        <v>90</v>
      </c>
      <c r="E489" s="147">
        <v>2.9312399999999998</v>
      </c>
      <c r="F489" s="729"/>
      <c r="G489" s="147">
        <v>2.9312399999999998</v>
      </c>
      <c r="H489" s="147">
        <v>0</v>
      </c>
      <c r="I489" s="729"/>
      <c r="J489" s="147">
        <v>2.9312399999999998</v>
      </c>
      <c r="K489" s="147">
        <v>0</v>
      </c>
      <c r="L489" s="147">
        <v>18.155799999999999</v>
      </c>
      <c r="M489" s="729"/>
      <c r="N489" s="147">
        <v>18.155799999999999</v>
      </c>
      <c r="O489" s="147">
        <v>0</v>
      </c>
      <c r="P489" s="147">
        <v>13.02093</v>
      </c>
      <c r="Q489" s="147">
        <v>5.1348700000000003</v>
      </c>
      <c r="R489" s="147">
        <v>39.435508830782439</v>
      </c>
    </row>
    <row r="490" spans="2:18" ht="15.75" hidden="1" thickBot="1" x14ac:dyDescent="0.3">
      <c r="B490" s="145" t="s">
        <v>703</v>
      </c>
      <c r="C490" s="722" t="s">
        <v>91</v>
      </c>
      <c r="D490" t="s">
        <v>92</v>
      </c>
      <c r="E490" s="148">
        <v>132.09764999999999</v>
      </c>
      <c r="F490" s="148">
        <v>161.41343000000001</v>
      </c>
      <c r="G490" s="148">
        <v>-29.31578</v>
      </c>
      <c r="H490" s="148">
        <v>-18.16192122303578</v>
      </c>
      <c r="I490" s="728"/>
      <c r="J490" s="148">
        <v>132.09764999999999</v>
      </c>
      <c r="K490" s="148">
        <v>0</v>
      </c>
      <c r="L490" s="148">
        <v>1765.6086700000001</v>
      </c>
      <c r="M490" s="148">
        <v>1878.23758</v>
      </c>
      <c r="N490" s="148">
        <v>-112.62891</v>
      </c>
      <c r="O490" s="148">
        <v>-5.9965209513058513</v>
      </c>
      <c r="P490" s="148">
        <v>940.91134</v>
      </c>
      <c r="Q490" s="148">
        <v>824.69732999999997</v>
      </c>
      <c r="R490" s="148">
        <v>87.648782083974027</v>
      </c>
    </row>
    <row r="491" spans="2:18" ht="15.75" hidden="1" thickBot="1" x14ac:dyDescent="0.3">
      <c r="B491" s="145" t="s">
        <v>703</v>
      </c>
      <c r="C491" s="722" t="s">
        <v>93</v>
      </c>
      <c r="D491" t="s">
        <v>94</v>
      </c>
      <c r="E491" s="147">
        <v>8.0165199999999999</v>
      </c>
      <c r="F491" s="147">
        <v>7.3955399999999996</v>
      </c>
      <c r="G491" s="147">
        <v>0.62097999999999998</v>
      </c>
      <c r="H491" s="147">
        <v>8.3966823247524864</v>
      </c>
      <c r="I491" s="729"/>
      <c r="J491" s="147">
        <v>8.0165199999999999</v>
      </c>
      <c r="K491" s="147">
        <v>0</v>
      </c>
      <c r="L491" s="147">
        <v>150.99378999999999</v>
      </c>
      <c r="M491" s="147">
        <v>86.37697</v>
      </c>
      <c r="N491" s="147">
        <v>64.616820000000004</v>
      </c>
      <c r="O491" s="147">
        <v>74.80792623311514</v>
      </c>
      <c r="P491" s="147">
        <v>84.210539999999995</v>
      </c>
      <c r="Q491" s="147">
        <v>66.783249999999995</v>
      </c>
      <c r="R491" s="147">
        <v>79.305096487921816</v>
      </c>
    </row>
    <row r="492" spans="2:18" ht="15.75" hidden="1" thickBot="1" x14ac:dyDescent="0.3">
      <c r="B492" s="145" t="s">
        <v>703</v>
      </c>
      <c r="C492" s="722" t="s">
        <v>159</v>
      </c>
      <c r="D492" t="s">
        <v>160</v>
      </c>
      <c r="E492" s="148">
        <v>1.45414</v>
      </c>
      <c r="F492" s="148">
        <v>1.32623</v>
      </c>
      <c r="G492" s="148">
        <v>0.12791</v>
      </c>
      <c r="H492" s="148">
        <v>9.6446317757854967</v>
      </c>
      <c r="I492" s="728"/>
      <c r="J492" s="148">
        <v>1.45414</v>
      </c>
      <c r="K492" s="148">
        <v>0</v>
      </c>
      <c r="L492" s="148">
        <v>20.831189999999999</v>
      </c>
      <c r="M492" s="148">
        <v>15.48983</v>
      </c>
      <c r="N492" s="148">
        <v>5.3413599999999999</v>
      </c>
      <c r="O492" s="148">
        <v>34.483012402331077</v>
      </c>
      <c r="P492" s="148">
        <v>11.86232</v>
      </c>
      <c r="Q492" s="148">
        <v>8.9688700000000008</v>
      </c>
      <c r="R492" s="148">
        <v>75.6080598061762</v>
      </c>
    </row>
    <row r="493" spans="2:18" ht="15.75" hidden="1" thickBot="1" x14ac:dyDescent="0.3">
      <c r="B493" s="145" t="s">
        <v>703</v>
      </c>
      <c r="C493" s="722" t="s">
        <v>134</v>
      </c>
      <c r="D493" t="s">
        <v>135</v>
      </c>
      <c r="E493" s="147">
        <v>14.05823</v>
      </c>
      <c r="F493" s="147">
        <v>1.7965199999999999</v>
      </c>
      <c r="G493" s="147">
        <v>12.261710000000001</v>
      </c>
      <c r="H493" s="147">
        <v>682.52566072184004</v>
      </c>
      <c r="I493" s="729"/>
      <c r="J493" s="147">
        <v>14.05823</v>
      </c>
      <c r="K493" s="147">
        <v>0</v>
      </c>
      <c r="L493" s="147">
        <v>198.39966999999999</v>
      </c>
      <c r="M493" s="147">
        <v>39.7042</v>
      </c>
      <c r="N493" s="147">
        <v>158.69547</v>
      </c>
      <c r="O493" s="147">
        <v>399.69441520040704</v>
      </c>
      <c r="P493" s="147">
        <v>96.162840000000003</v>
      </c>
      <c r="Q493" s="147">
        <v>102.23683</v>
      </c>
      <c r="R493" s="147">
        <v>106.31635879306393</v>
      </c>
    </row>
    <row r="494" spans="2:18" ht="15.75" hidden="1" thickBot="1" x14ac:dyDescent="0.3">
      <c r="B494" s="145" t="s">
        <v>703</v>
      </c>
      <c r="C494" s="722" t="s">
        <v>568</v>
      </c>
      <c r="D494" t="s">
        <v>569</v>
      </c>
      <c r="E494" s="148">
        <v>0.67725000000000002</v>
      </c>
      <c r="F494" s="148">
        <v>1.7653000000000001</v>
      </c>
      <c r="G494" s="148">
        <v>-1.08805</v>
      </c>
      <c r="H494" s="148">
        <v>-61.635416076587546</v>
      </c>
      <c r="I494" s="728"/>
      <c r="J494" s="148">
        <v>0.67725000000000002</v>
      </c>
      <c r="K494" s="148">
        <v>0</v>
      </c>
      <c r="L494" s="148">
        <v>21.623529999999999</v>
      </c>
      <c r="M494" s="148">
        <v>21.07246</v>
      </c>
      <c r="N494" s="148">
        <v>0.55106999999999995</v>
      </c>
      <c r="O494" s="148">
        <v>2.6151194497462567</v>
      </c>
      <c r="P494" s="148">
        <v>11.65828</v>
      </c>
      <c r="Q494" s="148">
        <v>9.9652499999999993</v>
      </c>
      <c r="R494" s="148">
        <v>85.477874952394345</v>
      </c>
    </row>
    <row r="495" spans="2:18" ht="15.75" hidden="1" thickBot="1" x14ac:dyDescent="0.3">
      <c r="B495" s="145" t="s">
        <v>703</v>
      </c>
      <c r="C495" s="722" t="s">
        <v>61</v>
      </c>
      <c r="D495" t="s">
        <v>62</v>
      </c>
      <c r="E495" s="147">
        <v>202.9256</v>
      </c>
      <c r="F495" s="147">
        <v>209.42679000000001</v>
      </c>
      <c r="G495" s="147">
        <v>-6.5011900000000002</v>
      </c>
      <c r="H495" s="147">
        <v>-3.1042781107421833</v>
      </c>
      <c r="I495" s="729"/>
      <c r="J495" s="147">
        <v>202.9256</v>
      </c>
      <c r="K495" s="147">
        <v>0</v>
      </c>
      <c r="L495" s="147">
        <v>2357.8132500000002</v>
      </c>
      <c r="M495" s="147">
        <v>2498.3103099999998</v>
      </c>
      <c r="N495" s="147">
        <v>-140.49706</v>
      </c>
      <c r="O495" s="147">
        <v>-5.6236833125825747</v>
      </c>
      <c r="P495" s="147">
        <v>1170.0246099999999</v>
      </c>
      <c r="Q495" s="147">
        <v>1187.78864</v>
      </c>
      <c r="R495" s="147">
        <v>101.51826122700103</v>
      </c>
    </row>
    <row r="496" spans="2:18" ht="15.75" hidden="1" thickBot="1" x14ac:dyDescent="0.3">
      <c r="B496" s="145" t="s">
        <v>703</v>
      </c>
      <c r="C496" s="722" t="s">
        <v>63</v>
      </c>
      <c r="D496" t="s">
        <v>64</v>
      </c>
      <c r="E496" s="148">
        <v>790.09163000000001</v>
      </c>
      <c r="F496" s="148">
        <v>814.73784000000001</v>
      </c>
      <c r="G496" s="148">
        <v>-24.64621</v>
      </c>
      <c r="H496" s="148">
        <v>-3.0250479098896399</v>
      </c>
      <c r="I496" s="728"/>
      <c r="J496" s="148">
        <v>790.09163000000001</v>
      </c>
      <c r="K496" s="148">
        <v>0</v>
      </c>
      <c r="L496" s="148">
        <v>9194.7926399999997</v>
      </c>
      <c r="M496" s="148">
        <v>9719.2332600000009</v>
      </c>
      <c r="N496" s="148">
        <v>-524.44061999999997</v>
      </c>
      <c r="O496" s="148">
        <v>-5.3959052732931321</v>
      </c>
      <c r="P496" s="148">
        <v>4569.4420200000004</v>
      </c>
      <c r="Q496" s="148">
        <v>4625.3506200000002</v>
      </c>
      <c r="R496" s="148">
        <v>101.22353232091125</v>
      </c>
    </row>
    <row r="497" spans="2:18" ht="15.75" hidden="1" thickBot="1" x14ac:dyDescent="0.3">
      <c r="B497" s="145" t="s">
        <v>703</v>
      </c>
      <c r="C497" s="722" t="s">
        <v>156</v>
      </c>
      <c r="D497" t="s">
        <v>157</v>
      </c>
      <c r="E497" s="147">
        <v>35.979280000000003</v>
      </c>
      <c r="F497" s="147">
        <v>21.52299</v>
      </c>
      <c r="G497" s="147">
        <v>14.456289999999999</v>
      </c>
      <c r="H497" s="147">
        <v>67.166736591895457</v>
      </c>
      <c r="I497" s="729"/>
      <c r="J497" s="147">
        <v>35.979280000000003</v>
      </c>
      <c r="K497" s="147">
        <v>0</v>
      </c>
      <c r="L497" s="147">
        <v>751.94637</v>
      </c>
      <c r="M497" s="147">
        <v>256.92092000000002</v>
      </c>
      <c r="N497" s="147">
        <v>495.02544999999998</v>
      </c>
      <c r="O497" s="147">
        <v>192.67619390433447</v>
      </c>
      <c r="P497" s="147">
        <v>354.74590999999998</v>
      </c>
      <c r="Q497" s="147">
        <v>397.20046000000002</v>
      </c>
      <c r="R497" s="147">
        <v>111.96759393223167</v>
      </c>
    </row>
    <row r="498" spans="2:18" ht="15.75" hidden="1" thickBot="1" x14ac:dyDescent="0.3">
      <c r="B498" s="145" t="s">
        <v>703</v>
      </c>
      <c r="C498" s="722" t="s">
        <v>182</v>
      </c>
      <c r="D498" t="s">
        <v>183</v>
      </c>
      <c r="E498" s="728"/>
      <c r="F498" s="728"/>
      <c r="G498" s="728"/>
      <c r="H498" s="728"/>
      <c r="I498" s="728"/>
      <c r="J498" s="728"/>
      <c r="K498" s="728"/>
      <c r="L498" s="148">
        <v>7.1791200000000002</v>
      </c>
      <c r="M498" s="728"/>
      <c r="N498" s="148">
        <v>7.1791200000000002</v>
      </c>
      <c r="O498" s="148">
        <v>0</v>
      </c>
      <c r="P498" s="148">
        <v>5.1624299999999996</v>
      </c>
      <c r="Q498" s="148">
        <v>2.0166900000000001</v>
      </c>
      <c r="R498" s="148">
        <v>39.064742766487875</v>
      </c>
    </row>
    <row r="499" spans="2:18" ht="15.75" hidden="1" thickBot="1" x14ac:dyDescent="0.3">
      <c r="B499" s="145" t="s">
        <v>703</v>
      </c>
      <c r="C499" s="722" t="s">
        <v>184</v>
      </c>
      <c r="D499" t="s">
        <v>185</v>
      </c>
      <c r="E499" s="147">
        <v>67.283929999999998</v>
      </c>
      <c r="F499" s="147">
        <v>1.6284400000000001</v>
      </c>
      <c r="G499" s="147">
        <v>65.65549</v>
      </c>
      <c r="H499" s="147">
        <v>4031.802829702046</v>
      </c>
      <c r="I499" s="729"/>
      <c r="J499" s="147">
        <v>67.283929999999998</v>
      </c>
      <c r="K499" s="147">
        <v>0</v>
      </c>
      <c r="L499" s="147">
        <v>844.98185000000001</v>
      </c>
      <c r="M499" s="147">
        <v>19.019549999999999</v>
      </c>
      <c r="N499" s="147">
        <v>825.96230000000003</v>
      </c>
      <c r="O499" s="147">
        <v>4342.7015886285426</v>
      </c>
      <c r="P499" s="147">
        <v>500.2724</v>
      </c>
      <c r="Q499" s="147">
        <v>344.70945</v>
      </c>
      <c r="R499" s="147">
        <v>68.904350909624441</v>
      </c>
    </row>
    <row r="500" spans="2:18" ht="15.75" hidden="1" thickBot="1" x14ac:dyDescent="0.3">
      <c r="B500" s="145" t="s">
        <v>703</v>
      </c>
      <c r="C500" s="722" t="s">
        <v>161</v>
      </c>
      <c r="D500" t="s">
        <v>162</v>
      </c>
      <c r="E500" s="148">
        <v>5.6495600000000001</v>
      </c>
      <c r="F500" s="728"/>
      <c r="G500" s="148">
        <v>5.6495600000000001</v>
      </c>
      <c r="H500" s="148">
        <v>0</v>
      </c>
      <c r="I500" s="728"/>
      <c r="J500" s="148">
        <v>5.6495600000000001</v>
      </c>
      <c r="K500" s="148">
        <v>0</v>
      </c>
      <c r="L500" s="148">
        <v>90.63073</v>
      </c>
      <c r="M500" s="728"/>
      <c r="N500" s="148">
        <v>90.63073</v>
      </c>
      <c r="O500" s="148">
        <v>0</v>
      </c>
      <c r="P500" s="148">
        <v>55.81709</v>
      </c>
      <c r="Q500" s="148">
        <v>34.813639999999999</v>
      </c>
      <c r="R500" s="148">
        <v>62.370933346758136</v>
      </c>
    </row>
    <row r="501" spans="2:18" ht="15.75" hidden="1" thickBot="1" x14ac:dyDescent="0.3">
      <c r="B501" s="145" t="s">
        <v>703</v>
      </c>
      <c r="C501" s="722" t="s">
        <v>65</v>
      </c>
      <c r="D501" t="s">
        <v>66</v>
      </c>
      <c r="E501" s="147">
        <v>-481.53568999999999</v>
      </c>
      <c r="F501" s="147">
        <v>-349.87403999999998</v>
      </c>
      <c r="G501" s="147">
        <v>-131.66165000000001</v>
      </c>
      <c r="H501" s="147">
        <v>-37.63115720160318</v>
      </c>
      <c r="I501" s="729"/>
      <c r="J501" s="147">
        <v>-481.53568999999999</v>
      </c>
      <c r="K501" s="147">
        <v>0</v>
      </c>
      <c r="L501" s="147">
        <v>-4604.8808200000003</v>
      </c>
      <c r="M501" s="147">
        <v>-4172.9261200000001</v>
      </c>
      <c r="N501" s="147">
        <v>-431.9547</v>
      </c>
      <c r="O501" s="147">
        <v>-10.351362271422145</v>
      </c>
      <c r="P501" s="147">
        <v>-2126.6181799999999</v>
      </c>
      <c r="Q501" s="147">
        <v>-2478.2626399999999</v>
      </c>
      <c r="R501" s="147">
        <v>-116.53538295247716</v>
      </c>
    </row>
    <row r="502" spans="2:18" ht="15.75" hidden="1" thickBot="1" x14ac:dyDescent="0.3">
      <c r="B502" s="145" t="s">
        <v>703</v>
      </c>
      <c r="C502" s="722" t="s">
        <v>186</v>
      </c>
      <c r="D502" t="s">
        <v>187</v>
      </c>
      <c r="E502" s="148">
        <v>-0.33316000000000001</v>
      </c>
      <c r="F502" s="728"/>
      <c r="G502" s="148">
        <v>-0.33316000000000001</v>
      </c>
      <c r="H502" s="148">
        <v>0</v>
      </c>
      <c r="I502" s="728"/>
      <c r="J502" s="148">
        <v>-0.33316000000000001</v>
      </c>
      <c r="K502" s="148">
        <v>0</v>
      </c>
      <c r="L502" s="148">
        <v>-18.608180000000001</v>
      </c>
      <c r="M502" s="728"/>
      <c r="N502" s="148">
        <v>-18.608180000000001</v>
      </c>
      <c r="O502" s="148">
        <v>0</v>
      </c>
      <c r="P502" s="148">
        <v>-13.986330000000001</v>
      </c>
      <c r="Q502" s="148">
        <v>-4.6218500000000002</v>
      </c>
      <c r="R502" s="148">
        <v>-33.045480837360479</v>
      </c>
    </row>
    <row r="503" spans="2:18" ht="15.75" hidden="1" thickBot="1" x14ac:dyDescent="0.3">
      <c r="B503" s="145" t="s">
        <v>703</v>
      </c>
      <c r="C503" s="722" t="s">
        <v>163</v>
      </c>
      <c r="D503" t="s">
        <v>164</v>
      </c>
      <c r="E503" s="147">
        <v>-144.38954000000001</v>
      </c>
      <c r="F503" s="147">
        <v>-95.375749999999996</v>
      </c>
      <c r="G503" s="147">
        <v>-49.01379</v>
      </c>
      <c r="H503" s="147">
        <v>-51.3902013876693</v>
      </c>
      <c r="I503" s="729"/>
      <c r="J503" s="147">
        <v>-144.38954000000001</v>
      </c>
      <c r="K503" s="147">
        <v>0</v>
      </c>
      <c r="L503" s="147">
        <v>-1927.6628499999999</v>
      </c>
      <c r="M503" s="147">
        <v>-1102.7397800000001</v>
      </c>
      <c r="N503" s="147">
        <v>-824.92307000000005</v>
      </c>
      <c r="O503" s="147">
        <v>-74.806684674057919</v>
      </c>
      <c r="P503" s="147">
        <v>-1028.5876800000001</v>
      </c>
      <c r="Q503" s="147">
        <v>-899.07516999999996</v>
      </c>
      <c r="R503" s="147">
        <v>-87.408704914684577</v>
      </c>
    </row>
    <row r="504" spans="2:18" ht="15.75" hidden="1" thickBot="1" x14ac:dyDescent="0.3">
      <c r="B504" s="145" t="s">
        <v>703</v>
      </c>
      <c r="C504" s="722" t="s">
        <v>97</v>
      </c>
      <c r="D504" t="s">
        <v>98</v>
      </c>
      <c r="E504" s="148">
        <v>-7.7690099999999997</v>
      </c>
      <c r="F504" s="728"/>
      <c r="G504" s="148">
        <v>-7.7690099999999997</v>
      </c>
      <c r="H504" s="148">
        <v>0</v>
      </c>
      <c r="I504" s="728"/>
      <c r="J504" s="148">
        <v>-7.7690099999999997</v>
      </c>
      <c r="K504" s="148">
        <v>0</v>
      </c>
      <c r="L504" s="148">
        <v>-163.74632</v>
      </c>
      <c r="M504" s="728"/>
      <c r="N504" s="148">
        <v>-163.74632</v>
      </c>
      <c r="O504" s="148">
        <v>0</v>
      </c>
      <c r="P504" s="148">
        <v>-91.448859999999996</v>
      </c>
      <c r="Q504" s="148">
        <v>-72.297460000000001</v>
      </c>
      <c r="R504" s="148">
        <v>-79.057803454302217</v>
      </c>
    </row>
    <row r="505" spans="2:18" ht="15.75" hidden="1" thickBot="1" x14ac:dyDescent="0.3">
      <c r="B505" s="145" t="s">
        <v>703</v>
      </c>
      <c r="C505" s="149" t="s">
        <v>67</v>
      </c>
      <c r="D505" t="s">
        <v>68</v>
      </c>
      <c r="E505" s="147">
        <v>1672.75521</v>
      </c>
      <c r="F505" s="147">
        <v>1962.3990799999999</v>
      </c>
      <c r="G505" s="147">
        <v>-289.64386999999999</v>
      </c>
      <c r="H505" s="147">
        <v>-14.759682317013723</v>
      </c>
      <c r="I505" s="729"/>
      <c r="J505" s="147">
        <v>1672.75521</v>
      </c>
      <c r="K505" s="147">
        <v>0</v>
      </c>
      <c r="L505" s="147">
        <v>22396.942289999999</v>
      </c>
      <c r="M505" s="147">
        <v>23462.031050000001</v>
      </c>
      <c r="N505" s="147">
        <v>-1065.0887600000001</v>
      </c>
      <c r="O505" s="147">
        <v>-4.5396272715272872</v>
      </c>
      <c r="P505" s="147">
        <v>11501.34569</v>
      </c>
      <c r="Q505" s="147">
        <v>10895.596600000001</v>
      </c>
      <c r="R505" s="147">
        <v>94.733232907461627</v>
      </c>
    </row>
    <row r="506" spans="2:18" ht="15.75" hidden="1" thickBot="1" x14ac:dyDescent="0.3">
      <c r="B506" s="145" t="s">
        <v>703</v>
      </c>
      <c r="C506" s="722" t="s">
        <v>69</v>
      </c>
      <c r="D506" t="s">
        <v>70</v>
      </c>
      <c r="E506" s="148">
        <v>11.034000000000001</v>
      </c>
      <c r="F506" s="148">
        <v>22.406030000000001</v>
      </c>
      <c r="G506" s="148">
        <v>-11.372030000000001</v>
      </c>
      <c r="H506" s="148">
        <v>-50.754328187545944</v>
      </c>
      <c r="I506" s="728"/>
      <c r="J506" s="148">
        <v>11.034000000000001</v>
      </c>
      <c r="K506" s="148">
        <v>0</v>
      </c>
      <c r="L506" s="148">
        <v>256.75056000000001</v>
      </c>
      <c r="M506" s="148">
        <v>313.35199999999998</v>
      </c>
      <c r="N506" s="148">
        <v>-56.601439999999997</v>
      </c>
      <c r="O506" s="148">
        <v>-18.063213255380532</v>
      </c>
      <c r="P506" s="148">
        <v>128.19658000000001</v>
      </c>
      <c r="Q506" s="148">
        <v>128.55398</v>
      </c>
      <c r="R506" s="148">
        <v>100.27879058864129</v>
      </c>
    </row>
    <row r="507" spans="2:18" ht="15.75" hidden="1" thickBot="1" x14ac:dyDescent="0.3">
      <c r="B507" s="145" t="s">
        <v>703</v>
      </c>
      <c r="C507" s="722" t="s">
        <v>582</v>
      </c>
      <c r="D507" t="s">
        <v>583</v>
      </c>
      <c r="E507" s="147">
        <v>1.05</v>
      </c>
      <c r="F507" s="147">
        <v>1.575</v>
      </c>
      <c r="G507" s="147">
        <v>-0.52500000000000002</v>
      </c>
      <c r="H507" s="147">
        <v>-33.333333333333336</v>
      </c>
      <c r="I507" s="729"/>
      <c r="J507" s="147">
        <v>1.05</v>
      </c>
      <c r="K507" s="147">
        <v>0</v>
      </c>
      <c r="L507" s="147">
        <v>12.61074</v>
      </c>
      <c r="M507" s="147">
        <v>18.899999999999999</v>
      </c>
      <c r="N507" s="147">
        <v>-6.2892599999999996</v>
      </c>
      <c r="O507" s="147">
        <v>-33.276507936507933</v>
      </c>
      <c r="P507" s="147">
        <v>6.31074</v>
      </c>
      <c r="Q507" s="147">
        <v>6.3</v>
      </c>
      <c r="R507" s="147">
        <v>99.829813936242019</v>
      </c>
    </row>
    <row r="508" spans="2:18" ht="15.75" hidden="1" thickBot="1" x14ac:dyDescent="0.3">
      <c r="B508" s="145" t="s">
        <v>703</v>
      </c>
      <c r="C508" s="722" t="s">
        <v>99</v>
      </c>
      <c r="D508" t="s">
        <v>100</v>
      </c>
      <c r="E508" s="148">
        <v>7.5835499999999998</v>
      </c>
      <c r="F508" s="148">
        <v>8.5239999999999991</v>
      </c>
      <c r="G508" s="148">
        <v>-0.94045000000000001</v>
      </c>
      <c r="H508" s="148">
        <v>-11.032965743782261</v>
      </c>
      <c r="I508" s="728"/>
      <c r="J508" s="148">
        <v>7.5835499999999998</v>
      </c>
      <c r="K508" s="148">
        <v>0</v>
      </c>
      <c r="L508" s="148">
        <v>84.230109999999996</v>
      </c>
      <c r="M508" s="148">
        <v>103.54</v>
      </c>
      <c r="N508" s="148">
        <v>-19.309889999999999</v>
      </c>
      <c r="O508" s="148">
        <v>-18.649690940699248</v>
      </c>
      <c r="P508" s="148">
        <v>39.049709999999997</v>
      </c>
      <c r="Q508" s="148">
        <v>45.180399999999999</v>
      </c>
      <c r="R508" s="148">
        <v>115.69970686081919</v>
      </c>
    </row>
    <row r="509" spans="2:18" ht="15.75" hidden="1" thickBot="1" x14ac:dyDescent="0.3">
      <c r="B509" s="145" t="s">
        <v>703</v>
      </c>
      <c r="C509" s="722" t="s">
        <v>165</v>
      </c>
      <c r="D509" t="s">
        <v>166</v>
      </c>
      <c r="E509" s="147">
        <v>0.65046999999999999</v>
      </c>
      <c r="F509" s="729"/>
      <c r="G509" s="147">
        <v>0.65046999999999999</v>
      </c>
      <c r="H509" s="147">
        <v>0</v>
      </c>
      <c r="I509" s="729"/>
      <c r="J509" s="147">
        <v>0.65046999999999999</v>
      </c>
      <c r="K509" s="147">
        <v>0</v>
      </c>
      <c r="L509" s="147">
        <v>16.17568</v>
      </c>
      <c r="M509" s="729"/>
      <c r="N509" s="147">
        <v>16.17568</v>
      </c>
      <c r="O509" s="147">
        <v>0</v>
      </c>
      <c r="P509" s="147">
        <v>9.53186</v>
      </c>
      <c r="Q509" s="147">
        <v>6.6438199999999998</v>
      </c>
      <c r="R509" s="147">
        <v>69.701191582755101</v>
      </c>
    </row>
    <row r="510" spans="2:18" ht="15.75" hidden="1" thickBot="1" x14ac:dyDescent="0.3">
      <c r="B510" s="145" t="s">
        <v>703</v>
      </c>
      <c r="C510" s="722" t="s">
        <v>188</v>
      </c>
      <c r="D510" t="s">
        <v>189</v>
      </c>
      <c r="E510" s="148">
        <v>7.2995999999999999</v>
      </c>
      <c r="F510" s="728"/>
      <c r="G510" s="148">
        <v>7.2995999999999999</v>
      </c>
      <c r="H510" s="148">
        <v>0</v>
      </c>
      <c r="I510" s="728"/>
      <c r="J510" s="148">
        <v>7.2995999999999999</v>
      </c>
      <c r="K510" s="148">
        <v>0</v>
      </c>
      <c r="L510" s="148">
        <v>99.734920000000002</v>
      </c>
      <c r="M510" s="728"/>
      <c r="N510" s="148">
        <v>99.734920000000002</v>
      </c>
      <c r="O510" s="148">
        <v>0</v>
      </c>
      <c r="P510" s="148">
        <v>48.635390000000001</v>
      </c>
      <c r="Q510" s="148">
        <v>51.099530000000001</v>
      </c>
      <c r="R510" s="148">
        <v>105.06655750061837</v>
      </c>
    </row>
    <row r="511" spans="2:18" ht="15.75" hidden="1" thickBot="1" x14ac:dyDescent="0.3">
      <c r="B511" s="145" t="s">
        <v>703</v>
      </c>
      <c r="C511" s="722" t="s">
        <v>137</v>
      </c>
      <c r="D511" t="s">
        <v>138</v>
      </c>
      <c r="E511" s="147">
        <v>1.2948900000000001</v>
      </c>
      <c r="F511" s="147">
        <v>1.2866599999999999</v>
      </c>
      <c r="G511" s="147">
        <v>8.2299999999999995E-3</v>
      </c>
      <c r="H511" s="147">
        <v>0.63964061989958498</v>
      </c>
      <c r="I511" s="729"/>
      <c r="J511" s="147">
        <v>1.2948900000000001</v>
      </c>
      <c r="K511" s="147">
        <v>0</v>
      </c>
      <c r="L511" s="147">
        <v>14.676460000000001</v>
      </c>
      <c r="M511" s="147">
        <v>13.439920000000001</v>
      </c>
      <c r="N511" s="147">
        <v>1.23654</v>
      </c>
      <c r="O511" s="147">
        <v>9.200501193459484</v>
      </c>
      <c r="P511" s="147">
        <v>6.6574499999999999</v>
      </c>
      <c r="Q511" s="147">
        <v>8.0190099999999997</v>
      </c>
      <c r="R511" s="147">
        <v>120.45167443991318</v>
      </c>
    </row>
    <row r="512" spans="2:18" ht="15.75" hidden="1" thickBot="1" x14ac:dyDescent="0.3">
      <c r="B512" s="145" t="s">
        <v>703</v>
      </c>
      <c r="C512" s="722" t="s">
        <v>190</v>
      </c>
      <c r="D512" t="s">
        <v>191</v>
      </c>
      <c r="E512" s="148">
        <v>-0.72941</v>
      </c>
      <c r="F512" s="148">
        <v>1.7506600000000001</v>
      </c>
      <c r="G512" s="148">
        <v>-2.48007</v>
      </c>
      <c r="H512" s="148">
        <v>-141.66485782504884</v>
      </c>
      <c r="I512" s="728"/>
      <c r="J512" s="148">
        <v>-0.72941</v>
      </c>
      <c r="K512" s="148">
        <v>0</v>
      </c>
      <c r="L512" s="148">
        <v>19.829699999999999</v>
      </c>
      <c r="M512" s="148">
        <v>21.007919999999999</v>
      </c>
      <c r="N512" s="148">
        <v>-1.17822</v>
      </c>
      <c r="O512" s="148">
        <v>-5.6084562393611552</v>
      </c>
      <c r="P512" s="148">
        <v>9.3021899999999995</v>
      </c>
      <c r="Q512" s="148">
        <v>10.527509999999999</v>
      </c>
      <c r="R512" s="148">
        <v>113.17238198746746</v>
      </c>
    </row>
    <row r="513" spans="2:18" ht="15.75" hidden="1" thickBot="1" x14ac:dyDescent="0.3">
      <c r="B513" s="145" t="s">
        <v>703</v>
      </c>
      <c r="C513" s="722" t="s">
        <v>36</v>
      </c>
      <c r="D513" t="s">
        <v>192</v>
      </c>
      <c r="E513" s="147">
        <v>5.2953599999999996</v>
      </c>
      <c r="F513" s="147">
        <v>5.8659999999999997</v>
      </c>
      <c r="G513" s="147">
        <v>-0.57064000000000004</v>
      </c>
      <c r="H513" s="147">
        <v>-9.7279236276849641</v>
      </c>
      <c r="I513" s="729"/>
      <c r="J513" s="147">
        <v>5.2953599999999996</v>
      </c>
      <c r="K513" s="147">
        <v>0</v>
      </c>
      <c r="L513" s="147">
        <v>85.108890000000002</v>
      </c>
      <c r="M513" s="147">
        <v>70.391999999999996</v>
      </c>
      <c r="N513" s="147">
        <v>14.716889999999999</v>
      </c>
      <c r="O513" s="147">
        <v>20.907049096488237</v>
      </c>
      <c r="P513" s="147">
        <v>45.975050000000003</v>
      </c>
      <c r="Q513" s="147">
        <v>39.133839999999999</v>
      </c>
      <c r="R513" s="147">
        <v>85.119733420627057</v>
      </c>
    </row>
    <row r="514" spans="2:18" ht="15.75" hidden="1" thickBot="1" x14ac:dyDescent="0.3">
      <c r="B514" s="145" t="s">
        <v>703</v>
      </c>
      <c r="C514" s="722" t="s">
        <v>598</v>
      </c>
      <c r="D514" t="s">
        <v>168</v>
      </c>
      <c r="E514" s="148">
        <v>0.11508</v>
      </c>
      <c r="F514" s="728"/>
      <c r="G514" s="148">
        <v>0.11508</v>
      </c>
      <c r="H514" s="148">
        <v>0</v>
      </c>
      <c r="I514" s="728"/>
      <c r="J514" s="148">
        <v>0.11508</v>
      </c>
      <c r="K514" s="148">
        <v>0</v>
      </c>
      <c r="L514" s="148">
        <v>0.23321</v>
      </c>
      <c r="M514" s="728"/>
      <c r="N514" s="148">
        <v>0.23321</v>
      </c>
      <c r="O514" s="148">
        <v>0</v>
      </c>
      <c r="P514" s="148">
        <v>0.10814</v>
      </c>
      <c r="Q514" s="148">
        <v>0.12506999999999999</v>
      </c>
      <c r="R514" s="148">
        <v>115.65563158868135</v>
      </c>
    </row>
    <row r="515" spans="2:18" ht="15.75" hidden="1" thickBot="1" x14ac:dyDescent="0.3">
      <c r="B515" s="145" t="s">
        <v>703</v>
      </c>
      <c r="C515" s="722" t="s">
        <v>139</v>
      </c>
      <c r="D515" t="s">
        <v>140</v>
      </c>
      <c r="E515" s="147">
        <v>8.07456</v>
      </c>
      <c r="F515" s="147">
        <v>2.0397500000000002</v>
      </c>
      <c r="G515" s="147">
        <v>6.0348100000000002</v>
      </c>
      <c r="H515" s="147">
        <v>295.86027699472976</v>
      </c>
      <c r="I515" s="729"/>
      <c r="J515" s="147">
        <v>8.07456</v>
      </c>
      <c r="K515" s="147">
        <v>0</v>
      </c>
      <c r="L515" s="147">
        <v>485.52265999999997</v>
      </c>
      <c r="M515" s="147">
        <v>531.40099999999995</v>
      </c>
      <c r="N515" s="147">
        <v>-45.878340000000001</v>
      </c>
      <c r="O515" s="147">
        <v>-8.6334688869610705</v>
      </c>
      <c r="P515" s="147">
        <v>225.69705999999999</v>
      </c>
      <c r="Q515" s="147">
        <v>259.82560000000001</v>
      </c>
      <c r="R515" s="147">
        <v>115.12139325164448</v>
      </c>
    </row>
    <row r="516" spans="2:18" ht="15.75" hidden="1" thickBot="1" x14ac:dyDescent="0.3">
      <c r="B516" s="145" t="s">
        <v>703</v>
      </c>
      <c r="C516" s="722" t="s">
        <v>169</v>
      </c>
      <c r="D516" t="s">
        <v>170</v>
      </c>
      <c r="E516" s="148">
        <v>14.411</v>
      </c>
      <c r="F516" s="148">
        <v>9.6333699999999993</v>
      </c>
      <c r="G516" s="148">
        <v>4.7776300000000003</v>
      </c>
      <c r="H516" s="148">
        <v>49.594586318183566</v>
      </c>
      <c r="I516" s="728"/>
      <c r="J516" s="148">
        <v>14.411</v>
      </c>
      <c r="K516" s="148">
        <v>0</v>
      </c>
      <c r="L516" s="148">
        <v>230.0829</v>
      </c>
      <c r="M516" s="148">
        <v>121.6</v>
      </c>
      <c r="N516" s="148">
        <v>108.4829</v>
      </c>
      <c r="O516" s="148">
        <v>89.212911184210526</v>
      </c>
      <c r="P516" s="148">
        <v>87.384709999999998</v>
      </c>
      <c r="Q516" s="148">
        <v>142.69819000000001</v>
      </c>
      <c r="R516" s="148">
        <v>163.29880822400165</v>
      </c>
    </row>
    <row r="517" spans="2:18" ht="15.75" hidden="1" thickBot="1" x14ac:dyDescent="0.3">
      <c r="B517" s="145" t="s">
        <v>703</v>
      </c>
      <c r="C517" s="722" t="s">
        <v>101</v>
      </c>
      <c r="D517" t="s">
        <v>102</v>
      </c>
      <c r="E517" s="147">
        <v>171.03791000000001</v>
      </c>
      <c r="F517" s="147">
        <v>59.141629999999999</v>
      </c>
      <c r="G517" s="147">
        <v>111.89628</v>
      </c>
      <c r="H517" s="147">
        <v>189.20053437823745</v>
      </c>
      <c r="I517" s="729"/>
      <c r="J517" s="147">
        <v>171.03791000000001</v>
      </c>
      <c r="K517" s="147">
        <v>0</v>
      </c>
      <c r="L517" s="147">
        <v>1554.4114099999999</v>
      </c>
      <c r="M517" s="147">
        <v>702.70399999999995</v>
      </c>
      <c r="N517" s="147">
        <v>851.70740999999998</v>
      </c>
      <c r="O517" s="147">
        <v>121.20429227669118</v>
      </c>
      <c r="P517" s="147">
        <v>609.61749999999995</v>
      </c>
      <c r="Q517" s="147">
        <v>944.79390999999998</v>
      </c>
      <c r="R517" s="147">
        <v>154.9814285187023</v>
      </c>
    </row>
    <row r="518" spans="2:18" ht="15.75" hidden="1" thickBot="1" x14ac:dyDescent="0.3">
      <c r="B518" s="145" t="s">
        <v>703</v>
      </c>
      <c r="C518" s="722" t="s">
        <v>605</v>
      </c>
      <c r="D518" t="s">
        <v>606</v>
      </c>
      <c r="E518" s="728"/>
      <c r="F518" s="728"/>
      <c r="G518" s="728"/>
      <c r="H518" s="728"/>
      <c r="I518" s="728"/>
      <c r="J518" s="728"/>
      <c r="K518" s="728"/>
      <c r="L518" s="148">
        <v>0.98794999999999999</v>
      </c>
      <c r="M518" s="728"/>
      <c r="N518" s="148">
        <v>0.98794999999999999</v>
      </c>
      <c r="O518" s="148">
        <v>0</v>
      </c>
      <c r="P518" s="148">
        <v>0.98794999999999999</v>
      </c>
      <c r="Q518" s="148">
        <v>0</v>
      </c>
      <c r="R518" s="148">
        <v>0</v>
      </c>
    </row>
    <row r="519" spans="2:18" ht="15.75" hidden="1" thickBot="1" x14ac:dyDescent="0.3">
      <c r="B519" s="145" t="s">
        <v>703</v>
      </c>
      <c r="C519" s="722" t="s">
        <v>462</v>
      </c>
      <c r="D519" t="s">
        <v>463</v>
      </c>
      <c r="E519" s="729"/>
      <c r="F519" s="729"/>
      <c r="G519" s="729"/>
      <c r="H519" s="729"/>
      <c r="I519" s="729"/>
      <c r="J519" s="729"/>
      <c r="K519" s="729"/>
      <c r="L519" s="147">
        <v>1.6999</v>
      </c>
      <c r="M519" s="729"/>
      <c r="N519" s="147">
        <v>1.6999</v>
      </c>
      <c r="O519" s="147">
        <v>0</v>
      </c>
      <c r="P519" s="147">
        <v>0.16125999999999999</v>
      </c>
      <c r="Q519" s="147">
        <v>1.53864</v>
      </c>
      <c r="R519" s="147">
        <v>954.13617760138902</v>
      </c>
    </row>
    <row r="520" spans="2:18" ht="15.75" hidden="1" thickBot="1" x14ac:dyDescent="0.3">
      <c r="B520" s="145" t="s">
        <v>703</v>
      </c>
      <c r="C520" s="722" t="s">
        <v>464</v>
      </c>
      <c r="D520" t="s">
        <v>465</v>
      </c>
      <c r="E520" s="148">
        <v>16.59271</v>
      </c>
      <c r="F520" s="148">
        <v>8.7200000000000006</v>
      </c>
      <c r="G520" s="148">
        <v>7.8727099999999997</v>
      </c>
      <c r="H520" s="148">
        <v>90.283371559633025</v>
      </c>
      <c r="I520" s="728"/>
      <c r="J520" s="148">
        <v>16.59271</v>
      </c>
      <c r="K520" s="148">
        <v>0</v>
      </c>
      <c r="L520" s="148">
        <v>110.07592</v>
      </c>
      <c r="M520" s="148">
        <v>100.5</v>
      </c>
      <c r="N520" s="148">
        <v>9.57592</v>
      </c>
      <c r="O520" s="148">
        <v>9.5282786069651735</v>
      </c>
      <c r="P520" s="148">
        <v>61.127630000000003</v>
      </c>
      <c r="Q520" s="148">
        <v>48.94829</v>
      </c>
      <c r="R520" s="148">
        <v>80.075556667255057</v>
      </c>
    </row>
    <row r="521" spans="2:18" ht="15.75" hidden="1" thickBot="1" x14ac:dyDescent="0.3">
      <c r="B521" s="145" t="s">
        <v>703</v>
      </c>
      <c r="C521" s="722" t="s">
        <v>619</v>
      </c>
      <c r="D521" t="s">
        <v>620</v>
      </c>
      <c r="E521" s="729"/>
      <c r="F521" s="729"/>
      <c r="G521" s="729"/>
      <c r="H521" s="729"/>
      <c r="I521" s="729"/>
      <c r="J521" s="729"/>
      <c r="K521" s="729"/>
      <c r="L521" s="147">
        <v>0.28560000000000002</v>
      </c>
      <c r="M521" s="729"/>
      <c r="N521" s="147">
        <v>0.28560000000000002</v>
      </c>
      <c r="O521" s="147">
        <v>0</v>
      </c>
      <c r="P521" s="729"/>
      <c r="Q521" s="147">
        <v>0.28560000000000002</v>
      </c>
      <c r="R521" s="147">
        <v>0</v>
      </c>
    </row>
    <row r="522" spans="2:18" ht="15.75" hidden="1" thickBot="1" x14ac:dyDescent="0.3">
      <c r="B522" s="145" t="s">
        <v>703</v>
      </c>
      <c r="C522" s="722" t="s">
        <v>103</v>
      </c>
      <c r="D522" t="s">
        <v>104</v>
      </c>
      <c r="E522" s="148">
        <v>1.1961200000000001</v>
      </c>
      <c r="F522" s="728"/>
      <c r="G522" s="148">
        <v>1.1961200000000001</v>
      </c>
      <c r="H522" s="148">
        <v>0</v>
      </c>
      <c r="I522" s="728"/>
      <c r="J522" s="148">
        <v>1.1961200000000001</v>
      </c>
      <c r="K522" s="148">
        <v>0</v>
      </c>
      <c r="L522" s="148">
        <v>32.413429999999998</v>
      </c>
      <c r="M522" s="728"/>
      <c r="N522" s="148">
        <v>32.413429999999998</v>
      </c>
      <c r="O522" s="148">
        <v>0</v>
      </c>
      <c r="P522" s="148">
        <v>4.2888700000000002</v>
      </c>
      <c r="Q522" s="148">
        <v>28.124559999999999</v>
      </c>
      <c r="R522" s="148">
        <v>655.75687768573073</v>
      </c>
    </row>
    <row r="523" spans="2:18" ht="15.75" hidden="1" thickBot="1" x14ac:dyDescent="0.3">
      <c r="B523" s="145" t="s">
        <v>703</v>
      </c>
      <c r="C523" s="722" t="s">
        <v>71</v>
      </c>
      <c r="D523" t="s">
        <v>72</v>
      </c>
      <c r="E523" s="147">
        <v>-4.1000000000000002E-2</v>
      </c>
      <c r="F523" s="729"/>
      <c r="G523" s="147">
        <v>-4.1000000000000002E-2</v>
      </c>
      <c r="H523" s="147">
        <v>0</v>
      </c>
      <c r="I523" s="729"/>
      <c r="J523" s="147">
        <v>-4.1000000000000002E-2</v>
      </c>
      <c r="K523" s="147">
        <v>0</v>
      </c>
      <c r="L523" s="147">
        <v>2.04582</v>
      </c>
      <c r="M523" s="729"/>
      <c r="N523" s="147">
        <v>2.04582</v>
      </c>
      <c r="O523" s="147">
        <v>0</v>
      </c>
      <c r="P523" s="147">
        <v>0.67425000000000002</v>
      </c>
      <c r="Q523" s="147">
        <v>1.37157</v>
      </c>
      <c r="R523" s="147">
        <v>203.42157953281423</v>
      </c>
    </row>
    <row r="524" spans="2:18" ht="15.75" hidden="1" thickBot="1" x14ac:dyDescent="0.3">
      <c r="B524" s="145" t="s">
        <v>703</v>
      </c>
      <c r="C524" s="722" t="s">
        <v>105</v>
      </c>
      <c r="D524" t="s">
        <v>106</v>
      </c>
      <c r="E524" s="148">
        <v>209.45139</v>
      </c>
      <c r="F524" s="148">
        <v>239.78700000000001</v>
      </c>
      <c r="G524" s="148">
        <v>-30.335609999999999</v>
      </c>
      <c r="H524" s="148">
        <v>-12.651065320471918</v>
      </c>
      <c r="I524" s="728"/>
      <c r="J524" s="148">
        <v>209.45139</v>
      </c>
      <c r="K524" s="148">
        <v>0</v>
      </c>
      <c r="L524" s="148">
        <v>2323.1508100000001</v>
      </c>
      <c r="M524" s="148">
        <v>2563.1280200000001</v>
      </c>
      <c r="N524" s="148">
        <v>-239.97721000000001</v>
      </c>
      <c r="O524" s="148">
        <v>-9.3626696804633269</v>
      </c>
      <c r="P524" s="148">
        <v>1234.2753</v>
      </c>
      <c r="Q524" s="148">
        <v>1088.8755100000001</v>
      </c>
      <c r="R524" s="148">
        <v>88.219825026069955</v>
      </c>
    </row>
    <row r="525" spans="2:18" ht="15.75" hidden="1" thickBot="1" x14ac:dyDescent="0.3">
      <c r="B525" s="145" t="s">
        <v>703</v>
      </c>
      <c r="C525" s="722" t="s">
        <v>627</v>
      </c>
      <c r="D525" t="s">
        <v>628</v>
      </c>
      <c r="E525" s="147">
        <v>6.6140000000000004E-2</v>
      </c>
      <c r="F525" s="729"/>
      <c r="G525" s="147">
        <v>6.6140000000000004E-2</v>
      </c>
      <c r="H525" s="147">
        <v>0</v>
      </c>
      <c r="I525" s="729"/>
      <c r="J525" s="147">
        <v>6.6140000000000004E-2</v>
      </c>
      <c r="K525" s="147">
        <v>0</v>
      </c>
      <c r="L525" s="147">
        <v>1.12216</v>
      </c>
      <c r="M525" s="729"/>
      <c r="N525" s="147">
        <v>1.12216</v>
      </c>
      <c r="O525" s="147">
        <v>0</v>
      </c>
      <c r="P525" s="147">
        <v>0.89746000000000004</v>
      </c>
      <c r="Q525" s="147">
        <v>0.22470000000000001</v>
      </c>
      <c r="R525" s="147">
        <v>25.037327568916719</v>
      </c>
    </row>
    <row r="526" spans="2:18" ht="15.75" hidden="1" thickBot="1" x14ac:dyDescent="0.3">
      <c r="B526" s="145" t="s">
        <v>703</v>
      </c>
      <c r="C526" s="722" t="s">
        <v>107</v>
      </c>
      <c r="D526" t="s">
        <v>108</v>
      </c>
      <c r="E526" s="148">
        <v>67.500929999999997</v>
      </c>
      <c r="F526" s="148">
        <v>75.105000000000004</v>
      </c>
      <c r="G526" s="148">
        <v>-7.6040700000000001</v>
      </c>
      <c r="H526" s="148">
        <v>-10.124585580187738</v>
      </c>
      <c r="I526" s="728"/>
      <c r="J526" s="148">
        <v>67.500929999999997</v>
      </c>
      <c r="K526" s="148">
        <v>0</v>
      </c>
      <c r="L526" s="148">
        <v>834.97284999999999</v>
      </c>
      <c r="M526" s="148">
        <v>901.26</v>
      </c>
      <c r="N526" s="148">
        <v>-66.287149999999997</v>
      </c>
      <c r="O526" s="148">
        <v>-7.3549419701307057</v>
      </c>
      <c r="P526" s="148">
        <v>415.90487999999999</v>
      </c>
      <c r="Q526" s="148">
        <v>419.06797</v>
      </c>
      <c r="R526" s="148">
        <v>100.76053207166024</v>
      </c>
    </row>
    <row r="527" spans="2:18" ht="15.75" hidden="1" thickBot="1" x14ac:dyDescent="0.3">
      <c r="B527" s="145" t="s">
        <v>703</v>
      </c>
      <c r="C527" s="722" t="s">
        <v>109</v>
      </c>
      <c r="D527" t="s">
        <v>110</v>
      </c>
      <c r="E527" s="147">
        <v>3.3151799999999998</v>
      </c>
      <c r="F527" s="147">
        <v>5.7640000000000002</v>
      </c>
      <c r="G527" s="147">
        <v>-2.44882</v>
      </c>
      <c r="H527" s="147">
        <v>-42.484732824427482</v>
      </c>
      <c r="I527" s="729"/>
      <c r="J527" s="147">
        <v>3.3151799999999998</v>
      </c>
      <c r="K527" s="147">
        <v>0</v>
      </c>
      <c r="L527" s="147">
        <v>61.765509999999999</v>
      </c>
      <c r="M527" s="147">
        <v>68.162999999999997</v>
      </c>
      <c r="N527" s="147">
        <v>-6.3974900000000003</v>
      </c>
      <c r="O527" s="147">
        <v>-9.3855757522409515</v>
      </c>
      <c r="P527" s="147">
        <v>28.74222</v>
      </c>
      <c r="Q527" s="147">
        <v>33.023290000000003</v>
      </c>
      <c r="R527" s="147">
        <v>114.89470889861674</v>
      </c>
    </row>
    <row r="528" spans="2:18" ht="15.75" hidden="1" thickBot="1" x14ac:dyDescent="0.3">
      <c r="B528" s="145" t="s">
        <v>703</v>
      </c>
      <c r="C528" s="722" t="s">
        <v>73</v>
      </c>
      <c r="D528" t="s">
        <v>74</v>
      </c>
      <c r="E528" s="148">
        <v>3.5181499999999999</v>
      </c>
      <c r="F528" s="148">
        <v>7.3793300000000004</v>
      </c>
      <c r="G528" s="148">
        <v>-3.8611800000000001</v>
      </c>
      <c r="H528" s="148">
        <v>-52.324262500796145</v>
      </c>
      <c r="I528" s="728"/>
      <c r="J528" s="148">
        <v>3.5181499999999999</v>
      </c>
      <c r="K528" s="148">
        <v>0</v>
      </c>
      <c r="L528" s="148">
        <v>93.942080000000004</v>
      </c>
      <c r="M528" s="148">
        <v>89.451999999999998</v>
      </c>
      <c r="N528" s="148">
        <v>4.4900799999999998</v>
      </c>
      <c r="O528" s="148">
        <v>5.0195412064570943</v>
      </c>
      <c r="P528" s="148">
        <v>54.663510000000002</v>
      </c>
      <c r="Q528" s="148">
        <v>39.278570000000002</v>
      </c>
      <c r="R528" s="148">
        <v>71.855191882116614</v>
      </c>
    </row>
    <row r="529" spans="2:18" ht="15.75" hidden="1" thickBot="1" x14ac:dyDescent="0.3">
      <c r="B529" s="145" t="s">
        <v>703</v>
      </c>
      <c r="C529" s="722" t="s">
        <v>111</v>
      </c>
      <c r="D529" t="s">
        <v>112</v>
      </c>
      <c r="E529" s="147">
        <v>-0.17175000000000001</v>
      </c>
      <c r="F529" s="147">
        <v>1.27</v>
      </c>
      <c r="G529" s="147">
        <v>-1.4417500000000001</v>
      </c>
      <c r="H529" s="147">
        <v>-113.52362204724409</v>
      </c>
      <c r="I529" s="729"/>
      <c r="J529" s="147">
        <v>-0.17175000000000001</v>
      </c>
      <c r="K529" s="147">
        <v>0</v>
      </c>
      <c r="L529" s="147">
        <v>10.93221</v>
      </c>
      <c r="M529" s="147">
        <v>17.420000000000002</v>
      </c>
      <c r="N529" s="147">
        <v>-6.4877900000000004</v>
      </c>
      <c r="O529" s="147">
        <v>-37.243340987370836</v>
      </c>
      <c r="P529" s="147">
        <v>2.70018</v>
      </c>
      <c r="Q529" s="147">
        <v>8.23203</v>
      </c>
      <c r="R529" s="147">
        <v>304.86967535497632</v>
      </c>
    </row>
    <row r="530" spans="2:18" ht="15.75" hidden="1" thickBot="1" x14ac:dyDescent="0.3">
      <c r="B530" s="145" t="s">
        <v>703</v>
      </c>
      <c r="C530" s="722" t="s">
        <v>141</v>
      </c>
      <c r="D530" t="s">
        <v>142</v>
      </c>
      <c r="E530" s="148">
        <v>0.37651000000000001</v>
      </c>
      <c r="F530" s="148">
        <v>0.57820000000000005</v>
      </c>
      <c r="G530" s="148">
        <v>-0.20169000000000001</v>
      </c>
      <c r="H530" s="148">
        <v>-34.882393635420271</v>
      </c>
      <c r="I530" s="728"/>
      <c r="J530" s="148">
        <v>0.37651000000000001</v>
      </c>
      <c r="K530" s="148">
        <v>0</v>
      </c>
      <c r="L530" s="148">
        <v>8.8312200000000001</v>
      </c>
      <c r="M530" s="148">
        <v>5.4879600000000002</v>
      </c>
      <c r="N530" s="148">
        <v>3.3432599999999999</v>
      </c>
      <c r="O530" s="148">
        <v>60.919904664028167</v>
      </c>
      <c r="P530" s="148">
        <v>5.4998100000000001</v>
      </c>
      <c r="Q530" s="148">
        <v>3.33141</v>
      </c>
      <c r="R530" s="148">
        <v>60.573183437246016</v>
      </c>
    </row>
    <row r="531" spans="2:18" ht="15.75" hidden="1" thickBot="1" x14ac:dyDescent="0.3">
      <c r="B531" s="145" t="s">
        <v>703</v>
      </c>
      <c r="C531" s="722" t="s">
        <v>113</v>
      </c>
      <c r="D531" t="s">
        <v>114</v>
      </c>
      <c r="E531" s="147">
        <v>1.34266</v>
      </c>
      <c r="F531" s="147">
        <v>1.1216600000000001</v>
      </c>
      <c r="G531" s="147">
        <v>0.221</v>
      </c>
      <c r="H531" s="147">
        <v>19.702940284934829</v>
      </c>
      <c r="I531" s="729"/>
      <c r="J531" s="147">
        <v>1.34266</v>
      </c>
      <c r="K531" s="147">
        <v>0</v>
      </c>
      <c r="L531" s="147">
        <v>12.516500000000001</v>
      </c>
      <c r="M531" s="147">
        <v>13.385</v>
      </c>
      <c r="N531" s="147">
        <v>-0.86850000000000005</v>
      </c>
      <c r="O531" s="147">
        <v>-6.4886066492342174</v>
      </c>
      <c r="P531" s="147">
        <v>6.6722299999999999</v>
      </c>
      <c r="Q531" s="147">
        <v>5.8442699999999999</v>
      </c>
      <c r="R531" s="147">
        <v>87.590955347762289</v>
      </c>
    </row>
    <row r="532" spans="2:18" ht="15.75" hidden="1" thickBot="1" x14ac:dyDescent="0.3">
      <c r="B532" s="145" t="s">
        <v>703</v>
      </c>
      <c r="C532" s="722" t="s">
        <v>201</v>
      </c>
      <c r="D532" t="s">
        <v>202</v>
      </c>
      <c r="E532" s="148">
        <v>1.16405</v>
      </c>
      <c r="F532" s="148">
        <v>1.6659999999999999</v>
      </c>
      <c r="G532" s="148">
        <v>-0.50195000000000001</v>
      </c>
      <c r="H532" s="148">
        <v>-30.129051620648259</v>
      </c>
      <c r="I532" s="728"/>
      <c r="J532" s="148">
        <v>1.16405</v>
      </c>
      <c r="K532" s="148">
        <v>0</v>
      </c>
      <c r="L532" s="148">
        <v>18.955829999999999</v>
      </c>
      <c r="M532" s="148">
        <v>20</v>
      </c>
      <c r="N532" s="148">
        <v>-1.04417</v>
      </c>
      <c r="O532" s="148">
        <v>-5.2208500000000004</v>
      </c>
      <c r="P532" s="148">
        <v>12.40535</v>
      </c>
      <c r="Q532" s="148">
        <v>6.5504800000000003</v>
      </c>
      <c r="R532" s="148">
        <v>52.80366938458004</v>
      </c>
    </row>
    <row r="533" spans="2:18" ht="15.75" hidden="1" thickBot="1" x14ac:dyDescent="0.3">
      <c r="B533" s="145" t="s">
        <v>703</v>
      </c>
      <c r="C533" s="722" t="s">
        <v>466</v>
      </c>
      <c r="D533" t="s">
        <v>467</v>
      </c>
      <c r="E533" s="147">
        <v>9.7571700000000003</v>
      </c>
      <c r="F533" s="147">
        <v>9.5269999999999992</v>
      </c>
      <c r="G533" s="147">
        <v>0.23017000000000001</v>
      </c>
      <c r="H533" s="147">
        <v>2.4159756481578669</v>
      </c>
      <c r="I533" s="729"/>
      <c r="J533" s="147">
        <v>9.7571700000000003</v>
      </c>
      <c r="K533" s="147">
        <v>0</v>
      </c>
      <c r="L533" s="147">
        <v>114.39706</v>
      </c>
      <c r="M533" s="147">
        <v>114.324</v>
      </c>
      <c r="N533" s="147">
        <v>7.306E-2</v>
      </c>
      <c r="O533" s="147">
        <v>6.3906091459361117E-2</v>
      </c>
      <c r="P533" s="147">
        <v>57.254620000000003</v>
      </c>
      <c r="Q533" s="147">
        <v>57.142440000000001</v>
      </c>
      <c r="R533" s="147">
        <v>99.804068213185246</v>
      </c>
    </row>
    <row r="534" spans="2:18" ht="15.75" hidden="1" thickBot="1" x14ac:dyDescent="0.3">
      <c r="B534" s="145" t="s">
        <v>703</v>
      </c>
      <c r="C534" s="722" t="s">
        <v>143</v>
      </c>
      <c r="D534" t="s">
        <v>144</v>
      </c>
      <c r="E534" s="728"/>
      <c r="F534" s="728"/>
      <c r="G534" s="728"/>
      <c r="H534" s="728"/>
      <c r="I534" s="728"/>
      <c r="J534" s="728"/>
      <c r="K534" s="728"/>
      <c r="L534" s="148">
        <v>0.12195</v>
      </c>
      <c r="M534" s="728"/>
      <c r="N534" s="148">
        <v>0.12195</v>
      </c>
      <c r="O534" s="148">
        <v>0</v>
      </c>
      <c r="P534" s="148">
        <v>0.12195</v>
      </c>
      <c r="Q534" s="148">
        <v>0</v>
      </c>
      <c r="R534" s="148">
        <v>0</v>
      </c>
    </row>
    <row r="535" spans="2:18" ht="15.75" hidden="1" thickBot="1" x14ac:dyDescent="0.3">
      <c r="B535" s="145" t="s">
        <v>703</v>
      </c>
      <c r="C535" s="722" t="s">
        <v>145</v>
      </c>
      <c r="D535" t="s">
        <v>146</v>
      </c>
      <c r="E535" s="147">
        <v>1.2841</v>
      </c>
      <c r="F535" s="147">
        <v>0.90500000000000003</v>
      </c>
      <c r="G535" s="147">
        <v>0.37909999999999999</v>
      </c>
      <c r="H535" s="147">
        <v>41.889502762430936</v>
      </c>
      <c r="I535" s="729"/>
      <c r="J535" s="147">
        <v>1.2841</v>
      </c>
      <c r="K535" s="147">
        <v>0</v>
      </c>
      <c r="L535" s="147">
        <v>12.26083</v>
      </c>
      <c r="M535" s="147">
        <v>9.6349999999999998</v>
      </c>
      <c r="N535" s="147">
        <v>2.6258300000000001</v>
      </c>
      <c r="O535" s="147">
        <v>27.253035806953815</v>
      </c>
      <c r="P535" s="147">
        <v>5.5856199999999996</v>
      </c>
      <c r="Q535" s="147">
        <v>6.6752099999999999</v>
      </c>
      <c r="R535" s="147">
        <v>119.50705561781861</v>
      </c>
    </row>
    <row r="536" spans="2:18" ht="15.75" hidden="1" thickBot="1" x14ac:dyDescent="0.3">
      <c r="B536" s="145" t="s">
        <v>703</v>
      </c>
      <c r="C536" s="722" t="s">
        <v>147</v>
      </c>
      <c r="D536" t="s">
        <v>148</v>
      </c>
      <c r="E536" s="148">
        <v>0.05</v>
      </c>
      <c r="F536" s="728"/>
      <c r="G536" s="148">
        <v>0.05</v>
      </c>
      <c r="H536" s="148">
        <v>0</v>
      </c>
      <c r="I536" s="728"/>
      <c r="J536" s="148">
        <v>0.05</v>
      </c>
      <c r="K536" s="148">
        <v>0</v>
      </c>
      <c r="L536" s="148">
        <v>0.505</v>
      </c>
      <c r="M536" s="728"/>
      <c r="N536" s="148">
        <v>0.505</v>
      </c>
      <c r="O536" s="148">
        <v>0</v>
      </c>
      <c r="P536" s="148">
        <v>0.25731999999999999</v>
      </c>
      <c r="Q536" s="148">
        <v>0.24768000000000001</v>
      </c>
      <c r="R536" s="148">
        <v>96.253691901134772</v>
      </c>
    </row>
    <row r="537" spans="2:18" ht="15.75" hidden="1" thickBot="1" x14ac:dyDescent="0.3">
      <c r="B537" s="145" t="s">
        <v>703</v>
      </c>
      <c r="C537" s="722" t="s">
        <v>203</v>
      </c>
      <c r="D537" t="s">
        <v>204</v>
      </c>
      <c r="E537" s="147">
        <v>0.17554</v>
      </c>
      <c r="F537" s="147">
        <v>0.02</v>
      </c>
      <c r="G537" s="147">
        <v>0.15554000000000001</v>
      </c>
      <c r="H537" s="147">
        <v>777.7</v>
      </c>
      <c r="I537" s="729"/>
      <c r="J537" s="147">
        <v>0.17554</v>
      </c>
      <c r="K537" s="147">
        <v>0</v>
      </c>
      <c r="L537" s="147">
        <v>1.00153</v>
      </c>
      <c r="M537" s="147">
        <v>0.24</v>
      </c>
      <c r="N537" s="147">
        <v>0.76153000000000004</v>
      </c>
      <c r="O537" s="147">
        <v>317.30416666666667</v>
      </c>
      <c r="P537" s="147">
        <v>0.69298999999999999</v>
      </c>
      <c r="Q537" s="147">
        <v>0.30853999999999998</v>
      </c>
      <c r="R537" s="147">
        <v>44.523008990028714</v>
      </c>
    </row>
    <row r="538" spans="2:18" ht="15.75" hidden="1" thickBot="1" x14ac:dyDescent="0.3">
      <c r="B538" s="145" t="s">
        <v>703</v>
      </c>
      <c r="C538" s="722" t="s">
        <v>641</v>
      </c>
      <c r="D538" t="s">
        <v>642</v>
      </c>
      <c r="E538" s="728"/>
      <c r="F538" s="728"/>
      <c r="G538" s="728"/>
      <c r="H538" s="728"/>
      <c r="I538" s="728"/>
      <c r="J538" s="728"/>
      <c r="K538" s="728"/>
      <c r="L538" s="148">
        <v>0.38496000000000002</v>
      </c>
      <c r="M538" s="728"/>
      <c r="N538" s="148">
        <v>0.38496000000000002</v>
      </c>
      <c r="O538" s="148">
        <v>0</v>
      </c>
      <c r="P538" s="728"/>
      <c r="Q538" s="148">
        <v>0.38496000000000002</v>
      </c>
      <c r="R538" s="148">
        <v>0</v>
      </c>
    </row>
    <row r="539" spans="2:18" ht="15.75" hidden="1" thickBot="1" x14ac:dyDescent="0.3">
      <c r="B539" s="145" t="s">
        <v>703</v>
      </c>
      <c r="C539" s="722" t="s">
        <v>643</v>
      </c>
      <c r="D539" t="s">
        <v>644</v>
      </c>
      <c r="E539" s="729"/>
      <c r="F539" s="147">
        <v>0</v>
      </c>
      <c r="G539" s="147">
        <v>0</v>
      </c>
      <c r="H539" s="147">
        <v>0</v>
      </c>
      <c r="I539" s="729"/>
      <c r="J539" s="729"/>
      <c r="K539" s="729"/>
      <c r="L539" s="147">
        <v>-7.6654999999999998</v>
      </c>
      <c r="M539" s="147">
        <v>0</v>
      </c>
      <c r="N539" s="147">
        <v>-7.6654999999999998</v>
      </c>
      <c r="O539" s="147">
        <v>0</v>
      </c>
      <c r="P539" s="147">
        <v>-7.6654999999999998</v>
      </c>
      <c r="Q539" s="147">
        <v>0</v>
      </c>
      <c r="R539" s="147">
        <v>0</v>
      </c>
    </row>
    <row r="540" spans="2:18" ht="15.75" hidden="1" thickBot="1" x14ac:dyDescent="0.3">
      <c r="B540" s="145" t="s">
        <v>703</v>
      </c>
      <c r="C540" s="722" t="s">
        <v>149</v>
      </c>
      <c r="D540" t="s">
        <v>150</v>
      </c>
      <c r="E540" s="148">
        <v>615.17138999999997</v>
      </c>
      <c r="F540" s="148">
        <v>234.73146</v>
      </c>
      <c r="G540" s="148">
        <v>380.43993</v>
      </c>
      <c r="H540" s="148">
        <v>162.07453828302351</v>
      </c>
      <c r="I540" s="728"/>
      <c r="J540" s="148">
        <v>615.17138999999997</v>
      </c>
      <c r="K540" s="148">
        <v>0</v>
      </c>
      <c r="L540" s="148">
        <v>3986.2427499999999</v>
      </c>
      <c r="M540" s="148">
        <v>2987.4409599999999</v>
      </c>
      <c r="N540" s="148">
        <v>998.80178999999998</v>
      </c>
      <c r="O540" s="148">
        <v>33.433356621045995</v>
      </c>
      <c r="P540" s="148">
        <v>1871.3190999999999</v>
      </c>
      <c r="Q540" s="148">
        <v>2114.9236500000002</v>
      </c>
      <c r="R540" s="148">
        <v>113.0177985144276</v>
      </c>
    </row>
    <row r="541" spans="2:18" ht="15.75" hidden="1" thickBot="1" x14ac:dyDescent="0.3">
      <c r="B541" s="145" t="s">
        <v>703</v>
      </c>
      <c r="C541" s="722" t="s">
        <v>205</v>
      </c>
      <c r="D541" t="s">
        <v>206</v>
      </c>
      <c r="E541" s="147">
        <v>4.0653300000000003</v>
      </c>
      <c r="F541" s="147">
        <v>0.2</v>
      </c>
      <c r="G541" s="147">
        <v>3.8653300000000002</v>
      </c>
      <c r="H541" s="147">
        <v>1932.665</v>
      </c>
      <c r="I541" s="729"/>
      <c r="J541" s="147">
        <v>4.0653300000000003</v>
      </c>
      <c r="K541" s="147">
        <v>0</v>
      </c>
      <c r="L541" s="147">
        <v>14.50094</v>
      </c>
      <c r="M541" s="147">
        <v>2.4</v>
      </c>
      <c r="N541" s="147">
        <v>12.10094</v>
      </c>
      <c r="O541" s="147">
        <v>504.20583333333332</v>
      </c>
      <c r="P541" s="147">
        <v>4.6786099999999999</v>
      </c>
      <c r="Q541" s="147">
        <v>9.8223299999999991</v>
      </c>
      <c r="R541" s="147">
        <v>209.94120048475935</v>
      </c>
    </row>
    <row r="542" spans="2:18" ht="15.75" hidden="1" thickBot="1" x14ac:dyDescent="0.3">
      <c r="B542" s="145" t="s">
        <v>703</v>
      </c>
      <c r="C542" s="722" t="s">
        <v>649</v>
      </c>
      <c r="D542" t="s">
        <v>650</v>
      </c>
      <c r="E542" s="148">
        <v>315.48081000000002</v>
      </c>
      <c r="F542" s="148">
        <v>311.33893</v>
      </c>
      <c r="G542" s="148">
        <v>4.1418799999999996</v>
      </c>
      <c r="H542" s="148">
        <v>1.3303443934878301</v>
      </c>
      <c r="I542" s="728"/>
      <c r="J542" s="148">
        <v>315.48081000000002</v>
      </c>
      <c r="K542" s="148">
        <v>0</v>
      </c>
      <c r="L542" s="148">
        <v>3859.41059</v>
      </c>
      <c r="M542" s="148">
        <v>3701.7586999999999</v>
      </c>
      <c r="N542" s="148">
        <v>157.65189000000001</v>
      </c>
      <c r="O542" s="148">
        <v>4.2588375628049446</v>
      </c>
      <c r="P542" s="148">
        <v>1818.7085400000001</v>
      </c>
      <c r="Q542" s="148">
        <v>2040.7020500000001</v>
      </c>
      <c r="R542" s="148">
        <v>112.20610697742696</v>
      </c>
    </row>
    <row r="543" spans="2:18" ht="15.75" hidden="1" thickBot="1" x14ac:dyDescent="0.3">
      <c r="B543" s="145" t="s">
        <v>703</v>
      </c>
      <c r="C543" s="722" t="s">
        <v>119</v>
      </c>
      <c r="D543" t="s">
        <v>120</v>
      </c>
      <c r="E543" s="729"/>
      <c r="F543" s="729"/>
      <c r="G543" s="729"/>
      <c r="H543" s="729"/>
      <c r="I543" s="729"/>
      <c r="J543" s="729"/>
      <c r="K543" s="729"/>
      <c r="L543" s="147">
        <v>0</v>
      </c>
      <c r="M543" s="729"/>
      <c r="N543" s="147">
        <v>0</v>
      </c>
      <c r="O543" s="147">
        <v>0</v>
      </c>
      <c r="P543" s="147">
        <v>0</v>
      </c>
      <c r="Q543" s="147">
        <v>0</v>
      </c>
      <c r="R543" s="147">
        <v>0</v>
      </c>
    </row>
    <row r="544" spans="2:18" ht="15.75" hidden="1" thickBot="1" x14ac:dyDescent="0.3">
      <c r="B544" s="145" t="s">
        <v>703</v>
      </c>
      <c r="C544" s="722" t="s">
        <v>173</v>
      </c>
      <c r="D544" t="s">
        <v>174</v>
      </c>
      <c r="E544" s="148">
        <v>0.36</v>
      </c>
      <c r="F544" s="148">
        <v>0.376</v>
      </c>
      <c r="G544" s="148">
        <v>-1.6E-2</v>
      </c>
      <c r="H544" s="148">
        <v>-4.2553191489361701</v>
      </c>
      <c r="I544" s="728"/>
      <c r="J544" s="148">
        <v>0.36</v>
      </c>
      <c r="K544" s="148">
        <v>0</v>
      </c>
      <c r="L544" s="148">
        <v>6.5503</v>
      </c>
      <c r="M544" s="148">
        <v>4.5119999999999996</v>
      </c>
      <c r="N544" s="148">
        <v>2.0383</v>
      </c>
      <c r="O544" s="148">
        <v>45.175088652482266</v>
      </c>
      <c r="P544" s="148">
        <v>3.7202199999999999</v>
      </c>
      <c r="Q544" s="148">
        <v>2.8300800000000002</v>
      </c>
      <c r="R544" s="148">
        <v>76.072920418684916</v>
      </c>
    </row>
    <row r="545" spans="2:18" ht="15.75" hidden="1" thickBot="1" x14ac:dyDescent="0.3">
      <c r="B545" s="145" t="s">
        <v>703</v>
      </c>
      <c r="C545" s="722" t="s">
        <v>479</v>
      </c>
      <c r="D545" t="s">
        <v>480</v>
      </c>
      <c r="E545" s="147">
        <v>57.436320000000002</v>
      </c>
      <c r="F545" s="147">
        <v>47.807279999999999</v>
      </c>
      <c r="G545" s="147">
        <v>9.6290399999999998</v>
      </c>
      <c r="H545" s="147">
        <v>20.141367590877373</v>
      </c>
      <c r="I545" s="729"/>
      <c r="J545" s="147">
        <v>57.436320000000002</v>
      </c>
      <c r="K545" s="147">
        <v>0</v>
      </c>
      <c r="L545" s="147">
        <v>605.39774</v>
      </c>
      <c r="M545" s="147">
        <v>564.96960000000001</v>
      </c>
      <c r="N545" s="147">
        <v>40.428139999999999</v>
      </c>
      <c r="O545" s="147">
        <v>7.1558080293169759</v>
      </c>
      <c r="P545" s="147">
        <v>291.73253999999997</v>
      </c>
      <c r="Q545" s="147">
        <v>313.66520000000003</v>
      </c>
      <c r="R545" s="147">
        <v>107.51807117574199</v>
      </c>
    </row>
    <row r="546" spans="2:18" ht="15.75" hidden="1" thickBot="1" x14ac:dyDescent="0.3">
      <c r="B546" s="145" t="s">
        <v>703</v>
      </c>
      <c r="C546" s="722" t="s">
        <v>653</v>
      </c>
      <c r="D546" t="s">
        <v>654</v>
      </c>
      <c r="E546" s="728"/>
      <c r="F546" s="728"/>
      <c r="G546" s="728"/>
      <c r="H546" s="728"/>
      <c r="I546" s="728"/>
      <c r="J546" s="728"/>
      <c r="K546" s="728"/>
      <c r="L546" s="148">
        <v>0.3805</v>
      </c>
      <c r="M546" s="728"/>
      <c r="N546" s="148">
        <v>0.3805</v>
      </c>
      <c r="O546" s="148">
        <v>0</v>
      </c>
      <c r="P546" s="728"/>
      <c r="Q546" s="148">
        <v>0.3805</v>
      </c>
      <c r="R546" s="148">
        <v>0</v>
      </c>
    </row>
    <row r="547" spans="2:18" ht="15.75" hidden="1" thickBot="1" x14ac:dyDescent="0.3">
      <c r="B547" s="145" t="s">
        <v>703</v>
      </c>
      <c r="C547" s="722" t="s">
        <v>151</v>
      </c>
      <c r="D547" t="s">
        <v>152</v>
      </c>
      <c r="E547" s="147">
        <v>-195.34049999999999</v>
      </c>
      <c r="F547" s="147">
        <v>0.15</v>
      </c>
      <c r="G547" s="147">
        <v>-195.4905</v>
      </c>
      <c r="H547" s="147">
        <v>-130327</v>
      </c>
      <c r="I547" s="729"/>
      <c r="J547" s="147">
        <v>-195.34049999999999</v>
      </c>
      <c r="K547" s="147">
        <v>0</v>
      </c>
      <c r="L547" s="147">
        <v>6.99</v>
      </c>
      <c r="M547" s="147">
        <v>1.8</v>
      </c>
      <c r="N547" s="147">
        <v>5.19</v>
      </c>
      <c r="O547" s="147">
        <v>288.33333333333331</v>
      </c>
      <c r="P547" s="147">
        <v>201.71549999999999</v>
      </c>
      <c r="Q547" s="147">
        <v>-194.72550000000001</v>
      </c>
      <c r="R547" s="147">
        <v>-96.534723409951141</v>
      </c>
    </row>
    <row r="548" spans="2:18" ht="15.75" hidden="1" thickBot="1" x14ac:dyDescent="0.3">
      <c r="B548" s="145" t="s">
        <v>703</v>
      </c>
      <c r="C548" s="722" t="s">
        <v>481</v>
      </c>
      <c r="D548" t="s">
        <v>482</v>
      </c>
      <c r="E548" s="148">
        <v>72.077719999999999</v>
      </c>
      <c r="F548" s="148">
        <v>50</v>
      </c>
      <c r="G548" s="148">
        <v>22.077719999999999</v>
      </c>
      <c r="H548" s="148">
        <v>44.155439999999999</v>
      </c>
      <c r="I548" s="728"/>
      <c r="J548" s="148">
        <v>72.077719999999999</v>
      </c>
      <c r="K548" s="148">
        <v>0</v>
      </c>
      <c r="L548" s="148">
        <v>762.58504000000005</v>
      </c>
      <c r="M548" s="148">
        <v>600</v>
      </c>
      <c r="N548" s="148">
        <v>162.58503999999999</v>
      </c>
      <c r="O548" s="148">
        <v>27.097506666666668</v>
      </c>
      <c r="P548" s="148">
        <v>347.96073999999999</v>
      </c>
      <c r="Q548" s="148">
        <v>414.62430000000001</v>
      </c>
      <c r="R548" s="148">
        <v>119.15835677323827</v>
      </c>
    </row>
    <row r="549" spans="2:18" ht="15.75" hidden="1" thickBot="1" x14ac:dyDescent="0.3">
      <c r="B549" s="145" t="s">
        <v>703</v>
      </c>
      <c r="C549" s="722" t="s">
        <v>483</v>
      </c>
      <c r="D549" t="s">
        <v>484</v>
      </c>
      <c r="E549" s="729"/>
      <c r="F549" s="729"/>
      <c r="G549" s="729"/>
      <c r="H549" s="729"/>
      <c r="I549" s="729"/>
      <c r="J549" s="729"/>
      <c r="K549" s="729"/>
      <c r="L549" s="147">
        <v>5.3940000000000002E-2</v>
      </c>
      <c r="M549" s="729"/>
      <c r="N549" s="147">
        <v>5.3940000000000002E-2</v>
      </c>
      <c r="O549" s="147">
        <v>0</v>
      </c>
      <c r="P549" s="729"/>
      <c r="Q549" s="147">
        <v>5.3940000000000002E-2</v>
      </c>
      <c r="R549" s="147">
        <v>0</v>
      </c>
    </row>
    <row r="550" spans="2:18" ht="15.75" hidden="1" thickBot="1" x14ac:dyDescent="0.3">
      <c r="B550" s="145" t="s">
        <v>703</v>
      </c>
      <c r="C550" s="722" t="s">
        <v>659</v>
      </c>
      <c r="D550" t="s">
        <v>660</v>
      </c>
      <c r="E550" s="148">
        <v>182.60186999999999</v>
      </c>
      <c r="F550" s="728"/>
      <c r="G550" s="148">
        <v>182.60186999999999</v>
      </c>
      <c r="H550" s="148">
        <v>0</v>
      </c>
      <c r="I550" s="728"/>
      <c r="J550" s="148">
        <v>182.60186999999999</v>
      </c>
      <c r="K550" s="148">
        <v>0</v>
      </c>
      <c r="L550" s="148">
        <v>182.60186999999999</v>
      </c>
      <c r="M550" s="728"/>
      <c r="N550" s="148">
        <v>182.60186999999999</v>
      </c>
      <c r="O550" s="148">
        <v>0</v>
      </c>
      <c r="P550" s="148">
        <v>4.88727</v>
      </c>
      <c r="Q550" s="148">
        <v>177.71459999999999</v>
      </c>
      <c r="R550" s="148">
        <v>3636.2754666715773</v>
      </c>
    </row>
    <row r="551" spans="2:18" ht="15.75" hidden="1" thickBot="1" x14ac:dyDescent="0.3">
      <c r="B551" s="145" t="s">
        <v>703</v>
      </c>
      <c r="C551" s="722" t="s">
        <v>661</v>
      </c>
      <c r="D551" t="s">
        <v>662</v>
      </c>
      <c r="E551" s="147">
        <v>1.5129300000000001</v>
      </c>
      <c r="F551" s="729"/>
      <c r="G551" s="147">
        <v>1.5129300000000001</v>
      </c>
      <c r="H551" s="147">
        <v>0</v>
      </c>
      <c r="I551" s="729"/>
      <c r="J551" s="147">
        <v>1.5129300000000001</v>
      </c>
      <c r="K551" s="147">
        <v>0</v>
      </c>
      <c r="L551" s="147">
        <v>585.08721000000003</v>
      </c>
      <c r="M551" s="729"/>
      <c r="N551" s="147">
        <v>585.08721000000003</v>
      </c>
      <c r="O551" s="147">
        <v>0</v>
      </c>
      <c r="P551" s="147">
        <v>45.404020000000003</v>
      </c>
      <c r="Q551" s="147">
        <v>539.68318999999997</v>
      </c>
      <c r="R551" s="147">
        <v>1188.6242451659566</v>
      </c>
    </row>
    <row r="552" spans="2:18" ht="15.75" hidden="1" thickBot="1" x14ac:dyDescent="0.3">
      <c r="B552" s="145" t="s">
        <v>703</v>
      </c>
      <c r="C552" s="722" t="s">
        <v>153</v>
      </c>
      <c r="D552" t="s">
        <v>154</v>
      </c>
      <c r="E552" s="728"/>
      <c r="F552" s="728"/>
      <c r="G552" s="728"/>
      <c r="H552" s="728"/>
      <c r="I552" s="728"/>
      <c r="J552" s="728"/>
      <c r="K552" s="728"/>
      <c r="L552" s="148">
        <v>3.0419999999999998</v>
      </c>
      <c r="M552" s="728"/>
      <c r="N552" s="148">
        <v>3.0419999999999998</v>
      </c>
      <c r="O552" s="148">
        <v>0</v>
      </c>
      <c r="P552" s="148">
        <v>3.0419999999999998</v>
      </c>
      <c r="Q552" s="148">
        <v>0</v>
      </c>
      <c r="R552" s="148">
        <v>0</v>
      </c>
    </row>
    <row r="553" spans="2:18" ht="15.75" hidden="1" thickBot="1" x14ac:dyDescent="0.3">
      <c r="B553" s="145" t="s">
        <v>703</v>
      </c>
      <c r="C553" s="722" t="s">
        <v>207</v>
      </c>
      <c r="D553" t="s">
        <v>208</v>
      </c>
      <c r="E553" s="147">
        <v>7.9969999999999999E-2</v>
      </c>
      <c r="F553" s="729"/>
      <c r="G553" s="147">
        <v>7.9969999999999999E-2</v>
      </c>
      <c r="H553" s="147">
        <v>0</v>
      </c>
      <c r="I553" s="729"/>
      <c r="J553" s="147">
        <v>7.9969999999999999E-2</v>
      </c>
      <c r="K553" s="147">
        <v>0</v>
      </c>
      <c r="L553" s="147">
        <v>2.91662</v>
      </c>
      <c r="M553" s="729"/>
      <c r="N553" s="147">
        <v>2.91662</v>
      </c>
      <c r="O553" s="147">
        <v>0</v>
      </c>
      <c r="P553" s="147">
        <v>1.4760899999999999</v>
      </c>
      <c r="Q553" s="147">
        <v>1.4405300000000001</v>
      </c>
      <c r="R553" s="147">
        <v>97.590932802200413</v>
      </c>
    </row>
    <row r="554" spans="2:18" ht="15.75" hidden="1" thickBot="1" x14ac:dyDescent="0.3">
      <c r="B554" s="145" t="s">
        <v>703</v>
      </c>
      <c r="C554" s="722" t="s">
        <v>673</v>
      </c>
      <c r="D554" t="s">
        <v>674</v>
      </c>
      <c r="E554" s="148">
        <v>-37.234439999999999</v>
      </c>
      <c r="F554" s="728"/>
      <c r="G554" s="148">
        <v>-37.234439999999999</v>
      </c>
      <c r="H554" s="148">
        <v>0</v>
      </c>
      <c r="I554" s="728"/>
      <c r="J554" s="148">
        <v>-37.234439999999999</v>
      </c>
      <c r="K554" s="148">
        <v>0</v>
      </c>
      <c r="L554" s="148">
        <v>-37.024270000000001</v>
      </c>
      <c r="M554" s="728"/>
      <c r="N554" s="148">
        <v>-37.024270000000001</v>
      </c>
      <c r="O554" s="148">
        <v>0</v>
      </c>
      <c r="P554" s="148">
        <v>0.21017</v>
      </c>
      <c r="Q554" s="148">
        <v>-37.234439999999999</v>
      </c>
      <c r="R554" s="148">
        <v>-17716.343912071181</v>
      </c>
    </row>
    <row r="555" spans="2:18" ht="15.75" hidden="1" thickBot="1" x14ac:dyDescent="0.3">
      <c r="B555" s="145" t="s">
        <v>703</v>
      </c>
      <c r="C555" s="722" t="s">
        <v>675</v>
      </c>
      <c r="D555" t="s">
        <v>676</v>
      </c>
      <c r="E555" s="147">
        <v>-9.3000000000000005E-4</v>
      </c>
      <c r="F555" s="147">
        <v>1.5</v>
      </c>
      <c r="G555" s="147">
        <v>-1.5009300000000001</v>
      </c>
      <c r="H555" s="147">
        <v>-100.062</v>
      </c>
      <c r="I555" s="729"/>
      <c r="J555" s="147">
        <v>-9.3000000000000005E-4</v>
      </c>
      <c r="K555" s="147">
        <v>0</v>
      </c>
      <c r="L555" s="147">
        <v>47.567459999999997</v>
      </c>
      <c r="M555" s="147">
        <v>18</v>
      </c>
      <c r="N555" s="147">
        <v>29.567460000000001</v>
      </c>
      <c r="O555" s="147">
        <v>164.26366666666667</v>
      </c>
      <c r="P555" s="147">
        <v>-5.1173500000000001</v>
      </c>
      <c r="Q555" s="147">
        <v>52.684809999999999</v>
      </c>
      <c r="R555" s="147">
        <v>1029.533059102856</v>
      </c>
    </row>
    <row r="556" spans="2:18" ht="15.75" hidden="1" thickBot="1" x14ac:dyDescent="0.3">
      <c r="B556" s="145" t="s">
        <v>703</v>
      </c>
      <c r="C556" s="722" t="s">
        <v>75</v>
      </c>
      <c r="D556" t="s">
        <v>76</v>
      </c>
      <c r="E556" s="148">
        <v>8.4855300000000007</v>
      </c>
      <c r="F556" s="148">
        <v>10.08933</v>
      </c>
      <c r="G556" s="148">
        <v>-1.6037999999999999</v>
      </c>
      <c r="H556" s="148">
        <v>-15.896001022862768</v>
      </c>
      <c r="I556" s="728"/>
      <c r="J556" s="148">
        <v>8.4855300000000007</v>
      </c>
      <c r="K556" s="148">
        <v>0</v>
      </c>
      <c r="L556" s="148">
        <v>89.505359999999996</v>
      </c>
      <c r="M556" s="148">
        <v>97.846999999999994</v>
      </c>
      <c r="N556" s="148">
        <v>-8.3416399999999999</v>
      </c>
      <c r="O556" s="148">
        <v>-8.5251872821854526</v>
      </c>
      <c r="P556" s="148">
        <v>49.203519999999997</v>
      </c>
      <c r="Q556" s="148">
        <v>40.301839999999999</v>
      </c>
      <c r="R556" s="148">
        <v>81.908448826425428</v>
      </c>
    </row>
    <row r="557" spans="2:18" ht="15.75" hidden="1" thickBot="1" x14ac:dyDescent="0.3">
      <c r="B557" s="145" t="s">
        <v>703</v>
      </c>
      <c r="C557" s="722" t="s">
        <v>121</v>
      </c>
      <c r="D557" t="s">
        <v>122</v>
      </c>
      <c r="E557" s="147">
        <v>0.14652000000000001</v>
      </c>
      <c r="F557" s="147">
        <v>0.18332999999999999</v>
      </c>
      <c r="G557" s="147">
        <v>-3.6810000000000002E-2</v>
      </c>
      <c r="H557" s="147">
        <v>-20.078546882670594</v>
      </c>
      <c r="I557" s="729"/>
      <c r="J557" s="147">
        <v>0.14652000000000001</v>
      </c>
      <c r="K557" s="147">
        <v>0</v>
      </c>
      <c r="L557" s="147">
        <v>13.146100000000001</v>
      </c>
      <c r="M557" s="147">
        <v>2</v>
      </c>
      <c r="N557" s="147">
        <v>11.146100000000001</v>
      </c>
      <c r="O557" s="147">
        <v>557.30499999999995</v>
      </c>
      <c r="P557" s="147">
        <v>6.0911900000000001</v>
      </c>
      <c r="Q557" s="147">
        <v>7.0549099999999996</v>
      </c>
      <c r="R557" s="147">
        <v>115.82153897678451</v>
      </c>
    </row>
    <row r="558" spans="2:18" ht="15.75" hidden="1" thickBot="1" x14ac:dyDescent="0.3">
      <c r="B558" s="145" t="s">
        <v>703</v>
      </c>
      <c r="C558" s="722" t="s">
        <v>77</v>
      </c>
      <c r="D558" t="s">
        <v>78</v>
      </c>
      <c r="E558" s="148">
        <v>6.9349400000000001</v>
      </c>
      <c r="F558" s="148">
        <v>23.159839999999999</v>
      </c>
      <c r="G558" s="148">
        <v>-16.224900000000002</v>
      </c>
      <c r="H558" s="148">
        <v>-70.056183462407333</v>
      </c>
      <c r="I558" s="728"/>
      <c r="J558" s="148">
        <v>6.9349400000000001</v>
      </c>
      <c r="K558" s="148">
        <v>0</v>
      </c>
      <c r="L558" s="148">
        <v>178.13267999999999</v>
      </c>
      <c r="M558" s="148">
        <v>298.84989000000002</v>
      </c>
      <c r="N558" s="148">
        <v>-120.71720999999999</v>
      </c>
      <c r="O558" s="148">
        <v>-40.393928202550114</v>
      </c>
      <c r="P558" s="148">
        <v>84.90643</v>
      </c>
      <c r="Q558" s="148">
        <v>93.226249999999993</v>
      </c>
      <c r="R558" s="148">
        <v>109.79881029033962</v>
      </c>
    </row>
    <row r="559" spans="2:18" ht="15.75" hidden="1" thickBot="1" x14ac:dyDescent="0.3">
      <c r="B559" s="145" t="s">
        <v>703</v>
      </c>
      <c r="C559" s="722" t="s">
        <v>79</v>
      </c>
      <c r="D559" t="s">
        <v>80</v>
      </c>
      <c r="E559" s="147">
        <v>4.5498700000000003</v>
      </c>
      <c r="F559" s="147">
        <v>9.6669999999999998</v>
      </c>
      <c r="G559" s="147">
        <v>-5.1171300000000004</v>
      </c>
      <c r="H559" s="147">
        <v>-52.934002275783591</v>
      </c>
      <c r="I559" s="729"/>
      <c r="J559" s="147">
        <v>4.5498700000000003</v>
      </c>
      <c r="K559" s="147">
        <v>0</v>
      </c>
      <c r="L559" s="147">
        <v>57.444330000000001</v>
      </c>
      <c r="M559" s="147">
        <v>71</v>
      </c>
      <c r="N559" s="147">
        <v>-13.555669999999999</v>
      </c>
      <c r="O559" s="147">
        <v>-19.092492957746479</v>
      </c>
      <c r="P559" s="147">
        <v>30.751010000000001</v>
      </c>
      <c r="Q559" s="147">
        <v>26.69332</v>
      </c>
      <c r="R559" s="147">
        <v>86.804693569414468</v>
      </c>
    </row>
    <row r="560" spans="2:18" ht="15.75" hidden="1" thickBot="1" x14ac:dyDescent="0.3">
      <c r="B560" s="145" t="s">
        <v>703</v>
      </c>
      <c r="C560" s="722" t="s">
        <v>81</v>
      </c>
      <c r="D560" t="s">
        <v>82</v>
      </c>
      <c r="E560" s="148">
        <v>4.6783599999999996</v>
      </c>
      <c r="F560" s="148">
        <v>2.8646600000000002</v>
      </c>
      <c r="G560" s="148">
        <v>1.8137000000000001</v>
      </c>
      <c r="H560" s="148">
        <v>63.312923697751216</v>
      </c>
      <c r="I560" s="728"/>
      <c r="J560" s="148">
        <v>4.6783599999999996</v>
      </c>
      <c r="K560" s="148">
        <v>0</v>
      </c>
      <c r="L560" s="148">
        <v>11.541589999999999</v>
      </c>
      <c r="M560" s="148">
        <v>16.51792</v>
      </c>
      <c r="N560" s="148">
        <v>-4.9763299999999999</v>
      </c>
      <c r="O560" s="148">
        <v>-30.126856165909508</v>
      </c>
      <c r="P560" s="148">
        <v>3.3673799999999998</v>
      </c>
      <c r="Q560" s="148">
        <v>8.1742100000000004</v>
      </c>
      <c r="R560" s="148">
        <v>242.74688333363031</v>
      </c>
    </row>
    <row r="561" spans="2:18" ht="15.75" hidden="1" thickBot="1" x14ac:dyDescent="0.3">
      <c r="B561" s="145" t="s">
        <v>703</v>
      </c>
      <c r="C561" s="722" t="s">
        <v>123</v>
      </c>
      <c r="D561" t="s">
        <v>124</v>
      </c>
      <c r="E561" s="147">
        <v>5.8694699999999997</v>
      </c>
      <c r="F561" s="147">
        <v>5.5</v>
      </c>
      <c r="G561" s="147">
        <v>0.36947000000000002</v>
      </c>
      <c r="H561" s="147">
        <v>6.7176363636363634</v>
      </c>
      <c r="I561" s="729"/>
      <c r="J561" s="147">
        <v>5.8694699999999997</v>
      </c>
      <c r="K561" s="147">
        <v>0</v>
      </c>
      <c r="L561" s="147">
        <v>12.019690000000001</v>
      </c>
      <c r="M561" s="147">
        <v>10.5</v>
      </c>
      <c r="N561" s="147">
        <v>1.51969</v>
      </c>
      <c r="O561" s="147">
        <v>14.473238095238095</v>
      </c>
      <c r="P561" s="147">
        <v>2.7802500000000001</v>
      </c>
      <c r="Q561" s="147">
        <v>9.2394400000000001</v>
      </c>
      <c r="R561" s="147">
        <v>332.32407157629711</v>
      </c>
    </row>
    <row r="562" spans="2:18" ht="15.75" hidden="1" thickBot="1" x14ac:dyDescent="0.3">
      <c r="B562" s="145" t="s">
        <v>703</v>
      </c>
      <c r="C562" s="722" t="s">
        <v>125</v>
      </c>
      <c r="D562" t="s">
        <v>126</v>
      </c>
      <c r="E562" s="148">
        <v>0.21249999999999999</v>
      </c>
      <c r="F562" s="148">
        <v>0.3</v>
      </c>
      <c r="G562" s="148">
        <v>-8.7499999999999994E-2</v>
      </c>
      <c r="H562" s="148">
        <v>-29.166666666666668</v>
      </c>
      <c r="I562" s="728"/>
      <c r="J562" s="148">
        <v>0.21249999999999999</v>
      </c>
      <c r="K562" s="148">
        <v>0</v>
      </c>
      <c r="L562" s="148">
        <v>2.6642199999999998</v>
      </c>
      <c r="M562" s="148">
        <v>3</v>
      </c>
      <c r="N562" s="148">
        <v>-0.33578000000000002</v>
      </c>
      <c r="O562" s="148">
        <v>-11.192666666666666</v>
      </c>
      <c r="P562" s="148">
        <v>2.3067199999999999</v>
      </c>
      <c r="Q562" s="148">
        <v>0.35749999999999998</v>
      </c>
      <c r="R562" s="148">
        <v>15.498196573489631</v>
      </c>
    </row>
    <row r="563" spans="2:18" ht="15.75" hidden="1" thickBot="1" x14ac:dyDescent="0.3">
      <c r="B563" s="145" t="s">
        <v>703</v>
      </c>
      <c r="C563" s="722" t="s">
        <v>685</v>
      </c>
      <c r="D563" t="s">
        <v>686</v>
      </c>
      <c r="E563" s="729"/>
      <c r="F563" s="729"/>
      <c r="G563" s="729"/>
      <c r="H563" s="729"/>
      <c r="I563" s="729"/>
      <c r="J563" s="729"/>
      <c r="K563" s="729"/>
      <c r="L563" s="147">
        <v>0</v>
      </c>
      <c r="M563" s="729"/>
      <c r="N563" s="147">
        <v>0</v>
      </c>
      <c r="O563" s="147">
        <v>0</v>
      </c>
      <c r="P563" s="729"/>
      <c r="Q563" s="147">
        <v>0</v>
      </c>
      <c r="R563" s="147">
        <v>0</v>
      </c>
    </row>
    <row r="564" spans="2:18" ht="15.75" hidden="1" thickBot="1" x14ac:dyDescent="0.3">
      <c r="B564" s="145" t="s">
        <v>703</v>
      </c>
      <c r="C564" s="722" t="s">
        <v>209</v>
      </c>
      <c r="D564" t="s">
        <v>210</v>
      </c>
      <c r="E564" s="728"/>
      <c r="F564" s="728"/>
      <c r="G564" s="728"/>
      <c r="H564" s="728"/>
      <c r="I564" s="728"/>
      <c r="J564" s="728"/>
      <c r="K564" s="728"/>
      <c r="L564" s="148">
        <v>4.9199999999999999E-3</v>
      </c>
      <c r="M564" s="728"/>
      <c r="N564" s="148">
        <v>4.9199999999999999E-3</v>
      </c>
      <c r="O564" s="148">
        <v>0</v>
      </c>
      <c r="P564" s="148">
        <v>2.3500000000000001E-3</v>
      </c>
      <c r="Q564" s="148">
        <v>2.5699999999999998E-3</v>
      </c>
      <c r="R564" s="148">
        <v>109.36170212765957</v>
      </c>
    </row>
    <row r="565" spans="2:18" ht="15.75" hidden="1" thickBot="1" x14ac:dyDescent="0.3">
      <c r="B565" s="145" t="s">
        <v>703</v>
      </c>
      <c r="C565" s="722" t="s">
        <v>83</v>
      </c>
      <c r="D565" t="s">
        <v>84</v>
      </c>
      <c r="E565" s="729"/>
      <c r="F565" s="147">
        <v>3.7223299999999999</v>
      </c>
      <c r="G565" s="147">
        <v>-3.7223299999999999</v>
      </c>
      <c r="H565" s="147">
        <v>-100</v>
      </c>
      <c r="I565" s="729"/>
      <c r="J565" s="729"/>
      <c r="K565" s="729"/>
      <c r="L565" s="729"/>
      <c r="M565" s="147">
        <v>46.119959999999999</v>
      </c>
      <c r="N565" s="147">
        <v>-46.119959999999999</v>
      </c>
      <c r="O565" s="147">
        <v>-100</v>
      </c>
      <c r="P565" s="729"/>
      <c r="Q565" s="729"/>
      <c r="R565" s="729"/>
    </row>
    <row r="566" spans="2:18" ht="15.75" hidden="1" thickBot="1" x14ac:dyDescent="0.3">
      <c r="B566" s="145" t="s">
        <v>703</v>
      </c>
      <c r="C566" s="149" t="s">
        <v>85</v>
      </c>
      <c r="D566" t="s">
        <v>86</v>
      </c>
      <c r="E566" s="148">
        <v>1589.7825700000001</v>
      </c>
      <c r="F566" s="148">
        <v>1165.6564499999999</v>
      </c>
      <c r="G566" s="148">
        <v>424.12612000000001</v>
      </c>
      <c r="H566" s="148">
        <v>36.385173350175343</v>
      </c>
      <c r="I566" s="728"/>
      <c r="J566" s="148">
        <v>1589.7825700000001</v>
      </c>
      <c r="K566" s="148">
        <v>0</v>
      </c>
      <c r="L566" s="148">
        <v>16884.832439999998</v>
      </c>
      <c r="M566" s="148">
        <v>14226.047850000001</v>
      </c>
      <c r="N566" s="148">
        <v>2658.7845900000002</v>
      </c>
      <c r="O566" s="148">
        <v>18.689551856104575</v>
      </c>
      <c r="P566" s="148">
        <v>7870.8605799999996</v>
      </c>
      <c r="Q566" s="148">
        <v>9013.9718599999997</v>
      </c>
      <c r="R566" s="148">
        <v>114.52333284754994</v>
      </c>
    </row>
    <row r="567" spans="2:18" ht="15.75" hidden="1" thickBot="1" x14ac:dyDescent="0.3">
      <c r="B567" s="145" t="s">
        <v>703</v>
      </c>
      <c r="C567" s="144" t="s">
        <v>87</v>
      </c>
      <c r="D567" t="s">
        <v>87</v>
      </c>
      <c r="E567" s="147">
        <v>3262.5377800000001</v>
      </c>
      <c r="F567" s="147">
        <v>3128.0555300000001</v>
      </c>
      <c r="G567" s="147">
        <v>134.48224999999999</v>
      </c>
      <c r="H567" s="147">
        <v>4.2992283452205848</v>
      </c>
      <c r="I567" s="729"/>
      <c r="J567" s="147">
        <v>3262.5377800000001</v>
      </c>
      <c r="K567" s="147">
        <v>0</v>
      </c>
      <c r="L567" s="147">
        <v>39281.774729999997</v>
      </c>
      <c r="M567" s="147">
        <v>37688.0789</v>
      </c>
      <c r="N567" s="147">
        <v>1593.6958299999999</v>
      </c>
      <c r="O567" s="147">
        <v>4.2286470324705245</v>
      </c>
      <c r="P567" s="147">
        <v>19372.206269999999</v>
      </c>
      <c r="Q567" s="147">
        <v>19909.568459999999</v>
      </c>
      <c r="R567" s="147">
        <v>102.77388224402796</v>
      </c>
    </row>
    <row r="568" spans="2:18" ht="15.75" hidden="1" thickBot="1" x14ac:dyDescent="0.3">
      <c r="B568" s="723" t="s">
        <v>704</v>
      </c>
      <c r="C568" s="722" t="s">
        <v>59</v>
      </c>
      <c r="D568" t="s">
        <v>60</v>
      </c>
      <c r="E568" s="148">
        <v>404.25893000000002</v>
      </c>
      <c r="F568" s="148">
        <v>463.86122</v>
      </c>
      <c r="G568" s="148">
        <v>-59.602290000000004</v>
      </c>
      <c r="H568" s="148">
        <v>-12.849164239252421</v>
      </c>
      <c r="I568" s="728"/>
      <c r="J568" s="148">
        <v>404.25893000000002</v>
      </c>
      <c r="K568" s="148">
        <v>0</v>
      </c>
      <c r="L568" s="148">
        <v>5442.9390299999995</v>
      </c>
      <c r="M568" s="148">
        <v>5537.13274</v>
      </c>
      <c r="N568" s="148">
        <v>-94.193709999999996</v>
      </c>
      <c r="O568" s="148">
        <v>-1.701127901802838</v>
      </c>
      <c r="P568" s="148">
        <v>2788.7646100000002</v>
      </c>
      <c r="Q568" s="148">
        <v>2654.1744199999998</v>
      </c>
      <c r="R568" s="148">
        <v>95.173841868281599</v>
      </c>
    </row>
    <row r="569" spans="2:18" ht="15.75" hidden="1" thickBot="1" x14ac:dyDescent="0.3">
      <c r="B569" s="723" t="s">
        <v>704</v>
      </c>
      <c r="C569" s="722" t="s">
        <v>89</v>
      </c>
      <c r="D569" t="s">
        <v>90</v>
      </c>
      <c r="E569" s="147">
        <v>0.30843999999999999</v>
      </c>
      <c r="F569" s="729"/>
      <c r="G569" s="147">
        <v>0.30843999999999999</v>
      </c>
      <c r="H569" s="147">
        <v>0</v>
      </c>
      <c r="I569" s="729"/>
      <c r="J569" s="147">
        <v>0.30843999999999999</v>
      </c>
      <c r="K569" s="147">
        <v>0</v>
      </c>
      <c r="L569" s="147">
        <v>0.30843999999999999</v>
      </c>
      <c r="M569" s="729"/>
      <c r="N569" s="147">
        <v>0.30843999999999999</v>
      </c>
      <c r="O569" s="147">
        <v>0</v>
      </c>
      <c r="P569" s="729"/>
      <c r="Q569" s="147">
        <v>0.30843999999999999</v>
      </c>
      <c r="R569" s="147">
        <v>0</v>
      </c>
    </row>
    <row r="570" spans="2:18" ht="15.75" hidden="1" thickBot="1" x14ac:dyDescent="0.3">
      <c r="B570" s="723" t="s">
        <v>704</v>
      </c>
      <c r="C570" s="722" t="s">
        <v>91</v>
      </c>
      <c r="D570" t="s">
        <v>92</v>
      </c>
      <c r="E570" s="148">
        <v>56.069450000000003</v>
      </c>
      <c r="F570" s="148">
        <v>70.360349999999997</v>
      </c>
      <c r="G570" s="148">
        <v>-14.290900000000001</v>
      </c>
      <c r="H570" s="148">
        <v>-20.311013234016034</v>
      </c>
      <c r="I570" s="728"/>
      <c r="J570" s="148">
        <v>56.069450000000003</v>
      </c>
      <c r="K570" s="148">
        <v>0</v>
      </c>
      <c r="L570" s="148">
        <v>762.35073999999997</v>
      </c>
      <c r="M570" s="148">
        <v>814.77317000000005</v>
      </c>
      <c r="N570" s="148">
        <v>-52.422429999999999</v>
      </c>
      <c r="O570" s="148">
        <v>-6.4339907019766001</v>
      </c>
      <c r="P570" s="148">
        <v>396.36340999999999</v>
      </c>
      <c r="Q570" s="148">
        <v>365.98732999999999</v>
      </c>
      <c r="R570" s="148">
        <v>92.336305715000279</v>
      </c>
    </row>
    <row r="571" spans="2:18" ht="15.75" hidden="1" thickBot="1" x14ac:dyDescent="0.3">
      <c r="B571" s="723" t="s">
        <v>704</v>
      </c>
      <c r="C571" s="722" t="s">
        <v>93</v>
      </c>
      <c r="D571" t="s">
        <v>94</v>
      </c>
      <c r="E571" s="147">
        <v>2.0983700000000001</v>
      </c>
      <c r="F571" s="147">
        <v>1.7504900000000001</v>
      </c>
      <c r="G571" s="147">
        <v>0.34788000000000002</v>
      </c>
      <c r="H571" s="147">
        <v>19.873292620923284</v>
      </c>
      <c r="I571" s="729"/>
      <c r="J571" s="147">
        <v>2.0983700000000001</v>
      </c>
      <c r="K571" s="147">
        <v>0</v>
      </c>
      <c r="L571" s="147">
        <v>18.82264</v>
      </c>
      <c r="M571" s="147">
        <v>20.444990000000001</v>
      </c>
      <c r="N571" s="147">
        <v>-1.62235</v>
      </c>
      <c r="O571" s="147">
        <v>-7.9351958597191778</v>
      </c>
      <c r="P571" s="147">
        <v>10.08948</v>
      </c>
      <c r="Q571" s="147">
        <v>8.7331599999999998</v>
      </c>
      <c r="R571" s="147">
        <v>86.55708718387865</v>
      </c>
    </row>
    <row r="572" spans="2:18" ht="15.75" hidden="1" thickBot="1" x14ac:dyDescent="0.3">
      <c r="B572" s="723" t="s">
        <v>704</v>
      </c>
      <c r="C572" s="722" t="s">
        <v>134</v>
      </c>
      <c r="D572" t="s">
        <v>135</v>
      </c>
      <c r="E572" s="148">
        <v>1.62799</v>
      </c>
      <c r="F572" s="728"/>
      <c r="G572" s="148">
        <v>1.62799</v>
      </c>
      <c r="H572" s="148">
        <v>0</v>
      </c>
      <c r="I572" s="728"/>
      <c r="J572" s="148">
        <v>1.62799</v>
      </c>
      <c r="K572" s="148">
        <v>0</v>
      </c>
      <c r="L572" s="148">
        <v>30.882999999999999</v>
      </c>
      <c r="M572" s="728"/>
      <c r="N572" s="148">
        <v>30.882999999999999</v>
      </c>
      <c r="O572" s="148">
        <v>0</v>
      </c>
      <c r="P572" s="148">
        <v>15.164490000000001</v>
      </c>
      <c r="Q572" s="148">
        <v>15.71851</v>
      </c>
      <c r="R572" s="148">
        <v>103.65340344449434</v>
      </c>
    </row>
    <row r="573" spans="2:18" ht="15.75" hidden="1" thickBot="1" x14ac:dyDescent="0.3">
      <c r="B573" s="723" t="s">
        <v>704</v>
      </c>
      <c r="C573" s="722" t="s">
        <v>61</v>
      </c>
      <c r="D573" t="s">
        <v>62</v>
      </c>
      <c r="E573" s="147">
        <v>80.261399999999995</v>
      </c>
      <c r="F573" s="147">
        <v>82.804339999999996</v>
      </c>
      <c r="G573" s="147">
        <v>-2.5429400000000002</v>
      </c>
      <c r="H573" s="147">
        <v>-3.0710226058199366</v>
      </c>
      <c r="I573" s="729"/>
      <c r="J573" s="147">
        <v>80.261399999999995</v>
      </c>
      <c r="K573" s="147">
        <v>0</v>
      </c>
      <c r="L573" s="147">
        <v>941.89967000000001</v>
      </c>
      <c r="M573" s="147">
        <v>984.54548</v>
      </c>
      <c r="N573" s="147">
        <v>-42.645809999999997</v>
      </c>
      <c r="O573" s="147">
        <v>-4.3315226026937834</v>
      </c>
      <c r="P573" s="147">
        <v>469.18060000000003</v>
      </c>
      <c r="Q573" s="147">
        <v>472.71906999999999</v>
      </c>
      <c r="R573" s="147">
        <v>100.75418079946186</v>
      </c>
    </row>
    <row r="574" spans="2:18" ht="15.75" hidden="1" thickBot="1" x14ac:dyDescent="0.3">
      <c r="B574" s="723" t="s">
        <v>704</v>
      </c>
      <c r="C574" s="722" t="s">
        <v>63</v>
      </c>
      <c r="D574" t="s">
        <v>64</v>
      </c>
      <c r="E574" s="148">
        <v>312.34841</v>
      </c>
      <c r="F574" s="148">
        <v>322.13558999999998</v>
      </c>
      <c r="G574" s="148">
        <v>-9.7871799999999993</v>
      </c>
      <c r="H574" s="148">
        <v>-3.0382175406325018</v>
      </c>
      <c r="I574" s="728"/>
      <c r="J574" s="148">
        <v>312.34841</v>
      </c>
      <c r="K574" s="148">
        <v>0</v>
      </c>
      <c r="L574" s="148">
        <v>3665.86706</v>
      </c>
      <c r="M574" s="148">
        <v>3830.1991600000001</v>
      </c>
      <c r="N574" s="148">
        <v>-164.3321</v>
      </c>
      <c r="O574" s="148">
        <v>-4.290432250003418</v>
      </c>
      <c r="P574" s="148">
        <v>1827.5385799999999</v>
      </c>
      <c r="Q574" s="148">
        <v>1838.3284799999999</v>
      </c>
      <c r="R574" s="148">
        <v>100.59040614070101</v>
      </c>
    </row>
    <row r="575" spans="2:18" ht="15.75" hidden="1" thickBot="1" x14ac:dyDescent="0.3">
      <c r="B575" s="723" t="s">
        <v>704</v>
      </c>
      <c r="C575" s="722" t="s">
        <v>156</v>
      </c>
      <c r="D575" t="s">
        <v>157</v>
      </c>
      <c r="E575" s="147">
        <v>30.258559999999999</v>
      </c>
      <c r="F575" s="147">
        <v>3.1930299999999998</v>
      </c>
      <c r="G575" s="147">
        <v>27.065529999999999</v>
      </c>
      <c r="H575" s="147">
        <v>847.64408727760156</v>
      </c>
      <c r="I575" s="729"/>
      <c r="J575" s="147">
        <v>30.258559999999999</v>
      </c>
      <c r="K575" s="147">
        <v>0</v>
      </c>
      <c r="L575" s="147">
        <v>266.69914</v>
      </c>
      <c r="M575" s="147">
        <v>38.115340000000003</v>
      </c>
      <c r="N575" s="147">
        <v>228.5838</v>
      </c>
      <c r="O575" s="147">
        <v>599.71601984922609</v>
      </c>
      <c r="P575" s="147">
        <v>133.08835999999999</v>
      </c>
      <c r="Q575" s="147">
        <v>133.61078000000001</v>
      </c>
      <c r="R575" s="147">
        <v>100.3925362067727</v>
      </c>
    </row>
    <row r="576" spans="2:18" ht="15.75" hidden="1" thickBot="1" x14ac:dyDescent="0.3">
      <c r="B576" s="723" t="s">
        <v>704</v>
      </c>
      <c r="C576" s="722" t="s">
        <v>184</v>
      </c>
      <c r="D576" t="s">
        <v>185</v>
      </c>
      <c r="E576" s="148">
        <v>8.9696999999999996</v>
      </c>
      <c r="F576" s="148">
        <v>0.45343</v>
      </c>
      <c r="G576" s="148">
        <v>8.5162700000000005</v>
      </c>
      <c r="H576" s="148">
        <v>1878.1884745164634</v>
      </c>
      <c r="I576" s="728"/>
      <c r="J576" s="148">
        <v>8.9696999999999996</v>
      </c>
      <c r="K576" s="148">
        <v>0</v>
      </c>
      <c r="L576" s="148">
        <v>128.56756999999999</v>
      </c>
      <c r="M576" s="148">
        <v>5.2958499999999997</v>
      </c>
      <c r="N576" s="148">
        <v>123.27172</v>
      </c>
      <c r="O576" s="148">
        <v>2327.7041456989909</v>
      </c>
      <c r="P576" s="148">
        <v>66.090019999999996</v>
      </c>
      <c r="Q576" s="148">
        <v>62.477550000000001</v>
      </c>
      <c r="R576" s="148">
        <v>94.534015877132433</v>
      </c>
    </row>
    <row r="577" spans="2:18" ht="15.75" hidden="1" thickBot="1" x14ac:dyDescent="0.3">
      <c r="B577" s="723" t="s">
        <v>704</v>
      </c>
      <c r="C577" s="722" t="s">
        <v>161</v>
      </c>
      <c r="D577" t="s">
        <v>162</v>
      </c>
      <c r="E577" s="147">
        <v>5.3170000000000002E-2</v>
      </c>
      <c r="F577" s="729"/>
      <c r="G577" s="147">
        <v>5.3170000000000002E-2</v>
      </c>
      <c r="H577" s="147">
        <v>0</v>
      </c>
      <c r="I577" s="729"/>
      <c r="J577" s="147">
        <v>5.3170000000000002E-2</v>
      </c>
      <c r="K577" s="147">
        <v>0</v>
      </c>
      <c r="L577" s="147">
        <v>2.85636</v>
      </c>
      <c r="M577" s="729"/>
      <c r="N577" s="147">
        <v>2.85636</v>
      </c>
      <c r="O577" s="147">
        <v>0</v>
      </c>
      <c r="P577" s="147">
        <v>1.88079</v>
      </c>
      <c r="Q577" s="147">
        <v>0.97557000000000005</v>
      </c>
      <c r="R577" s="147">
        <v>51.870224745984402</v>
      </c>
    </row>
    <row r="578" spans="2:18" ht="15.75" hidden="1" thickBot="1" x14ac:dyDescent="0.3">
      <c r="B578" s="723" t="s">
        <v>704</v>
      </c>
      <c r="C578" s="722" t="s">
        <v>65</v>
      </c>
      <c r="D578" t="s">
        <v>66</v>
      </c>
      <c r="E578" s="148">
        <v>-231.02940000000001</v>
      </c>
      <c r="F578" s="148">
        <v>-216.91521</v>
      </c>
      <c r="G578" s="148">
        <v>-14.114190000000001</v>
      </c>
      <c r="H578" s="148">
        <v>-6.5067774638763227</v>
      </c>
      <c r="I578" s="728"/>
      <c r="J578" s="148">
        <v>-231.02940000000001</v>
      </c>
      <c r="K578" s="148">
        <v>0</v>
      </c>
      <c r="L578" s="148">
        <v>-2809.84429</v>
      </c>
      <c r="M578" s="148">
        <v>-2589.5041999999999</v>
      </c>
      <c r="N578" s="148">
        <v>-220.34009</v>
      </c>
      <c r="O578" s="148">
        <v>-8.5089682418742552</v>
      </c>
      <c r="P578" s="148">
        <v>-1450.18416</v>
      </c>
      <c r="Q578" s="148">
        <v>-1359.66013</v>
      </c>
      <c r="R578" s="148">
        <v>-93.757756256281269</v>
      </c>
    </row>
    <row r="579" spans="2:18" ht="15.75" hidden="1" thickBot="1" x14ac:dyDescent="0.3">
      <c r="B579" s="723" t="s">
        <v>704</v>
      </c>
      <c r="C579" s="722" t="s">
        <v>186</v>
      </c>
      <c r="D579" t="s">
        <v>187</v>
      </c>
      <c r="E579" s="147">
        <v>-0.33316000000000001</v>
      </c>
      <c r="F579" s="729"/>
      <c r="G579" s="147">
        <v>-0.33316000000000001</v>
      </c>
      <c r="H579" s="147">
        <v>0</v>
      </c>
      <c r="I579" s="729"/>
      <c r="J579" s="147">
        <v>-0.33316000000000001</v>
      </c>
      <c r="K579" s="147">
        <v>0</v>
      </c>
      <c r="L579" s="147">
        <v>-0.33316000000000001</v>
      </c>
      <c r="M579" s="729"/>
      <c r="N579" s="147">
        <v>-0.33316000000000001</v>
      </c>
      <c r="O579" s="147">
        <v>0</v>
      </c>
      <c r="P579" s="729"/>
      <c r="Q579" s="147">
        <v>-0.33316000000000001</v>
      </c>
      <c r="R579" s="147">
        <v>0</v>
      </c>
    </row>
    <row r="580" spans="2:18" ht="15.75" hidden="1" thickBot="1" x14ac:dyDescent="0.3">
      <c r="B580" s="723" t="s">
        <v>704</v>
      </c>
      <c r="C580" s="722" t="s">
        <v>163</v>
      </c>
      <c r="D580" t="s">
        <v>164</v>
      </c>
      <c r="E580" s="148">
        <v>-71.836079999999995</v>
      </c>
      <c r="F580" s="148">
        <v>-76.291030000000006</v>
      </c>
      <c r="G580" s="148">
        <v>4.4549500000000002</v>
      </c>
      <c r="H580" s="148">
        <v>5.8394151973043229</v>
      </c>
      <c r="I580" s="728"/>
      <c r="J580" s="148">
        <v>-71.836079999999995</v>
      </c>
      <c r="K580" s="148">
        <v>0</v>
      </c>
      <c r="L580" s="148">
        <v>-862.28697999999997</v>
      </c>
      <c r="M580" s="148">
        <v>-879.83759999999995</v>
      </c>
      <c r="N580" s="148">
        <v>17.550619999999999</v>
      </c>
      <c r="O580" s="148">
        <v>1.9947567596565547</v>
      </c>
      <c r="P580" s="148">
        <v>-432.86860000000001</v>
      </c>
      <c r="Q580" s="148">
        <v>-429.41838000000001</v>
      </c>
      <c r="R580" s="148">
        <v>-99.20294056903181</v>
      </c>
    </row>
    <row r="581" spans="2:18" ht="15.75" hidden="1" thickBot="1" x14ac:dyDescent="0.3">
      <c r="B581" s="723" t="s">
        <v>704</v>
      </c>
      <c r="C581" s="722" t="s">
        <v>97</v>
      </c>
      <c r="D581" t="s">
        <v>98</v>
      </c>
      <c r="E581" s="147">
        <v>-0.55535999999999996</v>
      </c>
      <c r="F581" s="729"/>
      <c r="G581" s="147">
        <v>-0.55535999999999996</v>
      </c>
      <c r="H581" s="147">
        <v>0</v>
      </c>
      <c r="I581" s="729"/>
      <c r="J581" s="147">
        <v>-0.55535999999999996</v>
      </c>
      <c r="K581" s="147">
        <v>0</v>
      </c>
      <c r="L581" s="147">
        <v>-14.689310000000001</v>
      </c>
      <c r="M581" s="729"/>
      <c r="N581" s="147">
        <v>-14.689310000000001</v>
      </c>
      <c r="O581" s="147">
        <v>0</v>
      </c>
      <c r="P581" s="147">
        <v>-9.0007999999999999</v>
      </c>
      <c r="Q581" s="147">
        <v>-5.68851</v>
      </c>
      <c r="R581" s="147">
        <v>-63.200048884543598</v>
      </c>
    </row>
    <row r="582" spans="2:18" ht="15.75" hidden="1" thickBot="1" x14ac:dyDescent="0.3">
      <c r="B582" s="723" t="s">
        <v>704</v>
      </c>
      <c r="C582" s="149" t="s">
        <v>67</v>
      </c>
      <c r="D582" t="s">
        <v>68</v>
      </c>
      <c r="E582" s="148">
        <v>592.50041999999996</v>
      </c>
      <c r="F582" s="148">
        <v>651.35221000000001</v>
      </c>
      <c r="G582" s="148">
        <v>-58.851790000000001</v>
      </c>
      <c r="H582" s="148">
        <v>-9.0353251430589303</v>
      </c>
      <c r="I582" s="728"/>
      <c r="J582" s="148">
        <v>592.50041999999996</v>
      </c>
      <c r="K582" s="148">
        <v>0</v>
      </c>
      <c r="L582" s="148">
        <v>7574.0399100000004</v>
      </c>
      <c r="M582" s="148">
        <v>7761.1649299999999</v>
      </c>
      <c r="N582" s="148">
        <v>-187.12502000000001</v>
      </c>
      <c r="O582" s="148">
        <v>-2.4110429515121772</v>
      </c>
      <c r="P582" s="148">
        <v>3816.1067800000001</v>
      </c>
      <c r="Q582" s="148">
        <v>3757.9331299999999</v>
      </c>
      <c r="R582" s="148">
        <v>98.47557593763139</v>
      </c>
    </row>
    <row r="583" spans="2:18" ht="15.75" hidden="1" thickBot="1" x14ac:dyDescent="0.3">
      <c r="B583" s="723" t="s">
        <v>704</v>
      </c>
      <c r="C583" s="722" t="s">
        <v>69</v>
      </c>
      <c r="D583" t="s">
        <v>70</v>
      </c>
      <c r="E583" s="147">
        <v>3.3839999999999999</v>
      </c>
      <c r="F583" s="147">
        <v>11.178000000000001</v>
      </c>
      <c r="G583" s="147">
        <v>-7.7939999999999996</v>
      </c>
      <c r="H583" s="147">
        <v>-69.726247987117546</v>
      </c>
      <c r="I583" s="729"/>
      <c r="J583" s="147">
        <v>3.3839999999999999</v>
      </c>
      <c r="K583" s="147">
        <v>0</v>
      </c>
      <c r="L583" s="147">
        <v>57.100540000000002</v>
      </c>
      <c r="M583" s="147">
        <v>175.952</v>
      </c>
      <c r="N583" s="147">
        <v>-118.85146</v>
      </c>
      <c r="O583" s="147">
        <v>-67.547660725652449</v>
      </c>
      <c r="P583" s="147">
        <v>22.240919999999999</v>
      </c>
      <c r="Q583" s="147">
        <v>34.85962</v>
      </c>
      <c r="R583" s="147">
        <v>156.73641198295755</v>
      </c>
    </row>
    <row r="584" spans="2:18" ht="15.75" hidden="1" thickBot="1" x14ac:dyDescent="0.3">
      <c r="B584" s="723" t="s">
        <v>704</v>
      </c>
      <c r="C584" s="722" t="s">
        <v>99</v>
      </c>
      <c r="D584" t="s">
        <v>100</v>
      </c>
      <c r="E584" s="148">
        <v>0.60079000000000005</v>
      </c>
      <c r="F584" s="148">
        <v>0.75</v>
      </c>
      <c r="G584" s="148">
        <v>-0.14921000000000001</v>
      </c>
      <c r="H584" s="148">
        <v>-19.894666666666666</v>
      </c>
      <c r="I584" s="728"/>
      <c r="J584" s="148">
        <v>0.60079000000000005</v>
      </c>
      <c r="K584" s="148">
        <v>0</v>
      </c>
      <c r="L584" s="148">
        <v>13.65832</v>
      </c>
      <c r="M584" s="148">
        <v>9</v>
      </c>
      <c r="N584" s="148">
        <v>4.6583199999999998</v>
      </c>
      <c r="O584" s="148">
        <v>51.75911111111111</v>
      </c>
      <c r="P584" s="148">
        <v>7.3709899999999999</v>
      </c>
      <c r="Q584" s="148">
        <v>6.2873299999999999</v>
      </c>
      <c r="R584" s="148">
        <v>85.298311353020424</v>
      </c>
    </row>
    <row r="585" spans="2:18" ht="15.75" hidden="1" thickBot="1" x14ac:dyDescent="0.3">
      <c r="B585" s="723" t="s">
        <v>704</v>
      </c>
      <c r="C585" s="722" t="s">
        <v>165</v>
      </c>
      <c r="D585" t="s">
        <v>166</v>
      </c>
      <c r="E585" s="147">
        <v>0.25441000000000003</v>
      </c>
      <c r="F585" s="729"/>
      <c r="G585" s="147">
        <v>0.25441000000000003</v>
      </c>
      <c r="H585" s="147">
        <v>0</v>
      </c>
      <c r="I585" s="729"/>
      <c r="J585" s="147">
        <v>0.25441000000000003</v>
      </c>
      <c r="K585" s="147">
        <v>0</v>
      </c>
      <c r="L585" s="147">
        <v>9.3994099999999996</v>
      </c>
      <c r="M585" s="729"/>
      <c r="N585" s="147">
        <v>9.3994099999999996</v>
      </c>
      <c r="O585" s="147">
        <v>0</v>
      </c>
      <c r="P585" s="147">
        <v>6.2363400000000002</v>
      </c>
      <c r="Q585" s="147">
        <v>3.1630699999999998</v>
      </c>
      <c r="R585" s="147">
        <v>50.719973574243866</v>
      </c>
    </row>
    <row r="586" spans="2:18" ht="15.75" hidden="1" thickBot="1" x14ac:dyDescent="0.3">
      <c r="B586" s="723" t="s">
        <v>704</v>
      </c>
      <c r="C586" s="722" t="s">
        <v>188</v>
      </c>
      <c r="D586" t="s">
        <v>189</v>
      </c>
      <c r="E586" s="148">
        <v>7.2995999999999999</v>
      </c>
      <c r="F586" s="728"/>
      <c r="G586" s="148">
        <v>7.2995999999999999</v>
      </c>
      <c r="H586" s="148">
        <v>0</v>
      </c>
      <c r="I586" s="728"/>
      <c r="J586" s="148">
        <v>7.2995999999999999</v>
      </c>
      <c r="K586" s="148">
        <v>0</v>
      </c>
      <c r="L586" s="148">
        <v>99.734920000000002</v>
      </c>
      <c r="M586" s="728"/>
      <c r="N586" s="148">
        <v>99.734920000000002</v>
      </c>
      <c r="O586" s="148">
        <v>0</v>
      </c>
      <c r="P586" s="148">
        <v>48.635390000000001</v>
      </c>
      <c r="Q586" s="148">
        <v>51.099530000000001</v>
      </c>
      <c r="R586" s="148">
        <v>105.06655750061837</v>
      </c>
    </row>
    <row r="587" spans="2:18" ht="15.75" hidden="1" thickBot="1" x14ac:dyDescent="0.3">
      <c r="B587" s="723" t="s">
        <v>704</v>
      </c>
      <c r="C587" s="722" t="s">
        <v>137</v>
      </c>
      <c r="D587" t="s">
        <v>138</v>
      </c>
      <c r="E587" s="147">
        <v>0.84067999999999998</v>
      </c>
      <c r="F587" s="147">
        <v>0.79166000000000003</v>
      </c>
      <c r="G587" s="147">
        <v>4.9020000000000001E-2</v>
      </c>
      <c r="H587" s="147">
        <v>6.1920521435969986</v>
      </c>
      <c r="I587" s="729"/>
      <c r="J587" s="147">
        <v>0.84067999999999998</v>
      </c>
      <c r="K587" s="147">
        <v>0</v>
      </c>
      <c r="L587" s="147">
        <v>8.43126</v>
      </c>
      <c r="M587" s="147">
        <v>9.4999199999999995</v>
      </c>
      <c r="N587" s="147">
        <v>-1.0686599999999999</v>
      </c>
      <c r="O587" s="147">
        <v>-11.249147361240937</v>
      </c>
      <c r="P587" s="147">
        <v>3.75684</v>
      </c>
      <c r="Q587" s="147">
        <v>4.6744199999999996</v>
      </c>
      <c r="R587" s="147">
        <v>124.42425016769413</v>
      </c>
    </row>
    <row r="588" spans="2:18" ht="15.75" hidden="1" thickBot="1" x14ac:dyDescent="0.3">
      <c r="B588" s="723" t="s">
        <v>704</v>
      </c>
      <c r="C588" s="722" t="s">
        <v>190</v>
      </c>
      <c r="D588" t="s">
        <v>191</v>
      </c>
      <c r="E588" s="148">
        <v>-1.6202000000000001</v>
      </c>
      <c r="F588" s="148">
        <v>0.96665999999999996</v>
      </c>
      <c r="G588" s="148">
        <v>-2.5868600000000002</v>
      </c>
      <c r="H588" s="148">
        <v>-267.60805246932739</v>
      </c>
      <c r="I588" s="728"/>
      <c r="J588" s="148">
        <v>-1.6202000000000001</v>
      </c>
      <c r="K588" s="148">
        <v>0</v>
      </c>
      <c r="L588" s="148">
        <v>8.5482899999999997</v>
      </c>
      <c r="M588" s="148">
        <v>11.599919999999999</v>
      </c>
      <c r="N588" s="148">
        <v>-3.0516299999999998</v>
      </c>
      <c r="O588" s="148">
        <v>-26.307336602321396</v>
      </c>
      <c r="P588" s="148">
        <v>3.9098299999999999</v>
      </c>
      <c r="Q588" s="148">
        <v>4.6384600000000002</v>
      </c>
      <c r="R588" s="148">
        <v>118.63584861745908</v>
      </c>
    </row>
    <row r="589" spans="2:18" ht="15.75" hidden="1" thickBot="1" x14ac:dyDescent="0.3">
      <c r="B589" s="723" t="s">
        <v>704</v>
      </c>
      <c r="C589" s="722" t="s">
        <v>36</v>
      </c>
      <c r="D589" t="s">
        <v>192</v>
      </c>
      <c r="E589" s="147">
        <v>1.0988599999999999</v>
      </c>
      <c r="F589" s="147">
        <v>1.5</v>
      </c>
      <c r="G589" s="147">
        <v>-0.40114</v>
      </c>
      <c r="H589" s="147">
        <v>-26.742666666666668</v>
      </c>
      <c r="I589" s="729"/>
      <c r="J589" s="147">
        <v>1.0988599999999999</v>
      </c>
      <c r="K589" s="147">
        <v>0</v>
      </c>
      <c r="L589" s="147">
        <v>19.745989999999999</v>
      </c>
      <c r="M589" s="147">
        <v>18</v>
      </c>
      <c r="N589" s="147">
        <v>1.7459899999999999</v>
      </c>
      <c r="O589" s="147">
        <v>9.6999444444444443</v>
      </c>
      <c r="P589" s="147">
        <v>10.57179</v>
      </c>
      <c r="Q589" s="147">
        <v>9.1742000000000008</v>
      </c>
      <c r="R589" s="147">
        <v>86.780006034928803</v>
      </c>
    </row>
    <row r="590" spans="2:18" ht="15.75" hidden="1" thickBot="1" x14ac:dyDescent="0.3">
      <c r="B590" s="723" t="s">
        <v>704</v>
      </c>
      <c r="C590" s="722" t="s">
        <v>139</v>
      </c>
      <c r="D590" t="s">
        <v>140</v>
      </c>
      <c r="E590" s="148">
        <v>5.6495600000000001</v>
      </c>
      <c r="F590" s="148">
        <v>0.91474999999999995</v>
      </c>
      <c r="G590" s="148">
        <v>4.7348100000000004</v>
      </c>
      <c r="H590" s="148">
        <v>517.60699644711667</v>
      </c>
      <c r="I590" s="728"/>
      <c r="J590" s="148">
        <v>5.6495600000000001</v>
      </c>
      <c r="K590" s="148">
        <v>0</v>
      </c>
      <c r="L590" s="148">
        <v>474.49666000000002</v>
      </c>
      <c r="M590" s="148">
        <v>514.90099999999995</v>
      </c>
      <c r="N590" s="148">
        <v>-40.404339999999998</v>
      </c>
      <c r="O590" s="148">
        <v>-7.8470113672337014</v>
      </c>
      <c r="P590" s="148">
        <v>218.95006000000001</v>
      </c>
      <c r="Q590" s="148">
        <v>255.54660000000001</v>
      </c>
      <c r="R590" s="148">
        <v>116.71456038879369</v>
      </c>
    </row>
    <row r="591" spans="2:18" ht="15.75" hidden="1" thickBot="1" x14ac:dyDescent="0.3">
      <c r="B591" s="723" t="s">
        <v>704</v>
      </c>
      <c r="C591" s="722" t="s">
        <v>169</v>
      </c>
      <c r="D591" t="s">
        <v>170</v>
      </c>
      <c r="E591" s="147">
        <v>14.411</v>
      </c>
      <c r="F591" s="147">
        <v>8.1333699999999993</v>
      </c>
      <c r="G591" s="147">
        <v>6.2776300000000003</v>
      </c>
      <c r="H591" s="147">
        <v>77.183627450859859</v>
      </c>
      <c r="I591" s="729"/>
      <c r="J591" s="147">
        <v>14.411</v>
      </c>
      <c r="K591" s="147">
        <v>0</v>
      </c>
      <c r="L591" s="147">
        <v>182.30131</v>
      </c>
      <c r="M591" s="147">
        <v>97.6</v>
      </c>
      <c r="N591" s="147">
        <v>84.701310000000007</v>
      </c>
      <c r="O591" s="147">
        <v>86.784129098360651</v>
      </c>
      <c r="P591" s="147">
        <v>55.454259999999998</v>
      </c>
      <c r="Q591" s="147">
        <v>126.84705</v>
      </c>
      <c r="R591" s="147">
        <v>228.74175942479442</v>
      </c>
    </row>
    <row r="592" spans="2:18" ht="15.75" hidden="1" thickBot="1" x14ac:dyDescent="0.3">
      <c r="B592" s="723" t="s">
        <v>704</v>
      </c>
      <c r="C592" s="722" t="s">
        <v>101</v>
      </c>
      <c r="D592" t="s">
        <v>102</v>
      </c>
      <c r="E592" s="148">
        <v>40.627310000000001</v>
      </c>
      <c r="F592" s="148">
        <v>5.3339999999999996</v>
      </c>
      <c r="G592" s="148">
        <v>35.293309999999998</v>
      </c>
      <c r="H592" s="148">
        <v>661.66685414323206</v>
      </c>
      <c r="I592" s="728"/>
      <c r="J592" s="148">
        <v>40.627310000000001</v>
      </c>
      <c r="K592" s="148">
        <v>0</v>
      </c>
      <c r="L592" s="148">
        <v>223.18890999999999</v>
      </c>
      <c r="M592" s="148">
        <v>37.008000000000003</v>
      </c>
      <c r="N592" s="148">
        <v>186.18091000000001</v>
      </c>
      <c r="O592" s="148">
        <v>503.08287397319498</v>
      </c>
      <c r="P592" s="148">
        <v>58.800699999999999</v>
      </c>
      <c r="Q592" s="148">
        <v>164.38820999999999</v>
      </c>
      <c r="R592" s="148">
        <v>279.56845751836289</v>
      </c>
    </row>
    <row r="593" spans="2:18" ht="15.75" hidden="1" thickBot="1" x14ac:dyDescent="0.3">
      <c r="B593" s="723" t="s">
        <v>704</v>
      </c>
      <c r="C593" s="722" t="s">
        <v>605</v>
      </c>
      <c r="D593" t="s">
        <v>606</v>
      </c>
      <c r="E593" s="729"/>
      <c r="F593" s="729"/>
      <c r="G593" s="729"/>
      <c r="H593" s="729"/>
      <c r="I593" s="729"/>
      <c r="J593" s="729"/>
      <c r="K593" s="729"/>
      <c r="L593" s="147">
        <v>0.98794999999999999</v>
      </c>
      <c r="M593" s="729"/>
      <c r="N593" s="147">
        <v>0.98794999999999999</v>
      </c>
      <c r="O593" s="147">
        <v>0</v>
      </c>
      <c r="P593" s="147">
        <v>0.98794999999999999</v>
      </c>
      <c r="Q593" s="147">
        <v>0</v>
      </c>
      <c r="R593" s="147">
        <v>0</v>
      </c>
    </row>
    <row r="594" spans="2:18" ht="15.75" hidden="1" thickBot="1" x14ac:dyDescent="0.3">
      <c r="B594" s="723" t="s">
        <v>704</v>
      </c>
      <c r="C594" s="722" t="s">
        <v>462</v>
      </c>
      <c r="D594" t="s">
        <v>463</v>
      </c>
      <c r="E594" s="728"/>
      <c r="F594" s="728"/>
      <c r="G594" s="728"/>
      <c r="H594" s="728"/>
      <c r="I594" s="728"/>
      <c r="J594" s="728"/>
      <c r="K594" s="728"/>
      <c r="L594" s="148">
        <v>1.6999</v>
      </c>
      <c r="M594" s="728"/>
      <c r="N594" s="148">
        <v>1.6999</v>
      </c>
      <c r="O594" s="148">
        <v>0</v>
      </c>
      <c r="P594" s="148">
        <v>0.16125999999999999</v>
      </c>
      <c r="Q594" s="148">
        <v>1.53864</v>
      </c>
      <c r="R594" s="148">
        <v>954.13617760138902</v>
      </c>
    </row>
    <row r="595" spans="2:18" ht="15.75" hidden="1" thickBot="1" x14ac:dyDescent="0.3">
      <c r="B595" s="723" t="s">
        <v>704</v>
      </c>
      <c r="C595" s="722" t="s">
        <v>464</v>
      </c>
      <c r="D595" t="s">
        <v>465</v>
      </c>
      <c r="E595" s="729"/>
      <c r="F595" s="729"/>
      <c r="G595" s="729"/>
      <c r="H595" s="729"/>
      <c r="I595" s="729"/>
      <c r="J595" s="729"/>
      <c r="K595" s="729"/>
      <c r="L595" s="147">
        <v>0.37811</v>
      </c>
      <c r="M595" s="729"/>
      <c r="N595" s="147">
        <v>0.37811</v>
      </c>
      <c r="O595" s="147">
        <v>0</v>
      </c>
      <c r="P595" s="147">
        <v>0.14011000000000001</v>
      </c>
      <c r="Q595" s="147">
        <v>0.23799999999999999</v>
      </c>
      <c r="R595" s="147">
        <v>169.86653343801299</v>
      </c>
    </row>
    <row r="596" spans="2:18" ht="15.75" hidden="1" thickBot="1" x14ac:dyDescent="0.3">
      <c r="B596" s="723" t="s">
        <v>704</v>
      </c>
      <c r="C596" s="722" t="s">
        <v>619</v>
      </c>
      <c r="D596" t="s">
        <v>620</v>
      </c>
      <c r="E596" s="728"/>
      <c r="F596" s="728"/>
      <c r="G596" s="728"/>
      <c r="H596" s="728"/>
      <c r="I596" s="728"/>
      <c r="J596" s="728"/>
      <c r="K596" s="728"/>
      <c r="L596" s="148">
        <v>0.28560000000000002</v>
      </c>
      <c r="M596" s="728"/>
      <c r="N596" s="148">
        <v>0.28560000000000002</v>
      </c>
      <c r="O596" s="148">
        <v>0</v>
      </c>
      <c r="P596" s="728"/>
      <c r="Q596" s="148">
        <v>0.28560000000000002</v>
      </c>
      <c r="R596" s="148">
        <v>0</v>
      </c>
    </row>
    <row r="597" spans="2:18" ht="15.75" hidden="1" thickBot="1" x14ac:dyDescent="0.3">
      <c r="B597" s="723" t="s">
        <v>704</v>
      </c>
      <c r="C597" s="722" t="s">
        <v>103</v>
      </c>
      <c r="D597" t="s">
        <v>104</v>
      </c>
      <c r="E597" s="147">
        <v>3.9899999999999996E-3</v>
      </c>
      <c r="F597" s="729"/>
      <c r="G597" s="147">
        <v>3.9899999999999996E-3</v>
      </c>
      <c r="H597" s="147">
        <v>0</v>
      </c>
      <c r="I597" s="729"/>
      <c r="J597" s="147">
        <v>3.9899999999999996E-3</v>
      </c>
      <c r="K597" s="147">
        <v>0</v>
      </c>
      <c r="L597" s="147">
        <v>24.472670000000001</v>
      </c>
      <c r="M597" s="729"/>
      <c r="N597" s="147">
        <v>24.472670000000001</v>
      </c>
      <c r="O597" s="147">
        <v>0</v>
      </c>
      <c r="P597" s="147">
        <v>4.4540000000000003E-2</v>
      </c>
      <c r="Q597" s="147">
        <v>24.428129999999999</v>
      </c>
      <c r="R597" s="147">
        <v>54845.37494387068</v>
      </c>
    </row>
    <row r="598" spans="2:18" ht="15.75" hidden="1" thickBot="1" x14ac:dyDescent="0.3">
      <c r="B598" s="723" t="s">
        <v>704</v>
      </c>
      <c r="C598" s="722" t="s">
        <v>71</v>
      </c>
      <c r="D598" t="s">
        <v>72</v>
      </c>
      <c r="E598" s="728"/>
      <c r="F598" s="728"/>
      <c r="G598" s="728"/>
      <c r="H598" s="728"/>
      <c r="I598" s="728"/>
      <c r="J598" s="728"/>
      <c r="K598" s="728"/>
      <c r="L598" s="148">
        <v>1.545E-2</v>
      </c>
      <c r="M598" s="728"/>
      <c r="N598" s="148">
        <v>1.545E-2</v>
      </c>
      <c r="O598" s="148">
        <v>0</v>
      </c>
      <c r="P598" s="728"/>
      <c r="Q598" s="148">
        <v>1.545E-2</v>
      </c>
      <c r="R598" s="148">
        <v>0</v>
      </c>
    </row>
    <row r="599" spans="2:18" ht="15.75" hidden="1" thickBot="1" x14ac:dyDescent="0.3">
      <c r="B599" s="723" t="s">
        <v>704</v>
      </c>
      <c r="C599" s="722" t="s">
        <v>105</v>
      </c>
      <c r="D599" t="s">
        <v>106</v>
      </c>
      <c r="E599" s="147">
        <v>209.45139</v>
      </c>
      <c r="F599" s="147">
        <v>239.78700000000001</v>
      </c>
      <c r="G599" s="147">
        <v>-30.335609999999999</v>
      </c>
      <c r="H599" s="147">
        <v>-12.651065320471918</v>
      </c>
      <c r="I599" s="729"/>
      <c r="J599" s="147">
        <v>209.45139</v>
      </c>
      <c r="K599" s="147">
        <v>0</v>
      </c>
      <c r="L599" s="147">
        <v>2323.1508100000001</v>
      </c>
      <c r="M599" s="147">
        <v>2563.1280200000001</v>
      </c>
      <c r="N599" s="147">
        <v>-239.97721000000001</v>
      </c>
      <c r="O599" s="147">
        <v>-9.3626696804633269</v>
      </c>
      <c r="P599" s="147">
        <v>1234.2753</v>
      </c>
      <c r="Q599" s="147">
        <v>1088.8755100000001</v>
      </c>
      <c r="R599" s="147">
        <v>88.219825026069955</v>
      </c>
    </row>
    <row r="600" spans="2:18" ht="15.75" hidden="1" thickBot="1" x14ac:dyDescent="0.3">
      <c r="B600" s="723" t="s">
        <v>704</v>
      </c>
      <c r="C600" s="722" t="s">
        <v>109</v>
      </c>
      <c r="D600" t="s">
        <v>110</v>
      </c>
      <c r="E600" s="148">
        <v>1.0165</v>
      </c>
      <c r="F600" s="148">
        <v>0.749</v>
      </c>
      <c r="G600" s="148">
        <v>0.26750000000000002</v>
      </c>
      <c r="H600" s="148">
        <v>35.714285714285715</v>
      </c>
      <c r="I600" s="728"/>
      <c r="J600" s="148">
        <v>1.0165</v>
      </c>
      <c r="K600" s="148">
        <v>0</v>
      </c>
      <c r="L600" s="148">
        <v>9.0449300000000008</v>
      </c>
      <c r="M600" s="148">
        <v>7.9829999999999997</v>
      </c>
      <c r="N600" s="148">
        <v>1.06193</v>
      </c>
      <c r="O600" s="148">
        <v>13.302392584241513</v>
      </c>
      <c r="P600" s="148">
        <v>4.8251099999999996</v>
      </c>
      <c r="Q600" s="148">
        <v>4.2198200000000003</v>
      </c>
      <c r="R600" s="148">
        <v>87.455415524205662</v>
      </c>
    </row>
    <row r="601" spans="2:18" ht="15.75" hidden="1" thickBot="1" x14ac:dyDescent="0.3">
      <c r="B601" s="723" t="s">
        <v>704</v>
      </c>
      <c r="C601" s="722" t="s">
        <v>73</v>
      </c>
      <c r="D601" t="s">
        <v>74</v>
      </c>
      <c r="E601" s="147">
        <v>1.8565199999999999</v>
      </c>
      <c r="F601" s="147">
        <v>1.2343299999999999</v>
      </c>
      <c r="G601" s="147">
        <v>0.62219000000000002</v>
      </c>
      <c r="H601" s="147">
        <v>50.40710344883459</v>
      </c>
      <c r="I601" s="729"/>
      <c r="J601" s="147">
        <v>1.8565199999999999</v>
      </c>
      <c r="K601" s="147">
        <v>0</v>
      </c>
      <c r="L601" s="147">
        <v>14.89894</v>
      </c>
      <c r="M601" s="147">
        <v>15.712</v>
      </c>
      <c r="N601" s="147">
        <v>-0.81306</v>
      </c>
      <c r="O601" s="147">
        <v>-5.1747708757637474</v>
      </c>
      <c r="P601" s="147">
        <v>7.3766299999999996</v>
      </c>
      <c r="Q601" s="147">
        <v>7.5223100000000001</v>
      </c>
      <c r="R601" s="147">
        <v>101.97488555071897</v>
      </c>
    </row>
    <row r="602" spans="2:18" ht="15.75" hidden="1" thickBot="1" x14ac:dyDescent="0.3">
      <c r="B602" s="723" t="s">
        <v>704</v>
      </c>
      <c r="C602" s="722" t="s">
        <v>111</v>
      </c>
      <c r="D602" t="s">
        <v>112</v>
      </c>
      <c r="E602" s="728"/>
      <c r="F602" s="728"/>
      <c r="G602" s="728"/>
      <c r="H602" s="728"/>
      <c r="I602" s="728"/>
      <c r="J602" s="728"/>
      <c r="K602" s="728"/>
      <c r="L602" s="148">
        <v>0.50297999999999998</v>
      </c>
      <c r="M602" s="728"/>
      <c r="N602" s="148">
        <v>0.50297999999999998</v>
      </c>
      <c r="O602" s="148">
        <v>0</v>
      </c>
      <c r="P602" s="148">
        <v>0.25297999999999998</v>
      </c>
      <c r="Q602" s="148">
        <v>0.25</v>
      </c>
      <c r="R602" s="148">
        <v>98.822041268084433</v>
      </c>
    </row>
    <row r="603" spans="2:18" ht="15.75" hidden="1" thickBot="1" x14ac:dyDescent="0.3">
      <c r="B603" s="723" t="s">
        <v>704</v>
      </c>
      <c r="C603" s="722" t="s">
        <v>141</v>
      </c>
      <c r="D603" t="s">
        <v>142</v>
      </c>
      <c r="E603" s="147">
        <v>2.9479999999999999E-2</v>
      </c>
      <c r="F603" s="147">
        <v>9.9000000000000005E-2</v>
      </c>
      <c r="G603" s="147">
        <v>-6.9519999999999998E-2</v>
      </c>
      <c r="H603" s="147">
        <v>-70.222222222222229</v>
      </c>
      <c r="I603" s="729"/>
      <c r="J603" s="147">
        <v>2.9479999999999999E-2</v>
      </c>
      <c r="K603" s="147">
        <v>0</v>
      </c>
      <c r="L603" s="147">
        <v>3.3018000000000001</v>
      </c>
      <c r="M603" s="147">
        <v>1.738</v>
      </c>
      <c r="N603" s="147">
        <v>1.5638000000000001</v>
      </c>
      <c r="O603" s="147">
        <v>89.976985040276176</v>
      </c>
      <c r="P603" s="147">
        <v>1.1257600000000001</v>
      </c>
      <c r="Q603" s="147">
        <v>2.17604</v>
      </c>
      <c r="R603" s="147">
        <v>193.29519613416713</v>
      </c>
    </row>
    <row r="604" spans="2:18" ht="15.75" hidden="1" thickBot="1" x14ac:dyDescent="0.3">
      <c r="B604" s="723" t="s">
        <v>704</v>
      </c>
      <c r="C604" s="722" t="s">
        <v>113</v>
      </c>
      <c r="D604" t="s">
        <v>114</v>
      </c>
      <c r="E604" s="148">
        <v>8.8080000000000006E-2</v>
      </c>
      <c r="F604" s="148">
        <v>0.32366</v>
      </c>
      <c r="G604" s="148">
        <v>-0.23558000000000001</v>
      </c>
      <c r="H604" s="148">
        <v>-72.78625718346413</v>
      </c>
      <c r="I604" s="728"/>
      <c r="J604" s="148">
        <v>8.8080000000000006E-2</v>
      </c>
      <c r="K604" s="148">
        <v>0</v>
      </c>
      <c r="L604" s="148">
        <v>2.17611</v>
      </c>
      <c r="M604" s="148">
        <v>3.8090000000000002</v>
      </c>
      <c r="N604" s="148">
        <v>-1.63289</v>
      </c>
      <c r="O604" s="148">
        <v>-42.869257022840642</v>
      </c>
      <c r="P604" s="148">
        <v>0.99946000000000002</v>
      </c>
      <c r="Q604" s="148">
        <v>1.17665</v>
      </c>
      <c r="R604" s="148">
        <v>117.72857342965202</v>
      </c>
    </row>
    <row r="605" spans="2:18" ht="15.75" hidden="1" thickBot="1" x14ac:dyDescent="0.3">
      <c r="B605" s="723" t="s">
        <v>704</v>
      </c>
      <c r="C605" s="722" t="s">
        <v>143</v>
      </c>
      <c r="D605" t="s">
        <v>144</v>
      </c>
      <c r="E605" s="729"/>
      <c r="F605" s="729"/>
      <c r="G605" s="729"/>
      <c r="H605" s="729"/>
      <c r="I605" s="729"/>
      <c r="J605" s="729"/>
      <c r="K605" s="729"/>
      <c r="L605" s="147">
        <v>0.12195</v>
      </c>
      <c r="M605" s="729"/>
      <c r="N605" s="147">
        <v>0.12195</v>
      </c>
      <c r="O605" s="147">
        <v>0</v>
      </c>
      <c r="P605" s="147">
        <v>0.12195</v>
      </c>
      <c r="Q605" s="147">
        <v>0</v>
      </c>
      <c r="R605" s="147">
        <v>0</v>
      </c>
    </row>
    <row r="606" spans="2:18" ht="15.75" hidden="1" thickBot="1" x14ac:dyDescent="0.3">
      <c r="B606" s="723" t="s">
        <v>704</v>
      </c>
      <c r="C606" s="722" t="s">
        <v>145</v>
      </c>
      <c r="D606" t="s">
        <v>146</v>
      </c>
      <c r="E606" s="148">
        <v>0.3251</v>
      </c>
      <c r="F606" s="148">
        <v>2.5000000000000001E-2</v>
      </c>
      <c r="G606" s="148">
        <v>0.30009999999999998</v>
      </c>
      <c r="H606" s="148">
        <v>1200.4000000000001</v>
      </c>
      <c r="I606" s="728"/>
      <c r="J606" s="148">
        <v>0.3251</v>
      </c>
      <c r="K606" s="148">
        <v>0</v>
      </c>
      <c r="L606" s="148">
        <v>2.0632299999999999</v>
      </c>
      <c r="M606" s="148">
        <v>7.4999999999999997E-2</v>
      </c>
      <c r="N606" s="148">
        <v>1.9882299999999999</v>
      </c>
      <c r="O606" s="148">
        <v>2650.9733333333334</v>
      </c>
      <c r="P606" s="148">
        <v>0.91047</v>
      </c>
      <c r="Q606" s="148">
        <v>1.15276</v>
      </c>
      <c r="R606" s="148">
        <v>126.61153030852198</v>
      </c>
    </row>
    <row r="607" spans="2:18" ht="15.75" hidden="1" thickBot="1" x14ac:dyDescent="0.3">
      <c r="B607" s="723" t="s">
        <v>704</v>
      </c>
      <c r="C607" s="722" t="s">
        <v>147</v>
      </c>
      <c r="D607" t="s">
        <v>148</v>
      </c>
      <c r="E607" s="147">
        <v>3.7999999999999999E-2</v>
      </c>
      <c r="F607" s="729"/>
      <c r="G607" s="147">
        <v>3.7999999999999999E-2</v>
      </c>
      <c r="H607" s="147">
        <v>0</v>
      </c>
      <c r="I607" s="729"/>
      <c r="J607" s="147">
        <v>3.7999999999999999E-2</v>
      </c>
      <c r="K607" s="147">
        <v>0</v>
      </c>
      <c r="L607" s="147">
        <v>0.32036999999999999</v>
      </c>
      <c r="M607" s="729"/>
      <c r="N607" s="147">
        <v>0.32036999999999999</v>
      </c>
      <c r="O607" s="147">
        <v>0</v>
      </c>
      <c r="P607" s="147">
        <v>0.16436999999999999</v>
      </c>
      <c r="Q607" s="147">
        <v>0.156</v>
      </c>
      <c r="R607" s="147">
        <v>94.907829895966415</v>
      </c>
    </row>
    <row r="608" spans="2:18" ht="15.75" hidden="1" thickBot="1" x14ac:dyDescent="0.3">
      <c r="B608" s="723" t="s">
        <v>704</v>
      </c>
      <c r="C608" s="722" t="s">
        <v>203</v>
      </c>
      <c r="D608" t="s">
        <v>204</v>
      </c>
      <c r="E608" s="728"/>
      <c r="F608" s="728"/>
      <c r="G608" s="728"/>
      <c r="H608" s="728"/>
      <c r="I608" s="728"/>
      <c r="J608" s="728"/>
      <c r="K608" s="728"/>
      <c r="L608" s="148">
        <v>0.13300000000000001</v>
      </c>
      <c r="M608" s="728"/>
      <c r="N608" s="148">
        <v>0.13300000000000001</v>
      </c>
      <c r="O608" s="148">
        <v>0</v>
      </c>
      <c r="P608" s="728"/>
      <c r="Q608" s="148">
        <v>0.13300000000000001</v>
      </c>
      <c r="R608" s="148">
        <v>0</v>
      </c>
    </row>
    <row r="609" spans="2:18" ht="15.75" hidden="1" thickBot="1" x14ac:dyDescent="0.3">
      <c r="B609" s="723" t="s">
        <v>704</v>
      </c>
      <c r="C609" s="722" t="s">
        <v>149</v>
      </c>
      <c r="D609" t="s">
        <v>150</v>
      </c>
      <c r="E609" s="147">
        <v>412.88650000000001</v>
      </c>
      <c r="F609" s="147">
        <v>193.78563</v>
      </c>
      <c r="G609" s="147">
        <v>219.10086999999999</v>
      </c>
      <c r="H609" s="147">
        <v>113.06352798192518</v>
      </c>
      <c r="I609" s="729"/>
      <c r="J609" s="147">
        <v>412.88650000000001</v>
      </c>
      <c r="K609" s="147">
        <v>0</v>
      </c>
      <c r="L609" s="147">
        <v>2593.97084</v>
      </c>
      <c r="M609" s="147">
        <v>2246.3649999999998</v>
      </c>
      <c r="N609" s="147">
        <v>347.60584</v>
      </c>
      <c r="O609" s="147">
        <v>15.474147789873863</v>
      </c>
      <c r="P609" s="147">
        <v>1009.17529</v>
      </c>
      <c r="Q609" s="147">
        <v>1584.79555</v>
      </c>
      <c r="R609" s="147">
        <v>157.03867957369428</v>
      </c>
    </row>
    <row r="610" spans="2:18" ht="15.75" hidden="1" thickBot="1" x14ac:dyDescent="0.3">
      <c r="B610" s="723" t="s">
        <v>704</v>
      </c>
      <c r="C610" s="722" t="s">
        <v>649</v>
      </c>
      <c r="D610" t="s">
        <v>650</v>
      </c>
      <c r="E610" s="148">
        <v>15.69608</v>
      </c>
      <c r="F610" s="148">
        <v>17.66836</v>
      </c>
      <c r="G610" s="148">
        <v>-1.97228</v>
      </c>
      <c r="H610" s="148">
        <v>-11.162779114756548</v>
      </c>
      <c r="I610" s="728"/>
      <c r="J610" s="148">
        <v>15.69608</v>
      </c>
      <c r="K610" s="148">
        <v>0</v>
      </c>
      <c r="L610" s="148">
        <v>141.83202</v>
      </c>
      <c r="M610" s="148">
        <v>149.82032000000001</v>
      </c>
      <c r="N610" s="148">
        <v>-7.9882999999999997</v>
      </c>
      <c r="O610" s="148">
        <v>-5.3319202628855686</v>
      </c>
      <c r="P610" s="148">
        <v>95.32696</v>
      </c>
      <c r="Q610" s="148">
        <v>46.50506</v>
      </c>
      <c r="R610" s="148">
        <v>48.784792885454443</v>
      </c>
    </row>
    <row r="611" spans="2:18" ht="15.75" hidden="1" thickBot="1" x14ac:dyDescent="0.3">
      <c r="B611" s="723" t="s">
        <v>704</v>
      </c>
      <c r="C611" s="722" t="s">
        <v>173</v>
      </c>
      <c r="D611" t="s">
        <v>174</v>
      </c>
      <c r="E611" s="729"/>
      <c r="F611" s="729"/>
      <c r="G611" s="729"/>
      <c r="H611" s="729"/>
      <c r="I611" s="729"/>
      <c r="J611" s="729"/>
      <c r="K611" s="729"/>
      <c r="L611" s="147">
        <v>5.3900000000000003E-2</v>
      </c>
      <c r="M611" s="729"/>
      <c r="N611" s="147">
        <v>5.3900000000000003E-2</v>
      </c>
      <c r="O611" s="147">
        <v>0</v>
      </c>
      <c r="P611" s="147">
        <v>0.23573</v>
      </c>
      <c r="Q611" s="147">
        <v>-0.18182999999999999</v>
      </c>
      <c r="R611" s="147">
        <v>-77.134857676154923</v>
      </c>
    </row>
    <row r="612" spans="2:18" ht="15.75" hidden="1" thickBot="1" x14ac:dyDescent="0.3">
      <c r="B612" s="723" t="s">
        <v>704</v>
      </c>
      <c r="C612" s="722" t="s">
        <v>479</v>
      </c>
      <c r="D612" t="s">
        <v>480</v>
      </c>
      <c r="E612" s="728"/>
      <c r="F612" s="728"/>
      <c r="G612" s="728"/>
      <c r="H612" s="728"/>
      <c r="I612" s="728"/>
      <c r="J612" s="728"/>
      <c r="K612" s="728"/>
      <c r="L612" s="148">
        <v>-0.42435</v>
      </c>
      <c r="M612" s="728"/>
      <c r="N612" s="148">
        <v>-0.42435</v>
      </c>
      <c r="O612" s="148">
        <v>0</v>
      </c>
      <c r="P612" s="148">
        <v>-0.42435</v>
      </c>
      <c r="Q612" s="148">
        <v>0</v>
      </c>
      <c r="R612" s="148">
        <v>0</v>
      </c>
    </row>
    <row r="613" spans="2:18" ht="15.75" hidden="1" thickBot="1" x14ac:dyDescent="0.3">
      <c r="B613" s="723" t="s">
        <v>704</v>
      </c>
      <c r="C613" s="722" t="s">
        <v>653</v>
      </c>
      <c r="D613" t="s">
        <v>654</v>
      </c>
      <c r="E613" s="729"/>
      <c r="F613" s="729"/>
      <c r="G613" s="729"/>
      <c r="H613" s="729"/>
      <c r="I613" s="729"/>
      <c r="J613" s="729"/>
      <c r="K613" s="729"/>
      <c r="L613" s="147">
        <v>0.3805</v>
      </c>
      <c r="M613" s="729"/>
      <c r="N613" s="147">
        <v>0.3805</v>
      </c>
      <c r="O613" s="147">
        <v>0</v>
      </c>
      <c r="P613" s="729"/>
      <c r="Q613" s="147">
        <v>0.3805</v>
      </c>
      <c r="R613" s="147">
        <v>0</v>
      </c>
    </row>
    <row r="614" spans="2:18" ht="15.75" hidden="1" thickBot="1" x14ac:dyDescent="0.3">
      <c r="B614" s="723" t="s">
        <v>704</v>
      </c>
      <c r="C614" s="722" t="s">
        <v>481</v>
      </c>
      <c r="D614" t="s">
        <v>482</v>
      </c>
      <c r="E614" s="148">
        <v>3.9949999999999999E-2</v>
      </c>
      <c r="F614" s="728"/>
      <c r="G614" s="148">
        <v>3.9949999999999999E-2</v>
      </c>
      <c r="H614" s="148">
        <v>0</v>
      </c>
      <c r="I614" s="728"/>
      <c r="J614" s="148">
        <v>3.9949999999999999E-2</v>
      </c>
      <c r="K614" s="148">
        <v>0</v>
      </c>
      <c r="L614" s="148">
        <v>0.75075000000000003</v>
      </c>
      <c r="M614" s="728"/>
      <c r="N614" s="148">
        <v>0.75075000000000003</v>
      </c>
      <c r="O614" s="148">
        <v>0</v>
      </c>
      <c r="P614" s="148">
        <v>0.66085000000000005</v>
      </c>
      <c r="Q614" s="148">
        <v>8.9899999999999994E-2</v>
      </c>
      <c r="R614" s="148">
        <v>13.603692214572142</v>
      </c>
    </row>
    <row r="615" spans="2:18" ht="15.75" hidden="1" thickBot="1" x14ac:dyDescent="0.3">
      <c r="B615" s="723" t="s">
        <v>704</v>
      </c>
      <c r="C615" s="722" t="s">
        <v>659</v>
      </c>
      <c r="D615" t="s">
        <v>660</v>
      </c>
      <c r="E615" s="147">
        <v>182.60186999999999</v>
      </c>
      <c r="F615" s="729"/>
      <c r="G615" s="147">
        <v>182.60186999999999</v>
      </c>
      <c r="H615" s="147">
        <v>0</v>
      </c>
      <c r="I615" s="729"/>
      <c r="J615" s="147">
        <v>182.60186999999999</v>
      </c>
      <c r="K615" s="147">
        <v>0</v>
      </c>
      <c r="L615" s="147">
        <v>182.60186999999999</v>
      </c>
      <c r="M615" s="729"/>
      <c r="N615" s="147">
        <v>182.60186999999999</v>
      </c>
      <c r="O615" s="147">
        <v>0</v>
      </c>
      <c r="P615" s="147">
        <v>4.88727</v>
      </c>
      <c r="Q615" s="147">
        <v>177.71459999999999</v>
      </c>
      <c r="R615" s="147">
        <v>3636.2754666715773</v>
      </c>
    </row>
    <row r="616" spans="2:18" ht="15.75" hidden="1" thickBot="1" x14ac:dyDescent="0.3">
      <c r="B616" s="723" t="s">
        <v>704</v>
      </c>
      <c r="C616" s="722" t="s">
        <v>153</v>
      </c>
      <c r="D616" t="s">
        <v>154</v>
      </c>
      <c r="E616" s="728"/>
      <c r="F616" s="728"/>
      <c r="G616" s="728"/>
      <c r="H616" s="728"/>
      <c r="I616" s="728"/>
      <c r="J616" s="728"/>
      <c r="K616" s="728"/>
      <c r="L616" s="148">
        <v>0.54200000000000004</v>
      </c>
      <c r="M616" s="728"/>
      <c r="N616" s="148">
        <v>0.54200000000000004</v>
      </c>
      <c r="O616" s="148">
        <v>0</v>
      </c>
      <c r="P616" s="148">
        <v>0.54200000000000004</v>
      </c>
      <c r="Q616" s="148">
        <v>0</v>
      </c>
      <c r="R616" s="148">
        <v>0</v>
      </c>
    </row>
    <row r="617" spans="2:18" ht="15.75" hidden="1" thickBot="1" x14ac:dyDescent="0.3">
      <c r="B617" s="723" t="s">
        <v>704</v>
      </c>
      <c r="C617" s="722" t="s">
        <v>673</v>
      </c>
      <c r="D617" t="s">
        <v>674</v>
      </c>
      <c r="E617" s="729"/>
      <c r="F617" s="729"/>
      <c r="G617" s="729"/>
      <c r="H617" s="729"/>
      <c r="I617" s="729"/>
      <c r="J617" s="729"/>
      <c r="K617" s="729"/>
      <c r="L617" s="147">
        <v>0.21017</v>
      </c>
      <c r="M617" s="729"/>
      <c r="N617" s="147">
        <v>0.21017</v>
      </c>
      <c r="O617" s="147">
        <v>0</v>
      </c>
      <c r="P617" s="147">
        <v>0.21017</v>
      </c>
      <c r="Q617" s="147">
        <v>0</v>
      </c>
      <c r="R617" s="147">
        <v>0</v>
      </c>
    </row>
    <row r="618" spans="2:18" ht="15.75" hidden="1" thickBot="1" x14ac:dyDescent="0.3">
      <c r="B618" s="723" t="s">
        <v>704</v>
      </c>
      <c r="C618" s="722" t="s">
        <v>675</v>
      </c>
      <c r="D618" t="s">
        <v>676</v>
      </c>
      <c r="E618" s="148">
        <v>-9.3000000000000005E-4</v>
      </c>
      <c r="F618" s="148">
        <v>1.5</v>
      </c>
      <c r="G618" s="148">
        <v>-1.5009300000000001</v>
      </c>
      <c r="H618" s="148">
        <v>-100.062</v>
      </c>
      <c r="I618" s="728"/>
      <c r="J618" s="148">
        <v>-9.3000000000000005E-4</v>
      </c>
      <c r="K618" s="148">
        <v>0</v>
      </c>
      <c r="L618" s="148">
        <v>47.567459999999997</v>
      </c>
      <c r="M618" s="148">
        <v>18</v>
      </c>
      <c r="N618" s="148">
        <v>29.567460000000001</v>
      </c>
      <c r="O618" s="148">
        <v>164.26366666666667</v>
      </c>
      <c r="P618" s="148">
        <v>-5.1173500000000001</v>
      </c>
      <c r="Q618" s="148">
        <v>52.684809999999999</v>
      </c>
      <c r="R618" s="148">
        <v>1029.533059102856</v>
      </c>
    </row>
    <row r="619" spans="2:18" ht="15.75" hidden="1" thickBot="1" x14ac:dyDescent="0.3">
      <c r="B619" s="723" t="s">
        <v>704</v>
      </c>
      <c r="C619" s="722" t="s">
        <v>75</v>
      </c>
      <c r="D619" t="s">
        <v>76</v>
      </c>
      <c r="E619" s="147">
        <v>4.21272</v>
      </c>
      <c r="F619" s="147">
        <v>4.9893299999999998</v>
      </c>
      <c r="G619" s="147">
        <v>-0.77661000000000002</v>
      </c>
      <c r="H619" s="147">
        <v>-15.565416599022313</v>
      </c>
      <c r="I619" s="729"/>
      <c r="J619" s="147">
        <v>4.21272</v>
      </c>
      <c r="K619" s="147">
        <v>0</v>
      </c>
      <c r="L619" s="147">
        <v>41.509909999999998</v>
      </c>
      <c r="M619" s="147">
        <v>51.646999999999998</v>
      </c>
      <c r="N619" s="147">
        <v>-10.137090000000001</v>
      </c>
      <c r="O619" s="147">
        <v>-19.627645361782871</v>
      </c>
      <c r="P619" s="147">
        <v>24.25338</v>
      </c>
      <c r="Q619" s="147">
        <v>17.256530000000001</v>
      </c>
      <c r="R619" s="147">
        <v>71.151031320170631</v>
      </c>
    </row>
    <row r="620" spans="2:18" ht="15.75" hidden="1" thickBot="1" x14ac:dyDescent="0.3">
      <c r="B620" s="723" t="s">
        <v>704</v>
      </c>
      <c r="C620" s="722" t="s">
        <v>121</v>
      </c>
      <c r="D620" t="s">
        <v>122</v>
      </c>
      <c r="E620" s="728"/>
      <c r="F620" s="728"/>
      <c r="G620" s="728"/>
      <c r="H620" s="728"/>
      <c r="I620" s="728"/>
      <c r="J620" s="728"/>
      <c r="K620" s="728"/>
      <c r="L620" s="148">
        <v>0.80257999999999996</v>
      </c>
      <c r="M620" s="728"/>
      <c r="N620" s="148">
        <v>0.80257999999999996</v>
      </c>
      <c r="O620" s="148">
        <v>0</v>
      </c>
      <c r="P620" s="148">
        <v>0.69464000000000004</v>
      </c>
      <c r="Q620" s="148">
        <v>0.10793999999999999</v>
      </c>
      <c r="R620" s="148">
        <v>15.538984222043073</v>
      </c>
    </row>
    <row r="621" spans="2:18" ht="15.75" hidden="1" thickBot="1" x14ac:dyDescent="0.3">
      <c r="B621" s="723" t="s">
        <v>704</v>
      </c>
      <c r="C621" s="722" t="s">
        <v>77</v>
      </c>
      <c r="D621" t="s">
        <v>78</v>
      </c>
      <c r="E621" s="147">
        <v>5.4810299999999996</v>
      </c>
      <c r="F621" s="147">
        <v>12.841659999999999</v>
      </c>
      <c r="G621" s="147">
        <v>-7.3606299999999996</v>
      </c>
      <c r="H621" s="147">
        <v>-57.318368497530692</v>
      </c>
      <c r="I621" s="729"/>
      <c r="J621" s="147">
        <v>5.4810299999999996</v>
      </c>
      <c r="K621" s="147">
        <v>0</v>
      </c>
      <c r="L621" s="147">
        <v>77.35933</v>
      </c>
      <c r="M621" s="147">
        <v>141.44991999999999</v>
      </c>
      <c r="N621" s="147">
        <v>-64.090590000000006</v>
      </c>
      <c r="O621" s="147">
        <v>-45.309739305614315</v>
      </c>
      <c r="P621" s="147">
        <v>26.543669999999999</v>
      </c>
      <c r="Q621" s="147">
        <v>50.815660000000001</v>
      </c>
      <c r="R621" s="147">
        <v>191.44172603110272</v>
      </c>
    </row>
    <row r="622" spans="2:18" ht="15.75" hidden="1" thickBot="1" x14ac:dyDescent="0.3">
      <c r="B622" s="723" t="s">
        <v>704</v>
      </c>
      <c r="C622" s="722" t="s">
        <v>79</v>
      </c>
      <c r="D622" t="s">
        <v>80</v>
      </c>
      <c r="E622" s="148">
        <v>2.3641899999999998</v>
      </c>
      <c r="F622" s="148">
        <v>7</v>
      </c>
      <c r="G622" s="148">
        <v>-4.6358100000000002</v>
      </c>
      <c r="H622" s="148">
        <v>-66.225857142857137</v>
      </c>
      <c r="I622" s="728"/>
      <c r="J622" s="148">
        <v>2.3641899999999998</v>
      </c>
      <c r="K622" s="148">
        <v>0</v>
      </c>
      <c r="L622" s="148">
        <v>16.456700000000001</v>
      </c>
      <c r="M622" s="148">
        <v>47</v>
      </c>
      <c r="N622" s="148">
        <v>-30.543299999999999</v>
      </c>
      <c r="O622" s="148">
        <v>-64.98574468085107</v>
      </c>
      <c r="P622" s="148">
        <v>7.5548999999999999</v>
      </c>
      <c r="Q622" s="148">
        <v>8.9017999999999997</v>
      </c>
      <c r="R622" s="148">
        <v>117.8281645025083</v>
      </c>
    </row>
    <row r="623" spans="2:18" ht="15.75" hidden="1" thickBot="1" x14ac:dyDescent="0.3">
      <c r="B623" s="723" t="s">
        <v>704</v>
      </c>
      <c r="C623" s="722" t="s">
        <v>81</v>
      </c>
      <c r="D623" t="s">
        <v>82</v>
      </c>
      <c r="E623" s="147">
        <v>3.4180899999999999</v>
      </c>
      <c r="F623" s="147">
        <v>2.0146600000000001</v>
      </c>
      <c r="G623" s="147">
        <v>1.40343</v>
      </c>
      <c r="H623" s="147">
        <v>69.660885707762105</v>
      </c>
      <c r="I623" s="729"/>
      <c r="J623" s="147">
        <v>3.4180899999999999</v>
      </c>
      <c r="K623" s="147">
        <v>0</v>
      </c>
      <c r="L623" s="147">
        <v>7.12094</v>
      </c>
      <c r="M623" s="147">
        <v>7.56792</v>
      </c>
      <c r="N623" s="147">
        <v>-0.44697999999999999</v>
      </c>
      <c r="O623" s="147">
        <v>-5.9062463662406577</v>
      </c>
      <c r="P623" s="147">
        <v>2.0100500000000001</v>
      </c>
      <c r="Q623" s="147">
        <v>5.1108900000000004</v>
      </c>
      <c r="R623" s="147">
        <v>254.26680928335117</v>
      </c>
    </row>
    <row r="624" spans="2:18" ht="15.75" hidden="1" thickBot="1" x14ac:dyDescent="0.3">
      <c r="B624" s="723" t="s">
        <v>704</v>
      </c>
      <c r="C624" s="722" t="s">
        <v>123</v>
      </c>
      <c r="D624" t="s">
        <v>124</v>
      </c>
      <c r="E624" s="148">
        <v>0.47215000000000001</v>
      </c>
      <c r="F624" s="148">
        <v>0.5</v>
      </c>
      <c r="G624" s="148">
        <v>-2.785E-2</v>
      </c>
      <c r="H624" s="148">
        <v>-5.57</v>
      </c>
      <c r="I624" s="728"/>
      <c r="J624" s="148">
        <v>0.47215000000000001</v>
      </c>
      <c r="K624" s="148">
        <v>0</v>
      </c>
      <c r="L624" s="148">
        <v>2.4881799999999998</v>
      </c>
      <c r="M624" s="148">
        <v>0.5</v>
      </c>
      <c r="N624" s="148">
        <v>1.9881800000000001</v>
      </c>
      <c r="O624" s="148">
        <v>397.63600000000002</v>
      </c>
      <c r="P624" s="148">
        <v>1.4464900000000001</v>
      </c>
      <c r="Q624" s="148">
        <v>1.04169</v>
      </c>
      <c r="R624" s="148">
        <v>72.015015658594251</v>
      </c>
    </row>
    <row r="625" spans="2:18" ht="15.75" hidden="1" thickBot="1" x14ac:dyDescent="0.3">
      <c r="B625" s="723" t="s">
        <v>704</v>
      </c>
      <c r="C625" s="722" t="s">
        <v>125</v>
      </c>
      <c r="D625" t="s">
        <v>126</v>
      </c>
      <c r="E625" s="147">
        <v>0.13750000000000001</v>
      </c>
      <c r="F625" s="147">
        <v>0.3</v>
      </c>
      <c r="G625" s="147">
        <v>-0.16250000000000001</v>
      </c>
      <c r="H625" s="147">
        <v>-54.166666666666664</v>
      </c>
      <c r="I625" s="729"/>
      <c r="J625" s="147">
        <v>0.13750000000000001</v>
      </c>
      <c r="K625" s="147">
        <v>0</v>
      </c>
      <c r="L625" s="147">
        <v>2.4683700000000002</v>
      </c>
      <c r="M625" s="147">
        <v>3</v>
      </c>
      <c r="N625" s="147">
        <v>-0.53163000000000005</v>
      </c>
      <c r="O625" s="147">
        <v>-17.721</v>
      </c>
      <c r="P625" s="147">
        <v>2.18587</v>
      </c>
      <c r="Q625" s="147">
        <v>0.28249999999999997</v>
      </c>
      <c r="R625" s="147">
        <v>12.923915877888438</v>
      </c>
    </row>
    <row r="626" spans="2:18" ht="15.75" hidden="1" thickBot="1" x14ac:dyDescent="0.3">
      <c r="B626" s="723" t="s">
        <v>704</v>
      </c>
      <c r="C626" s="722" t="s">
        <v>685</v>
      </c>
      <c r="D626" t="s">
        <v>686</v>
      </c>
      <c r="E626" s="728"/>
      <c r="F626" s="728"/>
      <c r="G626" s="728"/>
      <c r="H626" s="728"/>
      <c r="I626" s="728"/>
      <c r="J626" s="728"/>
      <c r="K626" s="728"/>
      <c r="L626" s="148">
        <v>0</v>
      </c>
      <c r="M626" s="728"/>
      <c r="N626" s="148">
        <v>0</v>
      </c>
      <c r="O626" s="148">
        <v>0</v>
      </c>
      <c r="P626" s="728"/>
      <c r="Q626" s="148">
        <v>0</v>
      </c>
      <c r="R626" s="148">
        <v>0</v>
      </c>
    </row>
    <row r="627" spans="2:18" ht="15.75" hidden="1" thickBot="1" x14ac:dyDescent="0.3">
      <c r="B627" s="723" t="s">
        <v>704</v>
      </c>
      <c r="C627" s="722" t="s">
        <v>209</v>
      </c>
      <c r="D627" t="s">
        <v>210</v>
      </c>
      <c r="E627" s="729"/>
      <c r="F627" s="729"/>
      <c r="G627" s="729"/>
      <c r="H627" s="729"/>
      <c r="I627" s="729"/>
      <c r="J627" s="729"/>
      <c r="K627" s="729"/>
      <c r="L627" s="147">
        <v>4.9199999999999999E-3</v>
      </c>
      <c r="M627" s="729"/>
      <c r="N627" s="147">
        <v>4.9199999999999999E-3</v>
      </c>
      <c r="O627" s="147">
        <v>0</v>
      </c>
      <c r="P627" s="147">
        <v>2.3500000000000001E-3</v>
      </c>
      <c r="Q627" s="147">
        <v>2.5699999999999998E-3</v>
      </c>
      <c r="R627" s="147">
        <v>109.36170212765957</v>
      </c>
    </row>
    <row r="628" spans="2:18" ht="15.75" hidden="1" thickBot="1" x14ac:dyDescent="0.3">
      <c r="B628" s="723" t="s">
        <v>704</v>
      </c>
      <c r="C628" s="722" t="s">
        <v>83</v>
      </c>
      <c r="D628" t="s">
        <v>84</v>
      </c>
      <c r="E628" s="728"/>
      <c r="F628" s="148">
        <v>2.3563299999999998</v>
      </c>
      <c r="G628" s="148">
        <v>-2.3563299999999998</v>
      </c>
      <c r="H628" s="148">
        <v>-100</v>
      </c>
      <c r="I628" s="728"/>
      <c r="J628" s="728"/>
      <c r="K628" s="728"/>
      <c r="L628" s="728"/>
      <c r="M628" s="148">
        <v>31.319959999999998</v>
      </c>
      <c r="N628" s="148">
        <v>-31.319959999999998</v>
      </c>
      <c r="O628" s="148">
        <v>-100</v>
      </c>
      <c r="P628" s="728"/>
      <c r="Q628" s="728"/>
      <c r="R628" s="728"/>
    </row>
    <row r="629" spans="2:18" ht="15.75" hidden="1" thickBot="1" x14ac:dyDescent="0.3">
      <c r="B629" s="723" t="s">
        <v>704</v>
      </c>
      <c r="C629" s="149" t="s">
        <v>85</v>
      </c>
      <c r="D629" t="s">
        <v>86</v>
      </c>
      <c r="E629" s="147">
        <v>912.66422</v>
      </c>
      <c r="F629" s="147">
        <v>514.74239999999998</v>
      </c>
      <c r="G629" s="147">
        <v>397.92182000000003</v>
      </c>
      <c r="H629" s="147">
        <v>77.30504034639462</v>
      </c>
      <c r="I629" s="729"/>
      <c r="J629" s="147">
        <v>912.66422</v>
      </c>
      <c r="K629" s="147">
        <v>0</v>
      </c>
      <c r="L629" s="147">
        <v>6595.8554999999997</v>
      </c>
      <c r="M629" s="147">
        <v>6162.67598</v>
      </c>
      <c r="N629" s="147">
        <v>433.17952000000002</v>
      </c>
      <c r="O629" s="147">
        <v>7.0290815451894</v>
      </c>
      <c r="P629" s="147">
        <v>2857.5009300000002</v>
      </c>
      <c r="Q629" s="147">
        <v>3738.35457</v>
      </c>
      <c r="R629" s="147">
        <v>130.82601411436812</v>
      </c>
    </row>
    <row r="630" spans="2:18" ht="15.75" hidden="1" thickBot="1" x14ac:dyDescent="0.3">
      <c r="B630" s="723" t="s">
        <v>704</v>
      </c>
      <c r="C630" s="144" t="s">
        <v>87</v>
      </c>
      <c r="D630" t="s">
        <v>87</v>
      </c>
      <c r="E630" s="148">
        <v>1505.16464</v>
      </c>
      <c r="F630" s="148">
        <v>1166.0946100000001</v>
      </c>
      <c r="G630" s="148">
        <v>339.07002999999997</v>
      </c>
      <c r="H630" s="148">
        <v>29.077403076239243</v>
      </c>
      <c r="I630" s="728"/>
      <c r="J630" s="148">
        <v>1505.16464</v>
      </c>
      <c r="K630" s="148">
        <v>0</v>
      </c>
      <c r="L630" s="148">
        <v>14169.895409999999</v>
      </c>
      <c r="M630" s="148">
        <v>13923.840910000001</v>
      </c>
      <c r="N630" s="148">
        <v>246.05449999999999</v>
      </c>
      <c r="O630" s="148">
        <v>1.767145298416082</v>
      </c>
      <c r="P630" s="148">
        <v>6673.6077100000002</v>
      </c>
      <c r="Q630" s="148">
        <v>7496.2876999999999</v>
      </c>
      <c r="R630" s="148">
        <v>112.32736513366321</v>
      </c>
    </row>
    <row r="631" spans="2:18" ht="15.75" hidden="1" thickBot="1" x14ac:dyDescent="0.3">
      <c r="B631" s="724" t="s">
        <v>705</v>
      </c>
      <c r="C631" s="722" t="s">
        <v>59</v>
      </c>
      <c r="D631" t="s">
        <v>60</v>
      </c>
      <c r="E631" s="147">
        <v>7.6196000000000002</v>
      </c>
      <c r="F631" s="147">
        <v>9.0883900000000004</v>
      </c>
      <c r="G631" s="147">
        <v>-1.46879</v>
      </c>
      <c r="H631" s="147">
        <v>-16.161168259724771</v>
      </c>
      <c r="I631" s="729"/>
      <c r="J631" s="147">
        <v>7.6196000000000002</v>
      </c>
      <c r="K631" s="147">
        <v>0</v>
      </c>
      <c r="L631" s="147">
        <v>112.39149999999999</v>
      </c>
      <c r="M631" s="147">
        <v>108.48851999999999</v>
      </c>
      <c r="N631" s="147">
        <v>3.9029799999999999</v>
      </c>
      <c r="O631" s="147">
        <v>3.5975972388599273</v>
      </c>
      <c r="P631" s="147">
        <v>58.710859999999997</v>
      </c>
      <c r="Q631" s="147">
        <v>53.680639999999997</v>
      </c>
      <c r="R631" s="147">
        <v>91.432215436803347</v>
      </c>
    </row>
    <row r="632" spans="2:18" ht="15.75" hidden="1" thickBot="1" x14ac:dyDescent="0.3">
      <c r="B632" s="724" t="s">
        <v>705</v>
      </c>
      <c r="C632" s="722" t="s">
        <v>134</v>
      </c>
      <c r="D632" t="s">
        <v>135</v>
      </c>
      <c r="E632" s="728"/>
      <c r="F632" s="728"/>
      <c r="G632" s="728"/>
      <c r="H632" s="728"/>
      <c r="I632" s="728"/>
      <c r="J632" s="728"/>
      <c r="K632" s="728"/>
      <c r="L632" s="148">
        <v>6.3E-2</v>
      </c>
      <c r="M632" s="728"/>
      <c r="N632" s="148">
        <v>6.3E-2</v>
      </c>
      <c r="O632" s="148">
        <v>0</v>
      </c>
      <c r="P632" s="148">
        <v>6.3E-2</v>
      </c>
      <c r="Q632" s="148">
        <v>0</v>
      </c>
      <c r="R632" s="148">
        <v>0</v>
      </c>
    </row>
    <row r="633" spans="2:18" ht="15.75" hidden="1" thickBot="1" x14ac:dyDescent="0.3">
      <c r="B633" s="724" t="s">
        <v>705</v>
      </c>
      <c r="C633" s="722" t="s">
        <v>61</v>
      </c>
      <c r="D633" t="s">
        <v>62</v>
      </c>
      <c r="E633" s="147">
        <v>1.42012</v>
      </c>
      <c r="F633" s="147">
        <v>1.4087000000000001</v>
      </c>
      <c r="G633" s="147">
        <v>1.142E-2</v>
      </c>
      <c r="H633" s="147">
        <v>0.81067651025768439</v>
      </c>
      <c r="I633" s="729"/>
      <c r="J633" s="147">
        <v>1.42012</v>
      </c>
      <c r="K633" s="147">
        <v>0</v>
      </c>
      <c r="L633" s="147">
        <v>16.940110000000001</v>
      </c>
      <c r="M633" s="147">
        <v>16.815719999999999</v>
      </c>
      <c r="N633" s="147">
        <v>0.12439</v>
      </c>
      <c r="O633" s="147">
        <v>0.73972449588837108</v>
      </c>
      <c r="P633" s="147">
        <v>8.4193999999999996</v>
      </c>
      <c r="Q633" s="147">
        <v>8.5207099999999993</v>
      </c>
      <c r="R633" s="147">
        <v>101.20329239613274</v>
      </c>
    </row>
    <row r="634" spans="2:18" ht="15.75" hidden="1" thickBot="1" x14ac:dyDescent="0.3">
      <c r="B634" s="724" t="s">
        <v>705</v>
      </c>
      <c r="C634" s="722" t="s">
        <v>63</v>
      </c>
      <c r="D634" t="s">
        <v>64</v>
      </c>
      <c r="E634" s="148">
        <v>5.5170700000000004</v>
      </c>
      <c r="F634" s="148">
        <v>5.4802999999999997</v>
      </c>
      <c r="G634" s="148">
        <v>3.6769999999999997E-2</v>
      </c>
      <c r="H634" s="148">
        <v>0.67094867069321018</v>
      </c>
      <c r="I634" s="728"/>
      <c r="J634" s="148">
        <v>5.5170700000000004</v>
      </c>
      <c r="K634" s="148">
        <v>0</v>
      </c>
      <c r="L634" s="148">
        <v>65.811089999999993</v>
      </c>
      <c r="M634" s="148">
        <v>65.418580000000006</v>
      </c>
      <c r="N634" s="148">
        <v>0.39251000000000003</v>
      </c>
      <c r="O634" s="148">
        <v>0.59999773764578812</v>
      </c>
      <c r="P634" s="148">
        <v>32.7087</v>
      </c>
      <c r="Q634" s="148">
        <v>33.10239</v>
      </c>
      <c r="R634" s="148">
        <v>101.20362472369736</v>
      </c>
    </row>
    <row r="635" spans="2:18" ht="15.75" hidden="1" thickBot="1" x14ac:dyDescent="0.3">
      <c r="B635" s="724" t="s">
        <v>705</v>
      </c>
      <c r="C635" s="722" t="s">
        <v>65</v>
      </c>
      <c r="D635" t="s">
        <v>66</v>
      </c>
      <c r="E635" s="729"/>
      <c r="F635" s="729"/>
      <c r="G635" s="729"/>
      <c r="H635" s="729"/>
      <c r="I635" s="729"/>
      <c r="J635" s="729"/>
      <c r="K635" s="729"/>
      <c r="L635" s="147">
        <v>-4.3574999999999999</v>
      </c>
      <c r="M635" s="729"/>
      <c r="N635" s="147">
        <v>-4.3574999999999999</v>
      </c>
      <c r="O635" s="147">
        <v>0</v>
      </c>
      <c r="P635" s="147">
        <v>-0.70199999999999996</v>
      </c>
      <c r="Q635" s="147">
        <v>-3.6555</v>
      </c>
      <c r="R635" s="147">
        <v>-520.72649572649573</v>
      </c>
    </row>
    <row r="636" spans="2:18" ht="15.75" hidden="1" thickBot="1" x14ac:dyDescent="0.3">
      <c r="B636" s="724" t="s">
        <v>705</v>
      </c>
      <c r="C636" s="149" t="s">
        <v>67</v>
      </c>
      <c r="D636" t="s">
        <v>68</v>
      </c>
      <c r="E636" s="148">
        <v>14.556789999999999</v>
      </c>
      <c r="F636" s="148">
        <v>15.97739</v>
      </c>
      <c r="G636" s="148">
        <v>-1.4206000000000001</v>
      </c>
      <c r="H636" s="148">
        <v>-8.8913145388577242</v>
      </c>
      <c r="I636" s="728"/>
      <c r="J636" s="148">
        <v>14.556789999999999</v>
      </c>
      <c r="K636" s="148">
        <v>0</v>
      </c>
      <c r="L636" s="148">
        <v>190.84819999999999</v>
      </c>
      <c r="M636" s="148">
        <v>190.72282000000001</v>
      </c>
      <c r="N636" s="148">
        <v>0.12537999999999999</v>
      </c>
      <c r="O636" s="148">
        <v>6.5739380321662613E-2</v>
      </c>
      <c r="P636" s="148">
        <v>99.199960000000004</v>
      </c>
      <c r="Q636" s="148">
        <v>91.648240000000001</v>
      </c>
      <c r="R636" s="148">
        <v>92.387375962651603</v>
      </c>
    </row>
    <row r="637" spans="2:18" ht="15.75" hidden="1" thickBot="1" x14ac:dyDescent="0.3">
      <c r="B637" s="724" t="s">
        <v>705</v>
      </c>
      <c r="C637" s="722" t="s">
        <v>69</v>
      </c>
      <c r="D637" t="s">
        <v>70</v>
      </c>
      <c r="E637" s="729"/>
      <c r="F637" s="147">
        <v>0</v>
      </c>
      <c r="G637" s="147">
        <v>0</v>
      </c>
      <c r="H637" s="147">
        <v>0</v>
      </c>
      <c r="I637" s="729"/>
      <c r="J637" s="729"/>
      <c r="K637" s="729"/>
      <c r="L637" s="147">
        <v>3.8986100000000001</v>
      </c>
      <c r="M637" s="147">
        <v>9</v>
      </c>
      <c r="N637" s="147">
        <v>-5.1013900000000003</v>
      </c>
      <c r="O637" s="147">
        <v>-56.682111111111112</v>
      </c>
      <c r="P637" s="147">
        <v>1.5289999999999999</v>
      </c>
      <c r="Q637" s="147">
        <v>2.3696100000000002</v>
      </c>
      <c r="R637" s="147">
        <v>154.97776324395031</v>
      </c>
    </row>
    <row r="638" spans="2:18" ht="15.75" hidden="1" thickBot="1" x14ac:dyDescent="0.3">
      <c r="B638" s="724" t="s">
        <v>705</v>
      </c>
      <c r="C638" s="722" t="s">
        <v>165</v>
      </c>
      <c r="D638" t="s">
        <v>166</v>
      </c>
      <c r="E638" s="728"/>
      <c r="F638" s="728"/>
      <c r="G638" s="728"/>
      <c r="H638" s="728"/>
      <c r="I638" s="728"/>
      <c r="J638" s="728"/>
      <c r="K638" s="728"/>
      <c r="L638" s="148">
        <v>6.9379999999999997E-2</v>
      </c>
      <c r="M638" s="728"/>
      <c r="N638" s="148">
        <v>6.9379999999999997E-2</v>
      </c>
      <c r="O638" s="148">
        <v>0</v>
      </c>
      <c r="P638" s="148">
        <v>6.9379999999999997E-2</v>
      </c>
      <c r="Q638" s="148">
        <v>0</v>
      </c>
      <c r="R638" s="148">
        <v>0</v>
      </c>
    </row>
    <row r="639" spans="2:18" ht="15.75" hidden="1" thickBot="1" x14ac:dyDescent="0.3">
      <c r="B639" s="724" t="s">
        <v>705</v>
      </c>
      <c r="C639" s="722" t="s">
        <v>139</v>
      </c>
      <c r="D639" t="s">
        <v>140</v>
      </c>
      <c r="E639" s="729"/>
      <c r="F639" s="729"/>
      <c r="G639" s="729"/>
      <c r="H639" s="729"/>
      <c r="I639" s="729"/>
      <c r="J639" s="729"/>
      <c r="K639" s="729"/>
      <c r="L639" s="147">
        <v>1.0249999999999999</v>
      </c>
      <c r="M639" s="147">
        <v>0.92500000000000004</v>
      </c>
      <c r="N639" s="147">
        <v>0.1</v>
      </c>
      <c r="O639" s="147">
        <v>10.810810810810811</v>
      </c>
      <c r="P639" s="147">
        <v>0.75</v>
      </c>
      <c r="Q639" s="147">
        <v>0.27500000000000002</v>
      </c>
      <c r="R639" s="147">
        <v>36.666666666666664</v>
      </c>
    </row>
    <row r="640" spans="2:18" ht="15.75" hidden="1" thickBot="1" x14ac:dyDescent="0.3">
      <c r="B640" s="724" t="s">
        <v>705</v>
      </c>
      <c r="C640" s="722" t="s">
        <v>169</v>
      </c>
      <c r="D640" t="s">
        <v>170</v>
      </c>
      <c r="E640" s="728"/>
      <c r="F640" s="148">
        <v>0.43336999999999998</v>
      </c>
      <c r="G640" s="148">
        <v>-0.43336999999999998</v>
      </c>
      <c r="H640" s="148">
        <v>-100</v>
      </c>
      <c r="I640" s="728"/>
      <c r="J640" s="728"/>
      <c r="K640" s="728"/>
      <c r="L640" s="728"/>
      <c r="M640" s="148">
        <v>5.2</v>
      </c>
      <c r="N640" s="148">
        <v>-5.2</v>
      </c>
      <c r="O640" s="148">
        <v>-100</v>
      </c>
      <c r="P640" s="728"/>
      <c r="Q640" s="728"/>
      <c r="R640" s="728"/>
    </row>
    <row r="641" spans="2:18" ht="15.75" hidden="1" thickBot="1" x14ac:dyDescent="0.3">
      <c r="B641" s="724" t="s">
        <v>705</v>
      </c>
      <c r="C641" s="722" t="s">
        <v>109</v>
      </c>
      <c r="D641" t="s">
        <v>110</v>
      </c>
      <c r="E641" s="729"/>
      <c r="F641" s="729"/>
      <c r="G641" s="729"/>
      <c r="H641" s="729"/>
      <c r="I641" s="729"/>
      <c r="J641" s="729"/>
      <c r="K641" s="729"/>
      <c r="L641" s="147">
        <v>0.68294999999999995</v>
      </c>
      <c r="M641" s="729"/>
      <c r="N641" s="147">
        <v>0.68294999999999995</v>
      </c>
      <c r="O641" s="147">
        <v>0</v>
      </c>
      <c r="P641" s="147">
        <v>0.68294999999999995</v>
      </c>
      <c r="Q641" s="147">
        <v>0</v>
      </c>
      <c r="R641" s="147">
        <v>0</v>
      </c>
    </row>
    <row r="642" spans="2:18" ht="15.75" hidden="1" thickBot="1" x14ac:dyDescent="0.3">
      <c r="B642" s="724" t="s">
        <v>705</v>
      </c>
      <c r="C642" s="722" t="s">
        <v>73</v>
      </c>
      <c r="D642" t="s">
        <v>74</v>
      </c>
      <c r="E642" s="148">
        <v>1.5469999999999999E-2</v>
      </c>
      <c r="F642" s="148">
        <v>0.05</v>
      </c>
      <c r="G642" s="148">
        <v>-3.4529999999999998E-2</v>
      </c>
      <c r="H642" s="148">
        <v>-69.06</v>
      </c>
      <c r="I642" s="728"/>
      <c r="J642" s="148">
        <v>1.5469999999999999E-2</v>
      </c>
      <c r="K642" s="148">
        <v>0</v>
      </c>
      <c r="L642" s="148">
        <v>0.42283999999999999</v>
      </c>
      <c r="M642" s="148">
        <v>0.2</v>
      </c>
      <c r="N642" s="148">
        <v>0.22284000000000001</v>
      </c>
      <c r="O642" s="148">
        <v>111.42</v>
      </c>
      <c r="P642" s="148">
        <v>0.37225999999999998</v>
      </c>
      <c r="Q642" s="148">
        <v>5.058E-2</v>
      </c>
      <c r="R642" s="148">
        <v>13.587277709128029</v>
      </c>
    </row>
    <row r="643" spans="2:18" ht="15.75" hidden="1" thickBot="1" x14ac:dyDescent="0.3">
      <c r="B643" s="724" t="s">
        <v>705</v>
      </c>
      <c r="C643" s="722" t="s">
        <v>111</v>
      </c>
      <c r="D643" t="s">
        <v>112</v>
      </c>
      <c r="E643" s="729"/>
      <c r="F643" s="729"/>
      <c r="G643" s="729"/>
      <c r="H643" s="729"/>
      <c r="I643" s="729"/>
      <c r="J643" s="729"/>
      <c r="K643" s="729"/>
      <c r="L643" s="147">
        <v>0.25</v>
      </c>
      <c r="M643" s="729"/>
      <c r="N643" s="147">
        <v>0.25</v>
      </c>
      <c r="O643" s="147">
        <v>0</v>
      </c>
      <c r="P643" s="729"/>
      <c r="Q643" s="147">
        <v>0.25</v>
      </c>
      <c r="R643" s="147">
        <v>0</v>
      </c>
    </row>
    <row r="644" spans="2:18" ht="15.75" hidden="1" thickBot="1" x14ac:dyDescent="0.3">
      <c r="B644" s="724" t="s">
        <v>705</v>
      </c>
      <c r="C644" s="722" t="s">
        <v>141</v>
      </c>
      <c r="D644" t="s">
        <v>142</v>
      </c>
      <c r="E644" s="148">
        <v>2.9479999999999999E-2</v>
      </c>
      <c r="F644" s="728"/>
      <c r="G644" s="148">
        <v>2.9479999999999999E-2</v>
      </c>
      <c r="H644" s="148">
        <v>0</v>
      </c>
      <c r="I644" s="728"/>
      <c r="J644" s="148">
        <v>2.9479999999999999E-2</v>
      </c>
      <c r="K644" s="148">
        <v>0</v>
      </c>
      <c r="L644" s="148">
        <v>0.26190999999999998</v>
      </c>
      <c r="M644" s="728"/>
      <c r="N644" s="148">
        <v>0.26190999999999998</v>
      </c>
      <c r="O644" s="148">
        <v>0</v>
      </c>
      <c r="P644" s="148">
        <v>0.115</v>
      </c>
      <c r="Q644" s="148">
        <v>0.14691000000000001</v>
      </c>
      <c r="R644" s="148">
        <v>127.74782608695652</v>
      </c>
    </row>
    <row r="645" spans="2:18" ht="15.75" hidden="1" thickBot="1" x14ac:dyDescent="0.3">
      <c r="B645" s="724" t="s">
        <v>705</v>
      </c>
      <c r="C645" s="722" t="s">
        <v>113</v>
      </c>
      <c r="D645" t="s">
        <v>114</v>
      </c>
      <c r="E645" s="729"/>
      <c r="F645" s="729"/>
      <c r="G645" s="729"/>
      <c r="H645" s="729"/>
      <c r="I645" s="729"/>
      <c r="J645" s="729"/>
      <c r="K645" s="729"/>
      <c r="L645" s="147">
        <v>4.9500000000000004E-3</v>
      </c>
      <c r="M645" s="729"/>
      <c r="N645" s="147">
        <v>4.9500000000000004E-3</v>
      </c>
      <c r="O645" s="147">
        <v>0</v>
      </c>
      <c r="P645" s="147">
        <v>6.7000000000000002E-4</v>
      </c>
      <c r="Q645" s="147">
        <v>4.28E-3</v>
      </c>
      <c r="R645" s="147">
        <v>638.80597014925377</v>
      </c>
    </row>
    <row r="646" spans="2:18" ht="15.75" hidden="1" thickBot="1" x14ac:dyDescent="0.3">
      <c r="B646" s="724" t="s">
        <v>705</v>
      </c>
      <c r="C646" s="722" t="s">
        <v>145</v>
      </c>
      <c r="D646" t="s">
        <v>146</v>
      </c>
      <c r="E646" s="728"/>
      <c r="F646" s="728"/>
      <c r="G646" s="728"/>
      <c r="H646" s="728"/>
      <c r="I646" s="728"/>
      <c r="J646" s="728"/>
      <c r="K646" s="728"/>
      <c r="L646" s="148">
        <v>0.34477000000000002</v>
      </c>
      <c r="M646" s="728"/>
      <c r="N646" s="148">
        <v>0.34477000000000002</v>
      </c>
      <c r="O646" s="148">
        <v>0</v>
      </c>
      <c r="P646" s="148">
        <v>0.20877000000000001</v>
      </c>
      <c r="Q646" s="148">
        <v>0.13600000000000001</v>
      </c>
      <c r="R646" s="148">
        <v>65.143459309287735</v>
      </c>
    </row>
    <row r="647" spans="2:18" ht="15.75" hidden="1" thickBot="1" x14ac:dyDescent="0.3">
      <c r="B647" s="724" t="s">
        <v>705</v>
      </c>
      <c r="C647" s="722" t="s">
        <v>149</v>
      </c>
      <c r="D647" t="s">
        <v>150</v>
      </c>
      <c r="E647" s="147">
        <v>45.979689999999998</v>
      </c>
      <c r="F647" s="147">
        <v>11.66663</v>
      </c>
      <c r="G647" s="147">
        <v>34.31306</v>
      </c>
      <c r="H647" s="147">
        <v>294.11286721186838</v>
      </c>
      <c r="I647" s="729"/>
      <c r="J647" s="147">
        <v>45.979689999999998</v>
      </c>
      <c r="K647" s="147">
        <v>0</v>
      </c>
      <c r="L647" s="147">
        <v>125.62407</v>
      </c>
      <c r="M647" s="147">
        <v>229</v>
      </c>
      <c r="N647" s="147">
        <v>-103.37593</v>
      </c>
      <c r="O647" s="147">
        <v>-45.142327510917028</v>
      </c>
      <c r="P647" s="147">
        <v>38.504359999999998</v>
      </c>
      <c r="Q647" s="147">
        <v>87.119709999999998</v>
      </c>
      <c r="R647" s="147">
        <v>226.25933790355171</v>
      </c>
    </row>
    <row r="648" spans="2:18" ht="15.75" hidden="1" thickBot="1" x14ac:dyDescent="0.3">
      <c r="B648" s="724" t="s">
        <v>705</v>
      </c>
      <c r="C648" s="722" t="s">
        <v>649</v>
      </c>
      <c r="D648" t="s">
        <v>650</v>
      </c>
      <c r="E648" s="148">
        <v>0.55662999999999996</v>
      </c>
      <c r="F648" s="148">
        <v>0.98550000000000004</v>
      </c>
      <c r="G648" s="148">
        <v>-0.42886999999999997</v>
      </c>
      <c r="H648" s="148">
        <v>-43.518011161846779</v>
      </c>
      <c r="I648" s="728"/>
      <c r="J648" s="148">
        <v>0.55662999999999996</v>
      </c>
      <c r="K648" s="148">
        <v>0</v>
      </c>
      <c r="L648" s="148">
        <v>5.4046599999999998</v>
      </c>
      <c r="M648" s="148">
        <v>11.826000000000001</v>
      </c>
      <c r="N648" s="148">
        <v>-6.4213399999999998</v>
      </c>
      <c r="O648" s="148">
        <v>-54.29849484187384</v>
      </c>
      <c r="P648" s="148">
        <v>2.57484</v>
      </c>
      <c r="Q648" s="148">
        <v>2.8298199999999998</v>
      </c>
      <c r="R648" s="148">
        <v>109.90275123891193</v>
      </c>
    </row>
    <row r="649" spans="2:18" ht="15.75" hidden="1" thickBot="1" x14ac:dyDescent="0.3">
      <c r="B649" s="724" t="s">
        <v>705</v>
      </c>
      <c r="C649" s="722" t="s">
        <v>481</v>
      </c>
      <c r="D649" t="s">
        <v>482</v>
      </c>
      <c r="E649" s="147">
        <v>3.9949999999999999E-2</v>
      </c>
      <c r="F649" s="729"/>
      <c r="G649" s="147">
        <v>3.9949999999999999E-2</v>
      </c>
      <c r="H649" s="147">
        <v>0</v>
      </c>
      <c r="I649" s="729"/>
      <c r="J649" s="147">
        <v>3.9949999999999999E-2</v>
      </c>
      <c r="K649" s="147">
        <v>0</v>
      </c>
      <c r="L649" s="147">
        <v>0.75075000000000003</v>
      </c>
      <c r="M649" s="729"/>
      <c r="N649" s="147">
        <v>0.75075000000000003</v>
      </c>
      <c r="O649" s="147">
        <v>0</v>
      </c>
      <c r="P649" s="147">
        <v>0.66085000000000005</v>
      </c>
      <c r="Q649" s="147">
        <v>8.9899999999999994E-2</v>
      </c>
      <c r="R649" s="147">
        <v>13.603692214572142</v>
      </c>
    </row>
    <row r="650" spans="2:18" ht="15.75" hidden="1" thickBot="1" x14ac:dyDescent="0.3">
      <c r="B650" s="724" t="s">
        <v>705</v>
      </c>
      <c r="C650" s="722" t="s">
        <v>153</v>
      </c>
      <c r="D650" t="s">
        <v>154</v>
      </c>
      <c r="E650" s="728"/>
      <c r="F650" s="728"/>
      <c r="G650" s="728"/>
      <c r="H650" s="728"/>
      <c r="I650" s="728"/>
      <c r="J650" s="728"/>
      <c r="K650" s="728"/>
      <c r="L650" s="148">
        <v>0.54200000000000004</v>
      </c>
      <c r="M650" s="728"/>
      <c r="N650" s="148">
        <v>0.54200000000000004</v>
      </c>
      <c r="O650" s="148">
        <v>0</v>
      </c>
      <c r="P650" s="148">
        <v>0.54200000000000004</v>
      </c>
      <c r="Q650" s="148">
        <v>0</v>
      </c>
      <c r="R650" s="148">
        <v>0</v>
      </c>
    </row>
    <row r="651" spans="2:18" ht="15.75" hidden="1" thickBot="1" x14ac:dyDescent="0.3">
      <c r="B651" s="724" t="s">
        <v>705</v>
      </c>
      <c r="C651" s="722" t="s">
        <v>75</v>
      </c>
      <c r="D651" t="s">
        <v>76</v>
      </c>
      <c r="E651" s="147">
        <v>5.0000000000000001E-3</v>
      </c>
      <c r="F651" s="147">
        <v>0.5</v>
      </c>
      <c r="G651" s="147">
        <v>-0.495</v>
      </c>
      <c r="H651" s="147">
        <v>-99</v>
      </c>
      <c r="I651" s="729"/>
      <c r="J651" s="147">
        <v>5.0000000000000001E-3</v>
      </c>
      <c r="K651" s="147">
        <v>0</v>
      </c>
      <c r="L651" s="147">
        <v>13.977449999999999</v>
      </c>
      <c r="M651" s="147">
        <v>9</v>
      </c>
      <c r="N651" s="147">
        <v>4.9774500000000002</v>
      </c>
      <c r="O651" s="147">
        <v>55.305</v>
      </c>
      <c r="P651" s="147">
        <v>13.920640000000001</v>
      </c>
      <c r="Q651" s="147">
        <v>5.6809999999999999E-2</v>
      </c>
      <c r="R651" s="147">
        <v>0.40809905291710724</v>
      </c>
    </row>
    <row r="652" spans="2:18" ht="15.75" hidden="1" thickBot="1" x14ac:dyDescent="0.3">
      <c r="B652" s="724" t="s">
        <v>705</v>
      </c>
      <c r="C652" s="722" t="s">
        <v>121</v>
      </c>
      <c r="D652" t="s">
        <v>122</v>
      </c>
      <c r="E652" s="728"/>
      <c r="F652" s="728"/>
      <c r="G652" s="728"/>
      <c r="H652" s="728"/>
      <c r="I652" s="728"/>
      <c r="J652" s="728"/>
      <c r="K652" s="728"/>
      <c r="L652" s="148">
        <v>0.4884</v>
      </c>
      <c r="M652" s="728"/>
      <c r="N652" s="148">
        <v>0.4884</v>
      </c>
      <c r="O652" s="148">
        <v>0</v>
      </c>
      <c r="P652" s="148">
        <v>0.4884</v>
      </c>
      <c r="Q652" s="148">
        <v>0</v>
      </c>
      <c r="R652" s="148">
        <v>0</v>
      </c>
    </row>
    <row r="653" spans="2:18" ht="15.75" hidden="1" thickBot="1" x14ac:dyDescent="0.3">
      <c r="B653" s="724" t="s">
        <v>705</v>
      </c>
      <c r="C653" s="722" t="s">
        <v>77</v>
      </c>
      <c r="D653" t="s">
        <v>78</v>
      </c>
      <c r="E653" s="729"/>
      <c r="F653" s="147">
        <v>2</v>
      </c>
      <c r="G653" s="147">
        <v>-2</v>
      </c>
      <c r="H653" s="147">
        <v>-100</v>
      </c>
      <c r="I653" s="729"/>
      <c r="J653" s="729"/>
      <c r="K653" s="729"/>
      <c r="L653" s="147">
        <v>8.5974900000000005</v>
      </c>
      <c r="M653" s="147">
        <v>5</v>
      </c>
      <c r="N653" s="147">
        <v>3.5974900000000001</v>
      </c>
      <c r="O653" s="147">
        <v>71.949799999999996</v>
      </c>
      <c r="P653" s="147">
        <v>5.0977600000000001</v>
      </c>
      <c r="Q653" s="147">
        <v>3.49973</v>
      </c>
      <c r="R653" s="147">
        <v>68.652310034211098</v>
      </c>
    </row>
    <row r="654" spans="2:18" ht="15.75" hidden="1" thickBot="1" x14ac:dyDescent="0.3">
      <c r="B654" s="724" t="s">
        <v>705</v>
      </c>
      <c r="C654" s="722" t="s">
        <v>79</v>
      </c>
      <c r="D654" t="s">
        <v>80</v>
      </c>
      <c r="E654" s="148">
        <v>2.1079300000000001</v>
      </c>
      <c r="F654" s="148">
        <v>7</v>
      </c>
      <c r="G654" s="148">
        <v>-4.8920700000000004</v>
      </c>
      <c r="H654" s="148">
        <v>-69.886714285714291</v>
      </c>
      <c r="I654" s="728"/>
      <c r="J654" s="148">
        <v>2.1079300000000001</v>
      </c>
      <c r="K654" s="148">
        <v>0</v>
      </c>
      <c r="L654" s="148">
        <v>12.560140000000001</v>
      </c>
      <c r="M654" s="148">
        <v>47</v>
      </c>
      <c r="N654" s="148">
        <v>-34.439860000000003</v>
      </c>
      <c r="O654" s="148">
        <v>-73.276297872340422</v>
      </c>
      <c r="P654" s="148">
        <v>5.73292</v>
      </c>
      <c r="Q654" s="148">
        <v>6.8272199999999996</v>
      </c>
      <c r="R654" s="148">
        <v>119.08800401889438</v>
      </c>
    </row>
    <row r="655" spans="2:18" ht="15.75" hidden="1" thickBot="1" x14ac:dyDescent="0.3">
      <c r="B655" s="724" t="s">
        <v>705</v>
      </c>
      <c r="C655" s="722" t="s">
        <v>81</v>
      </c>
      <c r="D655" t="s">
        <v>82</v>
      </c>
      <c r="E655" s="147">
        <v>0.03</v>
      </c>
      <c r="F655" s="729"/>
      <c r="G655" s="147">
        <v>0.03</v>
      </c>
      <c r="H655" s="147">
        <v>0</v>
      </c>
      <c r="I655" s="729"/>
      <c r="J655" s="147">
        <v>0.03</v>
      </c>
      <c r="K655" s="147">
        <v>0</v>
      </c>
      <c r="L655" s="147">
        <v>0.87417</v>
      </c>
      <c r="M655" s="729"/>
      <c r="N655" s="147">
        <v>0.87417</v>
      </c>
      <c r="O655" s="147">
        <v>0</v>
      </c>
      <c r="P655" s="147">
        <v>0.42224</v>
      </c>
      <c r="Q655" s="147">
        <v>0.45193</v>
      </c>
      <c r="R655" s="147">
        <v>107.03154604016673</v>
      </c>
    </row>
    <row r="656" spans="2:18" ht="15.75" hidden="1" thickBot="1" x14ac:dyDescent="0.3">
      <c r="B656" s="724" t="s">
        <v>705</v>
      </c>
      <c r="C656" s="722" t="s">
        <v>125</v>
      </c>
      <c r="D656" t="s">
        <v>126</v>
      </c>
      <c r="E656" s="148">
        <v>0.13750000000000001</v>
      </c>
      <c r="F656" s="148">
        <v>0.3</v>
      </c>
      <c r="G656" s="148">
        <v>-0.16250000000000001</v>
      </c>
      <c r="H656" s="148">
        <v>-54.166666666666664</v>
      </c>
      <c r="I656" s="728"/>
      <c r="J656" s="148">
        <v>0.13750000000000001</v>
      </c>
      <c r="K656" s="148">
        <v>0</v>
      </c>
      <c r="L656" s="148">
        <v>2.4683700000000002</v>
      </c>
      <c r="M656" s="148">
        <v>3</v>
      </c>
      <c r="N656" s="148">
        <v>-0.53163000000000005</v>
      </c>
      <c r="O656" s="148">
        <v>-17.721</v>
      </c>
      <c r="P656" s="148">
        <v>2.18587</v>
      </c>
      <c r="Q656" s="148">
        <v>0.28249999999999997</v>
      </c>
      <c r="R656" s="148">
        <v>12.923915877888438</v>
      </c>
    </row>
    <row r="657" spans="2:18" ht="15.75" hidden="1" thickBot="1" x14ac:dyDescent="0.3">
      <c r="B657" s="724" t="s">
        <v>705</v>
      </c>
      <c r="C657" s="722" t="s">
        <v>83</v>
      </c>
      <c r="D657" t="s">
        <v>84</v>
      </c>
      <c r="E657" s="729"/>
      <c r="F657" s="147">
        <v>0.375</v>
      </c>
      <c r="G657" s="147">
        <v>-0.375</v>
      </c>
      <c r="H657" s="147">
        <v>-100</v>
      </c>
      <c r="I657" s="729"/>
      <c r="J657" s="729"/>
      <c r="K657" s="729"/>
      <c r="L657" s="729"/>
      <c r="M657" s="147">
        <v>5</v>
      </c>
      <c r="N657" s="147">
        <v>-5</v>
      </c>
      <c r="O657" s="147">
        <v>-100</v>
      </c>
      <c r="P657" s="729"/>
      <c r="Q657" s="729"/>
      <c r="R657" s="729"/>
    </row>
    <row r="658" spans="2:18" ht="15.75" hidden="1" thickBot="1" x14ac:dyDescent="0.3">
      <c r="B658" s="724" t="s">
        <v>705</v>
      </c>
      <c r="C658" s="149" t="s">
        <v>85</v>
      </c>
      <c r="D658" t="s">
        <v>86</v>
      </c>
      <c r="E658" s="148">
        <v>48.901649999999997</v>
      </c>
      <c r="F658" s="148">
        <v>23.310500000000001</v>
      </c>
      <c r="G658" s="148">
        <v>25.591149999999999</v>
      </c>
      <c r="H658" s="148">
        <v>109.78378842152678</v>
      </c>
      <c r="I658" s="728"/>
      <c r="J658" s="148">
        <v>48.901649999999997</v>
      </c>
      <c r="K658" s="148">
        <v>0</v>
      </c>
      <c r="L658" s="148">
        <v>178.24790999999999</v>
      </c>
      <c r="M658" s="148">
        <v>325.15100000000001</v>
      </c>
      <c r="N658" s="148">
        <v>-146.90308999999999</v>
      </c>
      <c r="O658" s="148">
        <v>-45.179959464987036</v>
      </c>
      <c r="P658" s="148">
        <v>73.857910000000004</v>
      </c>
      <c r="Q658" s="148">
        <v>104.39</v>
      </c>
      <c r="R658" s="148">
        <v>141.33895746576096</v>
      </c>
    </row>
    <row r="659" spans="2:18" ht="15.75" hidden="1" thickBot="1" x14ac:dyDescent="0.3">
      <c r="B659" s="724" t="s">
        <v>705</v>
      </c>
      <c r="C659" s="144" t="s">
        <v>87</v>
      </c>
      <c r="D659" t="s">
        <v>87</v>
      </c>
      <c r="E659" s="147">
        <v>63.458440000000003</v>
      </c>
      <c r="F659" s="147">
        <v>39.287889999999997</v>
      </c>
      <c r="G659" s="147">
        <v>24.170549999999999</v>
      </c>
      <c r="H659" s="147">
        <v>61.521629183954651</v>
      </c>
      <c r="I659" s="729"/>
      <c r="J659" s="147">
        <v>63.458440000000003</v>
      </c>
      <c r="K659" s="147">
        <v>0</v>
      </c>
      <c r="L659" s="147">
        <v>369.09611000000001</v>
      </c>
      <c r="M659" s="147">
        <v>515.87382000000002</v>
      </c>
      <c r="N659" s="147">
        <v>-146.77771000000001</v>
      </c>
      <c r="O659" s="147">
        <v>-28.452250203353991</v>
      </c>
      <c r="P659" s="147">
        <v>173.05787000000001</v>
      </c>
      <c r="Q659" s="147">
        <v>196.03824</v>
      </c>
      <c r="R659" s="147">
        <v>113.27900892343122</v>
      </c>
    </row>
    <row r="660" spans="2:18" ht="15.75" hidden="1" thickBot="1" x14ac:dyDescent="0.3">
      <c r="B660" s="724" t="s">
        <v>706</v>
      </c>
      <c r="C660" s="722" t="s">
        <v>59</v>
      </c>
      <c r="D660" t="s">
        <v>60</v>
      </c>
      <c r="E660" s="148">
        <v>167.83322999999999</v>
      </c>
      <c r="F660" s="148">
        <v>181.65548000000001</v>
      </c>
      <c r="G660" s="148">
        <v>-13.82225</v>
      </c>
      <c r="H660" s="148">
        <v>-7.6090465313790698</v>
      </c>
      <c r="I660" s="728"/>
      <c r="J660" s="148">
        <v>167.83322999999999</v>
      </c>
      <c r="K660" s="148">
        <v>0</v>
      </c>
      <c r="L660" s="148">
        <v>2136.7639100000001</v>
      </c>
      <c r="M660" s="148">
        <v>2168.4298399999998</v>
      </c>
      <c r="N660" s="148">
        <v>-31.665929999999999</v>
      </c>
      <c r="O660" s="148">
        <v>-1.4603160967384585</v>
      </c>
      <c r="P660" s="148">
        <v>1057.87661</v>
      </c>
      <c r="Q660" s="148">
        <v>1078.8873000000001</v>
      </c>
      <c r="R660" s="148">
        <v>101.986119156184</v>
      </c>
    </row>
    <row r="661" spans="2:18" ht="15.75" hidden="1" thickBot="1" x14ac:dyDescent="0.3">
      <c r="B661" s="724" t="s">
        <v>706</v>
      </c>
      <c r="C661" s="722" t="s">
        <v>134</v>
      </c>
      <c r="D661" t="s">
        <v>135</v>
      </c>
      <c r="E661" s="147">
        <v>0.62799000000000005</v>
      </c>
      <c r="F661" s="729"/>
      <c r="G661" s="147">
        <v>0.62799000000000005</v>
      </c>
      <c r="H661" s="147">
        <v>0</v>
      </c>
      <c r="I661" s="729"/>
      <c r="J661" s="147">
        <v>0.62799000000000005</v>
      </c>
      <c r="K661" s="147">
        <v>0</v>
      </c>
      <c r="L661" s="147">
        <v>12.19833</v>
      </c>
      <c r="M661" s="729"/>
      <c r="N661" s="147">
        <v>12.19833</v>
      </c>
      <c r="O661" s="147">
        <v>0</v>
      </c>
      <c r="P661" s="147">
        <v>2.0695299999999999</v>
      </c>
      <c r="Q661" s="147">
        <v>10.1288</v>
      </c>
      <c r="R661" s="147">
        <v>489.42513517561957</v>
      </c>
    </row>
    <row r="662" spans="2:18" ht="15.75" hidden="1" thickBot="1" x14ac:dyDescent="0.3">
      <c r="B662" s="724" t="s">
        <v>706</v>
      </c>
      <c r="C662" s="722" t="s">
        <v>61</v>
      </c>
      <c r="D662" t="s">
        <v>62</v>
      </c>
      <c r="E662" s="148">
        <v>28.411490000000001</v>
      </c>
      <c r="F662" s="148">
        <v>28.156600000000001</v>
      </c>
      <c r="G662" s="148">
        <v>0.25489000000000001</v>
      </c>
      <c r="H662" s="148">
        <v>0.90525844739776817</v>
      </c>
      <c r="I662" s="728"/>
      <c r="J662" s="148">
        <v>28.411490000000001</v>
      </c>
      <c r="K662" s="148">
        <v>0</v>
      </c>
      <c r="L662" s="148">
        <v>324.94520999999997</v>
      </c>
      <c r="M662" s="148">
        <v>336.10664000000003</v>
      </c>
      <c r="N662" s="148">
        <v>-11.161429999999999</v>
      </c>
      <c r="O662" s="148">
        <v>-3.3208002079340058</v>
      </c>
      <c r="P662" s="148">
        <v>157.38390999999999</v>
      </c>
      <c r="Q662" s="148">
        <v>167.56129999999999</v>
      </c>
      <c r="R662" s="148">
        <v>106.46660131902937</v>
      </c>
    </row>
    <row r="663" spans="2:18" ht="15.75" hidden="1" thickBot="1" x14ac:dyDescent="0.3">
      <c r="B663" s="724" t="s">
        <v>706</v>
      </c>
      <c r="C663" s="722" t="s">
        <v>63</v>
      </c>
      <c r="D663" t="s">
        <v>64</v>
      </c>
      <c r="E663" s="147">
        <v>110.41828</v>
      </c>
      <c r="F663" s="147">
        <v>109.53825000000001</v>
      </c>
      <c r="G663" s="147">
        <v>0.88002999999999998</v>
      </c>
      <c r="H663" s="147">
        <v>0.803399725666605</v>
      </c>
      <c r="I663" s="729"/>
      <c r="J663" s="147">
        <v>110.41828</v>
      </c>
      <c r="K663" s="147">
        <v>0</v>
      </c>
      <c r="L663" s="147">
        <v>1262.7212300000001</v>
      </c>
      <c r="M663" s="147">
        <v>1307.5631599999999</v>
      </c>
      <c r="N663" s="147">
        <v>-44.841929999999998</v>
      </c>
      <c r="O663" s="147">
        <v>-3.4294274549613344</v>
      </c>
      <c r="P663" s="147">
        <v>611.59167000000002</v>
      </c>
      <c r="Q663" s="147">
        <v>651.12955999999997</v>
      </c>
      <c r="R663" s="147">
        <v>106.46475286362222</v>
      </c>
    </row>
    <row r="664" spans="2:18" ht="15.75" hidden="1" thickBot="1" x14ac:dyDescent="0.3">
      <c r="B664" s="724" t="s">
        <v>706</v>
      </c>
      <c r="C664" s="722" t="s">
        <v>65</v>
      </c>
      <c r="D664" t="s">
        <v>66</v>
      </c>
      <c r="E664" s="148">
        <v>-86.271079999999998</v>
      </c>
      <c r="F664" s="148">
        <v>-89.655950000000004</v>
      </c>
      <c r="G664" s="148">
        <v>3.3848699999999998</v>
      </c>
      <c r="H664" s="148">
        <v>3.7753991787494305</v>
      </c>
      <c r="I664" s="728"/>
      <c r="J664" s="148">
        <v>-86.271079999999998</v>
      </c>
      <c r="K664" s="148">
        <v>0</v>
      </c>
      <c r="L664" s="148">
        <v>-1201.79206</v>
      </c>
      <c r="M664" s="148">
        <v>-1070.2272</v>
      </c>
      <c r="N664" s="148">
        <v>-131.56486000000001</v>
      </c>
      <c r="O664" s="148">
        <v>-12.293171020134791</v>
      </c>
      <c r="P664" s="148">
        <v>-600.43110000000001</v>
      </c>
      <c r="Q664" s="148">
        <v>-601.36095999999998</v>
      </c>
      <c r="R664" s="148">
        <v>-100.15486539587972</v>
      </c>
    </row>
    <row r="665" spans="2:18" ht="15.75" hidden="1" thickBot="1" x14ac:dyDescent="0.3">
      <c r="B665" s="724" t="s">
        <v>706</v>
      </c>
      <c r="C665" s="149" t="s">
        <v>67</v>
      </c>
      <c r="D665" t="s">
        <v>68</v>
      </c>
      <c r="E665" s="147">
        <v>221.01991000000001</v>
      </c>
      <c r="F665" s="147">
        <v>229.69438</v>
      </c>
      <c r="G665" s="147">
        <v>-8.6744699999999995</v>
      </c>
      <c r="H665" s="147">
        <v>-3.776526878890115</v>
      </c>
      <c r="I665" s="729"/>
      <c r="J665" s="147">
        <v>221.01991000000001</v>
      </c>
      <c r="K665" s="147">
        <v>0</v>
      </c>
      <c r="L665" s="147">
        <v>2534.83662</v>
      </c>
      <c r="M665" s="147">
        <v>2741.8724400000001</v>
      </c>
      <c r="N665" s="147">
        <v>-207.03582</v>
      </c>
      <c r="O665" s="147">
        <v>-7.5508917548330583</v>
      </c>
      <c r="P665" s="147">
        <v>1228.49062</v>
      </c>
      <c r="Q665" s="147">
        <v>1306.346</v>
      </c>
      <c r="R665" s="147">
        <v>106.33748265819075</v>
      </c>
    </row>
    <row r="666" spans="2:18" ht="15.75" hidden="1" thickBot="1" x14ac:dyDescent="0.3">
      <c r="B666" s="724" t="s">
        <v>706</v>
      </c>
      <c r="C666" s="722" t="s">
        <v>69</v>
      </c>
      <c r="D666" t="s">
        <v>70</v>
      </c>
      <c r="E666" s="148">
        <v>1.3939999999999999</v>
      </c>
      <c r="F666" s="148">
        <v>4.125</v>
      </c>
      <c r="G666" s="148">
        <v>-2.7309999999999999</v>
      </c>
      <c r="H666" s="148">
        <v>-66.206060606060603</v>
      </c>
      <c r="I666" s="728"/>
      <c r="J666" s="148">
        <v>1.3939999999999999</v>
      </c>
      <c r="K666" s="148">
        <v>0</v>
      </c>
      <c r="L666" s="148">
        <v>10.45025</v>
      </c>
      <c r="M666" s="148">
        <v>35.1</v>
      </c>
      <c r="N666" s="148">
        <v>-24.649750000000001</v>
      </c>
      <c r="O666" s="148">
        <v>-70.227207977207982</v>
      </c>
      <c r="P666" s="148">
        <v>4.1760000000000002</v>
      </c>
      <c r="Q666" s="148">
        <v>6.2742500000000003</v>
      </c>
      <c r="R666" s="148">
        <v>150.24545019157088</v>
      </c>
    </row>
    <row r="667" spans="2:18" ht="15.75" hidden="1" thickBot="1" x14ac:dyDescent="0.3">
      <c r="B667" s="724" t="s">
        <v>706</v>
      </c>
      <c r="C667" s="722" t="s">
        <v>99</v>
      </c>
      <c r="D667" t="s">
        <v>100</v>
      </c>
      <c r="E667" s="729"/>
      <c r="F667" s="729"/>
      <c r="G667" s="729"/>
      <c r="H667" s="729"/>
      <c r="I667" s="729"/>
      <c r="J667" s="729"/>
      <c r="K667" s="729"/>
      <c r="L667" s="147">
        <v>4.3799999999999999E-2</v>
      </c>
      <c r="M667" s="729"/>
      <c r="N667" s="147">
        <v>4.3799999999999999E-2</v>
      </c>
      <c r="O667" s="147">
        <v>0</v>
      </c>
      <c r="P667" s="147">
        <v>4.3799999999999999E-2</v>
      </c>
      <c r="Q667" s="147">
        <v>0</v>
      </c>
      <c r="R667" s="147">
        <v>0</v>
      </c>
    </row>
    <row r="668" spans="2:18" ht="15.75" hidden="1" thickBot="1" x14ac:dyDescent="0.3">
      <c r="B668" s="724" t="s">
        <v>706</v>
      </c>
      <c r="C668" s="722" t="s">
        <v>137</v>
      </c>
      <c r="D668" t="s">
        <v>138</v>
      </c>
      <c r="E668" s="148">
        <v>6.9760000000000003E-2</v>
      </c>
      <c r="F668" s="148">
        <v>0.14166000000000001</v>
      </c>
      <c r="G668" s="148">
        <v>-7.1900000000000006E-2</v>
      </c>
      <c r="H668" s="148">
        <v>-50.755329662572358</v>
      </c>
      <c r="I668" s="728"/>
      <c r="J668" s="148">
        <v>6.9760000000000003E-2</v>
      </c>
      <c r="K668" s="148">
        <v>0</v>
      </c>
      <c r="L668" s="148">
        <v>0.73168999999999995</v>
      </c>
      <c r="M668" s="148">
        <v>1.6999200000000001</v>
      </c>
      <c r="N668" s="148">
        <v>-0.96823000000000004</v>
      </c>
      <c r="O668" s="148">
        <v>-56.957386229940234</v>
      </c>
      <c r="P668" s="148">
        <v>0.54208999999999996</v>
      </c>
      <c r="Q668" s="148">
        <v>0.18959999999999999</v>
      </c>
      <c r="R668" s="148">
        <v>34.975742035455369</v>
      </c>
    </row>
    <row r="669" spans="2:18" ht="15.75" hidden="1" thickBot="1" x14ac:dyDescent="0.3">
      <c r="B669" s="724" t="s">
        <v>706</v>
      </c>
      <c r="C669" s="722" t="s">
        <v>190</v>
      </c>
      <c r="D669" t="s">
        <v>191</v>
      </c>
      <c r="E669" s="147">
        <v>-2.0960000000000001</v>
      </c>
      <c r="F669" s="147">
        <v>0.41665999999999997</v>
      </c>
      <c r="G669" s="147">
        <v>-2.5126599999999999</v>
      </c>
      <c r="H669" s="147">
        <v>-603.04804876878029</v>
      </c>
      <c r="I669" s="729"/>
      <c r="J669" s="147">
        <v>-2.0960000000000001</v>
      </c>
      <c r="K669" s="147">
        <v>0</v>
      </c>
      <c r="L669" s="147">
        <v>2.2080000000000002</v>
      </c>
      <c r="M669" s="147">
        <v>4.9999200000000004</v>
      </c>
      <c r="N669" s="147">
        <v>-2.7919200000000002</v>
      </c>
      <c r="O669" s="147">
        <v>-55.839293428694859</v>
      </c>
      <c r="P669" s="147">
        <v>0.53400000000000003</v>
      </c>
      <c r="Q669" s="147">
        <v>1.6739999999999999</v>
      </c>
      <c r="R669" s="147">
        <v>313.4831460674157</v>
      </c>
    </row>
    <row r="670" spans="2:18" ht="15.75" hidden="1" thickBot="1" x14ac:dyDescent="0.3">
      <c r="B670" s="724" t="s">
        <v>706</v>
      </c>
      <c r="C670" s="722" t="s">
        <v>139</v>
      </c>
      <c r="D670" t="s">
        <v>140</v>
      </c>
      <c r="E670" s="728"/>
      <c r="F670" s="148">
        <v>0.21249999999999999</v>
      </c>
      <c r="G670" s="148">
        <v>-0.21249999999999999</v>
      </c>
      <c r="H670" s="148">
        <v>-100</v>
      </c>
      <c r="I670" s="728"/>
      <c r="J670" s="728"/>
      <c r="K670" s="728"/>
      <c r="L670" s="148">
        <v>2.452</v>
      </c>
      <c r="M670" s="148">
        <v>4.05</v>
      </c>
      <c r="N670" s="148">
        <v>-1.5980000000000001</v>
      </c>
      <c r="O670" s="148">
        <v>-39.456790123456791</v>
      </c>
      <c r="P670" s="148">
        <v>0.71699999999999997</v>
      </c>
      <c r="Q670" s="148">
        <v>1.7350000000000001</v>
      </c>
      <c r="R670" s="148">
        <v>241.98047419804743</v>
      </c>
    </row>
    <row r="671" spans="2:18" ht="15.75" hidden="1" thickBot="1" x14ac:dyDescent="0.3">
      <c r="B671" s="724" t="s">
        <v>706</v>
      </c>
      <c r="C671" s="722" t="s">
        <v>101</v>
      </c>
      <c r="D671" t="s">
        <v>102</v>
      </c>
      <c r="E671" s="729"/>
      <c r="F671" s="729"/>
      <c r="G671" s="729"/>
      <c r="H671" s="729"/>
      <c r="I671" s="729"/>
      <c r="J671" s="729"/>
      <c r="K671" s="729"/>
      <c r="L671" s="147">
        <v>2.4230000000000002E-2</v>
      </c>
      <c r="M671" s="729"/>
      <c r="N671" s="147">
        <v>2.4230000000000002E-2</v>
      </c>
      <c r="O671" s="147">
        <v>0</v>
      </c>
      <c r="P671" s="147">
        <v>2.4230000000000002E-2</v>
      </c>
      <c r="Q671" s="147">
        <v>0</v>
      </c>
      <c r="R671" s="147">
        <v>0</v>
      </c>
    </row>
    <row r="672" spans="2:18" ht="15.75" hidden="1" thickBot="1" x14ac:dyDescent="0.3">
      <c r="B672" s="724" t="s">
        <v>706</v>
      </c>
      <c r="C672" s="722" t="s">
        <v>103</v>
      </c>
      <c r="D672" t="s">
        <v>104</v>
      </c>
      <c r="E672" s="728"/>
      <c r="F672" s="728"/>
      <c r="G672" s="728"/>
      <c r="H672" s="728"/>
      <c r="I672" s="728"/>
      <c r="J672" s="728"/>
      <c r="K672" s="728"/>
      <c r="L672" s="148">
        <v>22.2</v>
      </c>
      <c r="M672" s="728"/>
      <c r="N672" s="148">
        <v>22.2</v>
      </c>
      <c r="O672" s="148">
        <v>0</v>
      </c>
      <c r="P672" s="148">
        <v>0</v>
      </c>
      <c r="Q672" s="148">
        <v>22.2</v>
      </c>
      <c r="R672" s="148">
        <v>0</v>
      </c>
    </row>
    <row r="673" spans="2:18" ht="15.75" hidden="1" thickBot="1" x14ac:dyDescent="0.3">
      <c r="B673" s="724" t="s">
        <v>706</v>
      </c>
      <c r="C673" s="722" t="s">
        <v>109</v>
      </c>
      <c r="D673" t="s">
        <v>110</v>
      </c>
      <c r="E673" s="147">
        <v>0.16169</v>
      </c>
      <c r="F673" s="729"/>
      <c r="G673" s="147">
        <v>0.16169</v>
      </c>
      <c r="H673" s="147">
        <v>0</v>
      </c>
      <c r="I673" s="729"/>
      <c r="J673" s="147">
        <v>0.16169</v>
      </c>
      <c r="K673" s="147">
        <v>0</v>
      </c>
      <c r="L673" s="147">
        <v>0.16169</v>
      </c>
      <c r="M673" s="729"/>
      <c r="N673" s="147">
        <v>0.16169</v>
      </c>
      <c r="O673" s="147">
        <v>0</v>
      </c>
      <c r="P673" s="729"/>
      <c r="Q673" s="147">
        <v>0.16169</v>
      </c>
      <c r="R673" s="147">
        <v>0</v>
      </c>
    </row>
    <row r="674" spans="2:18" ht="15.75" hidden="1" thickBot="1" x14ac:dyDescent="0.3">
      <c r="B674" s="724" t="s">
        <v>706</v>
      </c>
      <c r="C674" s="722" t="s">
        <v>73</v>
      </c>
      <c r="D674" t="s">
        <v>74</v>
      </c>
      <c r="E674" s="148">
        <v>0.26841999999999999</v>
      </c>
      <c r="F674" s="148">
        <v>0.255</v>
      </c>
      <c r="G674" s="148">
        <v>1.342E-2</v>
      </c>
      <c r="H674" s="148">
        <v>5.2627450980392156</v>
      </c>
      <c r="I674" s="728"/>
      <c r="J674" s="148">
        <v>0.26841999999999999</v>
      </c>
      <c r="K674" s="148">
        <v>0</v>
      </c>
      <c r="L674" s="148">
        <v>2.5386500000000001</v>
      </c>
      <c r="M674" s="148">
        <v>3.06</v>
      </c>
      <c r="N674" s="148">
        <v>-0.52134999999999998</v>
      </c>
      <c r="O674" s="148">
        <v>-17.037581699346404</v>
      </c>
      <c r="P674" s="148">
        <v>1.26779</v>
      </c>
      <c r="Q674" s="148">
        <v>1.2708600000000001</v>
      </c>
      <c r="R674" s="148">
        <v>100.24215366898304</v>
      </c>
    </row>
    <row r="675" spans="2:18" ht="15.75" hidden="1" thickBot="1" x14ac:dyDescent="0.3">
      <c r="B675" s="724" t="s">
        <v>706</v>
      </c>
      <c r="C675" s="722" t="s">
        <v>141</v>
      </c>
      <c r="D675" t="s">
        <v>142</v>
      </c>
      <c r="E675" s="729"/>
      <c r="F675" s="729"/>
      <c r="G675" s="729"/>
      <c r="H675" s="729"/>
      <c r="I675" s="729"/>
      <c r="J675" s="729"/>
      <c r="K675" s="729"/>
      <c r="L675" s="147">
        <v>2.495E-2</v>
      </c>
      <c r="M675" s="729"/>
      <c r="N675" s="147">
        <v>2.495E-2</v>
      </c>
      <c r="O675" s="147">
        <v>0</v>
      </c>
      <c r="P675" s="729"/>
      <c r="Q675" s="147">
        <v>2.495E-2</v>
      </c>
      <c r="R675" s="147">
        <v>0</v>
      </c>
    </row>
    <row r="676" spans="2:18" ht="15.75" hidden="1" thickBot="1" x14ac:dyDescent="0.3">
      <c r="B676" s="724" t="s">
        <v>706</v>
      </c>
      <c r="C676" s="722" t="s">
        <v>113</v>
      </c>
      <c r="D676" t="s">
        <v>114</v>
      </c>
      <c r="E676" s="148">
        <v>1.9349999999999999E-2</v>
      </c>
      <c r="F676" s="728"/>
      <c r="G676" s="148">
        <v>1.9349999999999999E-2</v>
      </c>
      <c r="H676" s="148">
        <v>0</v>
      </c>
      <c r="I676" s="728"/>
      <c r="J676" s="148">
        <v>1.9349999999999999E-2</v>
      </c>
      <c r="K676" s="148">
        <v>0</v>
      </c>
      <c r="L676" s="148">
        <v>0.26151000000000002</v>
      </c>
      <c r="M676" s="728"/>
      <c r="N676" s="148">
        <v>0.26151000000000002</v>
      </c>
      <c r="O676" s="148">
        <v>0</v>
      </c>
      <c r="P676" s="148">
        <v>6.2810000000000005E-2</v>
      </c>
      <c r="Q676" s="148">
        <v>0.19869999999999999</v>
      </c>
      <c r="R676" s="148">
        <v>316.35089953829009</v>
      </c>
    </row>
    <row r="677" spans="2:18" ht="15.75" hidden="1" thickBot="1" x14ac:dyDescent="0.3">
      <c r="B677" s="724" t="s">
        <v>706</v>
      </c>
      <c r="C677" s="722" t="s">
        <v>145</v>
      </c>
      <c r="D677" t="s">
        <v>146</v>
      </c>
      <c r="E677" s="729"/>
      <c r="F677" s="729"/>
      <c r="G677" s="729"/>
      <c r="H677" s="729"/>
      <c r="I677" s="729"/>
      <c r="J677" s="729"/>
      <c r="K677" s="729"/>
      <c r="L677" s="147">
        <v>0.255</v>
      </c>
      <c r="M677" s="729"/>
      <c r="N677" s="147">
        <v>0.255</v>
      </c>
      <c r="O677" s="147">
        <v>0</v>
      </c>
      <c r="P677" s="147">
        <v>0.19</v>
      </c>
      <c r="Q677" s="147">
        <v>6.5000000000000002E-2</v>
      </c>
      <c r="R677" s="147">
        <v>34.210526315789473</v>
      </c>
    </row>
    <row r="678" spans="2:18" ht="15.75" hidden="1" thickBot="1" x14ac:dyDescent="0.3">
      <c r="B678" s="724" t="s">
        <v>706</v>
      </c>
      <c r="C678" s="722" t="s">
        <v>203</v>
      </c>
      <c r="D678" t="s">
        <v>204</v>
      </c>
      <c r="E678" s="728"/>
      <c r="F678" s="728"/>
      <c r="G678" s="728"/>
      <c r="H678" s="728"/>
      <c r="I678" s="728"/>
      <c r="J678" s="728"/>
      <c r="K678" s="728"/>
      <c r="L678" s="148">
        <v>0.13300000000000001</v>
      </c>
      <c r="M678" s="728"/>
      <c r="N678" s="148">
        <v>0.13300000000000001</v>
      </c>
      <c r="O678" s="148">
        <v>0</v>
      </c>
      <c r="P678" s="728"/>
      <c r="Q678" s="148">
        <v>0.13300000000000001</v>
      </c>
      <c r="R678" s="148">
        <v>0</v>
      </c>
    </row>
    <row r="679" spans="2:18" ht="15.75" hidden="1" thickBot="1" x14ac:dyDescent="0.3">
      <c r="B679" s="724" t="s">
        <v>706</v>
      </c>
      <c r="C679" s="722" t="s">
        <v>149</v>
      </c>
      <c r="D679" t="s">
        <v>150</v>
      </c>
      <c r="E679" s="147">
        <v>17.7165</v>
      </c>
      <c r="F679" s="147">
        <v>5</v>
      </c>
      <c r="G679" s="147">
        <v>12.7165</v>
      </c>
      <c r="H679" s="147">
        <v>254.33</v>
      </c>
      <c r="I679" s="729"/>
      <c r="J679" s="147">
        <v>17.7165</v>
      </c>
      <c r="K679" s="147">
        <v>0</v>
      </c>
      <c r="L679" s="147">
        <v>84.03331</v>
      </c>
      <c r="M679" s="147">
        <v>75</v>
      </c>
      <c r="N679" s="147">
        <v>9.0333100000000002</v>
      </c>
      <c r="O679" s="147">
        <v>12.044413333333333</v>
      </c>
      <c r="P679" s="147">
        <v>31.241810000000001</v>
      </c>
      <c r="Q679" s="147">
        <v>52.791499999999999</v>
      </c>
      <c r="R679" s="147">
        <v>168.97708551457166</v>
      </c>
    </row>
    <row r="680" spans="2:18" ht="15.75" hidden="1" thickBot="1" x14ac:dyDescent="0.3">
      <c r="B680" s="724" t="s">
        <v>706</v>
      </c>
      <c r="C680" s="722" t="s">
        <v>653</v>
      </c>
      <c r="D680" t="s">
        <v>654</v>
      </c>
      <c r="E680" s="728"/>
      <c r="F680" s="728"/>
      <c r="G680" s="728"/>
      <c r="H680" s="728"/>
      <c r="I680" s="728"/>
      <c r="J680" s="728"/>
      <c r="K680" s="728"/>
      <c r="L680" s="148">
        <v>0.3805</v>
      </c>
      <c r="M680" s="728"/>
      <c r="N680" s="148">
        <v>0.3805</v>
      </c>
      <c r="O680" s="148">
        <v>0</v>
      </c>
      <c r="P680" s="728"/>
      <c r="Q680" s="148">
        <v>0.3805</v>
      </c>
      <c r="R680" s="148">
        <v>0</v>
      </c>
    </row>
    <row r="681" spans="2:18" ht="15.75" hidden="1" thickBot="1" x14ac:dyDescent="0.3">
      <c r="B681" s="724" t="s">
        <v>706</v>
      </c>
      <c r="C681" s="722" t="s">
        <v>75</v>
      </c>
      <c r="D681" t="s">
        <v>76</v>
      </c>
      <c r="E681" s="147">
        <v>1.5983499999999999</v>
      </c>
      <c r="F681" s="147">
        <v>1.466</v>
      </c>
      <c r="G681" s="147">
        <v>0.13235</v>
      </c>
      <c r="H681" s="147">
        <v>9.027967257844475</v>
      </c>
      <c r="I681" s="729"/>
      <c r="J681" s="147">
        <v>1.5983499999999999</v>
      </c>
      <c r="K681" s="147">
        <v>0</v>
      </c>
      <c r="L681" s="147">
        <v>8.4302100000000006</v>
      </c>
      <c r="M681" s="147">
        <v>15.492000000000001</v>
      </c>
      <c r="N681" s="147">
        <v>-7.0617900000000002</v>
      </c>
      <c r="O681" s="147">
        <v>-45.583462432223079</v>
      </c>
      <c r="P681" s="147">
        <v>3.0042300000000002</v>
      </c>
      <c r="Q681" s="147">
        <v>5.42598</v>
      </c>
      <c r="R681" s="147">
        <v>180.61133801340111</v>
      </c>
    </row>
    <row r="682" spans="2:18" ht="15.75" hidden="1" thickBot="1" x14ac:dyDescent="0.3">
      <c r="B682" s="724" t="s">
        <v>706</v>
      </c>
      <c r="C682" s="722" t="s">
        <v>77</v>
      </c>
      <c r="D682" t="s">
        <v>78</v>
      </c>
      <c r="E682" s="148">
        <v>2.6117599999999999</v>
      </c>
      <c r="F682" s="148">
        <v>4.5416600000000003</v>
      </c>
      <c r="G682" s="148">
        <v>-1.9298999999999999</v>
      </c>
      <c r="H682" s="148">
        <v>-42.493273384621482</v>
      </c>
      <c r="I682" s="728"/>
      <c r="J682" s="148">
        <v>2.6117599999999999</v>
      </c>
      <c r="K682" s="148">
        <v>0</v>
      </c>
      <c r="L682" s="148">
        <v>27.18892</v>
      </c>
      <c r="M682" s="148">
        <v>60.149920000000002</v>
      </c>
      <c r="N682" s="148">
        <v>-32.960999999999999</v>
      </c>
      <c r="O682" s="148">
        <v>-54.798077869430251</v>
      </c>
      <c r="P682" s="148">
        <v>11.062200000000001</v>
      </c>
      <c r="Q682" s="148">
        <v>16.126719999999999</v>
      </c>
      <c r="R682" s="148">
        <v>145.78221330295963</v>
      </c>
    </row>
    <row r="683" spans="2:18" ht="15.75" hidden="1" thickBot="1" x14ac:dyDescent="0.3">
      <c r="B683" s="724" t="s">
        <v>706</v>
      </c>
      <c r="C683" s="722" t="s">
        <v>79</v>
      </c>
      <c r="D683" t="s">
        <v>80</v>
      </c>
      <c r="E683" s="729"/>
      <c r="F683" s="729"/>
      <c r="G683" s="729"/>
      <c r="H683" s="729"/>
      <c r="I683" s="729"/>
      <c r="J683" s="729"/>
      <c r="K683" s="729"/>
      <c r="L683" s="147">
        <v>1.00729</v>
      </c>
      <c r="M683" s="729"/>
      <c r="N683" s="147">
        <v>1.00729</v>
      </c>
      <c r="O683" s="147">
        <v>0</v>
      </c>
      <c r="P683" s="147">
        <v>0.49026999999999998</v>
      </c>
      <c r="Q683" s="147">
        <v>0.51702000000000004</v>
      </c>
      <c r="R683" s="147">
        <v>105.45617720847696</v>
      </c>
    </row>
    <row r="684" spans="2:18" ht="15.75" hidden="1" thickBot="1" x14ac:dyDescent="0.3">
      <c r="B684" s="724" t="s">
        <v>706</v>
      </c>
      <c r="C684" s="722" t="s">
        <v>81</v>
      </c>
      <c r="D684" t="s">
        <v>82</v>
      </c>
      <c r="E684" s="148">
        <v>0.8</v>
      </c>
      <c r="F684" s="148">
        <v>0.26666000000000001</v>
      </c>
      <c r="G684" s="148">
        <v>0.53334000000000004</v>
      </c>
      <c r="H684" s="148">
        <v>200.00750018750469</v>
      </c>
      <c r="I684" s="728"/>
      <c r="J684" s="148">
        <v>0.8</v>
      </c>
      <c r="K684" s="148">
        <v>0</v>
      </c>
      <c r="L684" s="148">
        <v>1.87293</v>
      </c>
      <c r="M684" s="148">
        <v>3.1999200000000001</v>
      </c>
      <c r="N684" s="148">
        <v>-1.3269899999999999</v>
      </c>
      <c r="O684" s="148">
        <v>-41.469474236855923</v>
      </c>
      <c r="P684" s="148">
        <v>0.01</v>
      </c>
      <c r="Q684" s="148">
        <v>1.86293</v>
      </c>
      <c r="R684" s="148">
        <v>18629.3</v>
      </c>
    </row>
    <row r="685" spans="2:18" ht="15.75" hidden="1" thickBot="1" x14ac:dyDescent="0.3">
      <c r="B685" s="724" t="s">
        <v>706</v>
      </c>
      <c r="C685" s="722" t="s">
        <v>123</v>
      </c>
      <c r="D685" t="s">
        <v>124</v>
      </c>
      <c r="E685" s="147">
        <v>0.21870000000000001</v>
      </c>
      <c r="F685" s="729"/>
      <c r="G685" s="147">
        <v>0.21870000000000001</v>
      </c>
      <c r="H685" s="147">
        <v>0</v>
      </c>
      <c r="I685" s="729"/>
      <c r="J685" s="147">
        <v>0.21870000000000001</v>
      </c>
      <c r="K685" s="147">
        <v>0</v>
      </c>
      <c r="L685" s="147">
        <v>0.62070000000000003</v>
      </c>
      <c r="M685" s="729"/>
      <c r="N685" s="147">
        <v>0.62070000000000003</v>
      </c>
      <c r="O685" s="147">
        <v>0</v>
      </c>
      <c r="P685" s="147">
        <v>0.34200000000000003</v>
      </c>
      <c r="Q685" s="147">
        <v>0.2787</v>
      </c>
      <c r="R685" s="147">
        <v>81.491228070175438</v>
      </c>
    </row>
    <row r="686" spans="2:18" ht="15.75" hidden="1" thickBot="1" x14ac:dyDescent="0.3">
      <c r="B686" s="724" t="s">
        <v>706</v>
      </c>
      <c r="C686" s="722" t="s">
        <v>83</v>
      </c>
      <c r="D686" t="s">
        <v>84</v>
      </c>
      <c r="E686" s="728"/>
      <c r="F686" s="148">
        <v>0.57133</v>
      </c>
      <c r="G686" s="148">
        <v>-0.57133</v>
      </c>
      <c r="H686" s="148">
        <v>-100</v>
      </c>
      <c r="I686" s="728"/>
      <c r="J686" s="728"/>
      <c r="K686" s="728"/>
      <c r="L686" s="728"/>
      <c r="M686" s="148">
        <v>6.8999600000000001</v>
      </c>
      <c r="N686" s="148">
        <v>-6.8999600000000001</v>
      </c>
      <c r="O686" s="148">
        <v>-100</v>
      </c>
      <c r="P686" s="728"/>
      <c r="Q686" s="728"/>
      <c r="R686" s="728"/>
    </row>
    <row r="687" spans="2:18" ht="15.75" hidden="1" thickBot="1" x14ac:dyDescent="0.3">
      <c r="B687" s="724" t="s">
        <v>706</v>
      </c>
      <c r="C687" s="149" t="s">
        <v>85</v>
      </c>
      <c r="D687" t="s">
        <v>86</v>
      </c>
      <c r="E687" s="147">
        <v>22.762530000000002</v>
      </c>
      <c r="F687" s="147">
        <v>16.996469999999999</v>
      </c>
      <c r="G687" s="147">
        <v>5.7660600000000004</v>
      </c>
      <c r="H687" s="147">
        <v>33.925044435697529</v>
      </c>
      <c r="I687" s="729"/>
      <c r="J687" s="147">
        <v>22.762530000000002</v>
      </c>
      <c r="K687" s="147">
        <v>0</v>
      </c>
      <c r="L687" s="147">
        <v>165.01863</v>
      </c>
      <c r="M687" s="147">
        <v>209.65163999999999</v>
      </c>
      <c r="N687" s="147">
        <v>-44.633009999999999</v>
      </c>
      <c r="O687" s="147">
        <v>-21.28912991093225</v>
      </c>
      <c r="P687" s="147">
        <v>53.70823</v>
      </c>
      <c r="Q687" s="147">
        <v>111.3104</v>
      </c>
      <c r="R687" s="147">
        <v>207.25017376294099</v>
      </c>
    </row>
    <row r="688" spans="2:18" ht="15.75" hidden="1" thickBot="1" x14ac:dyDescent="0.3">
      <c r="B688" s="724" t="s">
        <v>706</v>
      </c>
      <c r="C688" s="144" t="s">
        <v>87</v>
      </c>
      <c r="D688" t="s">
        <v>87</v>
      </c>
      <c r="E688" s="148">
        <v>243.78244000000001</v>
      </c>
      <c r="F688" s="148">
        <v>246.69085000000001</v>
      </c>
      <c r="G688" s="148">
        <v>-2.9084099999999999</v>
      </c>
      <c r="H688" s="148">
        <v>-1.1789695483233367</v>
      </c>
      <c r="I688" s="728"/>
      <c r="J688" s="148">
        <v>243.78244000000001</v>
      </c>
      <c r="K688" s="148">
        <v>0</v>
      </c>
      <c r="L688" s="148">
        <v>2699.8552500000001</v>
      </c>
      <c r="M688" s="148">
        <v>2951.5240800000001</v>
      </c>
      <c r="N688" s="148">
        <v>-251.66883000000001</v>
      </c>
      <c r="O688" s="148">
        <v>-8.5267415470315253</v>
      </c>
      <c r="P688" s="148">
        <v>1282.19885</v>
      </c>
      <c r="Q688" s="148">
        <v>1417.6564000000001</v>
      </c>
      <c r="R688" s="148">
        <v>110.56447289747608</v>
      </c>
    </row>
    <row r="689" spans="2:18" ht="15.75" hidden="1" thickBot="1" x14ac:dyDescent="0.3">
      <c r="B689" s="725" t="s">
        <v>707</v>
      </c>
      <c r="C689" s="722" t="s">
        <v>59</v>
      </c>
      <c r="D689" t="s">
        <v>60</v>
      </c>
      <c r="E689" s="147">
        <v>80.626890000000003</v>
      </c>
      <c r="F689" s="147">
        <v>88.566220000000001</v>
      </c>
      <c r="G689" s="147">
        <v>-7.93933</v>
      </c>
      <c r="H689" s="147">
        <v>-8.9642868353193794</v>
      </c>
      <c r="I689" s="729"/>
      <c r="J689" s="147">
        <v>80.626890000000003</v>
      </c>
      <c r="K689" s="147">
        <v>0</v>
      </c>
      <c r="L689" s="147">
        <v>1008.48341</v>
      </c>
      <c r="M689" s="147">
        <v>1057.2190399999999</v>
      </c>
      <c r="N689" s="147">
        <v>-48.73563</v>
      </c>
      <c r="O689" s="147">
        <v>-4.6097949579114657</v>
      </c>
      <c r="P689" s="147">
        <v>485.11099000000002</v>
      </c>
      <c r="Q689" s="147">
        <v>523.37242000000003</v>
      </c>
      <c r="R689" s="147">
        <v>107.88714970155593</v>
      </c>
    </row>
    <row r="690" spans="2:18" ht="15.75" hidden="1" thickBot="1" x14ac:dyDescent="0.3">
      <c r="B690" s="725" t="s">
        <v>707</v>
      </c>
      <c r="C690" s="722" t="s">
        <v>134</v>
      </c>
      <c r="D690" t="s">
        <v>135</v>
      </c>
      <c r="E690" s="148">
        <v>0.62799000000000005</v>
      </c>
      <c r="F690" s="728"/>
      <c r="G690" s="148">
        <v>0.62799000000000005</v>
      </c>
      <c r="H690" s="148">
        <v>0</v>
      </c>
      <c r="I690" s="728"/>
      <c r="J690" s="148">
        <v>0.62799000000000005</v>
      </c>
      <c r="K690" s="148">
        <v>0</v>
      </c>
      <c r="L690" s="148">
        <v>6.04657</v>
      </c>
      <c r="M690" s="728"/>
      <c r="N690" s="148">
        <v>6.04657</v>
      </c>
      <c r="O690" s="148">
        <v>0</v>
      </c>
      <c r="P690" s="148">
        <v>1.99817</v>
      </c>
      <c r="Q690" s="148">
        <v>4.0484</v>
      </c>
      <c r="R690" s="148">
        <v>202.60538392629255</v>
      </c>
    </row>
    <row r="691" spans="2:18" ht="15.75" hidden="1" thickBot="1" x14ac:dyDescent="0.3">
      <c r="B691" s="725" t="s">
        <v>707</v>
      </c>
      <c r="C691" s="722" t="s">
        <v>61</v>
      </c>
      <c r="D691" t="s">
        <v>62</v>
      </c>
      <c r="E691" s="147">
        <v>13.81161</v>
      </c>
      <c r="F691" s="147">
        <v>13.72776</v>
      </c>
      <c r="G691" s="147">
        <v>8.3849999999999994E-2</v>
      </c>
      <c r="H691" s="147">
        <v>0.61080613297435271</v>
      </c>
      <c r="I691" s="729"/>
      <c r="J691" s="147">
        <v>13.81161</v>
      </c>
      <c r="K691" s="147">
        <v>0</v>
      </c>
      <c r="L691" s="147">
        <v>150.9939</v>
      </c>
      <c r="M691" s="147">
        <v>163.86892</v>
      </c>
      <c r="N691" s="147">
        <v>-12.875019999999999</v>
      </c>
      <c r="O691" s="147">
        <v>-7.8569017236459482</v>
      </c>
      <c r="P691" s="147">
        <v>71.031970000000001</v>
      </c>
      <c r="Q691" s="147">
        <v>79.961929999999995</v>
      </c>
      <c r="R691" s="147">
        <v>112.57174762293654</v>
      </c>
    </row>
    <row r="692" spans="2:18" ht="15.75" hidden="1" thickBot="1" x14ac:dyDescent="0.3">
      <c r="B692" s="725" t="s">
        <v>707</v>
      </c>
      <c r="C692" s="722" t="s">
        <v>63</v>
      </c>
      <c r="D692" t="s">
        <v>64</v>
      </c>
      <c r="E692" s="148">
        <v>53.698749999999997</v>
      </c>
      <c r="F692" s="148">
        <v>53.405430000000003</v>
      </c>
      <c r="G692" s="148">
        <v>0.29332000000000003</v>
      </c>
      <c r="H692" s="148">
        <v>0.54923254058622872</v>
      </c>
      <c r="I692" s="728"/>
      <c r="J692" s="148">
        <v>53.698749999999997</v>
      </c>
      <c r="K692" s="148">
        <v>0</v>
      </c>
      <c r="L692" s="148">
        <v>586.93289000000004</v>
      </c>
      <c r="M692" s="148">
        <v>637.50307999999995</v>
      </c>
      <c r="N692" s="148">
        <v>-50.570189999999997</v>
      </c>
      <c r="O692" s="148">
        <v>-7.9325404984710035</v>
      </c>
      <c r="P692" s="148">
        <v>276.12031000000002</v>
      </c>
      <c r="Q692" s="148">
        <v>310.81258000000003</v>
      </c>
      <c r="R692" s="148">
        <v>112.56418624185957</v>
      </c>
    </row>
    <row r="693" spans="2:18" ht="15.75" hidden="1" thickBot="1" x14ac:dyDescent="0.3">
      <c r="B693" s="725" t="s">
        <v>707</v>
      </c>
      <c r="C693" s="722" t="s">
        <v>65</v>
      </c>
      <c r="D693" t="s">
        <v>66</v>
      </c>
      <c r="E693" s="147">
        <v>-58.41086</v>
      </c>
      <c r="F693" s="147">
        <v>-56.311230000000002</v>
      </c>
      <c r="G693" s="147">
        <v>-2.0996299999999999</v>
      </c>
      <c r="H693" s="147">
        <v>-3.7286168318468627</v>
      </c>
      <c r="I693" s="729"/>
      <c r="J693" s="147">
        <v>-58.41086</v>
      </c>
      <c r="K693" s="147">
        <v>0</v>
      </c>
      <c r="L693" s="147">
        <v>-801.90369999999996</v>
      </c>
      <c r="M693" s="147">
        <v>-672.18974000000003</v>
      </c>
      <c r="N693" s="147">
        <v>-129.71395999999999</v>
      </c>
      <c r="O693" s="147">
        <v>-19.297224024871312</v>
      </c>
      <c r="P693" s="147">
        <v>-392.70582000000002</v>
      </c>
      <c r="Q693" s="147">
        <v>-409.19788</v>
      </c>
      <c r="R693" s="147">
        <v>-104.19959653259022</v>
      </c>
    </row>
    <row r="694" spans="2:18" ht="15.75" hidden="1" thickBot="1" x14ac:dyDescent="0.3">
      <c r="B694" s="725" t="s">
        <v>707</v>
      </c>
      <c r="C694" s="149" t="s">
        <v>67</v>
      </c>
      <c r="D694" t="s">
        <v>68</v>
      </c>
      <c r="E694" s="148">
        <v>90.354380000000006</v>
      </c>
      <c r="F694" s="148">
        <v>99.388180000000006</v>
      </c>
      <c r="G694" s="148">
        <v>-9.0337999999999994</v>
      </c>
      <c r="H694" s="148">
        <v>-9.0894108333606667</v>
      </c>
      <c r="I694" s="728"/>
      <c r="J694" s="148">
        <v>90.354380000000006</v>
      </c>
      <c r="K694" s="148">
        <v>0</v>
      </c>
      <c r="L694" s="148">
        <v>950.55307000000005</v>
      </c>
      <c r="M694" s="148">
        <v>1186.4013</v>
      </c>
      <c r="N694" s="148">
        <v>-235.84823</v>
      </c>
      <c r="O694" s="148">
        <v>-19.879296322416369</v>
      </c>
      <c r="P694" s="148">
        <v>441.55561999999998</v>
      </c>
      <c r="Q694" s="148">
        <v>508.99745000000001</v>
      </c>
      <c r="R694" s="148">
        <v>115.27368851063429</v>
      </c>
    </row>
    <row r="695" spans="2:18" ht="15.75" hidden="1" thickBot="1" x14ac:dyDescent="0.3">
      <c r="B695" s="725" t="s">
        <v>707</v>
      </c>
      <c r="C695" s="722" t="s">
        <v>69</v>
      </c>
      <c r="D695" t="s">
        <v>70</v>
      </c>
      <c r="E695" s="729"/>
      <c r="F695" s="147">
        <v>4.125</v>
      </c>
      <c r="G695" s="147">
        <v>-4.125</v>
      </c>
      <c r="H695" s="147">
        <v>-100</v>
      </c>
      <c r="I695" s="729"/>
      <c r="J695" s="729"/>
      <c r="K695" s="729"/>
      <c r="L695" s="147">
        <v>3.8420000000000001</v>
      </c>
      <c r="M695" s="147">
        <v>16.5</v>
      </c>
      <c r="N695" s="147">
        <v>-12.657999999999999</v>
      </c>
      <c r="O695" s="147">
        <v>-76.715151515151518</v>
      </c>
      <c r="P695" s="147">
        <v>0.24299999999999999</v>
      </c>
      <c r="Q695" s="147">
        <v>3.5990000000000002</v>
      </c>
      <c r="R695" s="147">
        <v>1481.0699588477366</v>
      </c>
    </row>
    <row r="696" spans="2:18" ht="15.75" hidden="1" thickBot="1" x14ac:dyDescent="0.3">
      <c r="B696" s="725" t="s">
        <v>707</v>
      </c>
      <c r="C696" s="722" t="s">
        <v>137</v>
      </c>
      <c r="D696" t="s">
        <v>138</v>
      </c>
      <c r="E696" s="148">
        <v>6.9760000000000003E-2</v>
      </c>
      <c r="F696" s="148">
        <v>9.1660000000000005E-2</v>
      </c>
      <c r="G696" s="148">
        <v>-2.1899999999999999E-2</v>
      </c>
      <c r="H696" s="148">
        <v>-23.892646737944577</v>
      </c>
      <c r="I696" s="728"/>
      <c r="J696" s="148">
        <v>6.9760000000000003E-2</v>
      </c>
      <c r="K696" s="148">
        <v>0</v>
      </c>
      <c r="L696" s="148">
        <v>0.26955000000000001</v>
      </c>
      <c r="M696" s="148">
        <v>1.09992</v>
      </c>
      <c r="N696" s="148">
        <v>-0.83037000000000005</v>
      </c>
      <c r="O696" s="148">
        <v>-75.493672267073975</v>
      </c>
      <c r="P696" s="148">
        <v>0.19979</v>
      </c>
      <c r="Q696" s="148">
        <v>6.9760000000000003E-2</v>
      </c>
      <c r="R696" s="148">
        <v>34.9166624956204</v>
      </c>
    </row>
    <row r="697" spans="2:18" ht="15.75" hidden="1" thickBot="1" x14ac:dyDescent="0.3">
      <c r="B697" s="725" t="s">
        <v>707</v>
      </c>
      <c r="C697" s="722" t="s">
        <v>190</v>
      </c>
      <c r="D697" t="s">
        <v>191</v>
      </c>
      <c r="E697" s="147">
        <v>-2.0960000000000001</v>
      </c>
      <c r="F697" s="147">
        <v>0.41665999999999997</v>
      </c>
      <c r="G697" s="147">
        <v>-2.5126599999999999</v>
      </c>
      <c r="H697" s="147">
        <v>-603.04804876878029</v>
      </c>
      <c r="I697" s="729"/>
      <c r="J697" s="147">
        <v>-2.0960000000000001</v>
      </c>
      <c r="K697" s="147">
        <v>0</v>
      </c>
      <c r="L697" s="147">
        <v>2.2080000000000002</v>
      </c>
      <c r="M697" s="147">
        <v>4.9999200000000004</v>
      </c>
      <c r="N697" s="147">
        <v>-2.7919200000000002</v>
      </c>
      <c r="O697" s="147">
        <v>-55.839293428694859</v>
      </c>
      <c r="P697" s="147">
        <v>0.53400000000000003</v>
      </c>
      <c r="Q697" s="147">
        <v>1.6739999999999999</v>
      </c>
      <c r="R697" s="147">
        <v>313.4831460674157</v>
      </c>
    </row>
    <row r="698" spans="2:18" ht="15.75" hidden="1" thickBot="1" x14ac:dyDescent="0.3">
      <c r="B698" s="725" t="s">
        <v>707</v>
      </c>
      <c r="C698" s="722" t="s">
        <v>139</v>
      </c>
      <c r="D698" t="s">
        <v>140</v>
      </c>
      <c r="E698" s="728"/>
      <c r="F698" s="148">
        <v>0.13750000000000001</v>
      </c>
      <c r="G698" s="148">
        <v>-0.13750000000000001</v>
      </c>
      <c r="H698" s="148">
        <v>-100</v>
      </c>
      <c r="I698" s="728"/>
      <c r="J698" s="728"/>
      <c r="K698" s="728"/>
      <c r="L698" s="148">
        <v>1.77</v>
      </c>
      <c r="M698" s="148">
        <v>1.65</v>
      </c>
      <c r="N698" s="148">
        <v>0.12</v>
      </c>
      <c r="O698" s="148">
        <v>7.2727272727272725</v>
      </c>
      <c r="P698" s="148">
        <v>0.154</v>
      </c>
      <c r="Q698" s="148">
        <v>1.6160000000000001</v>
      </c>
      <c r="R698" s="148">
        <v>1049.3506493506493</v>
      </c>
    </row>
    <row r="699" spans="2:18" ht="15.75" hidden="1" thickBot="1" x14ac:dyDescent="0.3">
      <c r="B699" s="725" t="s">
        <v>707</v>
      </c>
      <c r="C699" s="722" t="s">
        <v>103</v>
      </c>
      <c r="D699" t="s">
        <v>104</v>
      </c>
      <c r="E699" s="729"/>
      <c r="F699" s="729"/>
      <c r="G699" s="729"/>
      <c r="H699" s="729"/>
      <c r="I699" s="729"/>
      <c r="J699" s="729"/>
      <c r="K699" s="729"/>
      <c r="L699" s="147">
        <v>22.2</v>
      </c>
      <c r="M699" s="729"/>
      <c r="N699" s="147">
        <v>22.2</v>
      </c>
      <c r="O699" s="147">
        <v>0</v>
      </c>
      <c r="P699" s="147">
        <v>0</v>
      </c>
      <c r="Q699" s="147">
        <v>22.2</v>
      </c>
      <c r="R699" s="147">
        <v>0</v>
      </c>
    </row>
    <row r="700" spans="2:18" ht="15.75" hidden="1" thickBot="1" x14ac:dyDescent="0.3">
      <c r="B700" s="725" t="s">
        <v>707</v>
      </c>
      <c r="C700" s="722" t="s">
        <v>73</v>
      </c>
      <c r="D700" t="s">
        <v>74</v>
      </c>
      <c r="E700" s="148">
        <v>6.4240000000000005E-2</v>
      </c>
      <c r="F700" s="148">
        <v>0.16500000000000001</v>
      </c>
      <c r="G700" s="148">
        <v>-0.10076</v>
      </c>
      <c r="H700" s="148">
        <v>-61.06666666666667</v>
      </c>
      <c r="I700" s="728"/>
      <c r="J700" s="148">
        <v>6.4240000000000005E-2</v>
      </c>
      <c r="K700" s="148">
        <v>0</v>
      </c>
      <c r="L700" s="148">
        <v>1.39066</v>
      </c>
      <c r="M700" s="148">
        <v>1.98</v>
      </c>
      <c r="N700" s="148">
        <v>-0.58933999999999997</v>
      </c>
      <c r="O700" s="148">
        <v>-29.764646464646464</v>
      </c>
      <c r="P700" s="148">
        <v>0.74866999999999995</v>
      </c>
      <c r="Q700" s="148">
        <v>0.64198999999999995</v>
      </c>
      <c r="R700" s="148">
        <v>85.750731296833052</v>
      </c>
    </row>
    <row r="701" spans="2:18" ht="15.75" hidden="1" thickBot="1" x14ac:dyDescent="0.3">
      <c r="B701" s="725" t="s">
        <v>707</v>
      </c>
      <c r="C701" s="722" t="s">
        <v>145</v>
      </c>
      <c r="D701" t="s">
        <v>146</v>
      </c>
      <c r="E701" s="729"/>
      <c r="F701" s="729"/>
      <c r="G701" s="729"/>
      <c r="H701" s="729"/>
      <c r="I701" s="729"/>
      <c r="J701" s="729"/>
      <c r="K701" s="729"/>
      <c r="L701" s="147">
        <v>5.7000000000000002E-2</v>
      </c>
      <c r="M701" s="729"/>
      <c r="N701" s="147">
        <v>5.7000000000000002E-2</v>
      </c>
      <c r="O701" s="147">
        <v>0</v>
      </c>
      <c r="P701" s="147">
        <v>2.1000000000000001E-2</v>
      </c>
      <c r="Q701" s="147">
        <v>3.5999999999999997E-2</v>
      </c>
      <c r="R701" s="147">
        <v>171.42857142857142</v>
      </c>
    </row>
    <row r="702" spans="2:18" ht="15.75" hidden="1" thickBot="1" x14ac:dyDescent="0.3">
      <c r="B702" s="725" t="s">
        <v>707</v>
      </c>
      <c r="C702" s="722" t="s">
        <v>203</v>
      </c>
      <c r="D702" t="s">
        <v>204</v>
      </c>
      <c r="E702" s="728"/>
      <c r="F702" s="728"/>
      <c r="G702" s="728"/>
      <c r="H702" s="728"/>
      <c r="I702" s="728"/>
      <c r="J702" s="728"/>
      <c r="K702" s="728"/>
      <c r="L702" s="148">
        <v>0.13300000000000001</v>
      </c>
      <c r="M702" s="728"/>
      <c r="N702" s="148">
        <v>0.13300000000000001</v>
      </c>
      <c r="O702" s="148">
        <v>0</v>
      </c>
      <c r="P702" s="728"/>
      <c r="Q702" s="148">
        <v>0.13300000000000001</v>
      </c>
      <c r="R702" s="148">
        <v>0</v>
      </c>
    </row>
    <row r="703" spans="2:18" ht="15.75" hidden="1" thickBot="1" x14ac:dyDescent="0.3">
      <c r="B703" s="725" t="s">
        <v>707</v>
      </c>
      <c r="C703" s="722" t="s">
        <v>149</v>
      </c>
      <c r="D703" t="s">
        <v>150</v>
      </c>
      <c r="E703" s="147">
        <v>7.8475000000000001</v>
      </c>
      <c r="F703" s="147">
        <v>2.5</v>
      </c>
      <c r="G703" s="147">
        <v>5.3475000000000001</v>
      </c>
      <c r="H703" s="147">
        <v>213.9</v>
      </c>
      <c r="I703" s="729"/>
      <c r="J703" s="147">
        <v>7.8475000000000001</v>
      </c>
      <c r="K703" s="147">
        <v>0</v>
      </c>
      <c r="L703" s="147">
        <v>56.692500000000003</v>
      </c>
      <c r="M703" s="147">
        <v>30</v>
      </c>
      <c r="N703" s="147">
        <v>26.692499999999999</v>
      </c>
      <c r="O703" s="147">
        <v>88.974999999999994</v>
      </c>
      <c r="P703" s="147">
        <v>23</v>
      </c>
      <c r="Q703" s="147">
        <v>33.692500000000003</v>
      </c>
      <c r="R703" s="147">
        <v>146.4891304347826</v>
      </c>
    </row>
    <row r="704" spans="2:18" ht="15.75" hidden="1" thickBot="1" x14ac:dyDescent="0.3">
      <c r="B704" s="725" t="s">
        <v>707</v>
      </c>
      <c r="C704" s="722" t="s">
        <v>653</v>
      </c>
      <c r="D704" t="s">
        <v>654</v>
      </c>
      <c r="E704" s="728"/>
      <c r="F704" s="728"/>
      <c r="G704" s="728"/>
      <c r="H704" s="728"/>
      <c r="I704" s="728"/>
      <c r="J704" s="728"/>
      <c r="K704" s="728"/>
      <c r="L704" s="148">
        <v>0.3805</v>
      </c>
      <c r="M704" s="728"/>
      <c r="N704" s="148">
        <v>0.3805</v>
      </c>
      <c r="O704" s="148">
        <v>0</v>
      </c>
      <c r="P704" s="728"/>
      <c r="Q704" s="148">
        <v>0.3805</v>
      </c>
      <c r="R704" s="148">
        <v>0</v>
      </c>
    </row>
    <row r="705" spans="2:18" ht="15.75" hidden="1" thickBot="1" x14ac:dyDescent="0.3">
      <c r="B705" s="725" t="s">
        <v>707</v>
      </c>
      <c r="C705" s="722" t="s">
        <v>75</v>
      </c>
      <c r="D705" t="s">
        <v>76</v>
      </c>
      <c r="E705" s="729"/>
      <c r="F705" s="147">
        <v>0.66600000000000004</v>
      </c>
      <c r="G705" s="147">
        <v>-0.66600000000000004</v>
      </c>
      <c r="H705" s="147">
        <v>-100</v>
      </c>
      <c r="I705" s="729"/>
      <c r="J705" s="729"/>
      <c r="K705" s="729"/>
      <c r="L705" s="147">
        <v>1.12968</v>
      </c>
      <c r="M705" s="147">
        <v>7.992</v>
      </c>
      <c r="N705" s="147">
        <v>-6.8623200000000004</v>
      </c>
      <c r="O705" s="147">
        <v>-85.86486486486487</v>
      </c>
      <c r="P705" s="147">
        <v>0.49895</v>
      </c>
      <c r="Q705" s="147">
        <v>0.63073000000000001</v>
      </c>
      <c r="R705" s="147">
        <v>126.41146407455656</v>
      </c>
    </row>
    <row r="706" spans="2:18" ht="15.75" hidden="1" thickBot="1" x14ac:dyDescent="0.3">
      <c r="B706" s="725" t="s">
        <v>707</v>
      </c>
      <c r="C706" s="722" t="s">
        <v>77</v>
      </c>
      <c r="D706" t="s">
        <v>78</v>
      </c>
      <c r="E706" s="728"/>
      <c r="F706" s="148">
        <v>2.2916599999999998</v>
      </c>
      <c r="G706" s="148">
        <v>-2.2916599999999998</v>
      </c>
      <c r="H706" s="148">
        <v>-100</v>
      </c>
      <c r="I706" s="728"/>
      <c r="J706" s="728"/>
      <c r="K706" s="728"/>
      <c r="L706" s="148">
        <v>8.7141099999999998</v>
      </c>
      <c r="M706" s="148">
        <v>27.499919999999999</v>
      </c>
      <c r="N706" s="148">
        <v>-18.785810000000001</v>
      </c>
      <c r="O706" s="148">
        <v>-68.312235090138444</v>
      </c>
      <c r="P706" s="148">
        <v>4.2519</v>
      </c>
      <c r="Q706" s="148">
        <v>4.4622099999999998</v>
      </c>
      <c r="R706" s="148">
        <v>104.94625931936311</v>
      </c>
    </row>
    <row r="707" spans="2:18" ht="15.75" hidden="1" thickBot="1" x14ac:dyDescent="0.3">
      <c r="B707" s="725" t="s">
        <v>707</v>
      </c>
      <c r="C707" s="722" t="s">
        <v>79</v>
      </c>
      <c r="D707" t="s">
        <v>80</v>
      </c>
      <c r="E707" s="729"/>
      <c r="F707" s="729"/>
      <c r="G707" s="729"/>
      <c r="H707" s="729"/>
      <c r="I707" s="729"/>
      <c r="J707" s="729"/>
      <c r="K707" s="729"/>
      <c r="L707" s="147">
        <v>0.74356999999999995</v>
      </c>
      <c r="M707" s="729"/>
      <c r="N707" s="147">
        <v>0.74356999999999995</v>
      </c>
      <c r="O707" s="147">
        <v>0</v>
      </c>
      <c r="P707" s="147">
        <v>0.31867000000000001</v>
      </c>
      <c r="Q707" s="147">
        <v>0.4249</v>
      </c>
      <c r="R707" s="147">
        <v>133.33542536165939</v>
      </c>
    </row>
    <row r="708" spans="2:18" ht="15.75" hidden="1" thickBot="1" x14ac:dyDescent="0.3">
      <c r="B708" s="725" t="s">
        <v>707</v>
      </c>
      <c r="C708" s="722" t="s">
        <v>81</v>
      </c>
      <c r="D708" t="s">
        <v>82</v>
      </c>
      <c r="E708" s="148">
        <v>0.5</v>
      </c>
      <c r="F708" s="148">
        <v>0.19166</v>
      </c>
      <c r="G708" s="148">
        <v>0.30834</v>
      </c>
      <c r="H708" s="148">
        <v>160.87863925701762</v>
      </c>
      <c r="I708" s="728"/>
      <c r="J708" s="148">
        <v>0.5</v>
      </c>
      <c r="K708" s="148">
        <v>0</v>
      </c>
      <c r="L708" s="148">
        <v>1.54393</v>
      </c>
      <c r="M708" s="148">
        <v>2.2999200000000002</v>
      </c>
      <c r="N708" s="148">
        <v>-0.75599000000000005</v>
      </c>
      <c r="O708" s="148">
        <v>-32.870273748652124</v>
      </c>
      <c r="P708" s="148">
        <v>0.01</v>
      </c>
      <c r="Q708" s="148">
        <v>1.53393</v>
      </c>
      <c r="R708" s="148">
        <v>15339.3</v>
      </c>
    </row>
    <row r="709" spans="2:18" ht="15.75" hidden="1" thickBot="1" x14ac:dyDescent="0.3">
      <c r="B709" s="725" t="s">
        <v>707</v>
      </c>
      <c r="C709" s="722" t="s">
        <v>123</v>
      </c>
      <c r="D709" t="s">
        <v>124</v>
      </c>
      <c r="E709" s="147">
        <v>0.21870000000000001</v>
      </c>
      <c r="F709" s="729"/>
      <c r="G709" s="147">
        <v>0.21870000000000001</v>
      </c>
      <c r="H709" s="147">
        <v>0</v>
      </c>
      <c r="I709" s="729"/>
      <c r="J709" s="147">
        <v>0.21870000000000001</v>
      </c>
      <c r="K709" s="147">
        <v>0</v>
      </c>
      <c r="L709" s="147">
        <v>0.21870000000000001</v>
      </c>
      <c r="M709" s="729"/>
      <c r="N709" s="147">
        <v>0.21870000000000001</v>
      </c>
      <c r="O709" s="147">
        <v>0</v>
      </c>
      <c r="P709" s="729"/>
      <c r="Q709" s="147">
        <v>0.21870000000000001</v>
      </c>
      <c r="R709" s="147">
        <v>0</v>
      </c>
    </row>
    <row r="710" spans="2:18" ht="15.75" hidden="1" thickBot="1" x14ac:dyDescent="0.3">
      <c r="B710" s="725" t="s">
        <v>707</v>
      </c>
      <c r="C710" s="722" t="s">
        <v>83</v>
      </c>
      <c r="D710" t="s">
        <v>84</v>
      </c>
      <c r="E710" s="728"/>
      <c r="F710" s="148">
        <v>0.20832999999999999</v>
      </c>
      <c r="G710" s="148">
        <v>-0.20832999999999999</v>
      </c>
      <c r="H710" s="148">
        <v>-100</v>
      </c>
      <c r="I710" s="728"/>
      <c r="J710" s="728"/>
      <c r="K710" s="728"/>
      <c r="L710" s="728"/>
      <c r="M710" s="148">
        <v>2.4999600000000002</v>
      </c>
      <c r="N710" s="148">
        <v>-2.4999600000000002</v>
      </c>
      <c r="O710" s="148">
        <v>-100</v>
      </c>
      <c r="P710" s="728"/>
      <c r="Q710" s="728"/>
      <c r="R710" s="728"/>
    </row>
    <row r="711" spans="2:18" ht="15.75" hidden="1" thickBot="1" x14ac:dyDescent="0.3">
      <c r="B711" s="725" t="s">
        <v>707</v>
      </c>
      <c r="C711" s="149" t="s">
        <v>85</v>
      </c>
      <c r="D711" t="s">
        <v>86</v>
      </c>
      <c r="E711" s="147">
        <v>6.6041999999999996</v>
      </c>
      <c r="F711" s="147">
        <v>10.793469999999999</v>
      </c>
      <c r="G711" s="147">
        <v>-4.1892699999999996</v>
      </c>
      <c r="H711" s="147">
        <v>-38.813004529590579</v>
      </c>
      <c r="I711" s="729"/>
      <c r="J711" s="147">
        <v>6.6041999999999996</v>
      </c>
      <c r="K711" s="147">
        <v>0</v>
      </c>
      <c r="L711" s="147">
        <v>101.2932</v>
      </c>
      <c r="M711" s="147">
        <v>96.521640000000005</v>
      </c>
      <c r="N711" s="147">
        <v>4.77156</v>
      </c>
      <c r="O711" s="147">
        <v>4.943513185229758</v>
      </c>
      <c r="P711" s="147">
        <v>29.979980000000001</v>
      </c>
      <c r="Q711" s="147">
        <v>71.313220000000001</v>
      </c>
      <c r="R711" s="147">
        <v>237.86947156068817</v>
      </c>
    </row>
    <row r="712" spans="2:18" ht="15.75" hidden="1" thickBot="1" x14ac:dyDescent="0.3">
      <c r="B712" s="725" t="s">
        <v>707</v>
      </c>
      <c r="C712" s="144" t="s">
        <v>87</v>
      </c>
      <c r="D712" t="s">
        <v>87</v>
      </c>
      <c r="E712" s="148">
        <v>96.958579999999998</v>
      </c>
      <c r="F712" s="148">
        <v>110.18165</v>
      </c>
      <c r="G712" s="148">
        <v>-13.22307</v>
      </c>
      <c r="H712" s="148">
        <v>-12.001154457207711</v>
      </c>
      <c r="I712" s="728"/>
      <c r="J712" s="148">
        <v>96.958579999999998</v>
      </c>
      <c r="K712" s="148">
        <v>0</v>
      </c>
      <c r="L712" s="148">
        <v>1051.84627</v>
      </c>
      <c r="M712" s="148">
        <v>1282.9229399999999</v>
      </c>
      <c r="N712" s="148">
        <v>-231.07667000000001</v>
      </c>
      <c r="O712" s="148">
        <v>-18.011734204394227</v>
      </c>
      <c r="P712" s="148">
        <v>471.53559999999999</v>
      </c>
      <c r="Q712" s="148">
        <v>580.31066999999996</v>
      </c>
      <c r="R712" s="148">
        <v>123.0682625023434</v>
      </c>
    </row>
    <row r="713" spans="2:18" ht="15.75" hidden="1" thickBot="1" x14ac:dyDescent="0.3">
      <c r="B713" s="725" t="s">
        <v>708</v>
      </c>
      <c r="C713" s="722" t="s">
        <v>59</v>
      </c>
      <c r="D713" t="s">
        <v>60</v>
      </c>
      <c r="E713" s="147">
        <v>43.764290000000003</v>
      </c>
      <c r="F713" s="147">
        <v>46.6036</v>
      </c>
      <c r="G713" s="147">
        <v>-2.8393099999999998</v>
      </c>
      <c r="H713" s="147">
        <v>-6.0924692513024743</v>
      </c>
      <c r="I713" s="729"/>
      <c r="J713" s="147">
        <v>43.764290000000003</v>
      </c>
      <c r="K713" s="147">
        <v>0</v>
      </c>
      <c r="L713" s="147">
        <v>565.55106999999998</v>
      </c>
      <c r="M713" s="147">
        <v>556.30931999999996</v>
      </c>
      <c r="N713" s="147">
        <v>9.2417499999999997</v>
      </c>
      <c r="O713" s="147">
        <v>1.6612610408899855</v>
      </c>
      <c r="P713" s="147">
        <v>288.47462000000002</v>
      </c>
      <c r="Q713" s="147">
        <v>277.07645000000002</v>
      </c>
      <c r="R713" s="147">
        <v>96.048813583669855</v>
      </c>
    </row>
    <row r="714" spans="2:18" ht="15.75" hidden="1" thickBot="1" x14ac:dyDescent="0.3">
      <c r="B714" s="725" t="s">
        <v>708</v>
      </c>
      <c r="C714" s="722" t="s">
        <v>134</v>
      </c>
      <c r="D714" t="s">
        <v>135</v>
      </c>
      <c r="E714" s="728"/>
      <c r="F714" s="728"/>
      <c r="G714" s="728"/>
      <c r="H714" s="728"/>
      <c r="I714" s="728"/>
      <c r="J714" s="728"/>
      <c r="K714" s="728"/>
      <c r="L714" s="148">
        <v>6.1517600000000003</v>
      </c>
      <c r="M714" s="728"/>
      <c r="N714" s="148">
        <v>6.1517600000000003</v>
      </c>
      <c r="O714" s="148">
        <v>0</v>
      </c>
      <c r="P714" s="148">
        <v>7.1360000000000007E-2</v>
      </c>
      <c r="Q714" s="148">
        <v>6.0804</v>
      </c>
      <c r="R714" s="148">
        <v>8520.7399103139014</v>
      </c>
    </row>
    <row r="715" spans="2:18" ht="15.75" hidden="1" thickBot="1" x14ac:dyDescent="0.3">
      <c r="B715" s="725" t="s">
        <v>708</v>
      </c>
      <c r="C715" s="722" t="s">
        <v>61</v>
      </c>
      <c r="D715" t="s">
        <v>62</v>
      </c>
      <c r="E715" s="147">
        <v>7.36557</v>
      </c>
      <c r="F715" s="147">
        <v>7.22356</v>
      </c>
      <c r="G715" s="147">
        <v>0.14201</v>
      </c>
      <c r="H715" s="147">
        <v>1.9659281573074772</v>
      </c>
      <c r="I715" s="729"/>
      <c r="J715" s="147">
        <v>7.36557</v>
      </c>
      <c r="K715" s="147">
        <v>0</v>
      </c>
      <c r="L715" s="147">
        <v>87.598960000000005</v>
      </c>
      <c r="M715" s="147">
        <v>86.227959999999996</v>
      </c>
      <c r="N715" s="147">
        <v>1.371</v>
      </c>
      <c r="O715" s="147">
        <v>1.5899715127204679</v>
      </c>
      <c r="P715" s="147">
        <v>43.405610000000003</v>
      </c>
      <c r="Q715" s="147">
        <v>44.193350000000002</v>
      </c>
      <c r="R715" s="147">
        <v>101.81483453406138</v>
      </c>
    </row>
    <row r="716" spans="2:18" ht="15.75" hidden="1" thickBot="1" x14ac:dyDescent="0.3">
      <c r="B716" s="725" t="s">
        <v>708</v>
      </c>
      <c r="C716" s="722" t="s">
        <v>63</v>
      </c>
      <c r="D716" t="s">
        <v>64</v>
      </c>
      <c r="E716" s="148">
        <v>28.614730000000002</v>
      </c>
      <c r="F716" s="148">
        <v>28.101970000000001</v>
      </c>
      <c r="G716" s="148">
        <v>0.51275999999999999</v>
      </c>
      <c r="H716" s="148">
        <v>1.8246407636190629</v>
      </c>
      <c r="I716" s="728"/>
      <c r="J716" s="148">
        <v>28.614730000000002</v>
      </c>
      <c r="K716" s="148">
        <v>0</v>
      </c>
      <c r="L716" s="148">
        <v>340.31643000000003</v>
      </c>
      <c r="M716" s="148">
        <v>335.45452</v>
      </c>
      <c r="N716" s="148">
        <v>4.86191</v>
      </c>
      <c r="O716" s="148">
        <v>1.4493499744764209</v>
      </c>
      <c r="P716" s="148">
        <v>168.62814</v>
      </c>
      <c r="Q716" s="148">
        <v>171.68828999999999</v>
      </c>
      <c r="R716" s="148">
        <v>101.81473270119685</v>
      </c>
    </row>
    <row r="717" spans="2:18" ht="15.75" hidden="1" thickBot="1" x14ac:dyDescent="0.3">
      <c r="B717" s="725" t="s">
        <v>708</v>
      </c>
      <c r="C717" s="722" t="s">
        <v>65</v>
      </c>
      <c r="D717" t="s">
        <v>66</v>
      </c>
      <c r="E717" s="729"/>
      <c r="F717" s="147">
        <v>-0.65598999999999996</v>
      </c>
      <c r="G717" s="147">
        <v>0.65598999999999996</v>
      </c>
      <c r="H717" s="147">
        <v>100</v>
      </c>
      <c r="I717" s="729"/>
      <c r="J717" s="729"/>
      <c r="K717" s="729"/>
      <c r="L717" s="147">
        <v>-15.77473</v>
      </c>
      <c r="M717" s="147">
        <v>-7.8305800000000003</v>
      </c>
      <c r="N717" s="147">
        <v>-7.9441499999999996</v>
      </c>
      <c r="O717" s="147">
        <v>-101.4503395661624</v>
      </c>
      <c r="P717" s="147">
        <v>-14.12799</v>
      </c>
      <c r="Q717" s="147">
        <v>-1.6467400000000001</v>
      </c>
      <c r="R717" s="147">
        <v>-11.655868952342123</v>
      </c>
    </row>
    <row r="718" spans="2:18" ht="15.75" hidden="1" thickBot="1" x14ac:dyDescent="0.3">
      <c r="B718" s="725" t="s">
        <v>708</v>
      </c>
      <c r="C718" s="149" t="s">
        <v>67</v>
      </c>
      <c r="D718" t="s">
        <v>68</v>
      </c>
      <c r="E718" s="148">
        <v>79.744590000000002</v>
      </c>
      <c r="F718" s="148">
        <v>81.273139999999998</v>
      </c>
      <c r="G718" s="148">
        <v>-1.5285500000000001</v>
      </c>
      <c r="H718" s="148">
        <v>-1.8807566681932062</v>
      </c>
      <c r="I718" s="728"/>
      <c r="J718" s="148">
        <v>79.744590000000002</v>
      </c>
      <c r="K718" s="148">
        <v>0</v>
      </c>
      <c r="L718" s="148">
        <v>983.84348999999997</v>
      </c>
      <c r="M718" s="148">
        <v>970.16121999999996</v>
      </c>
      <c r="N718" s="148">
        <v>13.682270000000001</v>
      </c>
      <c r="O718" s="148">
        <v>1.410308896906846</v>
      </c>
      <c r="P718" s="148">
        <v>486.45173999999997</v>
      </c>
      <c r="Q718" s="148">
        <v>497.39175</v>
      </c>
      <c r="R718" s="148">
        <v>102.24894046015747</v>
      </c>
    </row>
    <row r="719" spans="2:18" ht="15.75" hidden="1" thickBot="1" x14ac:dyDescent="0.3">
      <c r="B719" s="725" t="s">
        <v>708</v>
      </c>
      <c r="C719" s="722" t="s">
        <v>69</v>
      </c>
      <c r="D719" t="s">
        <v>70</v>
      </c>
      <c r="E719" s="729"/>
      <c r="F719" s="147">
        <v>0</v>
      </c>
      <c r="G719" s="147">
        <v>0</v>
      </c>
      <c r="H719" s="147">
        <v>0</v>
      </c>
      <c r="I719" s="729"/>
      <c r="J719" s="729"/>
      <c r="K719" s="729"/>
      <c r="L719" s="147">
        <v>3.42625</v>
      </c>
      <c r="M719" s="147">
        <v>7.6</v>
      </c>
      <c r="N719" s="147">
        <v>-4.1737500000000001</v>
      </c>
      <c r="O719" s="147">
        <v>-54.91776315789474</v>
      </c>
      <c r="P719" s="147">
        <v>2.145</v>
      </c>
      <c r="Q719" s="147">
        <v>1.28125</v>
      </c>
      <c r="R719" s="147">
        <v>59.731934731934729</v>
      </c>
    </row>
    <row r="720" spans="2:18" ht="15.75" hidden="1" thickBot="1" x14ac:dyDescent="0.3">
      <c r="B720" s="725" t="s">
        <v>708</v>
      </c>
      <c r="C720" s="722" t="s">
        <v>137</v>
      </c>
      <c r="D720" t="s">
        <v>138</v>
      </c>
      <c r="E720" s="728"/>
      <c r="F720" s="148">
        <v>0.05</v>
      </c>
      <c r="G720" s="148">
        <v>-0.05</v>
      </c>
      <c r="H720" s="148">
        <v>-100</v>
      </c>
      <c r="I720" s="728"/>
      <c r="J720" s="728"/>
      <c r="K720" s="728"/>
      <c r="L720" s="148">
        <v>0.12862000000000001</v>
      </c>
      <c r="M720" s="148">
        <v>0.6</v>
      </c>
      <c r="N720" s="148">
        <v>-0.47138000000000002</v>
      </c>
      <c r="O720" s="148">
        <v>-78.563333333333333</v>
      </c>
      <c r="P720" s="148">
        <v>0.12862000000000001</v>
      </c>
      <c r="Q720" s="148">
        <v>0</v>
      </c>
      <c r="R720" s="148">
        <v>0</v>
      </c>
    </row>
    <row r="721" spans="2:18" ht="15.75" hidden="1" thickBot="1" x14ac:dyDescent="0.3">
      <c r="B721" s="725" t="s">
        <v>708</v>
      </c>
      <c r="C721" s="722" t="s">
        <v>139</v>
      </c>
      <c r="D721" t="s">
        <v>140</v>
      </c>
      <c r="E721" s="729"/>
      <c r="F721" s="147">
        <v>7.4999999999999997E-2</v>
      </c>
      <c r="G721" s="147">
        <v>-7.4999999999999997E-2</v>
      </c>
      <c r="H721" s="147">
        <v>-100</v>
      </c>
      <c r="I721" s="729"/>
      <c r="J721" s="729"/>
      <c r="K721" s="729"/>
      <c r="L721" s="147">
        <v>0.56299999999999994</v>
      </c>
      <c r="M721" s="147">
        <v>0.9</v>
      </c>
      <c r="N721" s="147">
        <v>-0.33700000000000002</v>
      </c>
      <c r="O721" s="147">
        <v>-37.444444444444443</v>
      </c>
      <c r="P721" s="147">
        <v>0.56299999999999994</v>
      </c>
      <c r="Q721" s="147">
        <v>0</v>
      </c>
      <c r="R721" s="147">
        <v>0</v>
      </c>
    </row>
    <row r="722" spans="2:18" ht="15.75" hidden="1" thickBot="1" x14ac:dyDescent="0.3">
      <c r="B722" s="725" t="s">
        <v>708</v>
      </c>
      <c r="C722" s="722" t="s">
        <v>101</v>
      </c>
      <c r="D722" t="s">
        <v>102</v>
      </c>
      <c r="E722" s="728"/>
      <c r="F722" s="728"/>
      <c r="G722" s="728"/>
      <c r="H722" s="728"/>
      <c r="I722" s="728"/>
      <c r="J722" s="728"/>
      <c r="K722" s="728"/>
      <c r="L722" s="148">
        <v>2.4230000000000002E-2</v>
      </c>
      <c r="M722" s="728"/>
      <c r="N722" s="148">
        <v>2.4230000000000002E-2</v>
      </c>
      <c r="O722" s="148">
        <v>0</v>
      </c>
      <c r="P722" s="148">
        <v>2.4230000000000002E-2</v>
      </c>
      <c r="Q722" s="148">
        <v>0</v>
      </c>
      <c r="R722" s="148">
        <v>0</v>
      </c>
    </row>
    <row r="723" spans="2:18" ht="15.75" hidden="1" thickBot="1" x14ac:dyDescent="0.3">
      <c r="B723" s="725" t="s">
        <v>708</v>
      </c>
      <c r="C723" s="722" t="s">
        <v>109</v>
      </c>
      <c r="D723" t="s">
        <v>110</v>
      </c>
      <c r="E723" s="147">
        <v>0.16169</v>
      </c>
      <c r="F723" s="729"/>
      <c r="G723" s="147">
        <v>0.16169</v>
      </c>
      <c r="H723" s="147">
        <v>0</v>
      </c>
      <c r="I723" s="729"/>
      <c r="J723" s="147">
        <v>0.16169</v>
      </c>
      <c r="K723" s="147">
        <v>0</v>
      </c>
      <c r="L723" s="147">
        <v>0.16169</v>
      </c>
      <c r="M723" s="729"/>
      <c r="N723" s="147">
        <v>0.16169</v>
      </c>
      <c r="O723" s="147">
        <v>0</v>
      </c>
      <c r="P723" s="729"/>
      <c r="Q723" s="147">
        <v>0.16169</v>
      </c>
      <c r="R723" s="147">
        <v>0</v>
      </c>
    </row>
    <row r="724" spans="2:18" ht="15.75" hidden="1" thickBot="1" x14ac:dyDescent="0.3">
      <c r="B724" s="725" t="s">
        <v>708</v>
      </c>
      <c r="C724" s="722" t="s">
        <v>73</v>
      </c>
      <c r="D724" t="s">
        <v>74</v>
      </c>
      <c r="E724" s="148">
        <v>0.20418</v>
      </c>
      <c r="F724" s="148">
        <v>0.09</v>
      </c>
      <c r="G724" s="148">
        <v>0.11418</v>
      </c>
      <c r="H724" s="148">
        <v>126.86666666666666</v>
      </c>
      <c r="I724" s="728"/>
      <c r="J724" s="148">
        <v>0.20418</v>
      </c>
      <c r="K724" s="148">
        <v>0</v>
      </c>
      <c r="L724" s="148">
        <v>1.1479900000000001</v>
      </c>
      <c r="M724" s="148">
        <v>1.08</v>
      </c>
      <c r="N724" s="148">
        <v>6.7989999999999995E-2</v>
      </c>
      <c r="O724" s="148">
        <v>6.2953703703703701</v>
      </c>
      <c r="P724" s="148">
        <v>0.51912000000000003</v>
      </c>
      <c r="Q724" s="148">
        <v>0.62887000000000004</v>
      </c>
      <c r="R724" s="148">
        <v>121.14154723378024</v>
      </c>
    </row>
    <row r="725" spans="2:18" ht="15.75" hidden="1" thickBot="1" x14ac:dyDescent="0.3">
      <c r="B725" s="725" t="s">
        <v>708</v>
      </c>
      <c r="C725" s="722" t="s">
        <v>141</v>
      </c>
      <c r="D725" t="s">
        <v>142</v>
      </c>
      <c r="E725" s="729"/>
      <c r="F725" s="729"/>
      <c r="G725" s="729"/>
      <c r="H725" s="729"/>
      <c r="I725" s="729"/>
      <c r="J725" s="729"/>
      <c r="K725" s="729"/>
      <c r="L725" s="147">
        <v>2.495E-2</v>
      </c>
      <c r="M725" s="729"/>
      <c r="N725" s="147">
        <v>2.495E-2</v>
      </c>
      <c r="O725" s="147">
        <v>0</v>
      </c>
      <c r="P725" s="729"/>
      <c r="Q725" s="147">
        <v>2.495E-2</v>
      </c>
      <c r="R725" s="147">
        <v>0</v>
      </c>
    </row>
    <row r="726" spans="2:18" ht="15.75" hidden="1" thickBot="1" x14ac:dyDescent="0.3">
      <c r="B726" s="725" t="s">
        <v>708</v>
      </c>
      <c r="C726" s="722" t="s">
        <v>113</v>
      </c>
      <c r="D726" t="s">
        <v>114</v>
      </c>
      <c r="E726" s="148">
        <v>1.9349999999999999E-2</v>
      </c>
      <c r="F726" s="728"/>
      <c r="G726" s="148">
        <v>1.9349999999999999E-2</v>
      </c>
      <c r="H726" s="148">
        <v>0</v>
      </c>
      <c r="I726" s="728"/>
      <c r="J726" s="148">
        <v>1.9349999999999999E-2</v>
      </c>
      <c r="K726" s="148">
        <v>0</v>
      </c>
      <c r="L726" s="148">
        <v>0.26151000000000002</v>
      </c>
      <c r="M726" s="728"/>
      <c r="N726" s="148">
        <v>0.26151000000000002</v>
      </c>
      <c r="O726" s="148">
        <v>0</v>
      </c>
      <c r="P726" s="148">
        <v>6.2810000000000005E-2</v>
      </c>
      <c r="Q726" s="148">
        <v>0.19869999999999999</v>
      </c>
      <c r="R726" s="148">
        <v>316.35089953829009</v>
      </c>
    </row>
    <row r="727" spans="2:18" ht="15.75" hidden="1" thickBot="1" x14ac:dyDescent="0.3">
      <c r="B727" s="725" t="s">
        <v>708</v>
      </c>
      <c r="C727" s="722" t="s">
        <v>145</v>
      </c>
      <c r="D727" t="s">
        <v>146</v>
      </c>
      <c r="E727" s="729"/>
      <c r="F727" s="729"/>
      <c r="G727" s="729"/>
      <c r="H727" s="729"/>
      <c r="I727" s="729"/>
      <c r="J727" s="729"/>
      <c r="K727" s="729"/>
      <c r="L727" s="147">
        <v>6.2E-2</v>
      </c>
      <c r="M727" s="729"/>
      <c r="N727" s="147">
        <v>6.2E-2</v>
      </c>
      <c r="O727" s="147">
        <v>0</v>
      </c>
      <c r="P727" s="147">
        <v>3.3000000000000002E-2</v>
      </c>
      <c r="Q727" s="147">
        <v>2.9000000000000001E-2</v>
      </c>
      <c r="R727" s="147">
        <v>87.878787878787875</v>
      </c>
    </row>
    <row r="728" spans="2:18" ht="15.75" hidden="1" thickBot="1" x14ac:dyDescent="0.3">
      <c r="B728" s="725" t="s">
        <v>708</v>
      </c>
      <c r="C728" s="722" t="s">
        <v>149</v>
      </c>
      <c r="D728" t="s">
        <v>150</v>
      </c>
      <c r="E728" s="148">
        <v>9.23</v>
      </c>
      <c r="F728" s="728"/>
      <c r="G728" s="148">
        <v>9.23</v>
      </c>
      <c r="H728" s="148">
        <v>0</v>
      </c>
      <c r="I728" s="728"/>
      <c r="J728" s="148">
        <v>9.23</v>
      </c>
      <c r="K728" s="148">
        <v>0</v>
      </c>
      <c r="L728" s="148">
        <v>26.701809999999998</v>
      </c>
      <c r="M728" s="148">
        <v>15</v>
      </c>
      <c r="N728" s="148">
        <v>11.70181</v>
      </c>
      <c r="O728" s="148">
        <v>78.012066666666669</v>
      </c>
      <c r="P728" s="148">
        <v>8.2418099999999992</v>
      </c>
      <c r="Q728" s="148">
        <v>18.46</v>
      </c>
      <c r="R728" s="148">
        <v>223.97992673939342</v>
      </c>
    </row>
    <row r="729" spans="2:18" ht="15.75" hidden="1" thickBot="1" x14ac:dyDescent="0.3">
      <c r="B729" s="725" t="s">
        <v>708</v>
      </c>
      <c r="C729" s="722" t="s">
        <v>75</v>
      </c>
      <c r="D729" t="s">
        <v>76</v>
      </c>
      <c r="E729" s="147">
        <v>1.3291500000000001</v>
      </c>
      <c r="F729" s="147">
        <v>0.3</v>
      </c>
      <c r="G729" s="147">
        <v>1.02915</v>
      </c>
      <c r="H729" s="147">
        <v>343.05</v>
      </c>
      <c r="I729" s="729"/>
      <c r="J729" s="147">
        <v>1.3291500000000001</v>
      </c>
      <c r="K729" s="147">
        <v>0</v>
      </c>
      <c r="L729" s="147">
        <v>3.2698</v>
      </c>
      <c r="M729" s="147">
        <v>3.6</v>
      </c>
      <c r="N729" s="147">
        <v>-0.33019999999999999</v>
      </c>
      <c r="O729" s="147">
        <v>-9.1722222222222225</v>
      </c>
      <c r="P729" s="147">
        <v>1.21818</v>
      </c>
      <c r="Q729" s="147">
        <v>2.0516200000000002</v>
      </c>
      <c r="R729" s="147">
        <v>168.41681853256497</v>
      </c>
    </row>
    <row r="730" spans="2:18" ht="15.75" hidden="1" thickBot="1" x14ac:dyDescent="0.3">
      <c r="B730" s="725" t="s">
        <v>708</v>
      </c>
      <c r="C730" s="722" t="s">
        <v>77</v>
      </c>
      <c r="D730" t="s">
        <v>78</v>
      </c>
      <c r="E730" s="728"/>
      <c r="F730" s="148">
        <v>1.25</v>
      </c>
      <c r="G730" s="148">
        <v>-1.25</v>
      </c>
      <c r="H730" s="148">
        <v>-100</v>
      </c>
      <c r="I730" s="728"/>
      <c r="J730" s="728"/>
      <c r="K730" s="728"/>
      <c r="L730" s="148">
        <v>3.8170500000000001</v>
      </c>
      <c r="M730" s="148">
        <v>15.25</v>
      </c>
      <c r="N730" s="148">
        <v>-11.43295</v>
      </c>
      <c r="O730" s="148">
        <v>-74.970163934426225</v>
      </c>
      <c r="P730" s="148">
        <v>3.20234</v>
      </c>
      <c r="Q730" s="148">
        <v>0.61470999999999998</v>
      </c>
      <c r="R730" s="148">
        <v>19.195650680439929</v>
      </c>
    </row>
    <row r="731" spans="2:18" ht="15.75" hidden="1" thickBot="1" x14ac:dyDescent="0.3">
      <c r="B731" s="725" t="s">
        <v>708</v>
      </c>
      <c r="C731" s="722" t="s">
        <v>81</v>
      </c>
      <c r="D731" t="s">
        <v>82</v>
      </c>
      <c r="E731" s="147">
        <v>0.3</v>
      </c>
      <c r="F731" s="147">
        <v>7.4999999999999997E-2</v>
      </c>
      <c r="G731" s="147">
        <v>0.22500000000000001</v>
      </c>
      <c r="H731" s="147">
        <v>300</v>
      </c>
      <c r="I731" s="729"/>
      <c r="J731" s="147">
        <v>0.3</v>
      </c>
      <c r="K731" s="147">
        <v>0</v>
      </c>
      <c r="L731" s="147">
        <v>0.32900000000000001</v>
      </c>
      <c r="M731" s="147">
        <v>0.9</v>
      </c>
      <c r="N731" s="147">
        <v>-0.57099999999999995</v>
      </c>
      <c r="O731" s="147">
        <v>-63.444444444444443</v>
      </c>
      <c r="P731" s="729"/>
      <c r="Q731" s="147">
        <v>0.32900000000000001</v>
      </c>
      <c r="R731" s="147">
        <v>0</v>
      </c>
    </row>
    <row r="732" spans="2:18" ht="15.75" hidden="1" thickBot="1" x14ac:dyDescent="0.3">
      <c r="B732" s="725" t="s">
        <v>708</v>
      </c>
      <c r="C732" s="722" t="s">
        <v>123</v>
      </c>
      <c r="D732" t="s">
        <v>124</v>
      </c>
      <c r="E732" s="728"/>
      <c r="F732" s="728"/>
      <c r="G732" s="728"/>
      <c r="H732" s="728"/>
      <c r="I732" s="728"/>
      <c r="J732" s="728"/>
      <c r="K732" s="728"/>
      <c r="L732" s="148">
        <v>0.152</v>
      </c>
      <c r="M732" s="728"/>
      <c r="N732" s="148">
        <v>0.152</v>
      </c>
      <c r="O732" s="148">
        <v>0</v>
      </c>
      <c r="P732" s="148">
        <v>9.1999999999999998E-2</v>
      </c>
      <c r="Q732" s="148">
        <v>0.06</v>
      </c>
      <c r="R732" s="148">
        <v>65.217391304347828</v>
      </c>
    </row>
    <row r="733" spans="2:18" ht="15.75" hidden="1" thickBot="1" x14ac:dyDescent="0.3">
      <c r="B733" s="725" t="s">
        <v>708</v>
      </c>
      <c r="C733" s="722" t="s">
        <v>83</v>
      </c>
      <c r="D733" t="s">
        <v>84</v>
      </c>
      <c r="E733" s="729"/>
      <c r="F733" s="147">
        <v>0.2</v>
      </c>
      <c r="G733" s="147">
        <v>-0.2</v>
      </c>
      <c r="H733" s="147">
        <v>-100</v>
      </c>
      <c r="I733" s="729"/>
      <c r="J733" s="729"/>
      <c r="K733" s="729"/>
      <c r="L733" s="729"/>
      <c r="M733" s="147">
        <v>2.4</v>
      </c>
      <c r="N733" s="147">
        <v>-2.4</v>
      </c>
      <c r="O733" s="147">
        <v>-100</v>
      </c>
      <c r="P733" s="729"/>
      <c r="Q733" s="729"/>
      <c r="R733" s="729"/>
    </row>
    <row r="734" spans="2:18" ht="15.75" hidden="1" thickBot="1" x14ac:dyDescent="0.3">
      <c r="B734" s="725" t="s">
        <v>708</v>
      </c>
      <c r="C734" s="149" t="s">
        <v>85</v>
      </c>
      <c r="D734" t="s">
        <v>86</v>
      </c>
      <c r="E734" s="148">
        <v>11.24437</v>
      </c>
      <c r="F734" s="148">
        <v>2.04</v>
      </c>
      <c r="G734" s="148">
        <v>9.2043700000000008</v>
      </c>
      <c r="H734" s="148">
        <v>451.19460784313725</v>
      </c>
      <c r="I734" s="728"/>
      <c r="J734" s="148">
        <v>11.24437</v>
      </c>
      <c r="K734" s="148">
        <v>0</v>
      </c>
      <c r="L734" s="148">
        <v>40.069899999999997</v>
      </c>
      <c r="M734" s="148">
        <v>47.33</v>
      </c>
      <c r="N734" s="148">
        <v>-7.2601000000000004</v>
      </c>
      <c r="O734" s="148">
        <v>-15.339319670399323</v>
      </c>
      <c r="P734" s="148">
        <v>16.23011</v>
      </c>
      <c r="Q734" s="148">
        <v>23.839790000000001</v>
      </c>
      <c r="R734" s="148">
        <v>146.88618869496264</v>
      </c>
    </row>
    <row r="735" spans="2:18" ht="15.75" hidden="1" thickBot="1" x14ac:dyDescent="0.3">
      <c r="B735" s="725" t="s">
        <v>708</v>
      </c>
      <c r="C735" s="144" t="s">
        <v>87</v>
      </c>
      <c r="D735" t="s">
        <v>87</v>
      </c>
      <c r="E735" s="147">
        <v>90.988960000000006</v>
      </c>
      <c r="F735" s="147">
        <v>83.313140000000004</v>
      </c>
      <c r="G735" s="147">
        <v>7.6758199999999999</v>
      </c>
      <c r="H735" s="147">
        <v>9.2132165466335803</v>
      </c>
      <c r="I735" s="729"/>
      <c r="J735" s="147">
        <v>90.988960000000006</v>
      </c>
      <c r="K735" s="147">
        <v>0</v>
      </c>
      <c r="L735" s="147">
        <v>1023.91339</v>
      </c>
      <c r="M735" s="147">
        <v>1017.49122</v>
      </c>
      <c r="N735" s="147">
        <v>6.4221700000000004</v>
      </c>
      <c r="O735" s="147">
        <v>0.6311769451927064</v>
      </c>
      <c r="P735" s="147">
        <v>502.68185</v>
      </c>
      <c r="Q735" s="147">
        <v>521.23154</v>
      </c>
      <c r="R735" s="147">
        <v>103.69014516836046</v>
      </c>
    </row>
    <row r="736" spans="2:18" ht="15.75" hidden="1" thickBot="1" x14ac:dyDescent="0.3">
      <c r="B736" s="725" t="s">
        <v>709</v>
      </c>
      <c r="C736" s="722" t="s">
        <v>59</v>
      </c>
      <c r="D736" t="s">
        <v>60</v>
      </c>
      <c r="E736" s="148">
        <v>43.442050000000002</v>
      </c>
      <c r="F736" s="148">
        <v>46.485660000000003</v>
      </c>
      <c r="G736" s="148">
        <v>-3.0436100000000001</v>
      </c>
      <c r="H736" s="148">
        <v>-6.5474169883787816</v>
      </c>
      <c r="I736" s="728"/>
      <c r="J736" s="148">
        <v>43.442050000000002</v>
      </c>
      <c r="K736" s="148">
        <v>0</v>
      </c>
      <c r="L736" s="148">
        <v>562.72942999999998</v>
      </c>
      <c r="M736" s="148">
        <v>554.90147999999999</v>
      </c>
      <c r="N736" s="148">
        <v>7.8279500000000004</v>
      </c>
      <c r="O736" s="148">
        <v>1.410691858309695</v>
      </c>
      <c r="P736" s="148">
        <v>284.291</v>
      </c>
      <c r="Q736" s="148">
        <v>278.43842999999998</v>
      </c>
      <c r="R736" s="148">
        <v>97.941345311670091</v>
      </c>
    </row>
    <row r="737" spans="2:18" ht="15.75" hidden="1" thickBot="1" x14ac:dyDescent="0.3">
      <c r="B737" s="725" t="s">
        <v>709</v>
      </c>
      <c r="C737" s="722" t="s">
        <v>61</v>
      </c>
      <c r="D737" t="s">
        <v>62</v>
      </c>
      <c r="E737" s="147">
        <v>7.2343099999999998</v>
      </c>
      <c r="F737" s="147">
        <v>7.2052800000000001</v>
      </c>
      <c r="G737" s="147">
        <v>2.903E-2</v>
      </c>
      <c r="H737" s="147">
        <v>0.40289898518863942</v>
      </c>
      <c r="I737" s="729"/>
      <c r="J737" s="147">
        <v>7.2343099999999998</v>
      </c>
      <c r="K737" s="147">
        <v>0</v>
      </c>
      <c r="L737" s="147">
        <v>86.352350000000001</v>
      </c>
      <c r="M737" s="147">
        <v>86.00976</v>
      </c>
      <c r="N737" s="147">
        <v>0.34259000000000001</v>
      </c>
      <c r="O737" s="147">
        <v>0.39831526096573228</v>
      </c>
      <c r="P737" s="147">
        <v>42.946330000000003</v>
      </c>
      <c r="Q737" s="147">
        <v>43.406019999999998</v>
      </c>
      <c r="R737" s="147">
        <v>101.07038249834153</v>
      </c>
    </row>
    <row r="738" spans="2:18" ht="15.75" hidden="1" thickBot="1" x14ac:dyDescent="0.3">
      <c r="B738" s="725" t="s">
        <v>709</v>
      </c>
      <c r="C738" s="722" t="s">
        <v>63</v>
      </c>
      <c r="D738" t="s">
        <v>64</v>
      </c>
      <c r="E738" s="148">
        <v>28.104800000000001</v>
      </c>
      <c r="F738" s="148">
        <v>28.030850000000001</v>
      </c>
      <c r="G738" s="148">
        <v>7.3950000000000002E-2</v>
      </c>
      <c r="H738" s="148">
        <v>0.26381647363529825</v>
      </c>
      <c r="I738" s="728"/>
      <c r="J738" s="148">
        <v>28.104800000000001</v>
      </c>
      <c r="K738" s="148">
        <v>0</v>
      </c>
      <c r="L738" s="148">
        <v>335.47190999999998</v>
      </c>
      <c r="M738" s="148">
        <v>334.60556000000003</v>
      </c>
      <c r="N738" s="148">
        <v>0.86634999999999995</v>
      </c>
      <c r="O738" s="148">
        <v>0.25891679743755602</v>
      </c>
      <c r="P738" s="148">
        <v>166.84322</v>
      </c>
      <c r="Q738" s="148">
        <v>168.62869000000001</v>
      </c>
      <c r="R738" s="148">
        <v>101.07014837042824</v>
      </c>
    </row>
    <row r="739" spans="2:18" ht="15.75" hidden="1" thickBot="1" x14ac:dyDescent="0.3">
      <c r="B739" s="725" t="s">
        <v>709</v>
      </c>
      <c r="C739" s="722" t="s">
        <v>65</v>
      </c>
      <c r="D739" t="s">
        <v>66</v>
      </c>
      <c r="E739" s="147">
        <v>-27.860220000000002</v>
      </c>
      <c r="F739" s="147">
        <v>-32.68873</v>
      </c>
      <c r="G739" s="147">
        <v>4.8285099999999996</v>
      </c>
      <c r="H739" s="147">
        <v>14.771176488043432</v>
      </c>
      <c r="I739" s="729"/>
      <c r="J739" s="147">
        <v>-27.860220000000002</v>
      </c>
      <c r="K739" s="147">
        <v>0</v>
      </c>
      <c r="L739" s="147">
        <v>-384.11363</v>
      </c>
      <c r="M739" s="147">
        <v>-390.20688000000001</v>
      </c>
      <c r="N739" s="147">
        <v>6.0932500000000003</v>
      </c>
      <c r="O739" s="147">
        <v>1.5615434561276829</v>
      </c>
      <c r="P739" s="147">
        <v>-193.59728999999999</v>
      </c>
      <c r="Q739" s="147">
        <v>-190.51634000000001</v>
      </c>
      <c r="R739" s="147">
        <v>-98.408577929990656</v>
      </c>
    </row>
    <row r="740" spans="2:18" ht="15.75" hidden="1" thickBot="1" x14ac:dyDescent="0.3">
      <c r="B740" s="725" t="s">
        <v>709</v>
      </c>
      <c r="C740" s="149" t="s">
        <v>67</v>
      </c>
      <c r="D740" t="s">
        <v>68</v>
      </c>
      <c r="E740" s="148">
        <v>50.920940000000002</v>
      </c>
      <c r="F740" s="148">
        <v>49.033059999999999</v>
      </c>
      <c r="G740" s="148">
        <v>1.88788</v>
      </c>
      <c r="H740" s="148">
        <v>3.8502186076088254</v>
      </c>
      <c r="I740" s="728"/>
      <c r="J740" s="148">
        <v>50.920940000000002</v>
      </c>
      <c r="K740" s="148">
        <v>0</v>
      </c>
      <c r="L740" s="148">
        <v>600.44006000000002</v>
      </c>
      <c r="M740" s="148">
        <v>585.30992000000003</v>
      </c>
      <c r="N740" s="148">
        <v>15.130140000000001</v>
      </c>
      <c r="O740" s="148">
        <v>2.5849792533842582</v>
      </c>
      <c r="P740" s="148">
        <v>300.48325999999997</v>
      </c>
      <c r="Q740" s="148">
        <v>299.95679999999999</v>
      </c>
      <c r="R740" s="148">
        <v>99.82479556431862</v>
      </c>
    </row>
    <row r="741" spans="2:18" ht="15.75" hidden="1" thickBot="1" x14ac:dyDescent="0.3">
      <c r="B741" s="725" t="s">
        <v>709</v>
      </c>
      <c r="C741" s="722" t="s">
        <v>69</v>
      </c>
      <c r="D741" t="s">
        <v>70</v>
      </c>
      <c r="E741" s="147">
        <v>1.3939999999999999</v>
      </c>
      <c r="F741" s="147">
        <v>0</v>
      </c>
      <c r="G741" s="147">
        <v>1.3939999999999999</v>
      </c>
      <c r="H741" s="147">
        <v>0</v>
      </c>
      <c r="I741" s="729"/>
      <c r="J741" s="147">
        <v>1.3939999999999999</v>
      </c>
      <c r="K741" s="147">
        <v>0</v>
      </c>
      <c r="L741" s="147">
        <v>3.1819999999999999</v>
      </c>
      <c r="M741" s="147">
        <v>11</v>
      </c>
      <c r="N741" s="147">
        <v>-7.8179999999999996</v>
      </c>
      <c r="O741" s="147">
        <v>-71.072727272727278</v>
      </c>
      <c r="P741" s="147">
        <v>1.788</v>
      </c>
      <c r="Q741" s="147">
        <v>1.3939999999999999</v>
      </c>
      <c r="R741" s="147">
        <v>77.964205816554809</v>
      </c>
    </row>
    <row r="742" spans="2:18" ht="15.75" hidden="1" thickBot="1" x14ac:dyDescent="0.3">
      <c r="B742" s="725" t="s">
        <v>709</v>
      </c>
      <c r="C742" s="722" t="s">
        <v>99</v>
      </c>
      <c r="D742" t="s">
        <v>100</v>
      </c>
      <c r="E742" s="728"/>
      <c r="F742" s="728"/>
      <c r="G742" s="728"/>
      <c r="H742" s="728"/>
      <c r="I742" s="728"/>
      <c r="J742" s="728"/>
      <c r="K742" s="728"/>
      <c r="L742" s="148">
        <v>4.3799999999999999E-2</v>
      </c>
      <c r="M742" s="728"/>
      <c r="N742" s="148">
        <v>4.3799999999999999E-2</v>
      </c>
      <c r="O742" s="148">
        <v>0</v>
      </c>
      <c r="P742" s="148">
        <v>4.3799999999999999E-2</v>
      </c>
      <c r="Q742" s="148">
        <v>0</v>
      </c>
      <c r="R742" s="148">
        <v>0</v>
      </c>
    </row>
    <row r="743" spans="2:18" ht="15.75" hidden="1" thickBot="1" x14ac:dyDescent="0.3">
      <c r="B743" s="725" t="s">
        <v>709</v>
      </c>
      <c r="C743" s="722" t="s">
        <v>137</v>
      </c>
      <c r="D743" t="s">
        <v>138</v>
      </c>
      <c r="E743" s="729"/>
      <c r="F743" s="729"/>
      <c r="G743" s="729"/>
      <c r="H743" s="729"/>
      <c r="I743" s="729"/>
      <c r="J743" s="729"/>
      <c r="K743" s="729"/>
      <c r="L743" s="147">
        <v>0.33351999999999998</v>
      </c>
      <c r="M743" s="729"/>
      <c r="N743" s="147">
        <v>0.33351999999999998</v>
      </c>
      <c r="O743" s="147">
        <v>0</v>
      </c>
      <c r="P743" s="147">
        <v>0.21368000000000001</v>
      </c>
      <c r="Q743" s="147">
        <v>0.11984</v>
      </c>
      <c r="R743" s="147">
        <v>56.083863721452637</v>
      </c>
    </row>
    <row r="744" spans="2:18" ht="15.75" hidden="1" thickBot="1" x14ac:dyDescent="0.3">
      <c r="B744" s="725" t="s">
        <v>709</v>
      </c>
      <c r="C744" s="722" t="s">
        <v>139</v>
      </c>
      <c r="D744" t="s">
        <v>140</v>
      </c>
      <c r="E744" s="728"/>
      <c r="F744" s="728"/>
      <c r="G744" s="728"/>
      <c r="H744" s="728"/>
      <c r="I744" s="728"/>
      <c r="J744" s="728"/>
      <c r="K744" s="728"/>
      <c r="L744" s="148">
        <v>0.11899999999999999</v>
      </c>
      <c r="M744" s="148">
        <v>1.5</v>
      </c>
      <c r="N744" s="148">
        <v>-1.381</v>
      </c>
      <c r="O744" s="148">
        <v>-92.066666666666663</v>
      </c>
      <c r="P744" s="728"/>
      <c r="Q744" s="148">
        <v>0.11899999999999999</v>
      </c>
      <c r="R744" s="148">
        <v>0</v>
      </c>
    </row>
    <row r="745" spans="2:18" ht="15.75" hidden="1" thickBot="1" x14ac:dyDescent="0.3">
      <c r="B745" s="725" t="s">
        <v>709</v>
      </c>
      <c r="C745" s="722" t="s">
        <v>145</v>
      </c>
      <c r="D745" t="s">
        <v>146</v>
      </c>
      <c r="E745" s="729"/>
      <c r="F745" s="729"/>
      <c r="G745" s="729"/>
      <c r="H745" s="729"/>
      <c r="I745" s="729"/>
      <c r="J745" s="729"/>
      <c r="K745" s="729"/>
      <c r="L745" s="147">
        <v>0.13600000000000001</v>
      </c>
      <c r="M745" s="729"/>
      <c r="N745" s="147">
        <v>0.13600000000000001</v>
      </c>
      <c r="O745" s="147">
        <v>0</v>
      </c>
      <c r="P745" s="147">
        <v>0.13600000000000001</v>
      </c>
      <c r="Q745" s="147">
        <v>0</v>
      </c>
      <c r="R745" s="147">
        <v>0</v>
      </c>
    </row>
    <row r="746" spans="2:18" ht="15.75" hidden="1" thickBot="1" x14ac:dyDescent="0.3">
      <c r="B746" s="725" t="s">
        <v>709</v>
      </c>
      <c r="C746" s="722" t="s">
        <v>149</v>
      </c>
      <c r="D746" t="s">
        <v>150</v>
      </c>
      <c r="E746" s="148">
        <v>0.63900000000000001</v>
      </c>
      <c r="F746" s="148">
        <v>2.5</v>
      </c>
      <c r="G746" s="148">
        <v>-1.861</v>
      </c>
      <c r="H746" s="148">
        <v>-74.44</v>
      </c>
      <c r="I746" s="728"/>
      <c r="J746" s="148">
        <v>0.63900000000000001</v>
      </c>
      <c r="K746" s="148">
        <v>0</v>
      </c>
      <c r="L746" s="148">
        <v>0.63900000000000001</v>
      </c>
      <c r="M746" s="148">
        <v>30</v>
      </c>
      <c r="N746" s="148">
        <v>-29.361000000000001</v>
      </c>
      <c r="O746" s="148">
        <v>-97.87</v>
      </c>
      <c r="P746" s="728"/>
      <c r="Q746" s="148">
        <v>0.63900000000000001</v>
      </c>
      <c r="R746" s="148">
        <v>0</v>
      </c>
    </row>
    <row r="747" spans="2:18" ht="15.75" hidden="1" thickBot="1" x14ac:dyDescent="0.3">
      <c r="B747" s="725" t="s">
        <v>709</v>
      </c>
      <c r="C747" s="722" t="s">
        <v>75</v>
      </c>
      <c r="D747" t="s">
        <v>76</v>
      </c>
      <c r="E747" s="147">
        <v>0.26919999999999999</v>
      </c>
      <c r="F747" s="147">
        <v>0.5</v>
      </c>
      <c r="G747" s="147">
        <v>-0.23080000000000001</v>
      </c>
      <c r="H747" s="147">
        <v>-46.16</v>
      </c>
      <c r="I747" s="729"/>
      <c r="J747" s="147">
        <v>0.26919999999999999</v>
      </c>
      <c r="K747" s="147">
        <v>0</v>
      </c>
      <c r="L747" s="147">
        <v>4.0307300000000001</v>
      </c>
      <c r="M747" s="147">
        <v>3.9</v>
      </c>
      <c r="N747" s="147">
        <v>0.13073000000000001</v>
      </c>
      <c r="O747" s="147">
        <v>3.3520512820512822</v>
      </c>
      <c r="P747" s="147">
        <v>1.2870999999999999</v>
      </c>
      <c r="Q747" s="147">
        <v>2.74363</v>
      </c>
      <c r="R747" s="147">
        <v>213.1637013441069</v>
      </c>
    </row>
    <row r="748" spans="2:18" ht="15.75" hidden="1" thickBot="1" x14ac:dyDescent="0.3">
      <c r="B748" s="725" t="s">
        <v>709</v>
      </c>
      <c r="C748" s="722" t="s">
        <v>77</v>
      </c>
      <c r="D748" t="s">
        <v>78</v>
      </c>
      <c r="E748" s="148">
        <v>2.6117599999999999</v>
      </c>
      <c r="F748" s="148">
        <v>1</v>
      </c>
      <c r="G748" s="148">
        <v>1.6117600000000001</v>
      </c>
      <c r="H748" s="148">
        <v>161.17599999999999</v>
      </c>
      <c r="I748" s="728"/>
      <c r="J748" s="148">
        <v>2.6117599999999999</v>
      </c>
      <c r="K748" s="148">
        <v>0</v>
      </c>
      <c r="L748" s="148">
        <v>14.65776</v>
      </c>
      <c r="M748" s="148">
        <v>17.399999999999999</v>
      </c>
      <c r="N748" s="148">
        <v>-2.7422399999999998</v>
      </c>
      <c r="O748" s="148">
        <v>-15.76</v>
      </c>
      <c r="P748" s="148">
        <v>3.6079599999999998</v>
      </c>
      <c r="Q748" s="148">
        <v>11.049799999999999</v>
      </c>
      <c r="R748" s="148">
        <v>306.26171021851684</v>
      </c>
    </row>
    <row r="749" spans="2:18" ht="15.75" hidden="1" thickBot="1" x14ac:dyDescent="0.3">
      <c r="B749" s="725" t="s">
        <v>709</v>
      </c>
      <c r="C749" s="722" t="s">
        <v>79</v>
      </c>
      <c r="D749" t="s">
        <v>80</v>
      </c>
      <c r="E749" s="729"/>
      <c r="F749" s="729"/>
      <c r="G749" s="729"/>
      <c r="H749" s="729"/>
      <c r="I749" s="729"/>
      <c r="J749" s="729"/>
      <c r="K749" s="729"/>
      <c r="L749" s="147">
        <v>0.26372000000000001</v>
      </c>
      <c r="M749" s="729"/>
      <c r="N749" s="147">
        <v>0.26372000000000001</v>
      </c>
      <c r="O749" s="147">
        <v>0</v>
      </c>
      <c r="P749" s="147">
        <v>0.1716</v>
      </c>
      <c r="Q749" s="147">
        <v>9.2119999999999994E-2</v>
      </c>
      <c r="R749" s="147">
        <v>53.682983682983682</v>
      </c>
    </row>
    <row r="750" spans="2:18" ht="15.75" hidden="1" thickBot="1" x14ac:dyDescent="0.3">
      <c r="B750" s="725" t="s">
        <v>709</v>
      </c>
      <c r="C750" s="722" t="s">
        <v>123</v>
      </c>
      <c r="D750" t="s">
        <v>124</v>
      </c>
      <c r="E750" s="728"/>
      <c r="F750" s="728"/>
      <c r="G750" s="728"/>
      <c r="H750" s="728"/>
      <c r="I750" s="728"/>
      <c r="J750" s="728"/>
      <c r="K750" s="728"/>
      <c r="L750" s="148">
        <v>0.25</v>
      </c>
      <c r="M750" s="728"/>
      <c r="N750" s="148">
        <v>0.25</v>
      </c>
      <c r="O750" s="148">
        <v>0</v>
      </c>
      <c r="P750" s="148">
        <v>0.25</v>
      </c>
      <c r="Q750" s="148">
        <v>0</v>
      </c>
      <c r="R750" s="148">
        <v>0</v>
      </c>
    </row>
    <row r="751" spans="2:18" ht="15.75" hidden="1" thickBot="1" x14ac:dyDescent="0.3">
      <c r="B751" s="725" t="s">
        <v>709</v>
      </c>
      <c r="C751" s="722" t="s">
        <v>83</v>
      </c>
      <c r="D751" t="s">
        <v>84</v>
      </c>
      <c r="E751" s="729"/>
      <c r="F751" s="147">
        <v>0.16300000000000001</v>
      </c>
      <c r="G751" s="147">
        <v>-0.16300000000000001</v>
      </c>
      <c r="H751" s="147">
        <v>-100</v>
      </c>
      <c r="I751" s="729"/>
      <c r="J751" s="729"/>
      <c r="K751" s="729"/>
      <c r="L751" s="729"/>
      <c r="M751" s="147">
        <v>2</v>
      </c>
      <c r="N751" s="147">
        <v>-2</v>
      </c>
      <c r="O751" s="147">
        <v>-100</v>
      </c>
      <c r="P751" s="729"/>
      <c r="Q751" s="729"/>
      <c r="R751" s="729"/>
    </row>
    <row r="752" spans="2:18" ht="15.75" hidden="1" thickBot="1" x14ac:dyDescent="0.3">
      <c r="B752" s="725" t="s">
        <v>709</v>
      </c>
      <c r="C752" s="149" t="s">
        <v>85</v>
      </c>
      <c r="D752" t="s">
        <v>86</v>
      </c>
      <c r="E752" s="148">
        <v>4.9139600000000003</v>
      </c>
      <c r="F752" s="148">
        <v>4.1630000000000003</v>
      </c>
      <c r="G752" s="148">
        <v>0.75095999999999996</v>
      </c>
      <c r="H752" s="148">
        <v>18.038914244535192</v>
      </c>
      <c r="I752" s="728"/>
      <c r="J752" s="148">
        <v>4.9139600000000003</v>
      </c>
      <c r="K752" s="148">
        <v>0</v>
      </c>
      <c r="L752" s="148">
        <v>23.655529999999999</v>
      </c>
      <c r="M752" s="148">
        <v>65.8</v>
      </c>
      <c r="N752" s="148">
        <v>-42.144469999999998</v>
      </c>
      <c r="O752" s="148">
        <v>-64.049346504559267</v>
      </c>
      <c r="P752" s="148">
        <v>7.4981400000000002</v>
      </c>
      <c r="Q752" s="148">
        <v>16.157389999999999</v>
      </c>
      <c r="R752" s="148">
        <v>215.48530702280831</v>
      </c>
    </row>
    <row r="753" spans="2:18" ht="15.75" hidden="1" thickBot="1" x14ac:dyDescent="0.3">
      <c r="B753" s="725" t="s">
        <v>709</v>
      </c>
      <c r="C753" s="144" t="s">
        <v>87</v>
      </c>
      <c r="D753" t="s">
        <v>87</v>
      </c>
      <c r="E753" s="147">
        <v>55.834899999999998</v>
      </c>
      <c r="F753" s="147">
        <v>53.196060000000003</v>
      </c>
      <c r="G753" s="147">
        <v>2.6388400000000001</v>
      </c>
      <c r="H753" s="147">
        <v>4.9605929461693217</v>
      </c>
      <c r="I753" s="729"/>
      <c r="J753" s="147">
        <v>55.834899999999998</v>
      </c>
      <c r="K753" s="147">
        <v>0</v>
      </c>
      <c r="L753" s="147">
        <v>624.09559000000002</v>
      </c>
      <c r="M753" s="147">
        <v>651.10991999999999</v>
      </c>
      <c r="N753" s="147">
        <v>-27.014330000000001</v>
      </c>
      <c r="O753" s="147">
        <v>-4.1489661223407559</v>
      </c>
      <c r="P753" s="147">
        <v>307.98140000000001</v>
      </c>
      <c r="Q753" s="147">
        <v>316.11419000000001</v>
      </c>
      <c r="R753" s="147">
        <v>102.64067570314312</v>
      </c>
    </row>
    <row r="754" spans="2:18" ht="15.75" hidden="1" thickBot="1" x14ac:dyDescent="0.3">
      <c r="B754" s="724" t="s">
        <v>710</v>
      </c>
      <c r="C754" s="722" t="s">
        <v>59</v>
      </c>
      <c r="D754" t="s">
        <v>60</v>
      </c>
      <c r="E754" s="148">
        <v>228.80609999999999</v>
      </c>
      <c r="F754" s="148">
        <v>273.11734999999999</v>
      </c>
      <c r="G754" s="148">
        <v>-44.311250000000001</v>
      </c>
      <c r="H754" s="148">
        <v>-16.224253054593564</v>
      </c>
      <c r="I754" s="728"/>
      <c r="J754" s="148">
        <v>228.80609999999999</v>
      </c>
      <c r="K754" s="148">
        <v>0</v>
      </c>
      <c r="L754" s="148">
        <v>3193.7836200000002</v>
      </c>
      <c r="M754" s="148">
        <v>3260.2143799999999</v>
      </c>
      <c r="N754" s="148">
        <v>-66.430760000000006</v>
      </c>
      <c r="O754" s="148">
        <v>-2.0376193788826855</v>
      </c>
      <c r="P754" s="148">
        <v>1672.17714</v>
      </c>
      <c r="Q754" s="148">
        <v>1521.6064799999999</v>
      </c>
      <c r="R754" s="148">
        <v>90.995531729371692</v>
      </c>
    </row>
    <row r="755" spans="2:18" ht="15.75" hidden="1" thickBot="1" x14ac:dyDescent="0.3">
      <c r="B755" s="724" t="s">
        <v>710</v>
      </c>
      <c r="C755" s="722" t="s">
        <v>89</v>
      </c>
      <c r="D755" t="s">
        <v>90</v>
      </c>
      <c r="E755" s="147">
        <v>0.30843999999999999</v>
      </c>
      <c r="F755" s="729"/>
      <c r="G755" s="147">
        <v>0.30843999999999999</v>
      </c>
      <c r="H755" s="147">
        <v>0</v>
      </c>
      <c r="I755" s="729"/>
      <c r="J755" s="147">
        <v>0.30843999999999999</v>
      </c>
      <c r="K755" s="147">
        <v>0</v>
      </c>
      <c r="L755" s="147">
        <v>0.30843999999999999</v>
      </c>
      <c r="M755" s="729"/>
      <c r="N755" s="147">
        <v>0.30843999999999999</v>
      </c>
      <c r="O755" s="147">
        <v>0</v>
      </c>
      <c r="P755" s="729"/>
      <c r="Q755" s="147">
        <v>0.30843999999999999</v>
      </c>
      <c r="R755" s="147">
        <v>0</v>
      </c>
    </row>
    <row r="756" spans="2:18" ht="15.75" hidden="1" thickBot="1" x14ac:dyDescent="0.3">
      <c r="B756" s="724" t="s">
        <v>710</v>
      </c>
      <c r="C756" s="722" t="s">
        <v>91</v>
      </c>
      <c r="D756" t="s">
        <v>92</v>
      </c>
      <c r="E756" s="148">
        <v>56.069450000000003</v>
      </c>
      <c r="F756" s="148">
        <v>70.360349999999997</v>
      </c>
      <c r="G756" s="148">
        <v>-14.290900000000001</v>
      </c>
      <c r="H756" s="148">
        <v>-20.311013234016034</v>
      </c>
      <c r="I756" s="728"/>
      <c r="J756" s="148">
        <v>56.069450000000003</v>
      </c>
      <c r="K756" s="148">
        <v>0</v>
      </c>
      <c r="L756" s="148">
        <v>762.35073999999997</v>
      </c>
      <c r="M756" s="148">
        <v>814.77317000000005</v>
      </c>
      <c r="N756" s="148">
        <v>-52.422429999999999</v>
      </c>
      <c r="O756" s="148">
        <v>-6.4339907019766001</v>
      </c>
      <c r="P756" s="148">
        <v>396.36340999999999</v>
      </c>
      <c r="Q756" s="148">
        <v>365.98732999999999</v>
      </c>
      <c r="R756" s="148">
        <v>92.336305715000279</v>
      </c>
    </row>
    <row r="757" spans="2:18" ht="15.75" hidden="1" thickBot="1" x14ac:dyDescent="0.3">
      <c r="B757" s="724" t="s">
        <v>710</v>
      </c>
      <c r="C757" s="722" t="s">
        <v>93</v>
      </c>
      <c r="D757" t="s">
        <v>94</v>
      </c>
      <c r="E757" s="147">
        <v>2.0983700000000001</v>
      </c>
      <c r="F757" s="147">
        <v>1.7504900000000001</v>
      </c>
      <c r="G757" s="147">
        <v>0.34788000000000002</v>
      </c>
      <c r="H757" s="147">
        <v>19.873292620923284</v>
      </c>
      <c r="I757" s="729"/>
      <c r="J757" s="147">
        <v>2.0983700000000001</v>
      </c>
      <c r="K757" s="147">
        <v>0</v>
      </c>
      <c r="L757" s="147">
        <v>18.82264</v>
      </c>
      <c r="M757" s="147">
        <v>20.444990000000001</v>
      </c>
      <c r="N757" s="147">
        <v>-1.62235</v>
      </c>
      <c r="O757" s="147">
        <v>-7.9351958597191778</v>
      </c>
      <c r="P757" s="147">
        <v>10.08948</v>
      </c>
      <c r="Q757" s="147">
        <v>8.7331599999999998</v>
      </c>
      <c r="R757" s="147">
        <v>86.55708718387865</v>
      </c>
    </row>
    <row r="758" spans="2:18" ht="15.75" hidden="1" thickBot="1" x14ac:dyDescent="0.3">
      <c r="B758" s="724" t="s">
        <v>710</v>
      </c>
      <c r="C758" s="722" t="s">
        <v>134</v>
      </c>
      <c r="D758" t="s">
        <v>135</v>
      </c>
      <c r="E758" s="148">
        <v>1</v>
      </c>
      <c r="F758" s="728"/>
      <c r="G758" s="148">
        <v>1</v>
      </c>
      <c r="H758" s="148">
        <v>0</v>
      </c>
      <c r="I758" s="728"/>
      <c r="J758" s="148">
        <v>1</v>
      </c>
      <c r="K758" s="148">
        <v>0</v>
      </c>
      <c r="L758" s="148">
        <v>18.621670000000002</v>
      </c>
      <c r="M758" s="728"/>
      <c r="N758" s="148">
        <v>18.621670000000002</v>
      </c>
      <c r="O758" s="148">
        <v>0</v>
      </c>
      <c r="P758" s="148">
        <v>13.03196</v>
      </c>
      <c r="Q758" s="148">
        <v>5.5897100000000002</v>
      </c>
      <c r="R758" s="148">
        <v>42.892320111479776</v>
      </c>
    </row>
    <row r="759" spans="2:18" ht="15.75" hidden="1" thickBot="1" x14ac:dyDescent="0.3">
      <c r="B759" s="724" t="s">
        <v>710</v>
      </c>
      <c r="C759" s="722" t="s">
        <v>61</v>
      </c>
      <c r="D759" t="s">
        <v>62</v>
      </c>
      <c r="E759" s="147">
        <v>50.429789999999997</v>
      </c>
      <c r="F759" s="147">
        <v>53.239040000000003</v>
      </c>
      <c r="G759" s="147">
        <v>-2.80925</v>
      </c>
      <c r="H759" s="147">
        <v>-5.2766729077008154</v>
      </c>
      <c r="I759" s="729"/>
      <c r="J759" s="147">
        <v>50.429789999999997</v>
      </c>
      <c r="K759" s="147">
        <v>0</v>
      </c>
      <c r="L759" s="147">
        <v>600.01435000000004</v>
      </c>
      <c r="M759" s="147">
        <v>631.62311999999997</v>
      </c>
      <c r="N759" s="147">
        <v>-31.60877</v>
      </c>
      <c r="O759" s="147">
        <v>-5.0043719108952187</v>
      </c>
      <c r="P759" s="147">
        <v>303.37729000000002</v>
      </c>
      <c r="Q759" s="147">
        <v>296.63706000000002</v>
      </c>
      <c r="R759" s="147">
        <v>97.778268109653169</v>
      </c>
    </row>
    <row r="760" spans="2:18" ht="15.75" hidden="1" thickBot="1" x14ac:dyDescent="0.3">
      <c r="B760" s="724" t="s">
        <v>710</v>
      </c>
      <c r="C760" s="722" t="s">
        <v>63</v>
      </c>
      <c r="D760" t="s">
        <v>64</v>
      </c>
      <c r="E760" s="148">
        <v>196.41306</v>
      </c>
      <c r="F760" s="148">
        <v>207.11704</v>
      </c>
      <c r="G760" s="148">
        <v>-10.70398</v>
      </c>
      <c r="H760" s="148">
        <v>-5.1680827420090596</v>
      </c>
      <c r="I760" s="728"/>
      <c r="J760" s="148">
        <v>196.41306</v>
      </c>
      <c r="K760" s="148">
        <v>0</v>
      </c>
      <c r="L760" s="148">
        <v>2337.3347399999998</v>
      </c>
      <c r="M760" s="148">
        <v>2457.2174199999999</v>
      </c>
      <c r="N760" s="148">
        <v>-119.88267999999999</v>
      </c>
      <c r="O760" s="148">
        <v>-4.8787982302355646</v>
      </c>
      <c r="P760" s="148">
        <v>1183.23821</v>
      </c>
      <c r="Q760" s="148">
        <v>1154.09653</v>
      </c>
      <c r="R760" s="148">
        <v>97.537124836426642</v>
      </c>
    </row>
    <row r="761" spans="2:18" ht="15.75" hidden="1" thickBot="1" x14ac:dyDescent="0.3">
      <c r="B761" s="724" t="s">
        <v>710</v>
      </c>
      <c r="C761" s="722" t="s">
        <v>156</v>
      </c>
      <c r="D761" t="s">
        <v>157</v>
      </c>
      <c r="E761" s="147">
        <v>30.258559999999999</v>
      </c>
      <c r="F761" s="147">
        <v>3.1930299999999998</v>
      </c>
      <c r="G761" s="147">
        <v>27.065529999999999</v>
      </c>
      <c r="H761" s="147">
        <v>847.64408727760156</v>
      </c>
      <c r="I761" s="729"/>
      <c r="J761" s="147">
        <v>30.258559999999999</v>
      </c>
      <c r="K761" s="147">
        <v>0</v>
      </c>
      <c r="L761" s="147">
        <v>266.69914</v>
      </c>
      <c r="M761" s="147">
        <v>38.115340000000003</v>
      </c>
      <c r="N761" s="147">
        <v>228.5838</v>
      </c>
      <c r="O761" s="147">
        <v>599.71601984922609</v>
      </c>
      <c r="P761" s="147">
        <v>133.08835999999999</v>
      </c>
      <c r="Q761" s="147">
        <v>133.61078000000001</v>
      </c>
      <c r="R761" s="147">
        <v>100.3925362067727</v>
      </c>
    </row>
    <row r="762" spans="2:18" ht="15.75" hidden="1" thickBot="1" x14ac:dyDescent="0.3">
      <c r="B762" s="724" t="s">
        <v>710</v>
      </c>
      <c r="C762" s="722" t="s">
        <v>184</v>
      </c>
      <c r="D762" t="s">
        <v>185</v>
      </c>
      <c r="E762" s="148">
        <v>8.9696999999999996</v>
      </c>
      <c r="F762" s="148">
        <v>0.45343</v>
      </c>
      <c r="G762" s="148">
        <v>8.5162700000000005</v>
      </c>
      <c r="H762" s="148">
        <v>1878.1884745164634</v>
      </c>
      <c r="I762" s="728"/>
      <c r="J762" s="148">
        <v>8.9696999999999996</v>
      </c>
      <c r="K762" s="148">
        <v>0</v>
      </c>
      <c r="L762" s="148">
        <v>128.56756999999999</v>
      </c>
      <c r="M762" s="148">
        <v>5.2958499999999997</v>
      </c>
      <c r="N762" s="148">
        <v>123.27172</v>
      </c>
      <c r="O762" s="148">
        <v>2327.7041456989909</v>
      </c>
      <c r="P762" s="148">
        <v>66.090019999999996</v>
      </c>
      <c r="Q762" s="148">
        <v>62.477550000000001</v>
      </c>
      <c r="R762" s="148">
        <v>94.534015877132433</v>
      </c>
    </row>
    <row r="763" spans="2:18" ht="15.75" hidden="1" thickBot="1" x14ac:dyDescent="0.3">
      <c r="B763" s="724" t="s">
        <v>710</v>
      </c>
      <c r="C763" s="722" t="s">
        <v>161</v>
      </c>
      <c r="D763" t="s">
        <v>162</v>
      </c>
      <c r="E763" s="147">
        <v>5.3170000000000002E-2</v>
      </c>
      <c r="F763" s="729"/>
      <c r="G763" s="147">
        <v>5.3170000000000002E-2</v>
      </c>
      <c r="H763" s="147">
        <v>0</v>
      </c>
      <c r="I763" s="729"/>
      <c r="J763" s="147">
        <v>5.3170000000000002E-2</v>
      </c>
      <c r="K763" s="147">
        <v>0</v>
      </c>
      <c r="L763" s="147">
        <v>2.85636</v>
      </c>
      <c r="M763" s="729"/>
      <c r="N763" s="147">
        <v>2.85636</v>
      </c>
      <c r="O763" s="147">
        <v>0</v>
      </c>
      <c r="P763" s="147">
        <v>1.88079</v>
      </c>
      <c r="Q763" s="147">
        <v>0.97557000000000005</v>
      </c>
      <c r="R763" s="147">
        <v>51.870224745984402</v>
      </c>
    </row>
    <row r="764" spans="2:18" ht="15.75" hidden="1" thickBot="1" x14ac:dyDescent="0.3">
      <c r="B764" s="724" t="s">
        <v>710</v>
      </c>
      <c r="C764" s="722" t="s">
        <v>65</v>
      </c>
      <c r="D764" t="s">
        <v>66</v>
      </c>
      <c r="E764" s="148">
        <v>-144.75832</v>
      </c>
      <c r="F764" s="148">
        <v>-127.25926</v>
      </c>
      <c r="G764" s="148">
        <v>-17.49906</v>
      </c>
      <c r="H764" s="148">
        <v>-13.750716450810732</v>
      </c>
      <c r="I764" s="728"/>
      <c r="J764" s="148">
        <v>-144.75832</v>
      </c>
      <c r="K764" s="148">
        <v>0</v>
      </c>
      <c r="L764" s="148">
        <v>-1603.6947299999999</v>
      </c>
      <c r="M764" s="148">
        <v>-1519.277</v>
      </c>
      <c r="N764" s="148">
        <v>-84.417730000000006</v>
      </c>
      <c r="O764" s="148">
        <v>-5.5564409913399597</v>
      </c>
      <c r="P764" s="148">
        <v>-849.05106000000001</v>
      </c>
      <c r="Q764" s="148">
        <v>-754.64367000000004</v>
      </c>
      <c r="R764" s="148">
        <v>-88.880834799264022</v>
      </c>
    </row>
    <row r="765" spans="2:18" ht="15.75" hidden="1" thickBot="1" x14ac:dyDescent="0.3">
      <c r="B765" s="724" t="s">
        <v>710</v>
      </c>
      <c r="C765" s="722" t="s">
        <v>186</v>
      </c>
      <c r="D765" t="s">
        <v>187</v>
      </c>
      <c r="E765" s="147">
        <v>-0.33316000000000001</v>
      </c>
      <c r="F765" s="729"/>
      <c r="G765" s="147">
        <v>-0.33316000000000001</v>
      </c>
      <c r="H765" s="147">
        <v>0</v>
      </c>
      <c r="I765" s="729"/>
      <c r="J765" s="147">
        <v>-0.33316000000000001</v>
      </c>
      <c r="K765" s="147">
        <v>0</v>
      </c>
      <c r="L765" s="147">
        <v>-0.33316000000000001</v>
      </c>
      <c r="M765" s="729"/>
      <c r="N765" s="147">
        <v>-0.33316000000000001</v>
      </c>
      <c r="O765" s="147">
        <v>0</v>
      </c>
      <c r="P765" s="729"/>
      <c r="Q765" s="147">
        <v>-0.33316000000000001</v>
      </c>
      <c r="R765" s="147">
        <v>0</v>
      </c>
    </row>
    <row r="766" spans="2:18" ht="15.75" hidden="1" thickBot="1" x14ac:dyDescent="0.3">
      <c r="B766" s="724" t="s">
        <v>710</v>
      </c>
      <c r="C766" s="722" t="s">
        <v>163</v>
      </c>
      <c r="D766" t="s">
        <v>164</v>
      </c>
      <c r="E766" s="148">
        <v>-71.836079999999995</v>
      </c>
      <c r="F766" s="148">
        <v>-76.291030000000006</v>
      </c>
      <c r="G766" s="148">
        <v>4.4549500000000002</v>
      </c>
      <c r="H766" s="148">
        <v>5.8394151973043229</v>
      </c>
      <c r="I766" s="728"/>
      <c r="J766" s="148">
        <v>-71.836079999999995</v>
      </c>
      <c r="K766" s="148">
        <v>0</v>
      </c>
      <c r="L766" s="148">
        <v>-862.28697999999997</v>
      </c>
      <c r="M766" s="148">
        <v>-879.83759999999995</v>
      </c>
      <c r="N766" s="148">
        <v>17.550619999999999</v>
      </c>
      <c r="O766" s="148">
        <v>1.9947567596565547</v>
      </c>
      <c r="P766" s="148">
        <v>-432.86860000000001</v>
      </c>
      <c r="Q766" s="148">
        <v>-429.41838000000001</v>
      </c>
      <c r="R766" s="148">
        <v>-99.20294056903181</v>
      </c>
    </row>
    <row r="767" spans="2:18" ht="15.75" hidden="1" thickBot="1" x14ac:dyDescent="0.3">
      <c r="B767" s="724" t="s">
        <v>710</v>
      </c>
      <c r="C767" s="722" t="s">
        <v>97</v>
      </c>
      <c r="D767" t="s">
        <v>98</v>
      </c>
      <c r="E767" s="147">
        <v>-0.55535999999999996</v>
      </c>
      <c r="F767" s="729"/>
      <c r="G767" s="147">
        <v>-0.55535999999999996</v>
      </c>
      <c r="H767" s="147">
        <v>0</v>
      </c>
      <c r="I767" s="729"/>
      <c r="J767" s="147">
        <v>-0.55535999999999996</v>
      </c>
      <c r="K767" s="147">
        <v>0</v>
      </c>
      <c r="L767" s="147">
        <v>-14.689310000000001</v>
      </c>
      <c r="M767" s="729"/>
      <c r="N767" s="147">
        <v>-14.689310000000001</v>
      </c>
      <c r="O767" s="147">
        <v>0</v>
      </c>
      <c r="P767" s="147">
        <v>-9.0007999999999999</v>
      </c>
      <c r="Q767" s="147">
        <v>-5.68851</v>
      </c>
      <c r="R767" s="147">
        <v>-63.200048884543598</v>
      </c>
    </row>
    <row r="768" spans="2:18" ht="15.75" hidden="1" thickBot="1" x14ac:dyDescent="0.3">
      <c r="B768" s="724" t="s">
        <v>710</v>
      </c>
      <c r="C768" s="149" t="s">
        <v>67</v>
      </c>
      <c r="D768" t="s">
        <v>68</v>
      </c>
      <c r="E768" s="148">
        <v>356.92372</v>
      </c>
      <c r="F768" s="148">
        <v>405.68043999999998</v>
      </c>
      <c r="G768" s="148">
        <v>-48.756720000000001</v>
      </c>
      <c r="H768" s="148">
        <v>-12.018504022525709</v>
      </c>
      <c r="I768" s="728"/>
      <c r="J768" s="148">
        <v>356.92372</v>
      </c>
      <c r="K768" s="148">
        <v>0</v>
      </c>
      <c r="L768" s="148">
        <v>4848.35509</v>
      </c>
      <c r="M768" s="148">
        <v>4828.5696699999999</v>
      </c>
      <c r="N768" s="148">
        <v>19.785419999999998</v>
      </c>
      <c r="O768" s="148">
        <v>0.40975736816902963</v>
      </c>
      <c r="P768" s="148">
        <v>2488.4162000000001</v>
      </c>
      <c r="Q768" s="148">
        <v>2359.9388899999999</v>
      </c>
      <c r="R768" s="148">
        <v>94.836984665185838</v>
      </c>
    </row>
    <row r="769" spans="2:18" ht="15.75" hidden="1" thickBot="1" x14ac:dyDescent="0.3">
      <c r="B769" s="724" t="s">
        <v>710</v>
      </c>
      <c r="C769" s="722" t="s">
        <v>69</v>
      </c>
      <c r="D769" t="s">
        <v>70</v>
      </c>
      <c r="E769" s="147">
        <v>1.99</v>
      </c>
      <c r="F769" s="147">
        <v>7.0529999999999999</v>
      </c>
      <c r="G769" s="147">
        <v>-5.0629999999999997</v>
      </c>
      <c r="H769" s="147">
        <v>-71.785056004537083</v>
      </c>
      <c r="I769" s="729"/>
      <c r="J769" s="147">
        <v>1.99</v>
      </c>
      <c r="K769" s="147">
        <v>0</v>
      </c>
      <c r="L769" s="147">
        <v>42.75168</v>
      </c>
      <c r="M769" s="147">
        <v>131.852</v>
      </c>
      <c r="N769" s="147">
        <v>-89.100319999999996</v>
      </c>
      <c r="O769" s="147">
        <v>-67.57600946515791</v>
      </c>
      <c r="P769" s="147">
        <v>16.535920000000001</v>
      </c>
      <c r="Q769" s="147">
        <v>26.21576</v>
      </c>
      <c r="R769" s="147">
        <v>158.53826094949662</v>
      </c>
    </row>
    <row r="770" spans="2:18" ht="15.75" hidden="1" thickBot="1" x14ac:dyDescent="0.3">
      <c r="B770" s="724" t="s">
        <v>710</v>
      </c>
      <c r="C770" s="722" t="s">
        <v>99</v>
      </c>
      <c r="D770" t="s">
        <v>100</v>
      </c>
      <c r="E770" s="148">
        <v>0.60079000000000005</v>
      </c>
      <c r="F770" s="148">
        <v>0.75</v>
      </c>
      <c r="G770" s="148">
        <v>-0.14921000000000001</v>
      </c>
      <c r="H770" s="148">
        <v>-19.894666666666666</v>
      </c>
      <c r="I770" s="728"/>
      <c r="J770" s="148">
        <v>0.60079000000000005</v>
      </c>
      <c r="K770" s="148">
        <v>0</v>
      </c>
      <c r="L770" s="148">
        <v>13.614520000000001</v>
      </c>
      <c r="M770" s="148">
        <v>9</v>
      </c>
      <c r="N770" s="148">
        <v>4.6145199999999997</v>
      </c>
      <c r="O770" s="148">
        <v>51.272444444444446</v>
      </c>
      <c r="P770" s="148">
        <v>7.3271899999999999</v>
      </c>
      <c r="Q770" s="148">
        <v>6.2873299999999999</v>
      </c>
      <c r="R770" s="148">
        <v>85.808202052901592</v>
      </c>
    </row>
    <row r="771" spans="2:18" ht="15.75" hidden="1" thickBot="1" x14ac:dyDescent="0.3">
      <c r="B771" s="724" t="s">
        <v>710</v>
      </c>
      <c r="C771" s="722" t="s">
        <v>165</v>
      </c>
      <c r="D771" t="s">
        <v>166</v>
      </c>
      <c r="E771" s="147">
        <v>0.25441000000000003</v>
      </c>
      <c r="F771" s="729"/>
      <c r="G771" s="147">
        <v>0.25441000000000003</v>
      </c>
      <c r="H771" s="147">
        <v>0</v>
      </c>
      <c r="I771" s="729"/>
      <c r="J771" s="147">
        <v>0.25441000000000003</v>
      </c>
      <c r="K771" s="147">
        <v>0</v>
      </c>
      <c r="L771" s="147">
        <v>9.3300300000000007</v>
      </c>
      <c r="M771" s="729"/>
      <c r="N771" s="147">
        <v>9.3300300000000007</v>
      </c>
      <c r="O771" s="147">
        <v>0</v>
      </c>
      <c r="P771" s="147">
        <v>6.1669600000000004</v>
      </c>
      <c r="Q771" s="147">
        <v>3.1630699999999998</v>
      </c>
      <c r="R771" s="147">
        <v>51.290587258552023</v>
      </c>
    </row>
    <row r="772" spans="2:18" ht="15.75" hidden="1" thickBot="1" x14ac:dyDescent="0.3">
      <c r="B772" s="724" t="s">
        <v>710</v>
      </c>
      <c r="C772" s="722" t="s">
        <v>188</v>
      </c>
      <c r="D772" t="s">
        <v>189</v>
      </c>
      <c r="E772" s="148">
        <v>7.2995999999999999</v>
      </c>
      <c r="F772" s="728"/>
      <c r="G772" s="148">
        <v>7.2995999999999999</v>
      </c>
      <c r="H772" s="148">
        <v>0</v>
      </c>
      <c r="I772" s="728"/>
      <c r="J772" s="148">
        <v>7.2995999999999999</v>
      </c>
      <c r="K772" s="148">
        <v>0</v>
      </c>
      <c r="L772" s="148">
        <v>99.734920000000002</v>
      </c>
      <c r="M772" s="728"/>
      <c r="N772" s="148">
        <v>99.734920000000002</v>
      </c>
      <c r="O772" s="148">
        <v>0</v>
      </c>
      <c r="P772" s="148">
        <v>48.635390000000001</v>
      </c>
      <c r="Q772" s="148">
        <v>51.099530000000001</v>
      </c>
      <c r="R772" s="148">
        <v>105.06655750061837</v>
      </c>
    </row>
    <row r="773" spans="2:18" ht="15.75" hidden="1" thickBot="1" x14ac:dyDescent="0.3">
      <c r="B773" s="724" t="s">
        <v>710</v>
      </c>
      <c r="C773" s="722" t="s">
        <v>137</v>
      </c>
      <c r="D773" t="s">
        <v>138</v>
      </c>
      <c r="E773" s="147">
        <v>0.77092000000000005</v>
      </c>
      <c r="F773" s="147">
        <v>0.65</v>
      </c>
      <c r="G773" s="147">
        <v>0.12092</v>
      </c>
      <c r="H773" s="147">
        <v>18.603076923076923</v>
      </c>
      <c r="I773" s="729"/>
      <c r="J773" s="147">
        <v>0.77092000000000005</v>
      </c>
      <c r="K773" s="147">
        <v>0</v>
      </c>
      <c r="L773" s="147">
        <v>7.6995699999999996</v>
      </c>
      <c r="M773" s="147">
        <v>7.8</v>
      </c>
      <c r="N773" s="147">
        <v>-0.10043000000000001</v>
      </c>
      <c r="O773" s="147">
        <v>-1.2875641025641025</v>
      </c>
      <c r="P773" s="147">
        <v>3.21475</v>
      </c>
      <c r="Q773" s="147">
        <v>4.48482</v>
      </c>
      <c r="R773" s="147">
        <v>139.50758223812116</v>
      </c>
    </row>
    <row r="774" spans="2:18" ht="15.75" hidden="1" thickBot="1" x14ac:dyDescent="0.3">
      <c r="B774" s="724" t="s">
        <v>710</v>
      </c>
      <c r="C774" s="722" t="s">
        <v>190</v>
      </c>
      <c r="D774" t="s">
        <v>191</v>
      </c>
      <c r="E774" s="148">
        <v>0.4758</v>
      </c>
      <c r="F774" s="148">
        <v>0.55000000000000004</v>
      </c>
      <c r="G774" s="148">
        <v>-7.4200000000000002E-2</v>
      </c>
      <c r="H774" s="148">
        <v>-13.49090909090909</v>
      </c>
      <c r="I774" s="728"/>
      <c r="J774" s="148">
        <v>0.4758</v>
      </c>
      <c r="K774" s="148">
        <v>0</v>
      </c>
      <c r="L774" s="148">
        <v>6.3402900000000004</v>
      </c>
      <c r="M774" s="148">
        <v>6.6</v>
      </c>
      <c r="N774" s="148">
        <v>-0.25971</v>
      </c>
      <c r="O774" s="148">
        <v>-3.9350000000000001</v>
      </c>
      <c r="P774" s="148">
        <v>3.3758300000000001</v>
      </c>
      <c r="Q774" s="148">
        <v>2.9644599999999999</v>
      </c>
      <c r="R774" s="148">
        <v>87.814256049623353</v>
      </c>
    </row>
    <row r="775" spans="2:18" ht="15.75" hidden="1" thickBot="1" x14ac:dyDescent="0.3">
      <c r="B775" s="724" t="s">
        <v>710</v>
      </c>
      <c r="C775" s="722" t="s">
        <v>36</v>
      </c>
      <c r="D775" t="s">
        <v>192</v>
      </c>
      <c r="E775" s="147">
        <v>1.0988599999999999</v>
      </c>
      <c r="F775" s="147">
        <v>1.5</v>
      </c>
      <c r="G775" s="147">
        <v>-0.40114</v>
      </c>
      <c r="H775" s="147">
        <v>-26.742666666666668</v>
      </c>
      <c r="I775" s="729"/>
      <c r="J775" s="147">
        <v>1.0988599999999999</v>
      </c>
      <c r="K775" s="147">
        <v>0</v>
      </c>
      <c r="L775" s="147">
        <v>19.745989999999999</v>
      </c>
      <c r="M775" s="147">
        <v>18</v>
      </c>
      <c r="N775" s="147">
        <v>1.7459899999999999</v>
      </c>
      <c r="O775" s="147">
        <v>9.6999444444444443</v>
      </c>
      <c r="P775" s="147">
        <v>10.57179</v>
      </c>
      <c r="Q775" s="147">
        <v>9.1742000000000008</v>
      </c>
      <c r="R775" s="147">
        <v>86.780006034928803</v>
      </c>
    </row>
    <row r="776" spans="2:18" ht="15.75" hidden="1" thickBot="1" x14ac:dyDescent="0.3">
      <c r="B776" s="724" t="s">
        <v>710</v>
      </c>
      <c r="C776" s="722" t="s">
        <v>139</v>
      </c>
      <c r="D776" t="s">
        <v>140</v>
      </c>
      <c r="E776" s="148">
        <v>5.6495600000000001</v>
      </c>
      <c r="F776" s="148">
        <v>0.70225000000000004</v>
      </c>
      <c r="G776" s="148">
        <v>4.9473099999999999</v>
      </c>
      <c r="H776" s="148">
        <v>704.49412602349594</v>
      </c>
      <c r="I776" s="728"/>
      <c r="J776" s="148">
        <v>5.6495600000000001</v>
      </c>
      <c r="K776" s="148">
        <v>0</v>
      </c>
      <c r="L776" s="148">
        <v>471.01965999999999</v>
      </c>
      <c r="M776" s="148">
        <v>509.92599999999999</v>
      </c>
      <c r="N776" s="148">
        <v>-38.90634</v>
      </c>
      <c r="O776" s="148">
        <v>-7.6298011868388746</v>
      </c>
      <c r="P776" s="148">
        <v>217.48305999999999</v>
      </c>
      <c r="Q776" s="148">
        <v>253.53659999999999</v>
      </c>
      <c r="R776" s="148">
        <v>116.5776313796578</v>
      </c>
    </row>
    <row r="777" spans="2:18" ht="15.75" hidden="1" thickBot="1" x14ac:dyDescent="0.3">
      <c r="B777" s="724" t="s">
        <v>710</v>
      </c>
      <c r="C777" s="722" t="s">
        <v>169</v>
      </c>
      <c r="D777" t="s">
        <v>170</v>
      </c>
      <c r="E777" s="147">
        <v>14.411</v>
      </c>
      <c r="F777" s="147">
        <v>7.7</v>
      </c>
      <c r="G777" s="147">
        <v>6.7110000000000003</v>
      </c>
      <c r="H777" s="147">
        <v>87.15584415584415</v>
      </c>
      <c r="I777" s="729"/>
      <c r="J777" s="147">
        <v>14.411</v>
      </c>
      <c r="K777" s="147">
        <v>0</v>
      </c>
      <c r="L777" s="147">
        <v>182.30131</v>
      </c>
      <c r="M777" s="147">
        <v>92.4</v>
      </c>
      <c r="N777" s="147">
        <v>89.901309999999995</v>
      </c>
      <c r="O777" s="147">
        <v>97.29579004329004</v>
      </c>
      <c r="P777" s="147">
        <v>55.454259999999998</v>
      </c>
      <c r="Q777" s="147">
        <v>126.84705</v>
      </c>
      <c r="R777" s="147">
        <v>228.74175942479442</v>
      </c>
    </row>
    <row r="778" spans="2:18" ht="15.75" hidden="1" thickBot="1" x14ac:dyDescent="0.3">
      <c r="B778" s="724" t="s">
        <v>710</v>
      </c>
      <c r="C778" s="722" t="s">
        <v>101</v>
      </c>
      <c r="D778" t="s">
        <v>102</v>
      </c>
      <c r="E778" s="148">
        <v>40.627310000000001</v>
      </c>
      <c r="F778" s="148">
        <v>5.3339999999999996</v>
      </c>
      <c r="G778" s="148">
        <v>35.293309999999998</v>
      </c>
      <c r="H778" s="148">
        <v>661.66685414323206</v>
      </c>
      <c r="I778" s="728"/>
      <c r="J778" s="148">
        <v>40.627310000000001</v>
      </c>
      <c r="K778" s="148">
        <v>0</v>
      </c>
      <c r="L778" s="148">
        <v>223.16468</v>
      </c>
      <c r="M778" s="148">
        <v>37.008000000000003</v>
      </c>
      <c r="N778" s="148">
        <v>186.15667999999999</v>
      </c>
      <c r="O778" s="148">
        <v>503.01740164288805</v>
      </c>
      <c r="P778" s="148">
        <v>58.776470000000003</v>
      </c>
      <c r="Q778" s="148">
        <v>164.38820999999999</v>
      </c>
      <c r="R778" s="148">
        <v>279.68370676224686</v>
      </c>
    </row>
    <row r="779" spans="2:18" ht="15.75" hidden="1" thickBot="1" x14ac:dyDescent="0.3">
      <c r="B779" s="724" t="s">
        <v>710</v>
      </c>
      <c r="C779" s="722" t="s">
        <v>605</v>
      </c>
      <c r="D779" t="s">
        <v>606</v>
      </c>
      <c r="E779" s="729"/>
      <c r="F779" s="729"/>
      <c r="G779" s="729"/>
      <c r="H779" s="729"/>
      <c r="I779" s="729"/>
      <c r="J779" s="729"/>
      <c r="K779" s="729"/>
      <c r="L779" s="147">
        <v>0.98794999999999999</v>
      </c>
      <c r="M779" s="729"/>
      <c r="N779" s="147">
        <v>0.98794999999999999</v>
      </c>
      <c r="O779" s="147">
        <v>0</v>
      </c>
      <c r="P779" s="147">
        <v>0.98794999999999999</v>
      </c>
      <c r="Q779" s="147">
        <v>0</v>
      </c>
      <c r="R779" s="147">
        <v>0</v>
      </c>
    </row>
    <row r="780" spans="2:18" ht="15.75" hidden="1" thickBot="1" x14ac:dyDescent="0.3">
      <c r="B780" s="724" t="s">
        <v>710</v>
      </c>
      <c r="C780" s="722" t="s">
        <v>462</v>
      </c>
      <c r="D780" t="s">
        <v>463</v>
      </c>
      <c r="E780" s="728"/>
      <c r="F780" s="728"/>
      <c r="G780" s="728"/>
      <c r="H780" s="728"/>
      <c r="I780" s="728"/>
      <c r="J780" s="728"/>
      <c r="K780" s="728"/>
      <c r="L780" s="148">
        <v>1.6999</v>
      </c>
      <c r="M780" s="728"/>
      <c r="N780" s="148">
        <v>1.6999</v>
      </c>
      <c r="O780" s="148">
        <v>0</v>
      </c>
      <c r="P780" s="148">
        <v>0.16125999999999999</v>
      </c>
      <c r="Q780" s="148">
        <v>1.53864</v>
      </c>
      <c r="R780" s="148">
        <v>954.13617760138902</v>
      </c>
    </row>
    <row r="781" spans="2:18" ht="15.75" hidden="1" thickBot="1" x14ac:dyDescent="0.3">
      <c r="B781" s="724" t="s">
        <v>710</v>
      </c>
      <c r="C781" s="722" t="s">
        <v>464</v>
      </c>
      <c r="D781" t="s">
        <v>465</v>
      </c>
      <c r="E781" s="729"/>
      <c r="F781" s="729"/>
      <c r="G781" s="729"/>
      <c r="H781" s="729"/>
      <c r="I781" s="729"/>
      <c r="J781" s="729"/>
      <c r="K781" s="729"/>
      <c r="L781" s="147">
        <v>0.37811</v>
      </c>
      <c r="M781" s="729"/>
      <c r="N781" s="147">
        <v>0.37811</v>
      </c>
      <c r="O781" s="147">
        <v>0</v>
      </c>
      <c r="P781" s="147">
        <v>0.14011000000000001</v>
      </c>
      <c r="Q781" s="147">
        <v>0.23799999999999999</v>
      </c>
      <c r="R781" s="147">
        <v>169.86653343801299</v>
      </c>
    </row>
    <row r="782" spans="2:18" ht="15.75" hidden="1" thickBot="1" x14ac:dyDescent="0.3">
      <c r="B782" s="724" t="s">
        <v>710</v>
      </c>
      <c r="C782" s="722" t="s">
        <v>619</v>
      </c>
      <c r="D782" t="s">
        <v>620</v>
      </c>
      <c r="E782" s="728"/>
      <c r="F782" s="728"/>
      <c r="G782" s="728"/>
      <c r="H782" s="728"/>
      <c r="I782" s="728"/>
      <c r="J782" s="728"/>
      <c r="K782" s="728"/>
      <c r="L782" s="148">
        <v>0.28560000000000002</v>
      </c>
      <c r="M782" s="728"/>
      <c r="N782" s="148">
        <v>0.28560000000000002</v>
      </c>
      <c r="O782" s="148">
        <v>0</v>
      </c>
      <c r="P782" s="728"/>
      <c r="Q782" s="148">
        <v>0.28560000000000002</v>
      </c>
      <c r="R782" s="148">
        <v>0</v>
      </c>
    </row>
    <row r="783" spans="2:18" ht="15.75" hidden="1" thickBot="1" x14ac:dyDescent="0.3">
      <c r="B783" s="724" t="s">
        <v>710</v>
      </c>
      <c r="C783" s="722" t="s">
        <v>103</v>
      </c>
      <c r="D783" t="s">
        <v>104</v>
      </c>
      <c r="E783" s="147">
        <v>3.9899999999999996E-3</v>
      </c>
      <c r="F783" s="729"/>
      <c r="G783" s="147">
        <v>3.9899999999999996E-3</v>
      </c>
      <c r="H783" s="147">
        <v>0</v>
      </c>
      <c r="I783" s="729"/>
      <c r="J783" s="147">
        <v>3.9899999999999996E-3</v>
      </c>
      <c r="K783" s="147">
        <v>0</v>
      </c>
      <c r="L783" s="147">
        <v>2.2726700000000002</v>
      </c>
      <c r="M783" s="729"/>
      <c r="N783" s="147">
        <v>2.2726700000000002</v>
      </c>
      <c r="O783" s="147">
        <v>0</v>
      </c>
      <c r="P783" s="147">
        <v>4.4540000000000003E-2</v>
      </c>
      <c r="Q783" s="147">
        <v>2.2281300000000002</v>
      </c>
      <c r="R783" s="147">
        <v>5002.537045352492</v>
      </c>
    </row>
    <row r="784" spans="2:18" ht="15.75" hidden="1" thickBot="1" x14ac:dyDescent="0.3">
      <c r="B784" s="724" t="s">
        <v>710</v>
      </c>
      <c r="C784" s="722" t="s">
        <v>71</v>
      </c>
      <c r="D784" t="s">
        <v>72</v>
      </c>
      <c r="E784" s="728"/>
      <c r="F784" s="728"/>
      <c r="G784" s="728"/>
      <c r="H784" s="728"/>
      <c r="I784" s="728"/>
      <c r="J784" s="728"/>
      <c r="K784" s="728"/>
      <c r="L784" s="148">
        <v>1.545E-2</v>
      </c>
      <c r="M784" s="728"/>
      <c r="N784" s="148">
        <v>1.545E-2</v>
      </c>
      <c r="O784" s="148">
        <v>0</v>
      </c>
      <c r="P784" s="728"/>
      <c r="Q784" s="148">
        <v>1.545E-2</v>
      </c>
      <c r="R784" s="148">
        <v>0</v>
      </c>
    </row>
    <row r="785" spans="2:18" ht="15.75" hidden="1" thickBot="1" x14ac:dyDescent="0.3">
      <c r="B785" s="724" t="s">
        <v>710</v>
      </c>
      <c r="C785" s="722" t="s">
        <v>105</v>
      </c>
      <c r="D785" t="s">
        <v>106</v>
      </c>
      <c r="E785" s="147">
        <v>209.45139</v>
      </c>
      <c r="F785" s="147">
        <v>239.78700000000001</v>
      </c>
      <c r="G785" s="147">
        <v>-30.335609999999999</v>
      </c>
      <c r="H785" s="147">
        <v>-12.651065320471918</v>
      </c>
      <c r="I785" s="729"/>
      <c r="J785" s="147">
        <v>209.45139</v>
      </c>
      <c r="K785" s="147">
        <v>0</v>
      </c>
      <c r="L785" s="147">
        <v>2323.1508100000001</v>
      </c>
      <c r="M785" s="147">
        <v>2563.1280200000001</v>
      </c>
      <c r="N785" s="147">
        <v>-239.97721000000001</v>
      </c>
      <c r="O785" s="147">
        <v>-9.3626696804633269</v>
      </c>
      <c r="P785" s="147">
        <v>1234.2753</v>
      </c>
      <c r="Q785" s="147">
        <v>1088.8755100000001</v>
      </c>
      <c r="R785" s="147">
        <v>88.219825026069955</v>
      </c>
    </row>
    <row r="786" spans="2:18" ht="15.75" hidden="1" thickBot="1" x14ac:dyDescent="0.3">
      <c r="B786" s="724" t="s">
        <v>710</v>
      </c>
      <c r="C786" s="722" t="s">
        <v>109</v>
      </c>
      <c r="D786" t="s">
        <v>110</v>
      </c>
      <c r="E786" s="148">
        <v>0.85480999999999996</v>
      </c>
      <c r="F786" s="148">
        <v>0.749</v>
      </c>
      <c r="G786" s="148">
        <v>0.10581</v>
      </c>
      <c r="H786" s="148">
        <v>14.126835781041388</v>
      </c>
      <c r="I786" s="728"/>
      <c r="J786" s="148">
        <v>0.85480999999999996</v>
      </c>
      <c r="K786" s="148">
        <v>0</v>
      </c>
      <c r="L786" s="148">
        <v>8.2002900000000007</v>
      </c>
      <c r="M786" s="148">
        <v>7.9829999999999997</v>
      </c>
      <c r="N786" s="148">
        <v>0.21729000000000001</v>
      </c>
      <c r="O786" s="148">
        <v>2.7219090567455844</v>
      </c>
      <c r="P786" s="148">
        <v>4.1421599999999996</v>
      </c>
      <c r="Q786" s="148">
        <v>4.0581300000000002</v>
      </c>
      <c r="R786" s="148">
        <v>97.971348282055743</v>
      </c>
    </row>
    <row r="787" spans="2:18" ht="15.75" hidden="1" thickBot="1" x14ac:dyDescent="0.3">
      <c r="B787" s="724" t="s">
        <v>710</v>
      </c>
      <c r="C787" s="722" t="s">
        <v>73</v>
      </c>
      <c r="D787" t="s">
        <v>74</v>
      </c>
      <c r="E787" s="147">
        <v>1.57263</v>
      </c>
      <c r="F787" s="147">
        <v>0.92932999999999999</v>
      </c>
      <c r="G787" s="147">
        <v>0.64329999999999998</v>
      </c>
      <c r="H787" s="147">
        <v>69.221912560661977</v>
      </c>
      <c r="I787" s="729"/>
      <c r="J787" s="147">
        <v>1.57263</v>
      </c>
      <c r="K787" s="147">
        <v>0</v>
      </c>
      <c r="L787" s="147">
        <v>11.93745</v>
      </c>
      <c r="M787" s="147">
        <v>12.452</v>
      </c>
      <c r="N787" s="147">
        <v>-0.51454999999999995</v>
      </c>
      <c r="O787" s="147">
        <v>-4.1322679087696752</v>
      </c>
      <c r="P787" s="147">
        <v>5.73658</v>
      </c>
      <c r="Q787" s="147">
        <v>6.2008700000000001</v>
      </c>
      <c r="R787" s="147">
        <v>108.09349821670752</v>
      </c>
    </row>
    <row r="788" spans="2:18" ht="15.75" hidden="1" thickBot="1" x14ac:dyDescent="0.3">
      <c r="B788" s="724" t="s">
        <v>710</v>
      </c>
      <c r="C788" s="722" t="s">
        <v>111</v>
      </c>
      <c r="D788" t="s">
        <v>112</v>
      </c>
      <c r="E788" s="728"/>
      <c r="F788" s="728"/>
      <c r="G788" s="728"/>
      <c r="H788" s="728"/>
      <c r="I788" s="728"/>
      <c r="J788" s="728"/>
      <c r="K788" s="728"/>
      <c r="L788" s="148">
        <v>0.25297999999999998</v>
      </c>
      <c r="M788" s="728"/>
      <c r="N788" s="148">
        <v>0.25297999999999998</v>
      </c>
      <c r="O788" s="148">
        <v>0</v>
      </c>
      <c r="P788" s="148">
        <v>0.25297999999999998</v>
      </c>
      <c r="Q788" s="148">
        <v>0</v>
      </c>
      <c r="R788" s="148">
        <v>0</v>
      </c>
    </row>
    <row r="789" spans="2:18" ht="15.75" hidden="1" thickBot="1" x14ac:dyDescent="0.3">
      <c r="B789" s="724" t="s">
        <v>710</v>
      </c>
      <c r="C789" s="722" t="s">
        <v>141</v>
      </c>
      <c r="D789" t="s">
        <v>142</v>
      </c>
      <c r="E789" s="729"/>
      <c r="F789" s="147">
        <v>9.9000000000000005E-2</v>
      </c>
      <c r="G789" s="147">
        <v>-9.9000000000000005E-2</v>
      </c>
      <c r="H789" s="147">
        <v>-100</v>
      </c>
      <c r="I789" s="729"/>
      <c r="J789" s="729"/>
      <c r="K789" s="729"/>
      <c r="L789" s="147">
        <v>3.0149400000000002</v>
      </c>
      <c r="M789" s="147">
        <v>1.738</v>
      </c>
      <c r="N789" s="147">
        <v>1.27694</v>
      </c>
      <c r="O789" s="147">
        <v>73.471806674338325</v>
      </c>
      <c r="P789" s="147">
        <v>1.0107600000000001</v>
      </c>
      <c r="Q789" s="147">
        <v>2.0041799999999999</v>
      </c>
      <c r="R789" s="147">
        <v>198.28445921880567</v>
      </c>
    </row>
    <row r="790" spans="2:18" ht="15.75" hidden="1" thickBot="1" x14ac:dyDescent="0.3">
      <c r="B790" s="724" t="s">
        <v>710</v>
      </c>
      <c r="C790" s="722" t="s">
        <v>113</v>
      </c>
      <c r="D790" t="s">
        <v>114</v>
      </c>
      <c r="E790" s="148">
        <v>6.8729999999999999E-2</v>
      </c>
      <c r="F790" s="148">
        <v>0.32366</v>
      </c>
      <c r="G790" s="148">
        <v>-0.25492999999999999</v>
      </c>
      <c r="H790" s="148">
        <v>-78.764753136006917</v>
      </c>
      <c r="I790" s="728"/>
      <c r="J790" s="148">
        <v>6.8729999999999999E-2</v>
      </c>
      <c r="K790" s="148">
        <v>0</v>
      </c>
      <c r="L790" s="148">
        <v>1.9096500000000001</v>
      </c>
      <c r="M790" s="148">
        <v>3.8090000000000002</v>
      </c>
      <c r="N790" s="148">
        <v>-1.8993500000000001</v>
      </c>
      <c r="O790" s="148">
        <v>-49.864793909162508</v>
      </c>
      <c r="P790" s="148">
        <v>0.93598000000000003</v>
      </c>
      <c r="Q790" s="148">
        <v>0.97367000000000004</v>
      </c>
      <c r="R790" s="148">
        <v>104.0267954443471</v>
      </c>
    </row>
    <row r="791" spans="2:18" ht="15.75" hidden="1" thickBot="1" x14ac:dyDescent="0.3">
      <c r="B791" s="724" t="s">
        <v>710</v>
      </c>
      <c r="C791" s="722" t="s">
        <v>143</v>
      </c>
      <c r="D791" t="s">
        <v>144</v>
      </c>
      <c r="E791" s="729"/>
      <c r="F791" s="729"/>
      <c r="G791" s="729"/>
      <c r="H791" s="729"/>
      <c r="I791" s="729"/>
      <c r="J791" s="729"/>
      <c r="K791" s="729"/>
      <c r="L791" s="147">
        <v>0.12195</v>
      </c>
      <c r="M791" s="729"/>
      <c r="N791" s="147">
        <v>0.12195</v>
      </c>
      <c r="O791" s="147">
        <v>0</v>
      </c>
      <c r="P791" s="147">
        <v>0.12195</v>
      </c>
      <c r="Q791" s="147">
        <v>0</v>
      </c>
      <c r="R791" s="147">
        <v>0</v>
      </c>
    </row>
    <row r="792" spans="2:18" ht="15.75" hidden="1" thickBot="1" x14ac:dyDescent="0.3">
      <c r="B792" s="724" t="s">
        <v>710</v>
      </c>
      <c r="C792" s="722" t="s">
        <v>145</v>
      </c>
      <c r="D792" t="s">
        <v>146</v>
      </c>
      <c r="E792" s="148">
        <v>0.3251</v>
      </c>
      <c r="F792" s="148">
        <v>2.5000000000000001E-2</v>
      </c>
      <c r="G792" s="148">
        <v>0.30009999999999998</v>
      </c>
      <c r="H792" s="148">
        <v>1200.4000000000001</v>
      </c>
      <c r="I792" s="728"/>
      <c r="J792" s="148">
        <v>0.3251</v>
      </c>
      <c r="K792" s="148">
        <v>0</v>
      </c>
      <c r="L792" s="148">
        <v>1.46346</v>
      </c>
      <c r="M792" s="148">
        <v>7.4999999999999997E-2</v>
      </c>
      <c r="N792" s="148">
        <v>1.38846</v>
      </c>
      <c r="O792" s="148">
        <v>1851.28</v>
      </c>
      <c r="P792" s="148">
        <v>0.51170000000000004</v>
      </c>
      <c r="Q792" s="148">
        <v>0.95176000000000005</v>
      </c>
      <c r="R792" s="148">
        <v>185.99960914598398</v>
      </c>
    </row>
    <row r="793" spans="2:18" ht="15.75" hidden="1" thickBot="1" x14ac:dyDescent="0.3">
      <c r="B793" s="724" t="s">
        <v>710</v>
      </c>
      <c r="C793" s="722" t="s">
        <v>147</v>
      </c>
      <c r="D793" t="s">
        <v>148</v>
      </c>
      <c r="E793" s="147">
        <v>3.7999999999999999E-2</v>
      </c>
      <c r="F793" s="729"/>
      <c r="G793" s="147">
        <v>3.7999999999999999E-2</v>
      </c>
      <c r="H793" s="147">
        <v>0</v>
      </c>
      <c r="I793" s="729"/>
      <c r="J793" s="147">
        <v>3.7999999999999999E-2</v>
      </c>
      <c r="K793" s="147">
        <v>0</v>
      </c>
      <c r="L793" s="147">
        <v>0.32036999999999999</v>
      </c>
      <c r="M793" s="729"/>
      <c r="N793" s="147">
        <v>0.32036999999999999</v>
      </c>
      <c r="O793" s="147">
        <v>0</v>
      </c>
      <c r="P793" s="147">
        <v>0.16436999999999999</v>
      </c>
      <c r="Q793" s="147">
        <v>0.156</v>
      </c>
      <c r="R793" s="147">
        <v>94.907829895966415</v>
      </c>
    </row>
    <row r="794" spans="2:18" ht="15.75" hidden="1" thickBot="1" x14ac:dyDescent="0.3">
      <c r="B794" s="724" t="s">
        <v>710</v>
      </c>
      <c r="C794" s="722" t="s">
        <v>149</v>
      </c>
      <c r="D794" t="s">
        <v>150</v>
      </c>
      <c r="E794" s="148">
        <v>349.19031000000001</v>
      </c>
      <c r="F794" s="148">
        <v>177.119</v>
      </c>
      <c r="G794" s="148">
        <v>172.07131000000001</v>
      </c>
      <c r="H794" s="148">
        <v>97.15011376532162</v>
      </c>
      <c r="I794" s="728"/>
      <c r="J794" s="148">
        <v>349.19031000000001</v>
      </c>
      <c r="K794" s="148">
        <v>0</v>
      </c>
      <c r="L794" s="148">
        <v>2384.3134599999998</v>
      </c>
      <c r="M794" s="148">
        <v>1942.365</v>
      </c>
      <c r="N794" s="148">
        <v>441.94846000000001</v>
      </c>
      <c r="O794" s="148">
        <v>22.753110769603037</v>
      </c>
      <c r="P794" s="148">
        <v>939.42912000000001</v>
      </c>
      <c r="Q794" s="148">
        <v>1444.8843400000001</v>
      </c>
      <c r="R794" s="148">
        <v>153.8045084231581</v>
      </c>
    </row>
    <row r="795" spans="2:18" ht="15.75" hidden="1" thickBot="1" x14ac:dyDescent="0.3">
      <c r="B795" s="724" t="s">
        <v>710</v>
      </c>
      <c r="C795" s="722" t="s">
        <v>649</v>
      </c>
      <c r="D795" t="s">
        <v>650</v>
      </c>
      <c r="E795" s="147">
        <v>15.13945</v>
      </c>
      <c r="F795" s="147">
        <v>16.682860000000002</v>
      </c>
      <c r="G795" s="147">
        <v>-1.5434099999999999</v>
      </c>
      <c r="H795" s="147">
        <v>-9.2514712705135693</v>
      </c>
      <c r="I795" s="729"/>
      <c r="J795" s="147">
        <v>15.13945</v>
      </c>
      <c r="K795" s="147">
        <v>0</v>
      </c>
      <c r="L795" s="147">
        <v>136.42735999999999</v>
      </c>
      <c r="M795" s="147">
        <v>137.99431999999999</v>
      </c>
      <c r="N795" s="147">
        <v>-1.5669599999999999</v>
      </c>
      <c r="O795" s="147">
        <v>-1.1355249984202249</v>
      </c>
      <c r="P795" s="147">
        <v>92.752120000000005</v>
      </c>
      <c r="Q795" s="147">
        <v>43.675240000000002</v>
      </c>
      <c r="R795" s="147">
        <v>47.088131247027022</v>
      </c>
    </row>
    <row r="796" spans="2:18" ht="15.75" hidden="1" thickBot="1" x14ac:dyDescent="0.3">
      <c r="B796" s="724" t="s">
        <v>710</v>
      </c>
      <c r="C796" s="722" t="s">
        <v>173</v>
      </c>
      <c r="D796" t="s">
        <v>174</v>
      </c>
      <c r="E796" s="728"/>
      <c r="F796" s="728"/>
      <c r="G796" s="728"/>
      <c r="H796" s="728"/>
      <c r="I796" s="728"/>
      <c r="J796" s="728"/>
      <c r="K796" s="728"/>
      <c r="L796" s="148">
        <v>5.3900000000000003E-2</v>
      </c>
      <c r="M796" s="728"/>
      <c r="N796" s="148">
        <v>5.3900000000000003E-2</v>
      </c>
      <c r="O796" s="148">
        <v>0</v>
      </c>
      <c r="P796" s="148">
        <v>0.23573</v>
      </c>
      <c r="Q796" s="148">
        <v>-0.18182999999999999</v>
      </c>
      <c r="R796" s="148">
        <v>-77.134857676154923</v>
      </c>
    </row>
    <row r="797" spans="2:18" ht="15.75" hidden="1" thickBot="1" x14ac:dyDescent="0.3">
      <c r="B797" s="724" t="s">
        <v>710</v>
      </c>
      <c r="C797" s="722" t="s">
        <v>479</v>
      </c>
      <c r="D797" t="s">
        <v>480</v>
      </c>
      <c r="E797" s="729"/>
      <c r="F797" s="729"/>
      <c r="G797" s="729"/>
      <c r="H797" s="729"/>
      <c r="I797" s="729"/>
      <c r="J797" s="729"/>
      <c r="K797" s="729"/>
      <c r="L797" s="147">
        <v>-0.42435</v>
      </c>
      <c r="M797" s="729"/>
      <c r="N797" s="147">
        <v>-0.42435</v>
      </c>
      <c r="O797" s="147">
        <v>0</v>
      </c>
      <c r="P797" s="147">
        <v>-0.42435</v>
      </c>
      <c r="Q797" s="147">
        <v>0</v>
      </c>
      <c r="R797" s="147">
        <v>0</v>
      </c>
    </row>
    <row r="798" spans="2:18" ht="15.75" hidden="1" thickBot="1" x14ac:dyDescent="0.3">
      <c r="B798" s="724" t="s">
        <v>710</v>
      </c>
      <c r="C798" s="722" t="s">
        <v>659</v>
      </c>
      <c r="D798" t="s">
        <v>660</v>
      </c>
      <c r="E798" s="148">
        <v>182.60186999999999</v>
      </c>
      <c r="F798" s="728"/>
      <c r="G798" s="148">
        <v>182.60186999999999</v>
      </c>
      <c r="H798" s="148">
        <v>0</v>
      </c>
      <c r="I798" s="728"/>
      <c r="J798" s="148">
        <v>182.60186999999999</v>
      </c>
      <c r="K798" s="148">
        <v>0</v>
      </c>
      <c r="L798" s="148">
        <v>182.60186999999999</v>
      </c>
      <c r="M798" s="728"/>
      <c r="N798" s="148">
        <v>182.60186999999999</v>
      </c>
      <c r="O798" s="148">
        <v>0</v>
      </c>
      <c r="P798" s="148">
        <v>4.88727</v>
      </c>
      <c r="Q798" s="148">
        <v>177.71459999999999</v>
      </c>
      <c r="R798" s="148">
        <v>3636.2754666715773</v>
      </c>
    </row>
    <row r="799" spans="2:18" ht="15.75" hidden="1" thickBot="1" x14ac:dyDescent="0.3">
      <c r="B799" s="724" t="s">
        <v>710</v>
      </c>
      <c r="C799" s="722" t="s">
        <v>673</v>
      </c>
      <c r="D799" t="s">
        <v>674</v>
      </c>
      <c r="E799" s="729"/>
      <c r="F799" s="729"/>
      <c r="G799" s="729"/>
      <c r="H799" s="729"/>
      <c r="I799" s="729"/>
      <c r="J799" s="729"/>
      <c r="K799" s="729"/>
      <c r="L799" s="147">
        <v>0.21017</v>
      </c>
      <c r="M799" s="729"/>
      <c r="N799" s="147">
        <v>0.21017</v>
      </c>
      <c r="O799" s="147">
        <v>0</v>
      </c>
      <c r="P799" s="147">
        <v>0.21017</v>
      </c>
      <c r="Q799" s="147">
        <v>0</v>
      </c>
      <c r="R799" s="147">
        <v>0</v>
      </c>
    </row>
    <row r="800" spans="2:18" ht="15.75" hidden="1" thickBot="1" x14ac:dyDescent="0.3">
      <c r="B800" s="724" t="s">
        <v>710</v>
      </c>
      <c r="C800" s="722" t="s">
        <v>675</v>
      </c>
      <c r="D800" t="s">
        <v>676</v>
      </c>
      <c r="E800" s="148">
        <v>-9.3000000000000005E-4</v>
      </c>
      <c r="F800" s="148">
        <v>1.5</v>
      </c>
      <c r="G800" s="148">
        <v>-1.5009300000000001</v>
      </c>
      <c r="H800" s="148">
        <v>-100.062</v>
      </c>
      <c r="I800" s="728"/>
      <c r="J800" s="148">
        <v>-9.3000000000000005E-4</v>
      </c>
      <c r="K800" s="148">
        <v>0</v>
      </c>
      <c r="L800" s="148">
        <v>47.567459999999997</v>
      </c>
      <c r="M800" s="148">
        <v>18</v>
      </c>
      <c r="N800" s="148">
        <v>29.567460000000001</v>
      </c>
      <c r="O800" s="148">
        <v>164.26366666666667</v>
      </c>
      <c r="P800" s="148">
        <v>-5.1173500000000001</v>
      </c>
      <c r="Q800" s="148">
        <v>52.684809999999999</v>
      </c>
      <c r="R800" s="148">
        <v>1029.533059102856</v>
      </c>
    </row>
    <row r="801" spans="2:18" ht="15.75" hidden="1" thickBot="1" x14ac:dyDescent="0.3">
      <c r="B801" s="724" t="s">
        <v>710</v>
      </c>
      <c r="C801" s="722" t="s">
        <v>75</v>
      </c>
      <c r="D801" t="s">
        <v>76</v>
      </c>
      <c r="E801" s="147">
        <v>2.6093700000000002</v>
      </c>
      <c r="F801" s="147">
        <v>3.0233300000000001</v>
      </c>
      <c r="G801" s="147">
        <v>-0.41395999999999999</v>
      </c>
      <c r="H801" s="147">
        <v>-13.692187091716749</v>
      </c>
      <c r="I801" s="729"/>
      <c r="J801" s="147">
        <v>2.6093700000000002</v>
      </c>
      <c r="K801" s="147">
        <v>0</v>
      </c>
      <c r="L801" s="147">
        <v>19.102250000000002</v>
      </c>
      <c r="M801" s="147">
        <v>27.155000000000001</v>
      </c>
      <c r="N801" s="147">
        <v>-8.0527499999999996</v>
      </c>
      <c r="O801" s="147">
        <v>-29.654759712760082</v>
      </c>
      <c r="P801" s="147">
        <v>7.3285099999999996</v>
      </c>
      <c r="Q801" s="147">
        <v>11.77374</v>
      </c>
      <c r="R801" s="147">
        <v>160.65666827226818</v>
      </c>
    </row>
    <row r="802" spans="2:18" ht="15.75" hidden="1" thickBot="1" x14ac:dyDescent="0.3">
      <c r="B802" s="724" t="s">
        <v>710</v>
      </c>
      <c r="C802" s="722" t="s">
        <v>121</v>
      </c>
      <c r="D802" t="s">
        <v>122</v>
      </c>
      <c r="E802" s="728"/>
      <c r="F802" s="728"/>
      <c r="G802" s="728"/>
      <c r="H802" s="728"/>
      <c r="I802" s="728"/>
      <c r="J802" s="728"/>
      <c r="K802" s="728"/>
      <c r="L802" s="148">
        <v>0.31418000000000001</v>
      </c>
      <c r="M802" s="728"/>
      <c r="N802" s="148">
        <v>0.31418000000000001</v>
      </c>
      <c r="O802" s="148">
        <v>0</v>
      </c>
      <c r="P802" s="148">
        <v>0.20624000000000001</v>
      </c>
      <c r="Q802" s="148">
        <v>0.10793999999999999</v>
      </c>
      <c r="R802" s="148">
        <v>52.337083010085337</v>
      </c>
    </row>
    <row r="803" spans="2:18" ht="15.75" hidden="1" thickBot="1" x14ac:dyDescent="0.3">
      <c r="B803" s="724" t="s">
        <v>710</v>
      </c>
      <c r="C803" s="722" t="s">
        <v>77</v>
      </c>
      <c r="D803" t="s">
        <v>78</v>
      </c>
      <c r="E803" s="147">
        <v>2.8692700000000002</v>
      </c>
      <c r="F803" s="147">
        <v>6.3</v>
      </c>
      <c r="G803" s="147">
        <v>-3.4307300000000001</v>
      </c>
      <c r="H803" s="147">
        <v>-54.456031746031748</v>
      </c>
      <c r="I803" s="729"/>
      <c r="J803" s="147">
        <v>2.8692700000000002</v>
      </c>
      <c r="K803" s="147">
        <v>0</v>
      </c>
      <c r="L803" s="147">
        <v>41.572920000000003</v>
      </c>
      <c r="M803" s="147">
        <v>76.3</v>
      </c>
      <c r="N803" s="147">
        <v>-34.727080000000001</v>
      </c>
      <c r="O803" s="147">
        <v>-45.513866317169068</v>
      </c>
      <c r="P803" s="147">
        <v>10.383710000000001</v>
      </c>
      <c r="Q803" s="147">
        <v>31.189209999999999</v>
      </c>
      <c r="R803" s="147">
        <v>300.3667282695684</v>
      </c>
    </row>
    <row r="804" spans="2:18" ht="15.75" hidden="1" thickBot="1" x14ac:dyDescent="0.3">
      <c r="B804" s="724" t="s">
        <v>710</v>
      </c>
      <c r="C804" s="722" t="s">
        <v>79</v>
      </c>
      <c r="D804" t="s">
        <v>80</v>
      </c>
      <c r="E804" s="148">
        <v>0.25625999999999999</v>
      </c>
      <c r="F804" s="728"/>
      <c r="G804" s="148">
        <v>0.25625999999999999</v>
      </c>
      <c r="H804" s="148">
        <v>0</v>
      </c>
      <c r="I804" s="728"/>
      <c r="J804" s="148">
        <v>0.25625999999999999</v>
      </c>
      <c r="K804" s="148">
        <v>0</v>
      </c>
      <c r="L804" s="148">
        <v>2.8892699999999998</v>
      </c>
      <c r="M804" s="728"/>
      <c r="N804" s="148">
        <v>2.8892699999999998</v>
      </c>
      <c r="O804" s="148">
        <v>0</v>
      </c>
      <c r="P804" s="148">
        <v>1.3317099999999999</v>
      </c>
      <c r="Q804" s="148">
        <v>1.5575600000000001</v>
      </c>
      <c r="R804" s="148">
        <v>116.95939806714675</v>
      </c>
    </row>
    <row r="805" spans="2:18" ht="15.75" hidden="1" thickBot="1" x14ac:dyDescent="0.3">
      <c r="B805" s="724" t="s">
        <v>710</v>
      </c>
      <c r="C805" s="722" t="s">
        <v>81</v>
      </c>
      <c r="D805" t="s">
        <v>82</v>
      </c>
      <c r="E805" s="147">
        <v>2.5880899999999998</v>
      </c>
      <c r="F805" s="147">
        <v>1.748</v>
      </c>
      <c r="G805" s="147">
        <v>0.84009</v>
      </c>
      <c r="H805" s="147">
        <v>48.060068649885586</v>
      </c>
      <c r="I805" s="729"/>
      <c r="J805" s="147">
        <v>2.5880899999999998</v>
      </c>
      <c r="K805" s="147">
        <v>0</v>
      </c>
      <c r="L805" s="147">
        <v>4.3738400000000004</v>
      </c>
      <c r="M805" s="147">
        <v>4.3680000000000003</v>
      </c>
      <c r="N805" s="147">
        <v>5.8399999999999997E-3</v>
      </c>
      <c r="O805" s="147">
        <v>0.1336996336996337</v>
      </c>
      <c r="P805" s="147">
        <v>1.5778099999999999</v>
      </c>
      <c r="Q805" s="147">
        <v>2.79603</v>
      </c>
      <c r="R805" s="147">
        <v>177.20954994581098</v>
      </c>
    </row>
    <row r="806" spans="2:18" ht="15.75" hidden="1" thickBot="1" x14ac:dyDescent="0.3">
      <c r="B806" s="724" t="s">
        <v>710</v>
      </c>
      <c r="C806" s="722" t="s">
        <v>123</v>
      </c>
      <c r="D806" t="s">
        <v>124</v>
      </c>
      <c r="E806" s="148">
        <v>0.25345000000000001</v>
      </c>
      <c r="F806" s="148">
        <v>0.5</v>
      </c>
      <c r="G806" s="148">
        <v>-0.24654999999999999</v>
      </c>
      <c r="H806" s="148">
        <v>-49.31</v>
      </c>
      <c r="I806" s="728"/>
      <c r="J806" s="148">
        <v>0.25345000000000001</v>
      </c>
      <c r="K806" s="148">
        <v>0</v>
      </c>
      <c r="L806" s="148">
        <v>1.86748</v>
      </c>
      <c r="M806" s="148">
        <v>0.5</v>
      </c>
      <c r="N806" s="148">
        <v>1.36748</v>
      </c>
      <c r="O806" s="148">
        <v>273.49599999999998</v>
      </c>
      <c r="P806" s="148">
        <v>1.10449</v>
      </c>
      <c r="Q806" s="148">
        <v>0.76298999999999995</v>
      </c>
      <c r="R806" s="148">
        <v>69.080752202373944</v>
      </c>
    </row>
    <row r="807" spans="2:18" ht="15.75" hidden="1" thickBot="1" x14ac:dyDescent="0.3">
      <c r="B807" s="724" t="s">
        <v>710</v>
      </c>
      <c r="C807" s="722" t="s">
        <v>685</v>
      </c>
      <c r="D807" t="s">
        <v>686</v>
      </c>
      <c r="E807" s="729"/>
      <c r="F807" s="729"/>
      <c r="G807" s="729"/>
      <c r="H807" s="729"/>
      <c r="I807" s="729"/>
      <c r="J807" s="729"/>
      <c r="K807" s="729"/>
      <c r="L807" s="147">
        <v>0</v>
      </c>
      <c r="M807" s="729"/>
      <c r="N807" s="147">
        <v>0</v>
      </c>
      <c r="O807" s="147">
        <v>0</v>
      </c>
      <c r="P807" s="729"/>
      <c r="Q807" s="147">
        <v>0</v>
      </c>
      <c r="R807" s="147">
        <v>0</v>
      </c>
    </row>
    <row r="808" spans="2:18" ht="15.75" hidden="1" thickBot="1" x14ac:dyDescent="0.3">
      <c r="B808" s="724" t="s">
        <v>710</v>
      </c>
      <c r="C808" s="722" t="s">
        <v>209</v>
      </c>
      <c r="D808" t="s">
        <v>210</v>
      </c>
      <c r="E808" s="728"/>
      <c r="F808" s="728"/>
      <c r="G808" s="728"/>
      <c r="H808" s="728"/>
      <c r="I808" s="728"/>
      <c r="J808" s="728"/>
      <c r="K808" s="728"/>
      <c r="L808" s="148">
        <v>4.9199999999999999E-3</v>
      </c>
      <c r="M808" s="728"/>
      <c r="N808" s="148">
        <v>4.9199999999999999E-3</v>
      </c>
      <c r="O808" s="148">
        <v>0</v>
      </c>
      <c r="P808" s="148">
        <v>2.3500000000000001E-3</v>
      </c>
      <c r="Q808" s="148">
        <v>2.5699999999999998E-3</v>
      </c>
      <c r="R808" s="148">
        <v>109.36170212765957</v>
      </c>
    </row>
    <row r="809" spans="2:18" ht="15.75" hidden="1" thickBot="1" x14ac:dyDescent="0.3">
      <c r="B809" s="724" t="s">
        <v>710</v>
      </c>
      <c r="C809" s="722" t="s">
        <v>83</v>
      </c>
      <c r="D809" t="s">
        <v>84</v>
      </c>
      <c r="E809" s="729"/>
      <c r="F809" s="147">
        <v>1.41</v>
      </c>
      <c r="G809" s="147">
        <v>-1.41</v>
      </c>
      <c r="H809" s="147">
        <v>-100</v>
      </c>
      <c r="I809" s="729"/>
      <c r="J809" s="729"/>
      <c r="K809" s="729"/>
      <c r="L809" s="729"/>
      <c r="M809" s="147">
        <v>19.420000000000002</v>
      </c>
      <c r="N809" s="147">
        <v>-19.420000000000002</v>
      </c>
      <c r="O809" s="147">
        <v>-100</v>
      </c>
      <c r="P809" s="729"/>
      <c r="Q809" s="729"/>
      <c r="R809" s="729"/>
    </row>
    <row r="810" spans="2:18" ht="15.75" hidden="1" thickBot="1" x14ac:dyDescent="0.3">
      <c r="B810" s="724" t="s">
        <v>710</v>
      </c>
      <c r="C810" s="149" t="s">
        <v>85</v>
      </c>
      <c r="D810" t="s">
        <v>86</v>
      </c>
      <c r="E810" s="148">
        <v>841.00004000000001</v>
      </c>
      <c r="F810" s="148">
        <v>474.43543</v>
      </c>
      <c r="G810" s="148">
        <v>366.56461000000002</v>
      </c>
      <c r="H810" s="148">
        <v>77.26332959576817</v>
      </c>
      <c r="I810" s="728"/>
      <c r="J810" s="148">
        <v>841.00004000000001</v>
      </c>
      <c r="K810" s="148">
        <v>0</v>
      </c>
      <c r="L810" s="148">
        <v>6252.58896</v>
      </c>
      <c r="M810" s="148">
        <v>5627.8733400000001</v>
      </c>
      <c r="N810" s="148">
        <v>624.71561999999994</v>
      </c>
      <c r="O810" s="148">
        <v>11.100385212294064</v>
      </c>
      <c r="P810" s="148">
        <v>2729.9347899999998</v>
      </c>
      <c r="Q810" s="148">
        <v>3522.6541699999998</v>
      </c>
      <c r="R810" s="148">
        <v>129.03803354218581</v>
      </c>
    </row>
    <row r="811" spans="2:18" ht="15.75" hidden="1" thickBot="1" x14ac:dyDescent="0.3">
      <c r="B811" s="724" t="s">
        <v>710</v>
      </c>
      <c r="C811" s="144" t="s">
        <v>87</v>
      </c>
      <c r="D811" t="s">
        <v>87</v>
      </c>
      <c r="E811" s="147">
        <v>1197.9237599999999</v>
      </c>
      <c r="F811" s="147">
        <v>880.11586999999997</v>
      </c>
      <c r="G811" s="147">
        <v>317.80788999999999</v>
      </c>
      <c r="H811" s="147">
        <v>36.10977836361478</v>
      </c>
      <c r="I811" s="729"/>
      <c r="J811" s="147">
        <v>1197.9237599999999</v>
      </c>
      <c r="K811" s="147">
        <v>0</v>
      </c>
      <c r="L811" s="147">
        <v>11100.94405</v>
      </c>
      <c r="M811" s="147">
        <v>10456.443010000001</v>
      </c>
      <c r="N811" s="147">
        <v>644.50103999999999</v>
      </c>
      <c r="O811" s="147">
        <v>6.1636738170296788</v>
      </c>
      <c r="P811" s="147">
        <v>5218.3509899999999</v>
      </c>
      <c r="Q811" s="147">
        <v>5882.5930600000002</v>
      </c>
      <c r="R811" s="147">
        <v>112.72896497903066</v>
      </c>
    </row>
    <row r="812" spans="2:18" ht="15.75" hidden="1" thickBot="1" x14ac:dyDescent="0.3">
      <c r="B812" s="725" t="s">
        <v>711</v>
      </c>
      <c r="C812" s="722" t="s">
        <v>59</v>
      </c>
      <c r="D812" t="s">
        <v>60</v>
      </c>
      <c r="E812" s="148">
        <v>37.132759999999998</v>
      </c>
      <c r="F812" s="148">
        <v>64.021810000000002</v>
      </c>
      <c r="G812" s="148">
        <v>-26.889050000000001</v>
      </c>
      <c r="H812" s="148">
        <v>-41.999827871158281</v>
      </c>
      <c r="I812" s="728"/>
      <c r="J812" s="148">
        <v>37.132759999999998</v>
      </c>
      <c r="K812" s="148">
        <v>0</v>
      </c>
      <c r="L812" s="148">
        <v>670.73811999999998</v>
      </c>
      <c r="M812" s="148">
        <v>764.23130000000003</v>
      </c>
      <c r="N812" s="148">
        <v>-93.493179999999995</v>
      </c>
      <c r="O812" s="148">
        <v>-12.233623511625341</v>
      </c>
      <c r="P812" s="148">
        <v>363.79405000000003</v>
      </c>
      <c r="Q812" s="148">
        <v>306.94407000000001</v>
      </c>
      <c r="R812" s="148">
        <v>84.373031939362392</v>
      </c>
    </row>
    <row r="813" spans="2:18" ht="15.75" hidden="1" thickBot="1" x14ac:dyDescent="0.3">
      <c r="B813" s="725" t="s">
        <v>711</v>
      </c>
      <c r="C813" s="722" t="s">
        <v>134</v>
      </c>
      <c r="D813" t="s">
        <v>135</v>
      </c>
      <c r="E813" s="147">
        <v>1</v>
      </c>
      <c r="F813" s="729"/>
      <c r="G813" s="147">
        <v>1</v>
      </c>
      <c r="H813" s="147">
        <v>0</v>
      </c>
      <c r="I813" s="729"/>
      <c r="J813" s="147">
        <v>1</v>
      </c>
      <c r="K813" s="147">
        <v>0</v>
      </c>
      <c r="L813" s="147">
        <v>2</v>
      </c>
      <c r="M813" s="729"/>
      <c r="N813" s="147">
        <v>2</v>
      </c>
      <c r="O813" s="147">
        <v>0</v>
      </c>
      <c r="P813" s="729"/>
      <c r="Q813" s="147">
        <v>2</v>
      </c>
      <c r="R813" s="147">
        <v>0</v>
      </c>
    </row>
    <row r="814" spans="2:18" ht="15.75" hidden="1" thickBot="1" x14ac:dyDescent="0.3">
      <c r="B814" s="725" t="s">
        <v>711</v>
      </c>
      <c r="C814" s="722" t="s">
        <v>61</v>
      </c>
      <c r="D814" t="s">
        <v>62</v>
      </c>
      <c r="E814" s="148">
        <v>7.3089599999999999</v>
      </c>
      <c r="F814" s="148">
        <v>9.9233799999999999</v>
      </c>
      <c r="G814" s="148">
        <v>-2.61442</v>
      </c>
      <c r="H814" s="148">
        <v>-26.346063538834549</v>
      </c>
      <c r="I814" s="728"/>
      <c r="J814" s="148">
        <v>7.3089599999999999</v>
      </c>
      <c r="K814" s="148">
        <v>0</v>
      </c>
      <c r="L814" s="148">
        <v>101.84218</v>
      </c>
      <c r="M814" s="148">
        <v>118.45583999999999</v>
      </c>
      <c r="N814" s="148">
        <v>-16.613659999999999</v>
      </c>
      <c r="O814" s="148">
        <v>-14.02519284823779</v>
      </c>
      <c r="P814" s="148">
        <v>53.484540000000003</v>
      </c>
      <c r="Q814" s="148">
        <v>48.357640000000004</v>
      </c>
      <c r="R814" s="148">
        <v>90.414239329720331</v>
      </c>
    </row>
    <row r="815" spans="2:18" ht="15.75" hidden="1" thickBot="1" x14ac:dyDescent="0.3">
      <c r="B815" s="725" t="s">
        <v>711</v>
      </c>
      <c r="C815" s="722" t="s">
        <v>63</v>
      </c>
      <c r="D815" t="s">
        <v>64</v>
      </c>
      <c r="E815" s="147">
        <v>28.494669999999999</v>
      </c>
      <c r="F815" s="147">
        <v>38.605150000000002</v>
      </c>
      <c r="G815" s="147">
        <v>-10.110480000000001</v>
      </c>
      <c r="H815" s="147">
        <v>-26.18945917837387</v>
      </c>
      <c r="I815" s="729"/>
      <c r="J815" s="147">
        <v>28.494669999999999</v>
      </c>
      <c r="K815" s="147">
        <v>0</v>
      </c>
      <c r="L815" s="147">
        <v>395.84960000000001</v>
      </c>
      <c r="M815" s="147">
        <v>460.83145999999999</v>
      </c>
      <c r="N815" s="147">
        <v>-64.981859999999998</v>
      </c>
      <c r="O815" s="147">
        <v>-14.101003434097143</v>
      </c>
      <c r="P815" s="147">
        <v>207.78368</v>
      </c>
      <c r="Q815" s="147">
        <v>188.06592000000001</v>
      </c>
      <c r="R815" s="147">
        <v>90.510438548398028</v>
      </c>
    </row>
    <row r="816" spans="2:18" ht="15.75" hidden="1" thickBot="1" x14ac:dyDescent="0.3">
      <c r="B816" s="725" t="s">
        <v>711</v>
      </c>
      <c r="C816" s="722" t="s">
        <v>156</v>
      </c>
      <c r="D816" t="s">
        <v>157</v>
      </c>
      <c r="E816" s="148">
        <v>27.37725</v>
      </c>
      <c r="F816" s="728"/>
      <c r="G816" s="148">
        <v>27.37725</v>
      </c>
      <c r="H816" s="148">
        <v>0</v>
      </c>
      <c r="I816" s="728"/>
      <c r="J816" s="148">
        <v>27.37725</v>
      </c>
      <c r="K816" s="148">
        <v>0</v>
      </c>
      <c r="L816" s="148">
        <v>221.29884000000001</v>
      </c>
      <c r="M816" s="728"/>
      <c r="N816" s="148">
        <v>221.29884000000001</v>
      </c>
      <c r="O816" s="148">
        <v>0</v>
      </c>
      <c r="P816" s="148">
        <v>105.93577999999999</v>
      </c>
      <c r="Q816" s="148">
        <v>115.36306</v>
      </c>
      <c r="R816" s="148">
        <v>108.89905185953225</v>
      </c>
    </row>
    <row r="817" spans="2:18" ht="15.75" hidden="1" thickBot="1" x14ac:dyDescent="0.3">
      <c r="B817" s="725" t="s">
        <v>711</v>
      </c>
      <c r="C817" s="722" t="s">
        <v>65</v>
      </c>
      <c r="D817" t="s">
        <v>66</v>
      </c>
      <c r="E817" s="147">
        <v>-110.99056</v>
      </c>
      <c r="F817" s="147">
        <v>-80.304569999999998</v>
      </c>
      <c r="G817" s="147">
        <v>-30.68599</v>
      </c>
      <c r="H817" s="147">
        <v>-38.212009602940405</v>
      </c>
      <c r="I817" s="729"/>
      <c r="J817" s="147">
        <v>-110.99056</v>
      </c>
      <c r="K817" s="147">
        <v>0</v>
      </c>
      <c r="L817" s="147">
        <v>-1056.7019399999999</v>
      </c>
      <c r="M817" s="147">
        <v>-958.77671999999995</v>
      </c>
      <c r="N817" s="147">
        <v>-97.925219999999996</v>
      </c>
      <c r="O817" s="147">
        <v>-10.213558376761588</v>
      </c>
      <c r="P817" s="147">
        <v>-580.42614000000003</v>
      </c>
      <c r="Q817" s="147">
        <v>-476.2758</v>
      </c>
      <c r="R817" s="147">
        <v>-82.056228549596341</v>
      </c>
    </row>
    <row r="818" spans="2:18" ht="15.75" hidden="1" thickBot="1" x14ac:dyDescent="0.3">
      <c r="B818" s="725" t="s">
        <v>711</v>
      </c>
      <c r="C818" s="149" t="s">
        <v>67</v>
      </c>
      <c r="D818" t="s">
        <v>68</v>
      </c>
      <c r="E818" s="148">
        <v>-9.6769200000000009</v>
      </c>
      <c r="F818" s="148">
        <v>32.24577</v>
      </c>
      <c r="G818" s="148">
        <v>-41.922690000000003</v>
      </c>
      <c r="H818" s="148">
        <v>-130.00988966924965</v>
      </c>
      <c r="I818" s="728"/>
      <c r="J818" s="148">
        <v>-9.6769200000000009</v>
      </c>
      <c r="K818" s="148">
        <v>0</v>
      </c>
      <c r="L818" s="148">
        <v>335.02679999999998</v>
      </c>
      <c r="M818" s="148">
        <v>384.74187999999998</v>
      </c>
      <c r="N818" s="148">
        <v>-49.71508</v>
      </c>
      <c r="O818" s="148">
        <v>-12.921671017462408</v>
      </c>
      <c r="P818" s="148">
        <v>150.57191</v>
      </c>
      <c r="Q818" s="148">
        <v>184.45489000000001</v>
      </c>
      <c r="R818" s="148">
        <v>122.50285594437901</v>
      </c>
    </row>
    <row r="819" spans="2:18" ht="15.75" hidden="1" thickBot="1" x14ac:dyDescent="0.3">
      <c r="B819" s="725" t="s">
        <v>711</v>
      </c>
      <c r="C819" s="722" t="s">
        <v>69</v>
      </c>
      <c r="D819" t="s">
        <v>70</v>
      </c>
      <c r="E819" s="729"/>
      <c r="F819" s="147">
        <v>0.8</v>
      </c>
      <c r="G819" s="147">
        <v>-0.8</v>
      </c>
      <c r="H819" s="147">
        <v>-100</v>
      </c>
      <c r="I819" s="729"/>
      <c r="J819" s="729"/>
      <c r="K819" s="729"/>
      <c r="L819" s="729"/>
      <c r="M819" s="147">
        <v>9.6</v>
      </c>
      <c r="N819" s="147">
        <v>-9.6</v>
      </c>
      <c r="O819" s="147">
        <v>-100</v>
      </c>
      <c r="P819" s="729"/>
      <c r="Q819" s="729"/>
      <c r="R819" s="729"/>
    </row>
    <row r="820" spans="2:18" ht="15.75" hidden="1" thickBot="1" x14ac:dyDescent="0.3">
      <c r="B820" s="725" t="s">
        <v>711</v>
      </c>
      <c r="C820" s="722" t="s">
        <v>99</v>
      </c>
      <c r="D820" t="s">
        <v>100</v>
      </c>
      <c r="E820" s="728"/>
      <c r="F820" s="728"/>
      <c r="G820" s="728"/>
      <c r="H820" s="728"/>
      <c r="I820" s="728"/>
      <c r="J820" s="728"/>
      <c r="K820" s="728"/>
      <c r="L820" s="148">
        <v>0.76854</v>
      </c>
      <c r="M820" s="728"/>
      <c r="N820" s="148">
        <v>0.76854</v>
      </c>
      <c r="O820" s="148">
        <v>0</v>
      </c>
      <c r="P820" s="148">
        <v>0.76854</v>
      </c>
      <c r="Q820" s="148">
        <v>0</v>
      </c>
      <c r="R820" s="148">
        <v>0</v>
      </c>
    </row>
    <row r="821" spans="2:18" ht="15.75" hidden="1" thickBot="1" x14ac:dyDescent="0.3">
      <c r="B821" s="725" t="s">
        <v>711</v>
      </c>
      <c r="C821" s="722" t="s">
        <v>137</v>
      </c>
      <c r="D821" t="s">
        <v>138</v>
      </c>
      <c r="E821" s="147">
        <v>0.24171999999999999</v>
      </c>
      <c r="F821" s="147">
        <v>0.4</v>
      </c>
      <c r="G821" s="147">
        <v>-0.15828</v>
      </c>
      <c r="H821" s="147">
        <v>-39.57</v>
      </c>
      <c r="I821" s="729"/>
      <c r="J821" s="147">
        <v>0.24171999999999999</v>
      </c>
      <c r="K821" s="147">
        <v>0</v>
      </c>
      <c r="L821" s="147">
        <v>3.2760199999999999</v>
      </c>
      <c r="M821" s="147">
        <v>4.8</v>
      </c>
      <c r="N821" s="147">
        <v>-1.5239799999999999</v>
      </c>
      <c r="O821" s="147">
        <v>-31.749583333333334</v>
      </c>
      <c r="P821" s="147">
        <v>1.54162</v>
      </c>
      <c r="Q821" s="147">
        <v>1.7343999999999999</v>
      </c>
      <c r="R821" s="147">
        <v>112.50502717920109</v>
      </c>
    </row>
    <row r="822" spans="2:18" ht="15.75" hidden="1" thickBot="1" x14ac:dyDescent="0.3">
      <c r="B822" s="725" t="s">
        <v>711</v>
      </c>
      <c r="C822" s="722" t="s">
        <v>190</v>
      </c>
      <c r="D822" t="s">
        <v>191</v>
      </c>
      <c r="E822" s="148">
        <v>0.01</v>
      </c>
      <c r="F822" s="728"/>
      <c r="G822" s="148">
        <v>0.01</v>
      </c>
      <c r="H822" s="148">
        <v>0</v>
      </c>
      <c r="I822" s="728"/>
      <c r="J822" s="148">
        <v>0.01</v>
      </c>
      <c r="K822" s="148">
        <v>0</v>
      </c>
      <c r="L822" s="148">
        <v>0.68642999999999998</v>
      </c>
      <c r="M822" s="728"/>
      <c r="N822" s="148">
        <v>0.68642999999999998</v>
      </c>
      <c r="O822" s="148">
        <v>0</v>
      </c>
      <c r="P822" s="148">
        <v>0.58103000000000005</v>
      </c>
      <c r="Q822" s="148">
        <v>0.10539999999999999</v>
      </c>
      <c r="R822" s="148">
        <v>18.140199301240902</v>
      </c>
    </row>
    <row r="823" spans="2:18" ht="15.75" hidden="1" thickBot="1" x14ac:dyDescent="0.3">
      <c r="B823" s="725" t="s">
        <v>711</v>
      </c>
      <c r="C823" s="722" t="s">
        <v>139</v>
      </c>
      <c r="D823" t="s">
        <v>140</v>
      </c>
      <c r="E823" s="729"/>
      <c r="F823" s="147">
        <v>0</v>
      </c>
      <c r="G823" s="147">
        <v>0</v>
      </c>
      <c r="H823" s="147">
        <v>0</v>
      </c>
      <c r="I823" s="729"/>
      <c r="J823" s="729"/>
      <c r="K823" s="729"/>
      <c r="L823" s="147">
        <v>9.5790000000000006</v>
      </c>
      <c r="M823" s="147">
        <v>9.6</v>
      </c>
      <c r="N823" s="147">
        <v>-2.1000000000000001E-2</v>
      </c>
      <c r="O823" s="147">
        <v>-0.21875</v>
      </c>
      <c r="P823" s="147">
        <v>2.79</v>
      </c>
      <c r="Q823" s="147">
        <v>6.7889999999999997</v>
      </c>
      <c r="R823" s="147">
        <v>243.33333333333334</v>
      </c>
    </row>
    <row r="824" spans="2:18" ht="15.75" hidden="1" thickBot="1" x14ac:dyDescent="0.3">
      <c r="B824" s="725" t="s">
        <v>711</v>
      </c>
      <c r="C824" s="722" t="s">
        <v>169</v>
      </c>
      <c r="D824" t="s">
        <v>170</v>
      </c>
      <c r="E824" s="148">
        <v>5.7750000000000004</v>
      </c>
      <c r="F824" s="148">
        <v>0.4</v>
      </c>
      <c r="G824" s="148">
        <v>5.375</v>
      </c>
      <c r="H824" s="148">
        <v>1343.75</v>
      </c>
      <c r="I824" s="728"/>
      <c r="J824" s="148">
        <v>5.7750000000000004</v>
      </c>
      <c r="K824" s="148">
        <v>0</v>
      </c>
      <c r="L824" s="148">
        <v>5.7750000000000004</v>
      </c>
      <c r="M824" s="148">
        <v>4.8</v>
      </c>
      <c r="N824" s="148">
        <v>0.97499999999999998</v>
      </c>
      <c r="O824" s="148">
        <v>20.3125</v>
      </c>
      <c r="P824" s="728"/>
      <c r="Q824" s="148">
        <v>5.7750000000000004</v>
      </c>
      <c r="R824" s="148">
        <v>0</v>
      </c>
    </row>
    <row r="825" spans="2:18" ht="15.75" hidden="1" thickBot="1" x14ac:dyDescent="0.3">
      <c r="B825" s="725" t="s">
        <v>711</v>
      </c>
      <c r="C825" s="722" t="s">
        <v>101</v>
      </c>
      <c r="D825" t="s">
        <v>102</v>
      </c>
      <c r="E825" s="147">
        <v>2.46E-2</v>
      </c>
      <c r="F825" s="147">
        <v>1.45</v>
      </c>
      <c r="G825" s="147">
        <v>-1.4254</v>
      </c>
      <c r="H825" s="147">
        <v>-98.303448275862067</v>
      </c>
      <c r="I825" s="729"/>
      <c r="J825" s="147">
        <v>2.46E-2</v>
      </c>
      <c r="K825" s="147">
        <v>0</v>
      </c>
      <c r="L825" s="147">
        <v>8.4654399999999992</v>
      </c>
      <c r="M825" s="147">
        <v>17.399999999999999</v>
      </c>
      <c r="N825" s="147">
        <v>-8.9345599999999994</v>
      </c>
      <c r="O825" s="147">
        <v>-51.348045977011495</v>
      </c>
      <c r="P825" s="147">
        <v>0.96828999999999998</v>
      </c>
      <c r="Q825" s="147">
        <v>7.4971500000000004</v>
      </c>
      <c r="R825" s="147">
        <v>774.26700678515738</v>
      </c>
    </row>
    <row r="826" spans="2:18" ht="15.75" hidden="1" thickBot="1" x14ac:dyDescent="0.3">
      <c r="B826" s="725" t="s">
        <v>711</v>
      </c>
      <c r="C826" s="722" t="s">
        <v>103</v>
      </c>
      <c r="D826" t="s">
        <v>104</v>
      </c>
      <c r="E826" s="148">
        <v>3.9899999999999996E-3</v>
      </c>
      <c r="F826" s="728"/>
      <c r="G826" s="148">
        <v>3.9899999999999996E-3</v>
      </c>
      <c r="H826" s="148">
        <v>0</v>
      </c>
      <c r="I826" s="728"/>
      <c r="J826" s="148">
        <v>3.9899999999999996E-3</v>
      </c>
      <c r="K826" s="148">
        <v>0</v>
      </c>
      <c r="L826" s="148">
        <v>2.1896599999999999</v>
      </c>
      <c r="M826" s="728"/>
      <c r="N826" s="148">
        <v>2.1896599999999999</v>
      </c>
      <c r="O826" s="148">
        <v>0</v>
      </c>
      <c r="P826" s="148">
        <v>1.38E-2</v>
      </c>
      <c r="Q826" s="148">
        <v>2.1758600000000001</v>
      </c>
      <c r="R826" s="148">
        <v>15767.101449275362</v>
      </c>
    </row>
    <row r="827" spans="2:18" ht="15.75" hidden="1" thickBot="1" x14ac:dyDescent="0.3">
      <c r="B827" s="725" t="s">
        <v>711</v>
      </c>
      <c r="C827" s="722" t="s">
        <v>109</v>
      </c>
      <c r="D827" t="s">
        <v>110</v>
      </c>
      <c r="E827" s="729"/>
      <c r="F827" s="729"/>
      <c r="G827" s="729"/>
      <c r="H827" s="729"/>
      <c r="I827" s="729"/>
      <c r="J827" s="729"/>
      <c r="K827" s="729"/>
      <c r="L827" s="147">
        <v>2.5000000000000001E-2</v>
      </c>
      <c r="M827" s="729"/>
      <c r="N827" s="147">
        <v>2.5000000000000001E-2</v>
      </c>
      <c r="O827" s="147">
        <v>0</v>
      </c>
      <c r="P827" s="729"/>
      <c r="Q827" s="147">
        <v>2.5000000000000001E-2</v>
      </c>
      <c r="R827" s="147">
        <v>0</v>
      </c>
    </row>
    <row r="828" spans="2:18" ht="15.75" hidden="1" thickBot="1" x14ac:dyDescent="0.3">
      <c r="B828" s="725" t="s">
        <v>711</v>
      </c>
      <c r="C828" s="722" t="s">
        <v>73</v>
      </c>
      <c r="D828" t="s">
        <v>74</v>
      </c>
      <c r="E828" s="148">
        <v>4.8180000000000001E-2</v>
      </c>
      <c r="F828" s="728"/>
      <c r="G828" s="148">
        <v>4.8180000000000001E-2</v>
      </c>
      <c r="H828" s="148">
        <v>0</v>
      </c>
      <c r="I828" s="728"/>
      <c r="J828" s="148">
        <v>4.8180000000000001E-2</v>
      </c>
      <c r="K828" s="148">
        <v>0</v>
      </c>
      <c r="L828" s="148">
        <v>0.95555999999999996</v>
      </c>
      <c r="M828" s="728"/>
      <c r="N828" s="148">
        <v>0.95555999999999996</v>
      </c>
      <c r="O828" s="148">
        <v>0</v>
      </c>
      <c r="P828" s="148">
        <v>0.30991000000000002</v>
      </c>
      <c r="Q828" s="148">
        <v>0.64564999999999995</v>
      </c>
      <c r="R828" s="148">
        <v>208.3346778096867</v>
      </c>
    </row>
    <row r="829" spans="2:18" ht="15.75" hidden="1" thickBot="1" x14ac:dyDescent="0.3">
      <c r="B829" s="725" t="s">
        <v>711</v>
      </c>
      <c r="C829" s="722" t="s">
        <v>141</v>
      </c>
      <c r="D829" t="s">
        <v>142</v>
      </c>
      <c r="E829" s="729"/>
      <c r="F829" s="729"/>
      <c r="G829" s="729"/>
      <c r="H829" s="729"/>
      <c r="I829" s="729"/>
      <c r="J829" s="729"/>
      <c r="K829" s="729"/>
      <c r="L829" s="147">
        <v>0.109</v>
      </c>
      <c r="M829" s="729"/>
      <c r="N829" s="147">
        <v>0.109</v>
      </c>
      <c r="O829" s="147">
        <v>0</v>
      </c>
      <c r="P829" s="147">
        <v>0.109</v>
      </c>
      <c r="Q829" s="147">
        <v>0</v>
      </c>
      <c r="R829" s="147">
        <v>0</v>
      </c>
    </row>
    <row r="830" spans="2:18" ht="15.75" hidden="1" thickBot="1" x14ac:dyDescent="0.3">
      <c r="B830" s="725" t="s">
        <v>711</v>
      </c>
      <c r="C830" s="722" t="s">
        <v>113</v>
      </c>
      <c r="D830" t="s">
        <v>114</v>
      </c>
      <c r="E830" s="728"/>
      <c r="F830" s="728"/>
      <c r="G830" s="728"/>
      <c r="H830" s="728"/>
      <c r="I830" s="728"/>
      <c r="J830" s="728"/>
      <c r="K830" s="728"/>
      <c r="L830" s="148">
        <v>0.10569000000000001</v>
      </c>
      <c r="M830" s="728"/>
      <c r="N830" s="148">
        <v>0.10569000000000001</v>
      </c>
      <c r="O830" s="148">
        <v>0</v>
      </c>
      <c r="P830" s="148">
        <v>4.4179999999999997E-2</v>
      </c>
      <c r="Q830" s="148">
        <v>6.1510000000000002E-2</v>
      </c>
      <c r="R830" s="148">
        <v>139.2258940697148</v>
      </c>
    </row>
    <row r="831" spans="2:18" ht="15.75" hidden="1" thickBot="1" x14ac:dyDescent="0.3">
      <c r="B831" s="725" t="s">
        <v>711</v>
      </c>
      <c r="C831" s="722" t="s">
        <v>143</v>
      </c>
      <c r="D831" t="s">
        <v>144</v>
      </c>
      <c r="E831" s="729"/>
      <c r="F831" s="729"/>
      <c r="G831" s="729"/>
      <c r="H831" s="729"/>
      <c r="I831" s="729"/>
      <c r="J831" s="729"/>
      <c r="K831" s="729"/>
      <c r="L831" s="147">
        <v>0.12195</v>
      </c>
      <c r="M831" s="729"/>
      <c r="N831" s="147">
        <v>0.12195</v>
      </c>
      <c r="O831" s="147">
        <v>0</v>
      </c>
      <c r="P831" s="147">
        <v>0.12195</v>
      </c>
      <c r="Q831" s="147">
        <v>0</v>
      </c>
      <c r="R831" s="147">
        <v>0</v>
      </c>
    </row>
    <row r="832" spans="2:18" ht="15.75" hidden="1" thickBot="1" x14ac:dyDescent="0.3">
      <c r="B832" s="725" t="s">
        <v>711</v>
      </c>
      <c r="C832" s="722" t="s">
        <v>145</v>
      </c>
      <c r="D832" t="s">
        <v>146</v>
      </c>
      <c r="E832" s="148">
        <v>6.0400000000000002E-2</v>
      </c>
      <c r="F832" s="728"/>
      <c r="G832" s="148">
        <v>6.0400000000000002E-2</v>
      </c>
      <c r="H832" s="148">
        <v>0</v>
      </c>
      <c r="I832" s="728"/>
      <c r="J832" s="148">
        <v>6.0400000000000002E-2</v>
      </c>
      <c r="K832" s="148">
        <v>0</v>
      </c>
      <c r="L832" s="148">
        <v>0.70591999999999999</v>
      </c>
      <c r="M832" s="728"/>
      <c r="N832" s="148">
        <v>0.70591999999999999</v>
      </c>
      <c r="O832" s="148">
        <v>0</v>
      </c>
      <c r="P832" s="148">
        <v>0.31969999999999998</v>
      </c>
      <c r="Q832" s="148">
        <v>0.38622000000000001</v>
      </c>
      <c r="R832" s="148">
        <v>120.80700656865811</v>
      </c>
    </row>
    <row r="833" spans="2:18" ht="15.75" hidden="1" thickBot="1" x14ac:dyDescent="0.3">
      <c r="B833" s="725" t="s">
        <v>711</v>
      </c>
      <c r="C833" s="722" t="s">
        <v>147</v>
      </c>
      <c r="D833" t="s">
        <v>148</v>
      </c>
      <c r="E833" s="729"/>
      <c r="F833" s="729"/>
      <c r="G833" s="729"/>
      <c r="H833" s="729"/>
      <c r="I833" s="729"/>
      <c r="J833" s="729"/>
      <c r="K833" s="729"/>
      <c r="L833" s="147">
        <v>5.6000000000000001E-2</v>
      </c>
      <c r="M833" s="729"/>
      <c r="N833" s="147">
        <v>5.6000000000000001E-2</v>
      </c>
      <c r="O833" s="147">
        <v>0</v>
      </c>
      <c r="P833" s="147">
        <v>5.6000000000000001E-2</v>
      </c>
      <c r="Q833" s="147">
        <v>0</v>
      </c>
      <c r="R833" s="147">
        <v>0</v>
      </c>
    </row>
    <row r="834" spans="2:18" ht="15.75" hidden="1" thickBot="1" x14ac:dyDescent="0.3">
      <c r="B834" s="725" t="s">
        <v>711</v>
      </c>
      <c r="C834" s="722" t="s">
        <v>149</v>
      </c>
      <c r="D834" t="s">
        <v>150</v>
      </c>
      <c r="E834" s="728"/>
      <c r="F834" s="148">
        <v>0.5</v>
      </c>
      <c r="G834" s="148">
        <v>-0.5</v>
      </c>
      <c r="H834" s="148">
        <v>-100</v>
      </c>
      <c r="I834" s="728"/>
      <c r="J834" s="728"/>
      <c r="K834" s="728"/>
      <c r="L834" s="148">
        <v>-4.7670000000000003</v>
      </c>
      <c r="M834" s="148">
        <v>6</v>
      </c>
      <c r="N834" s="148">
        <v>-10.766999999999999</v>
      </c>
      <c r="O834" s="148">
        <v>-179.45</v>
      </c>
      <c r="P834" s="148">
        <v>-4.7670000000000003</v>
      </c>
      <c r="Q834" s="148">
        <v>0</v>
      </c>
      <c r="R834" s="148">
        <v>0</v>
      </c>
    </row>
    <row r="835" spans="2:18" ht="15.75" hidden="1" thickBot="1" x14ac:dyDescent="0.3">
      <c r="B835" s="725" t="s">
        <v>711</v>
      </c>
      <c r="C835" s="722" t="s">
        <v>173</v>
      </c>
      <c r="D835" t="s">
        <v>174</v>
      </c>
      <c r="E835" s="729"/>
      <c r="F835" s="729"/>
      <c r="G835" s="729"/>
      <c r="H835" s="729"/>
      <c r="I835" s="729"/>
      <c r="J835" s="729"/>
      <c r="K835" s="729"/>
      <c r="L835" s="147">
        <v>-0.26862000000000003</v>
      </c>
      <c r="M835" s="729"/>
      <c r="N835" s="147">
        <v>-0.26862000000000003</v>
      </c>
      <c r="O835" s="147">
        <v>0</v>
      </c>
      <c r="P835" s="729"/>
      <c r="Q835" s="147">
        <v>-0.26862000000000003</v>
      </c>
      <c r="R835" s="147">
        <v>0</v>
      </c>
    </row>
    <row r="836" spans="2:18" ht="15.75" hidden="1" thickBot="1" x14ac:dyDescent="0.3">
      <c r="B836" s="725" t="s">
        <v>711</v>
      </c>
      <c r="C836" s="722" t="s">
        <v>673</v>
      </c>
      <c r="D836" t="s">
        <v>674</v>
      </c>
      <c r="E836" s="728"/>
      <c r="F836" s="728"/>
      <c r="G836" s="728"/>
      <c r="H836" s="728"/>
      <c r="I836" s="728"/>
      <c r="J836" s="728"/>
      <c r="K836" s="728"/>
      <c r="L836" s="148">
        <v>0.17282</v>
      </c>
      <c r="M836" s="728"/>
      <c r="N836" s="148">
        <v>0.17282</v>
      </c>
      <c r="O836" s="148">
        <v>0</v>
      </c>
      <c r="P836" s="148">
        <v>0.17282</v>
      </c>
      <c r="Q836" s="148">
        <v>0</v>
      </c>
      <c r="R836" s="148">
        <v>0</v>
      </c>
    </row>
    <row r="837" spans="2:18" ht="15.75" hidden="1" thickBot="1" x14ac:dyDescent="0.3">
      <c r="B837" s="725" t="s">
        <v>711</v>
      </c>
      <c r="C837" s="722" t="s">
        <v>75</v>
      </c>
      <c r="D837" t="s">
        <v>76</v>
      </c>
      <c r="E837" s="147">
        <v>0.36093999999999998</v>
      </c>
      <c r="F837" s="147">
        <v>0.15</v>
      </c>
      <c r="G837" s="147">
        <v>0.21093999999999999</v>
      </c>
      <c r="H837" s="147">
        <v>140.62666666666667</v>
      </c>
      <c r="I837" s="729"/>
      <c r="J837" s="147">
        <v>0.36093999999999998</v>
      </c>
      <c r="K837" s="147">
        <v>0</v>
      </c>
      <c r="L837" s="147">
        <v>4.5702299999999996</v>
      </c>
      <c r="M837" s="147">
        <v>1.8</v>
      </c>
      <c r="N837" s="147">
        <v>2.7702300000000002</v>
      </c>
      <c r="O837" s="147">
        <v>153.90166666666667</v>
      </c>
      <c r="P837" s="147">
        <v>1.11988</v>
      </c>
      <c r="Q837" s="147">
        <v>3.4503499999999998</v>
      </c>
      <c r="R837" s="147">
        <v>308.09997499732117</v>
      </c>
    </row>
    <row r="838" spans="2:18" ht="15.75" hidden="1" thickBot="1" x14ac:dyDescent="0.3">
      <c r="B838" s="725" t="s">
        <v>711</v>
      </c>
      <c r="C838" s="722" t="s">
        <v>121</v>
      </c>
      <c r="D838" t="s">
        <v>122</v>
      </c>
      <c r="E838" s="728"/>
      <c r="F838" s="728"/>
      <c r="G838" s="728"/>
      <c r="H838" s="728"/>
      <c r="I838" s="728"/>
      <c r="J838" s="728"/>
      <c r="K838" s="728"/>
      <c r="L838" s="148">
        <v>0.29862</v>
      </c>
      <c r="M838" s="728"/>
      <c r="N838" s="148">
        <v>0.29862</v>
      </c>
      <c r="O838" s="148">
        <v>0</v>
      </c>
      <c r="P838" s="148">
        <v>0.19067999999999999</v>
      </c>
      <c r="Q838" s="148">
        <v>0.10793999999999999</v>
      </c>
      <c r="R838" s="148">
        <v>56.607929515418505</v>
      </c>
    </row>
    <row r="839" spans="2:18" ht="15.75" hidden="1" thickBot="1" x14ac:dyDescent="0.3">
      <c r="B839" s="725" t="s">
        <v>711</v>
      </c>
      <c r="C839" s="722" t="s">
        <v>77</v>
      </c>
      <c r="D839" t="s">
        <v>78</v>
      </c>
      <c r="E839" s="147">
        <v>0.45810000000000001</v>
      </c>
      <c r="F839" s="147">
        <v>0.4</v>
      </c>
      <c r="G839" s="147">
        <v>5.8099999999999999E-2</v>
      </c>
      <c r="H839" s="147">
        <v>14.525</v>
      </c>
      <c r="I839" s="729"/>
      <c r="J839" s="147">
        <v>0.45810000000000001</v>
      </c>
      <c r="K839" s="147">
        <v>0</v>
      </c>
      <c r="L839" s="147">
        <v>7.5730000000000004</v>
      </c>
      <c r="M839" s="147">
        <v>4.8</v>
      </c>
      <c r="N839" s="147">
        <v>2.7730000000000001</v>
      </c>
      <c r="O839" s="147">
        <v>57.770833333333336</v>
      </c>
      <c r="P839" s="147">
        <v>0.78795999999999999</v>
      </c>
      <c r="Q839" s="147">
        <v>6.7850400000000004</v>
      </c>
      <c r="R839" s="147">
        <v>861.08939540078177</v>
      </c>
    </row>
    <row r="840" spans="2:18" ht="15.75" hidden="1" thickBot="1" x14ac:dyDescent="0.3">
      <c r="B840" s="725" t="s">
        <v>711</v>
      </c>
      <c r="C840" s="722" t="s">
        <v>79</v>
      </c>
      <c r="D840" t="s">
        <v>80</v>
      </c>
      <c r="E840" s="728"/>
      <c r="F840" s="728"/>
      <c r="G840" s="728"/>
      <c r="H840" s="728"/>
      <c r="I840" s="728"/>
      <c r="J840" s="728"/>
      <c r="K840" s="728"/>
      <c r="L840" s="148">
        <v>0.46637000000000001</v>
      </c>
      <c r="M840" s="728"/>
      <c r="N840" s="148">
        <v>0.46637000000000001</v>
      </c>
      <c r="O840" s="148">
        <v>0</v>
      </c>
      <c r="P840" s="148">
        <v>0.44048999999999999</v>
      </c>
      <c r="Q840" s="148">
        <v>2.588E-2</v>
      </c>
      <c r="R840" s="148">
        <v>5.8752752616404456</v>
      </c>
    </row>
    <row r="841" spans="2:18" ht="15.75" hidden="1" thickBot="1" x14ac:dyDescent="0.3">
      <c r="B841" s="725" t="s">
        <v>711</v>
      </c>
      <c r="C841" s="722" t="s">
        <v>81</v>
      </c>
      <c r="D841" t="s">
        <v>82</v>
      </c>
      <c r="E841" s="729"/>
      <c r="F841" s="729"/>
      <c r="G841" s="729"/>
      <c r="H841" s="729"/>
      <c r="I841" s="729"/>
      <c r="J841" s="729"/>
      <c r="K841" s="729"/>
      <c r="L841" s="147">
        <v>-0.10151</v>
      </c>
      <c r="M841" s="729"/>
      <c r="N841" s="147">
        <v>-0.10151</v>
      </c>
      <c r="O841" s="147">
        <v>0</v>
      </c>
      <c r="P841" s="147">
        <v>-0.10151</v>
      </c>
      <c r="Q841" s="147">
        <v>0</v>
      </c>
      <c r="R841" s="147">
        <v>0</v>
      </c>
    </row>
    <row r="842" spans="2:18" ht="15.75" hidden="1" thickBot="1" x14ac:dyDescent="0.3">
      <c r="B842" s="725" t="s">
        <v>711</v>
      </c>
      <c r="C842" s="722" t="s">
        <v>123</v>
      </c>
      <c r="D842" t="s">
        <v>124</v>
      </c>
      <c r="E842" s="148">
        <v>0.25345000000000001</v>
      </c>
      <c r="F842" s="728"/>
      <c r="G842" s="148">
        <v>0.25345000000000001</v>
      </c>
      <c r="H842" s="148">
        <v>0</v>
      </c>
      <c r="I842" s="728"/>
      <c r="J842" s="148">
        <v>0.25345000000000001</v>
      </c>
      <c r="K842" s="148">
        <v>0</v>
      </c>
      <c r="L842" s="148">
        <v>0.82799999999999996</v>
      </c>
      <c r="M842" s="728"/>
      <c r="N842" s="148">
        <v>0.82799999999999996</v>
      </c>
      <c r="O842" s="148">
        <v>0</v>
      </c>
      <c r="P842" s="148">
        <v>0.16500999999999999</v>
      </c>
      <c r="Q842" s="148">
        <v>0.66298999999999997</v>
      </c>
      <c r="R842" s="148">
        <v>401.78777043815529</v>
      </c>
    </row>
    <row r="843" spans="2:18" ht="15.75" hidden="1" thickBot="1" x14ac:dyDescent="0.3">
      <c r="B843" s="725" t="s">
        <v>711</v>
      </c>
      <c r="C843" s="722" t="s">
        <v>83</v>
      </c>
      <c r="D843" t="s">
        <v>84</v>
      </c>
      <c r="E843" s="729"/>
      <c r="F843" s="147">
        <v>0.4</v>
      </c>
      <c r="G843" s="147">
        <v>-0.4</v>
      </c>
      <c r="H843" s="147">
        <v>-100</v>
      </c>
      <c r="I843" s="729"/>
      <c r="J843" s="729"/>
      <c r="K843" s="729"/>
      <c r="L843" s="729"/>
      <c r="M843" s="147">
        <v>4.8</v>
      </c>
      <c r="N843" s="147">
        <v>-4.8</v>
      </c>
      <c r="O843" s="147">
        <v>-100</v>
      </c>
      <c r="P843" s="729"/>
      <c r="Q843" s="729"/>
      <c r="R843" s="729"/>
    </row>
    <row r="844" spans="2:18" ht="15.75" hidden="1" thickBot="1" x14ac:dyDescent="0.3">
      <c r="B844" s="725" t="s">
        <v>711</v>
      </c>
      <c r="C844" s="149" t="s">
        <v>85</v>
      </c>
      <c r="D844" t="s">
        <v>86</v>
      </c>
      <c r="E844" s="148">
        <v>7.2363799999999996</v>
      </c>
      <c r="F844" s="148">
        <v>4.5</v>
      </c>
      <c r="G844" s="148">
        <v>2.73638</v>
      </c>
      <c r="H844" s="148">
        <v>60.808444444444447</v>
      </c>
      <c r="I844" s="728"/>
      <c r="J844" s="148">
        <v>7.2363799999999996</v>
      </c>
      <c r="K844" s="148">
        <v>0</v>
      </c>
      <c r="L844" s="148">
        <v>41.591119999999997</v>
      </c>
      <c r="M844" s="148">
        <v>63.6</v>
      </c>
      <c r="N844" s="148">
        <v>-22.008880000000001</v>
      </c>
      <c r="O844" s="148">
        <v>-34.6051572327044</v>
      </c>
      <c r="P844" s="148">
        <v>5.6323499999999997</v>
      </c>
      <c r="Q844" s="148">
        <v>35.958770000000001</v>
      </c>
      <c r="R844" s="148">
        <v>638.4328033591662</v>
      </c>
    </row>
    <row r="845" spans="2:18" ht="15.75" hidden="1" thickBot="1" x14ac:dyDescent="0.3">
      <c r="B845" s="725" t="s">
        <v>711</v>
      </c>
      <c r="C845" s="144" t="s">
        <v>87</v>
      </c>
      <c r="D845" t="s">
        <v>87</v>
      </c>
      <c r="E845" s="147">
        <v>-2.4405399999999999</v>
      </c>
      <c r="F845" s="147">
        <v>36.74577</v>
      </c>
      <c r="G845" s="147">
        <v>-39.186309999999999</v>
      </c>
      <c r="H845" s="147">
        <v>-106.6416896421003</v>
      </c>
      <c r="I845" s="729"/>
      <c r="J845" s="147">
        <v>-2.4405399999999999</v>
      </c>
      <c r="K845" s="147">
        <v>0</v>
      </c>
      <c r="L845" s="147">
        <v>376.61792000000003</v>
      </c>
      <c r="M845" s="147">
        <v>448.34188</v>
      </c>
      <c r="N845" s="147">
        <v>-71.723960000000005</v>
      </c>
      <c r="O845" s="147">
        <v>-15.997604328197045</v>
      </c>
      <c r="P845" s="147">
        <v>156.20426</v>
      </c>
      <c r="Q845" s="147">
        <v>220.41365999999999</v>
      </c>
      <c r="R845" s="147">
        <v>141.10604922042458</v>
      </c>
    </row>
    <row r="846" spans="2:18" ht="15.75" hidden="1" thickBot="1" x14ac:dyDescent="0.3">
      <c r="B846" s="725" t="s">
        <v>712</v>
      </c>
      <c r="C846" s="722" t="s">
        <v>165</v>
      </c>
      <c r="D846" t="s">
        <v>166</v>
      </c>
      <c r="E846" s="148">
        <v>0.11552</v>
      </c>
      <c r="F846" s="728"/>
      <c r="G846" s="148">
        <v>0.11552</v>
      </c>
      <c r="H846" s="148">
        <v>0</v>
      </c>
      <c r="I846" s="728"/>
      <c r="J846" s="148">
        <v>0.11552</v>
      </c>
      <c r="K846" s="148">
        <v>0</v>
      </c>
      <c r="L846" s="148">
        <v>18.200500000000002</v>
      </c>
      <c r="M846" s="728"/>
      <c r="N846" s="148">
        <v>18.200500000000002</v>
      </c>
      <c r="O846" s="148">
        <v>0</v>
      </c>
      <c r="P846" s="148">
        <v>10.51966</v>
      </c>
      <c r="Q846" s="148">
        <v>7.6808399999999999</v>
      </c>
      <c r="R846" s="148">
        <v>73.014146845050121</v>
      </c>
    </row>
    <row r="847" spans="2:18" ht="15.75" hidden="1" thickBot="1" x14ac:dyDescent="0.3">
      <c r="B847" s="725" t="s">
        <v>712</v>
      </c>
      <c r="C847" s="722" t="s">
        <v>188</v>
      </c>
      <c r="D847" t="s">
        <v>189</v>
      </c>
      <c r="E847" s="147">
        <v>7.2995999999999999</v>
      </c>
      <c r="F847" s="729"/>
      <c r="G847" s="147">
        <v>7.2995999999999999</v>
      </c>
      <c r="H847" s="147">
        <v>0</v>
      </c>
      <c r="I847" s="729"/>
      <c r="J847" s="147">
        <v>7.2995999999999999</v>
      </c>
      <c r="K847" s="147">
        <v>0</v>
      </c>
      <c r="L847" s="147">
        <v>81.364940000000004</v>
      </c>
      <c r="M847" s="729"/>
      <c r="N847" s="147">
        <v>81.364940000000004</v>
      </c>
      <c r="O847" s="147">
        <v>0</v>
      </c>
      <c r="P847" s="147">
        <v>35.036059999999999</v>
      </c>
      <c r="Q847" s="147">
        <v>46.328879999999998</v>
      </c>
      <c r="R847" s="147">
        <v>132.23199183926502</v>
      </c>
    </row>
    <row r="848" spans="2:18" ht="15.75" hidden="1" thickBot="1" x14ac:dyDescent="0.3">
      <c r="B848" s="725" t="s">
        <v>712</v>
      </c>
      <c r="C848" s="722" t="s">
        <v>659</v>
      </c>
      <c r="D848" t="s">
        <v>660</v>
      </c>
      <c r="E848" s="148">
        <v>182.60186999999999</v>
      </c>
      <c r="F848" s="728"/>
      <c r="G848" s="148">
        <v>182.60186999999999</v>
      </c>
      <c r="H848" s="148">
        <v>0</v>
      </c>
      <c r="I848" s="728"/>
      <c r="J848" s="148">
        <v>182.60186999999999</v>
      </c>
      <c r="K848" s="148">
        <v>0</v>
      </c>
      <c r="L848" s="148">
        <v>182.60186999999999</v>
      </c>
      <c r="M848" s="728"/>
      <c r="N848" s="148">
        <v>182.60186999999999</v>
      </c>
      <c r="O848" s="148">
        <v>0</v>
      </c>
      <c r="P848" s="148">
        <v>4.88727</v>
      </c>
      <c r="Q848" s="148">
        <v>177.71459999999999</v>
      </c>
      <c r="R848" s="148">
        <v>3636.2754666715773</v>
      </c>
    </row>
    <row r="849" spans="2:18" ht="15.75" hidden="1" thickBot="1" x14ac:dyDescent="0.3">
      <c r="B849" s="725" t="s">
        <v>712</v>
      </c>
      <c r="C849" s="149" t="s">
        <v>85</v>
      </c>
      <c r="D849" t="s">
        <v>86</v>
      </c>
      <c r="E849" s="147">
        <v>190.01698999999999</v>
      </c>
      <c r="F849" s="729"/>
      <c r="G849" s="147">
        <v>190.01698999999999</v>
      </c>
      <c r="H849" s="147">
        <v>0</v>
      </c>
      <c r="I849" s="729"/>
      <c r="J849" s="147">
        <v>190.01698999999999</v>
      </c>
      <c r="K849" s="147">
        <v>0</v>
      </c>
      <c r="L849" s="147">
        <v>282.16730999999999</v>
      </c>
      <c r="M849" s="729"/>
      <c r="N849" s="147">
        <v>282.16730999999999</v>
      </c>
      <c r="O849" s="147">
        <v>0</v>
      </c>
      <c r="P849" s="147">
        <v>50.442990000000002</v>
      </c>
      <c r="Q849" s="147">
        <v>231.72432000000001</v>
      </c>
      <c r="R849" s="147">
        <v>459.37863715057335</v>
      </c>
    </row>
    <row r="850" spans="2:18" ht="15.75" hidden="1" thickBot="1" x14ac:dyDescent="0.3">
      <c r="B850" s="725" t="s">
        <v>712</v>
      </c>
      <c r="C850" s="144" t="s">
        <v>87</v>
      </c>
      <c r="D850" t="s">
        <v>87</v>
      </c>
      <c r="E850" s="148">
        <v>190.01698999999999</v>
      </c>
      <c r="F850" s="728"/>
      <c r="G850" s="148">
        <v>190.01698999999999</v>
      </c>
      <c r="H850" s="148">
        <v>0</v>
      </c>
      <c r="I850" s="728"/>
      <c r="J850" s="148">
        <v>190.01698999999999</v>
      </c>
      <c r="K850" s="148">
        <v>0</v>
      </c>
      <c r="L850" s="148">
        <v>282.16730999999999</v>
      </c>
      <c r="M850" s="728"/>
      <c r="N850" s="148">
        <v>282.16730999999999</v>
      </c>
      <c r="O850" s="148">
        <v>0</v>
      </c>
      <c r="P850" s="148">
        <v>50.442990000000002</v>
      </c>
      <c r="Q850" s="148">
        <v>231.72432000000001</v>
      </c>
      <c r="R850" s="148">
        <v>459.37863715057335</v>
      </c>
    </row>
    <row r="851" spans="2:18" ht="15.75" hidden="1" thickBot="1" x14ac:dyDescent="0.3">
      <c r="B851" s="725" t="s">
        <v>713</v>
      </c>
      <c r="C851" s="722" t="s">
        <v>59</v>
      </c>
      <c r="D851" t="s">
        <v>60</v>
      </c>
      <c r="E851" s="147">
        <v>6.1022699999999999</v>
      </c>
      <c r="F851" s="147">
        <v>6.8267199999999999</v>
      </c>
      <c r="G851" s="147">
        <v>-0.72445000000000004</v>
      </c>
      <c r="H851" s="147">
        <v>-10.611977640799681</v>
      </c>
      <c r="I851" s="729"/>
      <c r="J851" s="147">
        <v>6.1022699999999999</v>
      </c>
      <c r="K851" s="147">
        <v>0</v>
      </c>
      <c r="L851" s="147">
        <v>93.99821</v>
      </c>
      <c r="M851" s="147">
        <v>81.490880000000004</v>
      </c>
      <c r="N851" s="147">
        <v>12.50733</v>
      </c>
      <c r="O851" s="147">
        <v>15.348134662430937</v>
      </c>
      <c r="P851" s="147">
        <v>43.235480000000003</v>
      </c>
      <c r="Q851" s="147">
        <v>50.762729999999998</v>
      </c>
      <c r="R851" s="147">
        <v>117.40989113570613</v>
      </c>
    </row>
    <row r="852" spans="2:18" ht="15.75" hidden="1" thickBot="1" x14ac:dyDescent="0.3">
      <c r="B852" s="725" t="s">
        <v>713</v>
      </c>
      <c r="C852" s="722" t="s">
        <v>89</v>
      </c>
      <c r="D852" t="s">
        <v>90</v>
      </c>
      <c r="E852" s="148">
        <v>0.30843999999999999</v>
      </c>
      <c r="F852" s="728"/>
      <c r="G852" s="148">
        <v>0.30843999999999999</v>
      </c>
      <c r="H852" s="148">
        <v>0</v>
      </c>
      <c r="I852" s="728"/>
      <c r="J852" s="148">
        <v>0.30843999999999999</v>
      </c>
      <c r="K852" s="148">
        <v>0</v>
      </c>
      <c r="L852" s="148">
        <v>0.30843999999999999</v>
      </c>
      <c r="M852" s="728"/>
      <c r="N852" s="148">
        <v>0.30843999999999999</v>
      </c>
      <c r="O852" s="148">
        <v>0</v>
      </c>
      <c r="P852" s="728"/>
      <c r="Q852" s="148">
        <v>0.30843999999999999</v>
      </c>
      <c r="R852" s="148">
        <v>0</v>
      </c>
    </row>
    <row r="853" spans="2:18" ht="15.75" hidden="1" thickBot="1" x14ac:dyDescent="0.3">
      <c r="B853" s="725" t="s">
        <v>713</v>
      </c>
      <c r="C853" s="722" t="s">
        <v>91</v>
      </c>
      <c r="D853" t="s">
        <v>92</v>
      </c>
      <c r="E853" s="147">
        <v>36.984090000000002</v>
      </c>
      <c r="F853" s="147">
        <v>47.489620000000002</v>
      </c>
      <c r="G853" s="147">
        <v>-10.50553</v>
      </c>
      <c r="H853" s="147">
        <v>-22.121739445377749</v>
      </c>
      <c r="I853" s="729"/>
      <c r="J853" s="147">
        <v>36.984090000000002</v>
      </c>
      <c r="K853" s="147">
        <v>0</v>
      </c>
      <c r="L853" s="147">
        <v>515.73518999999999</v>
      </c>
      <c r="M853" s="147">
        <v>547.65195000000006</v>
      </c>
      <c r="N853" s="147">
        <v>-31.91676</v>
      </c>
      <c r="O853" s="147">
        <v>-5.8279277559406113</v>
      </c>
      <c r="P853" s="147">
        <v>268.26994000000002</v>
      </c>
      <c r="Q853" s="147">
        <v>247.46525</v>
      </c>
      <c r="R853" s="147">
        <v>92.244867240809754</v>
      </c>
    </row>
    <row r="854" spans="2:18" ht="15.75" hidden="1" thickBot="1" x14ac:dyDescent="0.3">
      <c r="B854" s="725" t="s">
        <v>713</v>
      </c>
      <c r="C854" s="722" t="s">
        <v>93</v>
      </c>
      <c r="D854" t="s">
        <v>94</v>
      </c>
      <c r="E854" s="148">
        <v>0.28369</v>
      </c>
      <c r="F854" s="148">
        <v>1.32613</v>
      </c>
      <c r="G854" s="148">
        <v>-1.04244</v>
      </c>
      <c r="H854" s="148">
        <v>-78.607677980288514</v>
      </c>
      <c r="I854" s="728"/>
      <c r="J854" s="148">
        <v>0.28369</v>
      </c>
      <c r="K854" s="148">
        <v>0</v>
      </c>
      <c r="L854" s="148">
        <v>13.18567</v>
      </c>
      <c r="M854" s="148">
        <v>15.488630000000001</v>
      </c>
      <c r="N854" s="148">
        <v>-2.3029600000000001</v>
      </c>
      <c r="O854" s="148">
        <v>-14.868713372325377</v>
      </c>
      <c r="P854" s="148">
        <v>8.7498400000000007</v>
      </c>
      <c r="Q854" s="148">
        <v>4.4358300000000002</v>
      </c>
      <c r="R854" s="148">
        <v>50.696127014893989</v>
      </c>
    </row>
    <row r="855" spans="2:18" ht="15.75" hidden="1" thickBot="1" x14ac:dyDescent="0.3">
      <c r="B855" s="725" t="s">
        <v>713</v>
      </c>
      <c r="C855" s="722" t="s">
        <v>61</v>
      </c>
      <c r="D855" t="s">
        <v>62</v>
      </c>
      <c r="E855" s="147">
        <v>7.6803299999999997</v>
      </c>
      <c r="F855" s="147">
        <v>8.4190299999999993</v>
      </c>
      <c r="G855" s="147">
        <v>-0.73870000000000002</v>
      </c>
      <c r="H855" s="147">
        <v>-8.7741699459438909</v>
      </c>
      <c r="I855" s="729"/>
      <c r="J855" s="147">
        <v>7.6803299999999997</v>
      </c>
      <c r="K855" s="147">
        <v>0</v>
      </c>
      <c r="L855" s="147">
        <v>95.752139999999997</v>
      </c>
      <c r="M855" s="147">
        <v>97.517150000000001</v>
      </c>
      <c r="N855" s="147">
        <v>-1.76501</v>
      </c>
      <c r="O855" s="147">
        <v>-1.8099483014013433</v>
      </c>
      <c r="P855" s="147">
        <v>47.880789999999998</v>
      </c>
      <c r="Q855" s="147">
        <v>47.87135</v>
      </c>
      <c r="R855" s="147">
        <v>99.980284368741621</v>
      </c>
    </row>
    <row r="856" spans="2:18" ht="15.75" hidden="1" thickBot="1" x14ac:dyDescent="0.3">
      <c r="B856" s="725" t="s">
        <v>713</v>
      </c>
      <c r="C856" s="722" t="s">
        <v>63</v>
      </c>
      <c r="D856" t="s">
        <v>64</v>
      </c>
      <c r="E856" s="148">
        <v>29.935310000000001</v>
      </c>
      <c r="F856" s="148">
        <v>32.752749999999999</v>
      </c>
      <c r="G856" s="148">
        <v>-2.8174399999999999</v>
      </c>
      <c r="H856" s="148">
        <v>-8.6021479112440939</v>
      </c>
      <c r="I856" s="728"/>
      <c r="J856" s="148">
        <v>29.935310000000001</v>
      </c>
      <c r="K856" s="148">
        <v>0</v>
      </c>
      <c r="L856" s="148">
        <v>376.77969000000002</v>
      </c>
      <c r="M856" s="148">
        <v>379.37311999999997</v>
      </c>
      <c r="N856" s="148">
        <v>-2.5934300000000001</v>
      </c>
      <c r="O856" s="148">
        <v>-0.68360931844617778</v>
      </c>
      <c r="P856" s="148">
        <v>190.02923000000001</v>
      </c>
      <c r="Q856" s="148">
        <v>186.75046</v>
      </c>
      <c r="R856" s="148">
        <v>98.274597018574454</v>
      </c>
    </row>
    <row r="857" spans="2:18" ht="15.75" hidden="1" thickBot="1" x14ac:dyDescent="0.3">
      <c r="B857" s="725" t="s">
        <v>713</v>
      </c>
      <c r="C857" s="722" t="s">
        <v>156</v>
      </c>
      <c r="D857" t="s">
        <v>157</v>
      </c>
      <c r="E857" s="147">
        <v>2.88131</v>
      </c>
      <c r="F857" s="147">
        <v>3.1930299999999998</v>
      </c>
      <c r="G857" s="147">
        <v>-0.31172</v>
      </c>
      <c r="H857" s="147">
        <v>-9.7625139757534374</v>
      </c>
      <c r="I857" s="729"/>
      <c r="J857" s="147">
        <v>2.88131</v>
      </c>
      <c r="K857" s="147">
        <v>0</v>
      </c>
      <c r="L857" s="147">
        <v>45.400300000000001</v>
      </c>
      <c r="M857" s="147">
        <v>38.115340000000003</v>
      </c>
      <c r="N857" s="147">
        <v>7.2849599999999999</v>
      </c>
      <c r="O857" s="147">
        <v>19.112934582244314</v>
      </c>
      <c r="P857" s="147">
        <v>27.15258</v>
      </c>
      <c r="Q857" s="147">
        <v>18.247720000000001</v>
      </c>
      <c r="R857" s="147">
        <v>67.204368792947122</v>
      </c>
    </row>
    <row r="858" spans="2:18" ht="15.75" hidden="1" thickBot="1" x14ac:dyDescent="0.3">
      <c r="B858" s="725" t="s">
        <v>713</v>
      </c>
      <c r="C858" s="722" t="s">
        <v>184</v>
      </c>
      <c r="D858" t="s">
        <v>185</v>
      </c>
      <c r="E858" s="148">
        <v>8.9696999999999996</v>
      </c>
      <c r="F858" s="148">
        <v>0.45343</v>
      </c>
      <c r="G858" s="148">
        <v>8.5162700000000005</v>
      </c>
      <c r="H858" s="148">
        <v>1878.1884745164634</v>
      </c>
      <c r="I858" s="728"/>
      <c r="J858" s="148">
        <v>8.9696999999999996</v>
      </c>
      <c r="K858" s="148">
        <v>0</v>
      </c>
      <c r="L858" s="148">
        <v>128.56756999999999</v>
      </c>
      <c r="M858" s="148">
        <v>5.2958499999999997</v>
      </c>
      <c r="N858" s="148">
        <v>123.27172</v>
      </c>
      <c r="O858" s="148">
        <v>2327.7041456989909</v>
      </c>
      <c r="P858" s="148">
        <v>66.090019999999996</v>
      </c>
      <c r="Q858" s="148">
        <v>62.477550000000001</v>
      </c>
      <c r="R858" s="148">
        <v>94.534015877132433</v>
      </c>
    </row>
    <row r="859" spans="2:18" ht="15.75" hidden="1" thickBot="1" x14ac:dyDescent="0.3">
      <c r="B859" s="725" t="s">
        <v>713</v>
      </c>
      <c r="C859" s="722" t="s">
        <v>161</v>
      </c>
      <c r="D859" t="s">
        <v>162</v>
      </c>
      <c r="E859" s="147">
        <v>5.3170000000000002E-2</v>
      </c>
      <c r="F859" s="729"/>
      <c r="G859" s="147">
        <v>5.3170000000000002E-2</v>
      </c>
      <c r="H859" s="147">
        <v>0</v>
      </c>
      <c r="I859" s="729"/>
      <c r="J859" s="147">
        <v>5.3170000000000002E-2</v>
      </c>
      <c r="K859" s="147">
        <v>0</v>
      </c>
      <c r="L859" s="147">
        <v>2.85636</v>
      </c>
      <c r="M859" s="729"/>
      <c r="N859" s="147">
        <v>2.85636</v>
      </c>
      <c r="O859" s="147">
        <v>0</v>
      </c>
      <c r="P859" s="147">
        <v>1.88079</v>
      </c>
      <c r="Q859" s="147">
        <v>0.97557000000000005</v>
      </c>
      <c r="R859" s="147">
        <v>51.870224745984402</v>
      </c>
    </row>
    <row r="860" spans="2:18" ht="15.75" hidden="1" thickBot="1" x14ac:dyDescent="0.3">
      <c r="B860" s="725" t="s">
        <v>713</v>
      </c>
      <c r="C860" s="722" t="s">
        <v>65</v>
      </c>
      <c r="D860" t="s">
        <v>66</v>
      </c>
      <c r="E860" s="148">
        <v>-10.56856</v>
      </c>
      <c r="F860" s="148">
        <v>-10.921250000000001</v>
      </c>
      <c r="G860" s="148">
        <v>0.35269</v>
      </c>
      <c r="H860" s="148">
        <v>3.2293922398992789</v>
      </c>
      <c r="I860" s="728"/>
      <c r="J860" s="148">
        <v>-10.56856</v>
      </c>
      <c r="K860" s="148">
        <v>0</v>
      </c>
      <c r="L860" s="148">
        <v>-160.53296</v>
      </c>
      <c r="M860" s="148">
        <v>-130.36745999999999</v>
      </c>
      <c r="N860" s="148">
        <v>-30.165500000000002</v>
      </c>
      <c r="O860" s="148">
        <v>-23.13882620709186</v>
      </c>
      <c r="P860" s="148">
        <v>-71.011039999999994</v>
      </c>
      <c r="Q860" s="148">
        <v>-89.521919999999994</v>
      </c>
      <c r="R860" s="148">
        <v>-126.06760864226182</v>
      </c>
    </row>
    <row r="861" spans="2:18" ht="15.75" hidden="1" thickBot="1" x14ac:dyDescent="0.3">
      <c r="B861" s="725" t="s">
        <v>713</v>
      </c>
      <c r="C861" s="722" t="s">
        <v>186</v>
      </c>
      <c r="D861" t="s">
        <v>187</v>
      </c>
      <c r="E861" s="147">
        <v>-0.33316000000000001</v>
      </c>
      <c r="F861" s="729"/>
      <c r="G861" s="147">
        <v>-0.33316000000000001</v>
      </c>
      <c r="H861" s="147">
        <v>0</v>
      </c>
      <c r="I861" s="729"/>
      <c r="J861" s="147">
        <v>-0.33316000000000001</v>
      </c>
      <c r="K861" s="147">
        <v>0</v>
      </c>
      <c r="L861" s="147">
        <v>-0.33316000000000001</v>
      </c>
      <c r="M861" s="729"/>
      <c r="N861" s="147">
        <v>-0.33316000000000001</v>
      </c>
      <c r="O861" s="147">
        <v>0</v>
      </c>
      <c r="P861" s="729"/>
      <c r="Q861" s="147">
        <v>-0.33316000000000001</v>
      </c>
      <c r="R861" s="147">
        <v>0</v>
      </c>
    </row>
    <row r="862" spans="2:18" ht="15.75" hidden="1" thickBot="1" x14ac:dyDescent="0.3">
      <c r="B862" s="725" t="s">
        <v>713</v>
      </c>
      <c r="C862" s="722" t="s">
        <v>163</v>
      </c>
      <c r="D862" t="s">
        <v>164</v>
      </c>
      <c r="E862" s="148">
        <v>-71.120490000000004</v>
      </c>
      <c r="F862" s="148">
        <v>-75.972939999999994</v>
      </c>
      <c r="G862" s="148">
        <v>4.8524500000000002</v>
      </c>
      <c r="H862" s="148">
        <v>6.3870767670699591</v>
      </c>
      <c r="I862" s="728"/>
      <c r="J862" s="148">
        <v>-71.120490000000004</v>
      </c>
      <c r="K862" s="148">
        <v>0</v>
      </c>
      <c r="L862" s="148">
        <v>-856.88221999999996</v>
      </c>
      <c r="M862" s="148">
        <v>-876.12248999999997</v>
      </c>
      <c r="N862" s="148">
        <v>19.240269999999999</v>
      </c>
      <c r="O862" s="148">
        <v>2.1960707800115942</v>
      </c>
      <c r="P862" s="148">
        <v>-430.88449000000003</v>
      </c>
      <c r="Q862" s="148">
        <v>-425.99772999999999</v>
      </c>
      <c r="R862" s="148">
        <v>-98.865877024257713</v>
      </c>
    </row>
    <row r="863" spans="2:18" ht="15.75" hidden="1" thickBot="1" x14ac:dyDescent="0.3">
      <c r="B863" s="725" t="s">
        <v>713</v>
      </c>
      <c r="C863" s="722" t="s">
        <v>97</v>
      </c>
      <c r="D863" t="s">
        <v>98</v>
      </c>
      <c r="E863" s="147">
        <v>-0.55535999999999996</v>
      </c>
      <c r="F863" s="729"/>
      <c r="G863" s="147">
        <v>-0.55535999999999996</v>
      </c>
      <c r="H863" s="147">
        <v>0</v>
      </c>
      <c r="I863" s="729"/>
      <c r="J863" s="147">
        <v>-0.55535999999999996</v>
      </c>
      <c r="K863" s="147">
        <v>0</v>
      </c>
      <c r="L863" s="147">
        <v>-14.689310000000001</v>
      </c>
      <c r="M863" s="729"/>
      <c r="N863" s="147">
        <v>-14.689310000000001</v>
      </c>
      <c r="O863" s="147">
        <v>0</v>
      </c>
      <c r="P863" s="147">
        <v>-9.0007999999999999</v>
      </c>
      <c r="Q863" s="147">
        <v>-5.68851</v>
      </c>
      <c r="R863" s="147">
        <v>-63.200048884543598</v>
      </c>
    </row>
    <row r="864" spans="2:18" ht="15.75" hidden="1" thickBot="1" x14ac:dyDescent="0.3">
      <c r="B864" s="725" t="s">
        <v>713</v>
      </c>
      <c r="C864" s="149" t="s">
        <v>67</v>
      </c>
      <c r="D864" t="s">
        <v>68</v>
      </c>
      <c r="E864" s="148">
        <v>10.62074</v>
      </c>
      <c r="F864" s="148">
        <v>13.566520000000001</v>
      </c>
      <c r="G864" s="148">
        <v>-2.9457800000000001</v>
      </c>
      <c r="H864" s="148">
        <v>-21.713600834996743</v>
      </c>
      <c r="I864" s="728"/>
      <c r="J864" s="148">
        <v>10.62074</v>
      </c>
      <c r="K864" s="148">
        <v>0</v>
      </c>
      <c r="L864" s="148">
        <v>240.14591999999999</v>
      </c>
      <c r="M864" s="148">
        <v>158.44297</v>
      </c>
      <c r="N864" s="148">
        <v>81.702950000000001</v>
      </c>
      <c r="O864" s="148">
        <v>51.566156579872242</v>
      </c>
      <c r="P864" s="148">
        <v>142.39233999999999</v>
      </c>
      <c r="Q864" s="148">
        <v>97.753579999999999</v>
      </c>
      <c r="R864" s="148">
        <v>68.650869843139034</v>
      </c>
    </row>
    <row r="865" spans="2:18" ht="15.75" hidden="1" thickBot="1" x14ac:dyDescent="0.3">
      <c r="B865" s="725" t="s">
        <v>713</v>
      </c>
      <c r="C865" s="722" t="s">
        <v>69</v>
      </c>
      <c r="D865" t="s">
        <v>70</v>
      </c>
      <c r="E865" s="729"/>
      <c r="F865" s="147">
        <v>0.25</v>
      </c>
      <c r="G865" s="147">
        <v>-0.25</v>
      </c>
      <c r="H865" s="147">
        <v>-100</v>
      </c>
      <c r="I865" s="729"/>
      <c r="J865" s="729"/>
      <c r="K865" s="729"/>
      <c r="L865" s="729"/>
      <c r="M865" s="147">
        <v>3</v>
      </c>
      <c r="N865" s="147">
        <v>-3</v>
      </c>
      <c r="O865" s="147">
        <v>-100</v>
      </c>
      <c r="P865" s="729"/>
      <c r="Q865" s="729"/>
      <c r="R865" s="729"/>
    </row>
    <row r="866" spans="2:18" ht="15.75" hidden="1" thickBot="1" x14ac:dyDescent="0.3">
      <c r="B866" s="725" t="s">
        <v>713</v>
      </c>
      <c r="C866" s="722" t="s">
        <v>99</v>
      </c>
      <c r="D866" t="s">
        <v>100</v>
      </c>
      <c r="E866" s="148">
        <v>0.60079000000000005</v>
      </c>
      <c r="F866" s="148">
        <v>0.75</v>
      </c>
      <c r="G866" s="148">
        <v>-0.14921000000000001</v>
      </c>
      <c r="H866" s="148">
        <v>-19.894666666666666</v>
      </c>
      <c r="I866" s="728"/>
      <c r="J866" s="148">
        <v>0.60079000000000005</v>
      </c>
      <c r="K866" s="148">
        <v>0</v>
      </c>
      <c r="L866" s="148">
        <v>12.81724</v>
      </c>
      <c r="M866" s="148">
        <v>9</v>
      </c>
      <c r="N866" s="148">
        <v>3.81724</v>
      </c>
      <c r="O866" s="148">
        <v>42.413777777777774</v>
      </c>
      <c r="P866" s="148">
        <v>6.5299100000000001</v>
      </c>
      <c r="Q866" s="148">
        <v>6.2873299999999999</v>
      </c>
      <c r="R866" s="148">
        <v>96.28509428154446</v>
      </c>
    </row>
    <row r="867" spans="2:18" ht="15.75" hidden="1" thickBot="1" x14ac:dyDescent="0.3">
      <c r="B867" s="725" t="s">
        <v>713</v>
      </c>
      <c r="C867" s="722" t="s">
        <v>165</v>
      </c>
      <c r="D867" t="s">
        <v>166</v>
      </c>
      <c r="E867" s="147">
        <v>0.13889000000000001</v>
      </c>
      <c r="F867" s="729"/>
      <c r="G867" s="147">
        <v>0.13889000000000001</v>
      </c>
      <c r="H867" s="147">
        <v>0</v>
      </c>
      <c r="I867" s="729"/>
      <c r="J867" s="147">
        <v>0.13889000000000001</v>
      </c>
      <c r="K867" s="147">
        <v>0</v>
      </c>
      <c r="L867" s="147">
        <v>-8.8704699999999992</v>
      </c>
      <c r="M867" s="729"/>
      <c r="N867" s="147">
        <v>-8.8704699999999992</v>
      </c>
      <c r="O867" s="147">
        <v>0</v>
      </c>
      <c r="P867" s="147">
        <v>-4.3526999999999996</v>
      </c>
      <c r="Q867" s="147">
        <v>-4.5177699999999996</v>
      </c>
      <c r="R867" s="147">
        <v>-103.79235876582351</v>
      </c>
    </row>
    <row r="868" spans="2:18" ht="15.75" hidden="1" thickBot="1" x14ac:dyDescent="0.3">
      <c r="B868" s="725" t="s">
        <v>713</v>
      </c>
      <c r="C868" s="722" t="s">
        <v>188</v>
      </c>
      <c r="D868" t="s">
        <v>189</v>
      </c>
      <c r="E868" s="728"/>
      <c r="F868" s="728"/>
      <c r="G868" s="728"/>
      <c r="H868" s="728"/>
      <c r="I868" s="728"/>
      <c r="J868" s="728"/>
      <c r="K868" s="728"/>
      <c r="L868" s="148">
        <v>18.369980000000002</v>
      </c>
      <c r="M868" s="728"/>
      <c r="N868" s="148">
        <v>18.369980000000002</v>
      </c>
      <c r="O868" s="148">
        <v>0</v>
      </c>
      <c r="P868" s="148">
        <v>13.59933</v>
      </c>
      <c r="Q868" s="148">
        <v>4.7706499999999998</v>
      </c>
      <c r="R868" s="148">
        <v>35.080037031236095</v>
      </c>
    </row>
    <row r="869" spans="2:18" ht="15.75" hidden="1" thickBot="1" x14ac:dyDescent="0.3">
      <c r="B869" s="725" t="s">
        <v>713</v>
      </c>
      <c r="C869" s="722" t="s">
        <v>137</v>
      </c>
      <c r="D869" t="s">
        <v>138</v>
      </c>
      <c r="E869" s="147">
        <v>0.442</v>
      </c>
      <c r="F869" s="147">
        <v>0.25</v>
      </c>
      <c r="G869" s="147">
        <v>0.192</v>
      </c>
      <c r="H869" s="147">
        <v>76.8</v>
      </c>
      <c r="I869" s="729"/>
      <c r="J869" s="147">
        <v>0.442</v>
      </c>
      <c r="K869" s="147">
        <v>0</v>
      </c>
      <c r="L869" s="147">
        <v>2.7100499999999998</v>
      </c>
      <c r="M869" s="147">
        <v>3</v>
      </c>
      <c r="N869" s="147">
        <v>-0.28994999999999999</v>
      </c>
      <c r="O869" s="147">
        <v>-9.6649999999999991</v>
      </c>
      <c r="P869" s="147">
        <v>1.2554399999999999</v>
      </c>
      <c r="Q869" s="147">
        <v>1.45461</v>
      </c>
      <c r="R869" s="147">
        <v>115.86455744599503</v>
      </c>
    </row>
    <row r="870" spans="2:18" ht="15.75" hidden="1" thickBot="1" x14ac:dyDescent="0.3">
      <c r="B870" s="725" t="s">
        <v>713</v>
      </c>
      <c r="C870" s="722" t="s">
        <v>190</v>
      </c>
      <c r="D870" t="s">
        <v>191</v>
      </c>
      <c r="E870" s="148">
        <v>0.46579999999999999</v>
      </c>
      <c r="F870" s="148">
        <v>0.55000000000000004</v>
      </c>
      <c r="G870" s="148">
        <v>-8.4199999999999997E-2</v>
      </c>
      <c r="H870" s="148">
        <v>-15.309090909090909</v>
      </c>
      <c r="I870" s="728"/>
      <c r="J870" s="148">
        <v>0.46579999999999999</v>
      </c>
      <c r="K870" s="148">
        <v>0</v>
      </c>
      <c r="L870" s="148">
        <v>5.6176000000000004</v>
      </c>
      <c r="M870" s="148">
        <v>6.6</v>
      </c>
      <c r="N870" s="148">
        <v>-0.98240000000000005</v>
      </c>
      <c r="O870" s="148">
        <v>-14.884848484848485</v>
      </c>
      <c r="P870" s="148">
        <v>2.7948</v>
      </c>
      <c r="Q870" s="148">
        <v>2.8228</v>
      </c>
      <c r="R870" s="148">
        <v>101.0018605982539</v>
      </c>
    </row>
    <row r="871" spans="2:18" ht="15.75" hidden="1" thickBot="1" x14ac:dyDescent="0.3">
      <c r="B871" s="725" t="s">
        <v>713</v>
      </c>
      <c r="C871" s="722" t="s">
        <v>36</v>
      </c>
      <c r="D871" t="s">
        <v>192</v>
      </c>
      <c r="E871" s="147">
        <v>1.0988599999999999</v>
      </c>
      <c r="F871" s="147">
        <v>1.5</v>
      </c>
      <c r="G871" s="147">
        <v>-0.40114</v>
      </c>
      <c r="H871" s="147">
        <v>-26.742666666666668</v>
      </c>
      <c r="I871" s="729"/>
      <c r="J871" s="147">
        <v>1.0988599999999999</v>
      </c>
      <c r="K871" s="147">
        <v>0</v>
      </c>
      <c r="L871" s="147">
        <v>19.745989999999999</v>
      </c>
      <c r="M871" s="147">
        <v>18</v>
      </c>
      <c r="N871" s="147">
        <v>1.7459899999999999</v>
      </c>
      <c r="O871" s="147">
        <v>9.6999444444444443</v>
      </c>
      <c r="P871" s="147">
        <v>10.57179</v>
      </c>
      <c r="Q871" s="147">
        <v>9.1742000000000008</v>
      </c>
      <c r="R871" s="147">
        <v>86.780006034928803</v>
      </c>
    </row>
    <row r="872" spans="2:18" ht="15.75" hidden="1" thickBot="1" x14ac:dyDescent="0.3">
      <c r="B872" s="725" t="s">
        <v>713</v>
      </c>
      <c r="C872" s="722" t="s">
        <v>169</v>
      </c>
      <c r="D872" t="s">
        <v>170</v>
      </c>
      <c r="E872" s="728"/>
      <c r="F872" s="728"/>
      <c r="G872" s="728"/>
      <c r="H872" s="728"/>
      <c r="I872" s="728"/>
      <c r="J872" s="728"/>
      <c r="K872" s="728"/>
      <c r="L872" s="148">
        <v>3.8237299999999999</v>
      </c>
      <c r="M872" s="728"/>
      <c r="N872" s="148">
        <v>3.8237299999999999</v>
      </c>
      <c r="O872" s="148">
        <v>0</v>
      </c>
      <c r="P872" s="148">
        <v>2.8624800000000001</v>
      </c>
      <c r="Q872" s="148">
        <v>0.96125000000000005</v>
      </c>
      <c r="R872" s="148">
        <v>33.581020653419415</v>
      </c>
    </row>
    <row r="873" spans="2:18" ht="15.75" hidden="1" thickBot="1" x14ac:dyDescent="0.3">
      <c r="B873" s="725" t="s">
        <v>713</v>
      </c>
      <c r="C873" s="722" t="s">
        <v>101</v>
      </c>
      <c r="D873" t="s">
        <v>102</v>
      </c>
      <c r="E873" s="729"/>
      <c r="F873" s="729"/>
      <c r="G873" s="729"/>
      <c r="H873" s="729"/>
      <c r="I873" s="729"/>
      <c r="J873" s="729"/>
      <c r="K873" s="729"/>
      <c r="L873" s="147">
        <v>0.29942999999999997</v>
      </c>
      <c r="M873" s="729"/>
      <c r="N873" s="147">
        <v>0.29942999999999997</v>
      </c>
      <c r="O873" s="147">
        <v>0</v>
      </c>
      <c r="P873" s="147">
        <v>7.7929999999999999E-2</v>
      </c>
      <c r="Q873" s="147">
        <v>0.2215</v>
      </c>
      <c r="R873" s="147">
        <v>284.22943667393815</v>
      </c>
    </row>
    <row r="874" spans="2:18" ht="15.75" hidden="1" thickBot="1" x14ac:dyDescent="0.3">
      <c r="B874" s="725" t="s">
        <v>713</v>
      </c>
      <c r="C874" s="722" t="s">
        <v>605</v>
      </c>
      <c r="D874" t="s">
        <v>606</v>
      </c>
      <c r="E874" s="728"/>
      <c r="F874" s="728"/>
      <c r="G874" s="728"/>
      <c r="H874" s="728"/>
      <c r="I874" s="728"/>
      <c r="J874" s="728"/>
      <c r="K874" s="728"/>
      <c r="L874" s="148">
        <v>0.98794999999999999</v>
      </c>
      <c r="M874" s="728"/>
      <c r="N874" s="148">
        <v>0.98794999999999999</v>
      </c>
      <c r="O874" s="148">
        <v>0</v>
      </c>
      <c r="P874" s="148">
        <v>0.98794999999999999</v>
      </c>
      <c r="Q874" s="148">
        <v>0</v>
      </c>
      <c r="R874" s="148">
        <v>0</v>
      </c>
    </row>
    <row r="875" spans="2:18" ht="15.75" hidden="1" thickBot="1" x14ac:dyDescent="0.3">
      <c r="B875" s="725" t="s">
        <v>713</v>
      </c>
      <c r="C875" s="722" t="s">
        <v>462</v>
      </c>
      <c r="D875" t="s">
        <v>463</v>
      </c>
      <c r="E875" s="729"/>
      <c r="F875" s="729"/>
      <c r="G875" s="729"/>
      <c r="H875" s="729"/>
      <c r="I875" s="729"/>
      <c r="J875" s="729"/>
      <c r="K875" s="729"/>
      <c r="L875" s="147">
        <v>1.6999</v>
      </c>
      <c r="M875" s="729"/>
      <c r="N875" s="147">
        <v>1.6999</v>
      </c>
      <c r="O875" s="147">
        <v>0</v>
      </c>
      <c r="P875" s="147">
        <v>0.16125999999999999</v>
      </c>
      <c r="Q875" s="147">
        <v>1.53864</v>
      </c>
      <c r="R875" s="147">
        <v>954.13617760138902</v>
      </c>
    </row>
    <row r="876" spans="2:18" ht="15.75" hidden="1" thickBot="1" x14ac:dyDescent="0.3">
      <c r="B876" s="725" t="s">
        <v>713</v>
      </c>
      <c r="C876" s="722" t="s">
        <v>464</v>
      </c>
      <c r="D876" t="s">
        <v>465</v>
      </c>
      <c r="E876" s="728"/>
      <c r="F876" s="728"/>
      <c r="G876" s="728"/>
      <c r="H876" s="728"/>
      <c r="I876" s="728"/>
      <c r="J876" s="728"/>
      <c r="K876" s="728"/>
      <c r="L876" s="148">
        <v>0.37811</v>
      </c>
      <c r="M876" s="728"/>
      <c r="N876" s="148">
        <v>0.37811</v>
      </c>
      <c r="O876" s="148">
        <v>0</v>
      </c>
      <c r="P876" s="148">
        <v>0.14011000000000001</v>
      </c>
      <c r="Q876" s="148">
        <v>0.23799999999999999</v>
      </c>
      <c r="R876" s="148">
        <v>169.86653343801299</v>
      </c>
    </row>
    <row r="877" spans="2:18" ht="15.75" hidden="1" thickBot="1" x14ac:dyDescent="0.3">
      <c r="B877" s="725" t="s">
        <v>713</v>
      </c>
      <c r="C877" s="722" t="s">
        <v>619</v>
      </c>
      <c r="D877" t="s">
        <v>620</v>
      </c>
      <c r="E877" s="729"/>
      <c r="F877" s="729"/>
      <c r="G877" s="729"/>
      <c r="H877" s="729"/>
      <c r="I877" s="729"/>
      <c r="J877" s="729"/>
      <c r="K877" s="729"/>
      <c r="L877" s="147">
        <v>0.28560000000000002</v>
      </c>
      <c r="M877" s="729"/>
      <c r="N877" s="147">
        <v>0.28560000000000002</v>
      </c>
      <c r="O877" s="147">
        <v>0</v>
      </c>
      <c r="P877" s="729"/>
      <c r="Q877" s="147">
        <v>0.28560000000000002</v>
      </c>
      <c r="R877" s="147">
        <v>0</v>
      </c>
    </row>
    <row r="878" spans="2:18" ht="15.75" hidden="1" thickBot="1" x14ac:dyDescent="0.3">
      <c r="B878" s="725" t="s">
        <v>713</v>
      </c>
      <c r="C878" s="722" t="s">
        <v>103</v>
      </c>
      <c r="D878" t="s">
        <v>104</v>
      </c>
      <c r="E878" s="728"/>
      <c r="F878" s="728"/>
      <c r="G878" s="728"/>
      <c r="H878" s="728"/>
      <c r="I878" s="728"/>
      <c r="J878" s="728"/>
      <c r="K878" s="728"/>
      <c r="L878" s="148">
        <v>1.2070000000000001E-2</v>
      </c>
      <c r="M878" s="728"/>
      <c r="N878" s="148">
        <v>1.2070000000000001E-2</v>
      </c>
      <c r="O878" s="148">
        <v>0</v>
      </c>
      <c r="P878" s="148">
        <v>9.7999999999999997E-3</v>
      </c>
      <c r="Q878" s="148">
        <v>2.2699999999999999E-3</v>
      </c>
      <c r="R878" s="148">
        <v>23.163265306122447</v>
      </c>
    </row>
    <row r="879" spans="2:18" ht="15.75" hidden="1" thickBot="1" x14ac:dyDescent="0.3">
      <c r="B879" s="725" t="s">
        <v>713</v>
      </c>
      <c r="C879" s="722" t="s">
        <v>109</v>
      </c>
      <c r="D879" t="s">
        <v>110</v>
      </c>
      <c r="E879" s="147">
        <v>0.29488999999999999</v>
      </c>
      <c r="F879" s="729"/>
      <c r="G879" s="147">
        <v>0.29488999999999999</v>
      </c>
      <c r="H879" s="147">
        <v>0</v>
      </c>
      <c r="I879" s="729"/>
      <c r="J879" s="147">
        <v>0.29488999999999999</v>
      </c>
      <c r="K879" s="147">
        <v>0</v>
      </c>
      <c r="L879" s="147">
        <v>0.80527000000000004</v>
      </c>
      <c r="M879" s="729"/>
      <c r="N879" s="147">
        <v>0.80527000000000004</v>
      </c>
      <c r="O879" s="147">
        <v>0</v>
      </c>
      <c r="P879" s="147">
        <v>0.17077000000000001</v>
      </c>
      <c r="Q879" s="147">
        <v>0.63449999999999995</v>
      </c>
      <c r="R879" s="147">
        <v>371.55238039468293</v>
      </c>
    </row>
    <row r="880" spans="2:18" ht="15.75" hidden="1" thickBot="1" x14ac:dyDescent="0.3">
      <c r="B880" s="725" t="s">
        <v>713</v>
      </c>
      <c r="C880" s="722" t="s">
        <v>73</v>
      </c>
      <c r="D880" t="s">
        <v>74</v>
      </c>
      <c r="E880" s="148">
        <v>0.32634999999999997</v>
      </c>
      <c r="F880" s="728"/>
      <c r="G880" s="148">
        <v>0.32634999999999997</v>
      </c>
      <c r="H880" s="148">
        <v>0</v>
      </c>
      <c r="I880" s="728"/>
      <c r="J880" s="148">
        <v>0.32634999999999997</v>
      </c>
      <c r="K880" s="148">
        <v>0</v>
      </c>
      <c r="L880" s="148">
        <v>2.1851400000000001</v>
      </c>
      <c r="M880" s="728"/>
      <c r="N880" s="148">
        <v>2.1851400000000001</v>
      </c>
      <c r="O880" s="148">
        <v>0</v>
      </c>
      <c r="P880" s="148">
        <v>1.17625</v>
      </c>
      <c r="Q880" s="148">
        <v>1.0088900000000001</v>
      </c>
      <c r="R880" s="148">
        <v>85.771732199787465</v>
      </c>
    </row>
    <row r="881" spans="2:18" ht="15.75" hidden="1" thickBot="1" x14ac:dyDescent="0.3">
      <c r="B881" s="725" t="s">
        <v>713</v>
      </c>
      <c r="C881" s="722" t="s">
        <v>113</v>
      </c>
      <c r="D881" t="s">
        <v>114</v>
      </c>
      <c r="E881" s="729"/>
      <c r="F881" s="729"/>
      <c r="G881" s="729"/>
      <c r="H881" s="729"/>
      <c r="I881" s="729"/>
      <c r="J881" s="729"/>
      <c r="K881" s="729"/>
      <c r="L881" s="147">
        <v>0.15368000000000001</v>
      </c>
      <c r="M881" s="729"/>
      <c r="N881" s="147">
        <v>0.15368000000000001</v>
      </c>
      <c r="O881" s="147">
        <v>0</v>
      </c>
      <c r="P881" s="147">
        <v>9.0160000000000004E-2</v>
      </c>
      <c r="Q881" s="147">
        <v>6.3519999999999993E-2</v>
      </c>
      <c r="R881" s="147">
        <v>70.452528837622012</v>
      </c>
    </row>
    <row r="882" spans="2:18" ht="15.75" hidden="1" thickBot="1" x14ac:dyDescent="0.3">
      <c r="B882" s="725" t="s">
        <v>713</v>
      </c>
      <c r="C882" s="722" t="s">
        <v>145</v>
      </c>
      <c r="D882" t="s">
        <v>146</v>
      </c>
      <c r="E882" s="148">
        <v>0.18859999999999999</v>
      </c>
      <c r="F882" s="728"/>
      <c r="G882" s="148">
        <v>0.18859999999999999</v>
      </c>
      <c r="H882" s="148">
        <v>0</v>
      </c>
      <c r="I882" s="728"/>
      <c r="J882" s="148">
        <v>0.18859999999999999</v>
      </c>
      <c r="K882" s="148">
        <v>0</v>
      </c>
      <c r="L882" s="148">
        <v>0.19294</v>
      </c>
      <c r="M882" s="728"/>
      <c r="N882" s="148">
        <v>0.19294</v>
      </c>
      <c r="O882" s="148">
        <v>0</v>
      </c>
      <c r="P882" s="728"/>
      <c r="Q882" s="148">
        <v>0.19294</v>
      </c>
      <c r="R882" s="148">
        <v>0</v>
      </c>
    </row>
    <row r="883" spans="2:18" ht="15.75" hidden="1" thickBot="1" x14ac:dyDescent="0.3">
      <c r="B883" s="725" t="s">
        <v>713</v>
      </c>
      <c r="C883" s="722" t="s">
        <v>149</v>
      </c>
      <c r="D883" t="s">
        <v>150</v>
      </c>
      <c r="E883" s="729"/>
      <c r="F883" s="729"/>
      <c r="G883" s="729"/>
      <c r="H883" s="729"/>
      <c r="I883" s="729"/>
      <c r="J883" s="729"/>
      <c r="K883" s="729"/>
      <c r="L883" s="147">
        <v>1.135</v>
      </c>
      <c r="M883" s="729"/>
      <c r="N883" s="147">
        <v>1.135</v>
      </c>
      <c r="O883" s="147">
        <v>0</v>
      </c>
      <c r="P883" s="147">
        <v>1.135</v>
      </c>
      <c r="Q883" s="147">
        <v>0</v>
      </c>
      <c r="R883" s="147">
        <v>0</v>
      </c>
    </row>
    <row r="884" spans="2:18" ht="15.75" hidden="1" thickBot="1" x14ac:dyDescent="0.3">
      <c r="B884" s="725" t="s">
        <v>713</v>
      </c>
      <c r="C884" s="722" t="s">
        <v>173</v>
      </c>
      <c r="D884" t="s">
        <v>174</v>
      </c>
      <c r="E884" s="728"/>
      <c r="F884" s="728"/>
      <c r="G884" s="728"/>
      <c r="H884" s="728"/>
      <c r="I884" s="728"/>
      <c r="J884" s="728"/>
      <c r="K884" s="728"/>
      <c r="L884" s="148">
        <v>0.32251999999999997</v>
      </c>
      <c r="M884" s="728"/>
      <c r="N884" s="148">
        <v>0.32251999999999997</v>
      </c>
      <c r="O884" s="148">
        <v>0</v>
      </c>
      <c r="P884" s="148">
        <v>0.23573</v>
      </c>
      <c r="Q884" s="148">
        <v>8.6790000000000006E-2</v>
      </c>
      <c r="R884" s="148">
        <v>36.817545496966872</v>
      </c>
    </row>
    <row r="885" spans="2:18" ht="15.75" hidden="1" thickBot="1" x14ac:dyDescent="0.3">
      <c r="B885" s="725" t="s">
        <v>713</v>
      </c>
      <c r="C885" s="722" t="s">
        <v>673</v>
      </c>
      <c r="D885" t="s">
        <v>674</v>
      </c>
      <c r="E885" s="729"/>
      <c r="F885" s="729"/>
      <c r="G885" s="729"/>
      <c r="H885" s="729"/>
      <c r="I885" s="729"/>
      <c r="J885" s="729"/>
      <c r="K885" s="729"/>
      <c r="L885" s="147">
        <v>3.7350000000000001E-2</v>
      </c>
      <c r="M885" s="729"/>
      <c r="N885" s="147">
        <v>3.7350000000000001E-2</v>
      </c>
      <c r="O885" s="147">
        <v>0</v>
      </c>
      <c r="P885" s="147">
        <v>3.7350000000000001E-2</v>
      </c>
      <c r="Q885" s="147">
        <v>0</v>
      </c>
      <c r="R885" s="147">
        <v>0</v>
      </c>
    </row>
    <row r="886" spans="2:18" ht="15.75" hidden="1" thickBot="1" x14ac:dyDescent="0.3">
      <c r="B886" s="725" t="s">
        <v>713</v>
      </c>
      <c r="C886" s="722" t="s">
        <v>675</v>
      </c>
      <c r="D886" t="s">
        <v>676</v>
      </c>
      <c r="E886" s="148">
        <v>-9.3000000000000005E-4</v>
      </c>
      <c r="F886" s="148">
        <v>1.5</v>
      </c>
      <c r="G886" s="148">
        <v>-1.5009300000000001</v>
      </c>
      <c r="H886" s="148">
        <v>-100.062</v>
      </c>
      <c r="I886" s="728"/>
      <c r="J886" s="148">
        <v>-9.3000000000000005E-4</v>
      </c>
      <c r="K886" s="148">
        <v>0</v>
      </c>
      <c r="L886" s="148">
        <v>47.567459999999997</v>
      </c>
      <c r="M886" s="148">
        <v>18</v>
      </c>
      <c r="N886" s="148">
        <v>29.567460000000001</v>
      </c>
      <c r="O886" s="148">
        <v>164.26366666666667</v>
      </c>
      <c r="P886" s="148">
        <v>-5.1173500000000001</v>
      </c>
      <c r="Q886" s="148">
        <v>52.684809999999999</v>
      </c>
      <c r="R886" s="148">
        <v>1029.533059102856</v>
      </c>
    </row>
    <row r="887" spans="2:18" ht="15.75" hidden="1" thickBot="1" x14ac:dyDescent="0.3">
      <c r="B887" s="725" t="s">
        <v>713</v>
      </c>
      <c r="C887" s="722" t="s">
        <v>75</v>
      </c>
      <c r="D887" t="s">
        <v>76</v>
      </c>
      <c r="E887" s="147">
        <v>6.7500000000000004E-2</v>
      </c>
      <c r="F887" s="729"/>
      <c r="G887" s="147">
        <v>6.7500000000000004E-2</v>
      </c>
      <c r="H887" s="147">
        <v>0</v>
      </c>
      <c r="I887" s="729"/>
      <c r="J887" s="147">
        <v>6.7500000000000004E-2</v>
      </c>
      <c r="K887" s="147">
        <v>0</v>
      </c>
      <c r="L887" s="147">
        <v>8.4909999999999999E-2</v>
      </c>
      <c r="M887" s="729"/>
      <c r="N887" s="147">
        <v>8.4909999999999999E-2</v>
      </c>
      <c r="O887" s="147">
        <v>0</v>
      </c>
      <c r="P887" s="147">
        <v>1.7409999999999998E-2</v>
      </c>
      <c r="Q887" s="147">
        <v>6.7500000000000004E-2</v>
      </c>
      <c r="R887" s="147">
        <v>387.70821367030442</v>
      </c>
    </row>
    <row r="888" spans="2:18" ht="15.75" hidden="1" thickBot="1" x14ac:dyDescent="0.3">
      <c r="B888" s="725" t="s">
        <v>713</v>
      </c>
      <c r="C888" s="722" t="s">
        <v>121</v>
      </c>
      <c r="D888" t="s">
        <v>122</v>
      </c>
      <c r="E888" s="728"/>
      <c r="F888" s="728"/>
      <c r="G888" s="728"/>
      <c r="H888" s="728"/>
      <c r="I888" s="728"/>
      <c r="J888" s="728"/>
      <c r="K888" s="728"/>
      <c r="L888" s="148">
        <v>1.5559999999999999E-2</v>
      </c>
      <c r="M888" s="728"/>
      <c r="N888" s="148">
        <v>1.5559999999999999E-2</v>
      </c>
      <c r="O888" s="148">
        <v>0</v>
      </c>
      <c r="P888" s="148">
        <v>1.5559999999999999E-2</v>
      </c>
      <c r="Q888" s="148">
        <v>0</v>
      </c>
      <c r="R888" s="148">
        <v>0</v>
      </c>
    </row>
    <row r="889" spans="2:18" ht="15.75" hidden="1" thickBot="1" x14ac:dyDescent="0.3">
      <c r="B889" s="725" t="s">
        <v>713</v>
      </c>
      <c r="C889" s="722" t="s">
        <v>81</v>
      </c>
      <c r="D889" t="s">
        <v>82</v>
      </c>
      <c r="E889" s="147">
        <v>0.68039000000000005</v>
      </c>
      <c r="F889" s="729"/>
      <c r="G889" s="147">
        <v>0.68039000000000005</v>
      </c>
      <c r="H889" s="147">
        <v>0</v>
      </c>
      <c r="I889" s="729"/>
      <c r="J889" s="147">
        <v>0.68039000000000005</v>
      </c>
      <c r="K889" s="147">
        <v>0</v>
      </c>
      <c r="L889" s="147">
        <v>0.68039000000000005</v>
      </c>
      <c r="M889" s="729"/>
      <c r="N889" s="147">
        <v>0.68039000000000005</v>
      </c>
      <c r="O889" s="147">
        <v>0</v>
      </c>
      <c r="P889" s="729"/>
      <c r="Q889" s="147">
        <v>0.68039000000000005</v>
      </c>
      <c r="R889" s="147">
        <v>0</v>
      </c>
    </row>
    <row r="890" spans="2:18" ht="15.75" hidden="1" thickBot="1" x14ac:dyDescent="0.3">
      <c r="B890" s="725" t="s">
        <v>713</v>
      </c>
      <c r="C890" s="722" t="s">
        <v>123</v>
      </c>
      <c r="D890" t="s">
        <v>124</v>
      </c>
      <c r="E890" s="728"/>
      <c r="F890" s="728"/>
      <c r="G890" s="728"/>
      <c r="H890" s="728"/>
      <c r="I890" s="728"/>
      <c r="J890" s="728"/>
      <c r="K890" s="728"/>
      <c r="L890" s="148">
        <v>7.4999999999999997E-3</v>
      </c>
      <c r="M890" s="728"/>
      <c r="N890" s="148">
        <v>7.4999999999999997E-3</v>
      </c>
      <c r="O890" s="148">
        <v>0</v>
      </c>
      <c r="P890" s="148">
        <v>7.4999999999999997E-3</v>
      </c>
      <c r="Q890" s="148">
        <v>0</v>
      </c>
      <c r="R890" s="148">
        <v>0</v>
      </c>
    </row>
    <row r="891" spans="2:18" ht="15.75" hidden="1" thickBot="1" x14ac:dyDescent="0.3">
      <c r="B891" s="725" t="s">
        <v>713</v>
      </c>
      <c r="C891" s="722" t="s">
        <v>209</v>
      </c>
      <c r="D891" t="s">
        <v>210</v>
      </c>
      <c r="E891" s="729"/>
      <c r="F891" s="729"/>
      <c r="G891" s="729"/>
      <c r="H891" s="729"/>
      <c r="I891" s="729"/>
      <c r="J891" s="729"/>
      <c r="K891" s="729"/>
      <c r="L891" s="147">
        <v>4.9199999999999999E-3</v>
      </c>
      <c r="M891" s="729"/>
      <c r="N891" s="147">
        <v>4.9199999999999999E-3</v>
      </c>
      <c r="O891" s="147">
        <v>0</v>
      </c>
      <c r="P891" s="147">
        <v>2.3500000000000001E-3</v>
      </c>
      <c r="Q891" s="147">
        <v>2.5699999999999998E-3</v>
      </c>
      <c r="R891" s="147">
        <v>109.36170212765957</v>
      </c>
    </row>
    <row r="892" spans="2:18" ht="15.75" hidden="1" thickBot="1" x14ac:dyDescent="0.3">
      <c r="B892" s="725" t="s">
        <v>713</v>
      </c>
      <c r="C892" s="722" t="s">
        <v>83</v>
      </c>
      <c r="D892" t="s">
        <v>84</v>
      </c>
      <c r="E892" s="728"/>
      <c r="F892" s="148">
        <v>0.5</v>
      </c>
      <c r="G892" s="148">
        <v>-0.5</v>
      </c>
      <c r="H892" s="148">
        <v>-100</v>
      </c>
      <c r="I892" s="728"/>
      <c r="J892" s="728"/>
      <c r="K892" s="728"/>
      <c r="L892" s="728"/>
      <c r="M892" s="148">
        <v>6</v>
      </c>
      <c r="N892" s="148">
        <v>-6</v>
      </c>
      <c r="O892" s="148">
        <v>-100</v>
      </c>
      <c r="P892" s="728"/>
      <c r="Q892" s="728"/>
      <c r="R892" s="728"/>
    </row>
    <row r="893" spans="2:18" ht="15.75" hidden="1" thickBot="1" x14ac:dyDescent="0.3">
      <c r="B893" s="725" t="s">
        <v>713</v>
      </c>
      <c r="C893" s="149" t="s">
        <v>85</v>
      </c>
      <c r="D893" t="s">
        <v>86</v>
      </c>
      <c r="E893" s="147">
        <v>4.30314</v>
      </c>
      <c r="F893" s="147">
        <v>5.3</v>
      </c>
      <c r="G893" s="147">
        <v>-0.99685999999999997</v>
      </c>
      <c r="H893" s="147">
        <v>-18.80867924528302</v>
      </c>
      <c r="I893" s="729"/>
      <c r="J893" s="147">
        <v>4.30314</v>
      </c>
      <c r="K893" s="147">
        <v>0</v>
      </c>
      <c r="L893" s="147">
        <v>111.06982000000001</v>
      </c>
      <c r="M893" s="147">
        <v>63.6</v>
      </c>
      <c r="N893" s="147">
        <v>47.469819999999999</v>
      </c>
      <c r="O893" s="147">
        <v>74.638081761006291</v>
      </c>
      <c r="P893" s="147">
        <v>32.408830000000002</v>
      </c>
      <c r="Q893" s="147">
        <v>78.660989999999998</v>
      </c>
      <c r="R893" s="147">
        <v>242.71468609017975</v>
      </c>
    </row>
    <row r="894" spans="2:18" ht="15.75" hidden="1" thickBot="1" x14ac:dyDescent="0.3">
      <c r="B894" s="725" t="s">
        <v>713</v>
      </c>
      <c r="C894" s="144" t="s">
        <v>87</v>
      </c>
      <c r="D894" t="s">
        <v>87</v>
      </c>
      <c r="E894" s="148">
        <v>14.92388</v>
      </c>
      <c r="F894" s="148">
        <v>18.866520000000001</v>
      </c>
      <c r="G894" s="148">
        <v>-3.9426399999999999</v>
      </c>
      <c r="H894" s="148">
        <v>-20.897547613444345</v>
      </c>
      <c r="I894" s="728"/>
      <c r="J894" s="148">
        <v>14.92388</v>
      </c>
      <c r="K894" s="148">
        <v>0</v>
      </c>
      <c r="L894" s="148">
        <v>351.21573999999998</v>
      </c>
      <c r="M894" s="148">
        <v>222.04297</v>
      </c>
      <c r="N894" s="148">
        <v>129.17277000000001</v>
      </c>
      <c r="O894" s="148">
        <v>58.174672226731609</v>
      </c>
      <c r="P894" s="148">
        <v>174.80117000000001</v>
      </c>
      <c r="Q894" s="148">
        <v>176.41457</v>
      </c>
      <c r="R894" s="148">
        <v>100.92299153375232</v>
      </c>
    </row>
    <row r="895" spans="2:18" ht="15.75" hidden="1" thickBot="1" x14ac:dyDescent="0.3">
      <c r="B895" s="725" t="s">
        <v>714</v>
      </c>
      <c r="C895" s="722" t="s">
        <v>59</v>
      </c>
      <c r="D895" t="s">
        <v>60</v>
      </c>
      <c r="E895" s="147">
        <v>23.918800000000001</v>
      </c>
      <c r="F895" s="147">
        <v>22.266529999999999</v>
      </c>
      <c r="G895" s="147">
        <v>1.6522699999999999</v>
      </c>
      <c r="H895" s="147">
        <v>7.4204197959897655</v>
      </c>
      <c r="I895" s="729"/>
      <c r="J895" s="147">
        <v>23.918800000000001</v>
      </c>
      <c r="K895" s="147">
        <v>0</v>
      </c>
      <c r="L895" s="147">
        <v>284.79422</v>
      </c>
      <c r="M895" s="147">
        <v>265.79660000000001</v>
      </c>
      <c r="N895" s="147">
        <v>18.997620000000001</v>
      </c>
      <c r="O895" s="147">
        <v>7.1474277699564253</v>
      </c>
      <c r="P895" s="147">
        <v>141.71905000000001</v>
      </c>
      <c r="Q895" s="147">
        <v>143.07517000000001</v>
      </c>
      <c r="R895" s="147">
        <v>100.95690734590727</v>
      </c>
    </row>
    <row r="896" spans="2:18" ht="15.75" hidden="1" thickBot="1" x14ac:dyDescent="0.3">
      <c r="B896" s="725" t="s">
        <v>714</v>
      </c>
      <c r="C896" s="722" t="s">
        <v>134</v>
      </c>
      <c r="D896" t="s">
        <v>135</v>
      </c>
      <c r="E896" s="728"/>
      <c r="F896" s="728"/>
      <c r="G896" s="728"/>
      <c r="H896" s="728"/>
      <c r="I896" s="728"/>
      <c r="J896" s="728"/>
      <c r="K896" s="728"/>
      <c r="L896" s="148">
        <v>0.22117999999999999</v>
      </c>
      <c r="M896" s="728"/>
      <c r="N896" s="148">
        <v>0.22117999999999999</v>
      </c>
      <c r="O896" s="148">
        <v>0</v>
      </c>
      <c r="P896" s="148">
        <v>6.3E-2</v>
      </c>
      <c r="Q896" s="148">
        <v>0.15817999999999999</v>
      </c>
      <c r="R896" s="148">
        <v>251.07936507936509</v>
      </c>
    </row>
    <row r="897" spans="1:18" ht="15.75" hidden="1" thickBot="1" x14ac:dyDescent="0.3">
      <c r="B897" s="725" t="s">
        <v>714</v>
      </c>
      <c r="C897" s="722" t="s">
        <v>61</v>
      </c>
      <c r="D897" t="s">
        <v>62</v>
      </c>
      <c r="E897" s="147">
        <v>3.5440499999999999</v>
      </c>
      <c r="F897" s="147">
        <v>3.4513099999999999</v>
      </c>
      <c r="G897" s="147">
        <v>9.2740000000000003E-2</v>
      </c>
      <c r="H897" s="147">
        <v>2.6870956245599498</v>
      </c>
      <c r="I897" s="729"/>
      <c r="J897" s="147">
        <v>3.5440499999999999</v>
      </c>
      <c r="K897" s="147">
        <v>0</v>
      </c>
      <c r="L897" s="147">
        <v>42.306130000000003</v>
      </c>
      <c r="M897" s="147">
        <v>41.198459999999997</v>
      </c>
      <c r="N897" s="147">
        <v>1.1076699999999999</v>
      </c>
      <c r="O897" s="147">
        <v>2.6886199144336946</v>
      </c>
      <c r="P897" s="147">
        <v>21.041810000000002</v>
      </c>
      <c r="Q897" s="147">
        <v>21.264320000000001</v>
      </c>
      <c r="R897" s="147">
        <v>101.05746606399354</v>
      </c>
    </row>
    <row r="898" spans="1:18" ht="15.75" hidden="1" thickBot="1" x14ac:dyDescent="0.3">
      <c r="B898" s="725" t="s">
        <v>714</v>
      </c>
      <c r="C898" s="722" t="s">
        <v>63</v>
      </c>
      <c r="D898" t="s">
        <v>64</v>
      </c>
      <c r="E898" s="148">
        <v>13.768359999999999</v>
      </c>
      <c r="F898" s="148">
        <v>13.42672</v>
      </c>
      <c r="G898" s="148">
        <v>0.34164</v>
      </c>
      <c r="H898" s="148">
        <v>2.5444784727766723</v>
      </c>
      <c r="I898" s="728"/>
      <c r="J898" s="148">
        <v>13.768359999999999</v>
      </c>
      <c r="K898" s="148">
        <v>0</v>
      </c>
      <c r="L898" s="148">
        <v>164.35583</v>
      </c>
      <c r="M898" s="148">
        <v>160.27538000000001</v>
      </c>
      <c r="N898" s="148">
        <v>4.0804499999999999</v>
      </c>
      <c r="O898" s="148">
        <v>2.5458994388283465</v>
      </c>
      <c r="P898" s="148">
        <v>81.745630000000006</v>
      </c>
      <c r="Q898" s="148">
        <v>82.610200000000006</v>
      </c>
      <c r="R898" s="148">
        <v>101.05763451819993</v>
      </c>
    </row>
    <row r="899" spans="1:18" ht="18.75" thickBot="1" x14ac:dyDescent="0.3">
      <c r="A899" s="199" t="str">
        <f t="shared" ref="A899" si="7">B899&amp;C899</f>
        <v>CASH MANAGEMENTPayroll</v>
      </c>
      <c r="B899" s="725" t="s">
        <v>714</v>
      </c>
      <c r="C899" s="149" t="s">
        <v>67</v>
      </c>
      <c r="D899" t="s">
        <v>68</v>
      </c>
      <c r="E899" s="147">
        <v>41.231209999999997</v>
      </c>
      <c r="F899" s="147">
        <v>39.144559999999998</v>
      </c>
      <c r="G899" s="147">
        <v>2.0866500000000001</v>
      </c>
      <c r="H899" s="147">
        <v>5.3306257625580669</v>
      </c>
      <c r="I899" s="729"/>
      <c r="J899" s="147">
        <v>41.231209999999997</v>
      </c>
      <c r="K899" s="147">
        <v>0</v>
      </c>
      <c r="L899" s="739">
        <v>491.67736000000002</v>
      </c>
      <c r="M899" s="147">
        <v>467.27044000000001</v>
      </c>
      <c r="N899" s="147">
        <v>24.40692</v>
      </c>
      <c r="O899" s="147">
        <v>5.2232963848515643</v>
      </c>
      <c r="P899" s="147">
        <v>244.56949</v>
      </c>
      <c r="Q899" s="147">
        <v>247.10786999999999</v>
      </c>
      <c r="R899" s="147">
        <v>101.03789724548226</v>
      </c>
    </row>
    <row r="900" spans="1:18" ht="15.75" hidden="1" thickBot="1" x14ac:dyDescent="0.3">
      <c r="A900" s="199" t="s">
        <v>558</v>
      </c>
      <c r="B900" s="725" t="s">
        <v>714</v>
      </c>
      <c r="C900" s="722" t="s">
        <v>69</v>
      </c>
      <c r="D900" t="s">
        <v>70</v>
      </c>
      <c r="E900" s="728"/>
      <c r="F900" s="148">
        <v>0.2</v>
      </c>
      <c r="G900" s="148">
        <v>-0.2</v>
      </c>
      <c r="H900" s="148">
        <v>-100</v>
      </c>
      <c r="I900" s="728"/>
      <c r="J900" s="728"/>
      <c r="K900" s="728"/>
      <c r="L900" s="148">
        <v>7.0965400000000001</v>
      </c>
      <c r="M900" s="148">
        <v>2.4</v>
      </c>
      <c r="N900" s="148">
        <v>4.6965399999999997</v>
      </c>
      <c r="O900" s="148">
        <v>195.68916666666667</v>
      </c>
      <c r="P900" s="148">
        <v>1.9347799999999999</v>
      </c>
      <c r="Q900" s="148">
        <v>5.1617600000000001</v>
      </c>
      <c r="R900" s="148">
        <v>266.78795521971489</v>
      </c>
    </row>
    <row r="901" spans="1:18" ht="15.75" hidden="1" thickBot="1" x14ac:dyDescent="0.3">
      <c r="B901" s="725" t="s">
        <v>714</v>
      </c>
      <c r="C901" s="722" t="s">
        <v>137</v>
      </c>
      <c r="D901" t="s">
        <v>138</v>
      </c>
      <c r="E901" s="147">
        <v>8.72E-2</v>
      </c>
      <c r="F901" s="729"/>
      <c r="G901" s="147">
        <v>8.72E-2</v>
      </c>
      <c r="H901" s="147">
        <v>0</v>
      </c>
      <c r="I901" s="729"/>
      <c r="J901" s="147">
        <v>8.72E-2</v>
      </c>
      <c r="K901" s="147">
        <v>0</v>
      </c>
      <c r="L901" s="147">
        <v>1.39194</v>
      </c>
      <c r="M901" s="729"/>
      <c r="N901" s="147">
        <v>1.39194</v>
      </c>
      <c r="O901" s="147">
        <v>0</v>
      </c>
      <c r="P901" s="147">
        <v>0.3488</v>
      </c>
      <c r="Q901" s="147">
        <v>1.04314</v>
      </c>
      <c r="R901" s="147">
        <v>299.06536697247708</v>
      </c>
    </row>
    <row r="902" spans="1:18" ht="15.75" hidden="1" thickBot="1" x14ac:dyDescent="0.3">
      <c r="B902" s="725" t="s">
        <v>714</v>
      </c>
      <c r="C902" s="722" t="s">
        <v>139</v>
      </c>
      <c r="D902" t="s">
        <v>140</v>
      </c>
      <c r="E902" s="148">
        <v>0.495</v>
      </c>
      <c r="F902" s="148">
        <v>0.11</v>
      </c>
      <c r="G902" s="148">
        <v>0.38500000000000001</v>
      </c>
      <c r="H902" s="148">
        <v>350</v>
      </c>
      <c r="I902" s="728"/>
      <c r="J902" s="148">
        <v>0.495</v>
      </c>
      <c r="K902" s="148">
        <v>0</v>
      </c>
      <c r="L902" s="148">
        <v>3.27</v>
      </c>
      <c r="M902" s="148">
        <v>1.7250000000000001</v>
      </c>
      <c r="N902" s="148">
        <v>1.5449999999999999</v>
      </c>
      <c r="O902" s="148">
        <v>89.565217391304344</v>
      </c>
      <c r="P902" s="148">
        <v>2.7749999999999999</v>
      </c>
      <c r="Q902" s="148">
        <v>0.495</v>
      </c>
      <c r="R902" s="148">
        <v>17.837837837837839</v>
      </c>
    </row>
    <row r="903" spans="1:18" ht="15.75" hidden="1" thickBot="1" x14ac:dyDescent="0.3">
      <c r="B903" s="725" t="s">
        <v>714</v>
      </c>
      <c r="C903" s="722" t="s">
        <v>103</v>
      </c>
      <c r="D903" t="s">
        <v>104</v>
      </c>
      <c r="E903" s="729"/>
      <c r="F903" s="729"/>
      <c r="G903" s="729"/>
      <c r="H903" s="729"/>
      <c r="I903" s="729"/>
      <c r="J903" s="729"/>
      <c r="K903" s="729"/>
      <c r="L903" s="147">
        <v>0.03</v>
      </c>
      <c r="M903" s="729"/>
      <c r="N903" s="147">
        <v>0.03</v>
      </c>
      <c r="O903" s="147">
        <v>0</v>
      </c>
      <c r="P903" s="729"/>
      <c r="Q903" s="147">
        <v>0.03</v>
      </c>
      <c r="R903" s="147">
        <v>0</v>
      </c>
    </row>
    <row r="904" spans="1:18" ht="15.75" hidden="1" thickBot="1" x14ac:dyDescent="0.3">
      <c r="B904" s="725" t="s">
        <v>714</v>
      </c>
      <c r="C904" s="722" t="s">
        <v>105</v>
      </c>
      <c r="D904" t="s">
        <v>106</v>
      </c>
      <c r="E904" s="148">
        <v>209.44066000000001</v>
      </c>
      <c r="F904" s="148">
        <v>239.78700000000001</v>
      </c>
      <c r="G904" s="148">
        <v>-30.346340000000001</v>
      </c>
      <c r="H904" s="148">
        <v>-12.655540125194443</v>
      </c>
      <c r="I904" s="728"/>
      <c r="J904" s="148">
        <v>209.44066000000001</v>
      </c>
      <c r="K904" s="148">
        <v>0</v>
      </c>
      <c r="L904" s="148">
        <v>2353.4931799999999</v>
      </c>
      <c r="M904" s="148">
        <v>2563.1280200000001</v>
      </c>
      <c r="N904" s="148">
        <v>-209.63484</v>
      </c>
      <c r="O904" s="148">
        <v>-8.1788673200958577</v>
      </c>
      <c r="P904" s="148">
        <v>1264.6418200000001</v>
      </c>
      <c r="Q904" s="148">
        <v>1088.8513600000001</v>
      </c>
      <c r="R904" s="148">
        <v>86.099585098332426</v>
      </c>
    </row>
    <row r="905" spans="1:18" ht="15.75" hidden="1" thickBot="1" x14ac:dyDescent="0.3">
      <c r="B905" s="725" t="s">
        <v>714</v>
      </c>
      <c r="C905" s="722" t="s">
        <v>73</v>
      </c>
      <c r="D905" t="s">
        <v>74</v>
      </c>
      <c r="E905" s="147">
        <v>0.14782000000000001</v>
      </c>
      <c r="F905" s="729"/>
      <c r="G905" s="147">
        <v>0.14782000000000001</v>
      </c>
      <c r="H905" s="147">
        <v>0</v>
      </c>
      <c r="I905" s="729"/>
      <c r="J905" s="147">
        <v>0.14782000000000001</v>
      </c>
      <c r="K905" s="147">
        <v>0</v>
      </c>
      <c r="L905" s="147">
        <v>0.96218000000000004</v>
      </c>
      <c r="M905" s="729"/>
      <c r="N905" s="147">
        <v>0.96218000000000004</v>
      </c>
      <c r="O905" s="147">
        <v>0</v>
      </c>
      <c r="P905" s="147">
        <v>0.39140000000000003</v>
      </c>
      <c r="Q905" s="147">
        <v>0.57077999999999995</v>
      </c>
      <c r="R905" s="147">
        <v>145.83035258048034</v>
      </c>
    </row>
    <row r="906" spans="1:18" ht="15.75" hidden="1" thickBot="1" x14ac:dyDescent="0.3">
      <c r="B906" s="725" t="s">
        <v>714</v>
      </c>
      <c r="C906" s="722" t="s">
        <v>141</v>
      </c>
      <c r="D906" t="s">
        <v>142</v>
      </c>
      <c r="E906" s="728"/>
      <c r="F906" s="728"/>
      <c r="G906" s="728"/>
      <c r="H906" s="728"/>
      <c r="I906" s="728"/>
      <c r="J906" s="728"/>
      <c r="K906" s="728"/>
      <c r="L906" s="148">
        <v>0.24199999999999999</v>
      </c>
      <c r="M906" s="728"/>
      <c r="N906" s="148">
        <v>0.24199999999999999</v>
      </c>
      <c r="O906" s="148">
        <v>0</v>
      </c>
      <c r="P906" s="148">
        <v>0.24199999999999999</v>
      </c>
      <c r="Q906" s="148">
        <v>0</v>
      </c>
      <c r="R906" s="148">
        <v>0</v>
      </c>
    </row>
    <row r="907" spans="1:18" ht="15.75" hidden="1" thickBot="1" x14ac:dyDescent="0.3">
      <c r="B907" s="725" t="s">
        <v>714</v>
      </c>
      <c r="C907" s="722" t="s">
        <v>113</v>
      </c>
      <c r="D907" t="s">
        <v>114</v>
      </c>
      <c r="E907" s="729"/>
      <c r="F907" s="729"/>
      <c r="G907" s="729"/>
      <c r="H907" s="729"/>
      <c r="I907" s="729"/>
      <c r="J907" s="729"/>
      <c r="K907" s="729"/>
      <c r="L907" s="147">
        <v>1.6279999999999999E-2</v>
      </c>
      <c r="M907" s="729"/>
      <c r="N907" s="147">
        <v>1.6279999999999999E-2</v>
      </c>
      <c r="O907" s="147">
        <v>0</v>
      </c>
      <c r="P907" s="147">
        <v>3.4399999999999999E-3</v>
      </c>
      <c r="Q907" s="147">
        <v>1.2840000000000001E-2</v>
      </c>
      <c r="R907" s="147">
        <v>373.25581395348837</v>
      </c>
    </row>
    <row r="908" spans="1:18" ht="15.75" hidden="1" thickBot="1" x14ac:dyDescent="0.3">
      <c r="B908" s="725" t="s">
        <v>714</v>
      </c>
      <c r="C908" s="722" t="s">
        <v>145</v>
      </c>
      <c r="D908" t="s">
        <v>146</v>
      </c>
      <c r="E908" s="728"/>
      <c r="F908" s="728"/>
      <c r="G908" s="728"/>
      <c r="H908" s="728"/>
      <c r="I908" s="728"/>
      <c r="J908" s="728"/>
      <c r="K908" s="728"/>
      <c r="L908" s="148">
        <v>4.8000000000000001E-2</v>
      </c>
      <c r="M908" s="728"/>
      <c r="N908" s="148">
        <v>4.8000000000000001E-2</v>
      </c>
      <c r="O908" s="148">
        <v>0</v>
      </c>
      <c r="P908" s="728"/>
      <c r="Q908" s="148">
        <v>4.8000000000000001E-2</v>
      </c>
      <c r="R908" s="148">
        <v>0</v>
      </c>
    </row>
    <row r="909" spans="1:18" ht="15.75" hidden="1" thickBot="1" x14ac:dyDescent="0.3">
      <c r="B909" s="725" t="s">
        <v>714</v>
      </c>
      <c r="C909" s="722" t="s">
        <v>149</v>
      </c>
      <c r="D909" t="s">
        <v>150</v>
      </c>
      <c r="E909" s="147">
        <v>32.648290000000003</v>
      </c>
      <c r="F909" s="147">
        <v>34.268999999999998</v>
      </c>
      <c r="G909" s="147">
        <v>-1.6207100000000001</v>
      </c>
      <c r="H909" s="147">
        <v>-4.729376404330444</v>
      </c>
      <c r="I909" s="729"/>
      <c r="J909" s="147">
        <v>32.648290000000003</v>
      </c>
      <c r="K909" s="147">
        <v>0</v>
      </c>
      <c r="L909" s="147">
        <v>551.19813999999997</v>
      </c>
      <c r="M909" s="147">
        <v>565.61500000000001</v>
      </c>
      <c r="N909" s="147">
        <v>-14.41686</v>
      </c>
      <c r="O909" s="147">
        <v>-2.5488821901823679</v>
      </c>
      <c r="P909" s="147">
        <v>245.82499999999999</v>
      </c>
      <c r="Q909" s="147">
        <v>305.37313999999998</v>
      </c>
      <c r="R909" s="147">
        <v>124.22379334892709</v>
      </c>
    </row>
    <row r="910" spans="1:18" ht="15.75" hidden="1" thickBot="1" x14ac:dyDescent="0.3">
      <c r="B910" s="725" t="s">
        <v>714</v>
      </c>
      <c r="C910" s="722" t="s">
        <v>75</v>
      </c>
      <c r="D910" t="s">
        <v>76</v>
      </c>
      <c r="E910" s="148">
        <v>0.32074999999999998</v>
      </c>
      <c r="F910" s="148">
        <v>0.2</v>
      </c>
      <c r="G910" s="148">
        <v>0.12075</v>
      </c>
      <c r="H910" s="148">
        <v>60.375</v>
      </c>
      <c r="I910" s="728"/>
      <c r="J910" s="148">
        <v>0.32074999999999998</v>
      </c>
      <c r="K910" s="148">
        <v>0</v>
      </c>
      <c r="L910" s="148">
        <v>1.8166899999999999</v>
      </c>
      <c r="M910" s="148">
        <v>2.4</v>
      </c>
      <c r="N910" s="148">
        <v>-0.58331</v>
      </c>
      <c r="O910" s="148">
        <v>-24.304583333333333</v>
      </c>
      <c r="P910" s="148">
        <v>0.76166</v>
      </c>
      <c r="Q910" s="148">
        <v>1.0550299999999999</v>
      </c>
      <c r="R910" s="148">
        <v>138.51718614604943</v>
      </c>
    </row>
    <row r="911" spans="1:18" ht="15.75" hidden="1" thickBot="1" x14ac:dyDescent="0.3">
      <c r="B911" s="725" t="s">
        <v>714</v>
      </c>
      <c r="C911" s="722" t="s">
        <v>77</v>
      </c>
      <c r="D911" t="s">
        <v>78</v>
      </c>
      <c r="E911" s="729"/>
      <c r="F911" s="147">
        <v>1</v>
      </c>
      <c r="G911" s="147">
        <v>-1</v>
      </c>
      <c r="H911" s="147">
        <v>-100</v>
      </c>
      <c r="I911" s="729"/>
      <c r="J911" s="729"/>
      <c r="K911" s="729"/>
      <c r="L911" s="147">
        <v>3.8798300000000001</v>
      </c>
      <c r="M911" s="147">
        <v>15</v>
      </c>
      <c r="N911" s="147">
        <v>-11.12017</v>
      </c>
      <c r="O911" s="147">
        <v>-74.134466666666668</v>
      </c>
      <c r="P911" s="147">
        <v>2.6210200000000001</v>
      </c>
      <c r="Q911" s="147">
        <v>1.25881</v>
      </c>
      <c r="R911" s="147">
        <v>48.02748548275099</v>
      </c>
    </row>
    <row r="912" spans="1:18" ht="15.75" hidden="1" thickBot="1" x14ac:dyDescent="0.3">
      <c r="B912" s="725" t="s">
        <v>714</v>
      </c>
      <c r="C912" s="722" t="s">
        <v>79</v>
      </c>
      <c r="D912" t="s">
        <v>80</v>
      </c>
      <c r="E912" s="728"/>
      <c r="F912" s="728"/>
      <c r="G912" s="728"/>
      <c r="H912" s="728"/>
      <c r="I912" s="728"/>
      <c r="J912" s="728"/>
      <c r="K912" s="728"/>
      <c r="L912" s="148">
        <v>0</v>
      </c>
      <c r="M912" s="728"/>
      <c r="N912" s="148">
        <v>0</v>
      </c>
      <c r="O912" s="148">
        <v>0</v>
      </c>
      <c r="P912" s="728"/>
      <c r="Q912" s="148">
        <v>0</v>
      </c>
      <c r="R912" s="148">
        <v>0</v>
      </c>
    </row>
    <row r="913" spans="1:18" ht="15.75" hidden="1" thickBot="1" x14ac:dyDescent="0.3">
      <c r="B913" s="725" t="s">
        <v>714</v>
      </c>
      <c r="C913" s="722" t="s">
        <v>123</v>
      </c>
      <c r="D913" t="s">
        <v>124</v>
      </c>
      <c r="E913" s="729"/>
      <c r="F913" s="729"/>
      <c r="G913" s="729"/>
      <c r="H913" s="729"/>
      <c r="I913" s="729"/>
      <c r="J913" s="729"/>
      <c r="K913" s="729"/>
      <c r="L913" s="147">
        <v>0.1875</v>
      </c>
      <c r="M913" s="729"/>
      <c r="N913" s="147">
        <v>0.1875</v>
      </c>
      <c r="O913" s="147">
        <v>0</v>
      </c>
      <c r="P913" s="147">
        <v>0.1875</v>
      </c>
      <c r="Q913" s="147">
        <v>0</v>
      </c>
      <c r="R913" s="147">
        <v>0</v>
      </c>
    </row>
    <row r="914" spans="1:18" ht="15.75" hidden="1" thickBot="1" x14ac:dyDescent="0.3">
      <c r="B914" s="725" t="s">
        <v>714</v>
      </c>
      <c r="C914" s="722" t="s">
        <v>83</v>
      </c>
      <c r="D914" t="s">
        <v>84</v>
      </c>
      <c r="E914" s="728"/>
      <c r="F914" s="148">
        <v>0.25</v>
      </c>
      <c r="G914" s="148">
        <v>-0.25</v>
      </c>
      <c r="H914" s="148">
        <v>-100</v>
      </c>
      <c r="I914" s="728"/>
      <c r="J914" s="728"/>
      <c r="K914" s="728"/>
      <c r="L914" s="728"/>
      <c r="M914" s="148">
        <v>3</v>
      </c>
      <c r="N914" s="148">
        <v>-3</v>
      </c>
      <c r="O914" s="148">
        <v>-100</v>
      </c>
      <c r="P914" s="728"/>
      <c r="Q914" s="728"/>
      <c r="R914" s="728"/>
    </row>
    <row r="915" spans="1:18" ht="18.75" thickBot="1" x14ac:dyDescent="0.3">
      <c r="A915" s="199" t="str">
        <f t="shared" ref="A915" si="8">B915&amp;C915</f>
        <v>CASH MANAGEMENTNon-Payroll</v>
      </c>
      <c r="B915" s="725" t="s">
        <v>714</v>
      </c>
      <c r="C915" s="149" t="s">
        <v>85</v>
      </c>
      <c r="D915" t="s">
        <v>86</v>
      </c>
      <c r="E915" s="147">
        <v>243.13972000000001</v>
      </c>
      <c r="F915" s="147">
        <v>275.81599999999997</v>
      </c>
      <c r="G915" s="147">
        <v>-32.676279999999998</v>
      </c>
      <c r="H915" s="147">
        <v>-11.847129970705108</v>
      </c>
      <c r="I915" s="729"/>
      <c r="J915" s="147">
        <v>243.13972000000001</v>
      </c>
      <c r="K915" s="147">
        <v>0</v>
      </c>
      <c r="L915" s="739">
        <v>2923.6322799999998</v>
      </c>
      <c r="M915" s="147">
        <v>3153.26802</v>
      </c>
      <c r="N915" s="147">
        <v>-229.63574</v>
      </c>
      <c r="O915" s="147">
        <v>-7.2824681740818216</v>
      </c>
      <c r="P915" s="147">
        <v>1519.73242</v>
      </c>
      <c r="Q915" s="147">
        <v>1403.89986</v>
      </c>
      <c r="R915" s="147">
        <v>92.37809508597573</v>
      </c>
    </row>
    <row r="916" spans="1:18" ht="15.75" hidden="1" thickBot="1" x14ac:dyDescent="0.3">
      <c r="B916" s="725" t="s">
        <v>714</v>
      </c>
      <c r="C916" s="144" t="s">
        <v>87</v>
      </c>
      <c r="D916" t="s">
        <v>87</v>
      </c>
      <c r="E916" s="148">
        <v>284.37092999999999</v>
      </c>
      <c r="F916" s="148">
        <v>314.96055999999999</v>
      </c>
      <c r="G916" s="148">
        <v>-30.58963</v>
      </c>
      <c r="H916" s="148">
        <v>-9.7122096811105489</v>
      </c>
      <c r="I916" s="728"/>
      <c r="J916" s="148">
        <v>284.37092999999999</v>
      </c>
      <c r="K916" s="148">
        <v>0</v>
      </c>
      <c r="L916" s="148">
        <v>3415.3096399999999</v>
      </c>
      <c r="M916" s="148">
        <v>3620.5384600000002</v>
      </c>
      <c r="N916" s="148">
        <v>-205.22882000000001</v>
      </c>
      <c r="O916" s="148">
        <v>-5.6684612597652118</v>
      </c>
      <c r="P916" s="148">
        <v>1764.3019099999999</v>
      </c>
      <c r="Q916" s="148">
        <v>1651.00773</v>
      </c>
      <c r="R916" s="148">
        <v>93.578526477931433</v>
      </c>
    </row>
    <row r="917" spans="1:18" ht="15.75" hidden="1" thickBot="1" x14ac:dyDescent="0.3">
      <c r="B917" s="725" t="s">
        <v>715</v>
      </c>
      <c r="C917" s="722" t="s">
        <v>59</v>
      </c>
      <c r="D917" t="s">
        <v>60</v>
      </c>
      <c r="E917" s="147">
        <v>16.28238</v>
      </c>
      <c r="F917" s="147">
        <v>18.744050000000001</v>
      </c>
      <c r="G917" s="147">
        <v>-2.4616699999999998</v>
      </c>
      <c r="H917" s="147">
        <v>-13.133074228888635</v>
      </c>
      <c r="I917" s="729"/>
      <c r="J917" s="147">
        <v>16.28238</v>
      </c>
      <c r="K917" s="147">
        <v>0</v>
      </c>
      <c r="L917" s="147">
        <v>228.25314</v>
      </c>
      <c r="M917" s="147">
        <v>223.74858</v>
      </c>
      <c r="N917" s="147">
        <v>4.5045599999999997</v>
      </c>
      <c r="O917" s="147">
        <v>2.0132239498458495</v>
      </c>
      <c r="P917" s="147">
        <v>118.59607</v>
      </c>
      <c r="Q917" s="147">
        <v>109.65707</v>
      </c>
      <c r="R917" s="147">
        <v>92.462650743823133</v>
      </c>
    </row>
    <row r="918" spans="1:18" ht="15.75" hidden="1" thickBot="1" x14ac:dyDescent="0.3">
      <c r="B918" s="725" t="s">
        <v>715</v>
      </c>
      <c r="C918" s="722" t="s">
        <v>134</v>
      </c>
      <c r="D918" t="s">
        <v>135</v>
      </c>
      <c r="E918" s="728"/>
      <c r="F918" s="728"/>
      <c r="G918" s="728"/>
      <c r="H918" s="728"/>
      <c r="I918" s="728"/>
      <c r="J918" s="728"/>
      <c r="K918" s="728"/>
      <c r="L918" s="148">
        <v>6.3E-2</v>
      </c>
      <c r="M918" s="728"/>
      <c r="N918" s="148">
        <v>6.3E-2</v>
      </c>
      <c r="O918" s="148">
        <v>0</v>
      </c>
      <c r="P918" s="148">
        <v>6.3E-2</v>
      </c>
      <c r="Q918" s="148">
        <v>0</v>
      </c>
      <c r="R918" s="148">
        <v>0</v>
      </c>
    </row>
    <row r="919" spans="1:18" ht="15.75" hidden="1" thickBot="1" x14ac:dyDescent="0.3">
      <c r="B919" s="725" t="s">
        <v>715</v>
      </c>
      <c r="C919" s="722" t="s">
        <v>61</v>
      </c>
      <c r="D919" t="s">
        <v>62</v>
      </c>
      <c r="E919" s="147">
        <v>2.9092600000000002</v>
      </c>
      <c r="F919" s="147">
        <v>2.9053300000000002</v>
      </c>
      <c r="G919" s="147">
        <v>3.9300000000000003E-3</v>
      </c>
      <c r="H919" s="147">
        <v>0.135268626971807</v>
      </c>
      <c r="I919" s="729"/>
      <c r="J919" s="147">
        <v>2.9092600000000002</v>
      </c>
      <c r="K919" s="147">
        <v>0</v>
      </c>
      <c r="L919" s="147">
        <v>34.741250000000001</v>
      </c>
      <c r="M919" s="147">
        <v>34.681060000000002</v>
      </c>
      <c r="N919" s="147">
        <v>6.019E-2</v>
      </c>
      <c r="O919" s="147">
        <v>0.17355294215344053</v>
      </c>
      <c r="P919" s="147">
        <v>17.285710000000002</v>
      </c>
      <c r="Q919" s="147">
        <v>17.455539999999999</v>
      </c>
      <c r="R919" s="147">
        <v>100.98248784689781</v>
      </c>
    </row>
    <row r="920" spans="1:18" ht="15.75" hidden="1" thickBot="1" x14ac:dyDescent="0.3">
      <c r="B920" s="725" t="s">
        <v>715</v>
      </c>
      <c r="C920" s="722" t="s">
        <v>63</v>
      </c>
      <c r="D920" t="s">
        <v>64</v>
      </c>
      <c r="E920" s="148">
        <v>11.30219</v>
      </c>
      <c r="F920" s="148">
        <v>11.302659999999999</v>
      </c>
      <c r="G920" s="148">
        <v>-4.6999999999999999E-4</v>
      </c>
      <c r="H920" s="148">
        <v>-4.1583131758364845E-3</v>
      </c>
      <c r="I920" s="728"/>
      <c r="J920" s="148">
        <v>11.30219</v>
      </c>
      <c r="K920" s="148">
        <v>0</v>
      </c>
      <c r="L920" s="148">
        <v>134.96697</v>
      </c>
      <c r="M920" s="148">
        <v>134.92037999999999</v>
      </c>
      <c r="N920" s="148">
        <v>4.6589999999999999E-2</v>
      </c>
      <c r="O920" s="148">
        <v>3.4531477008884794E-2</v>
      </c>
      <c r="P920" s="148">
        <v>67.153790000000001</v>
      </c>
      <c r="Q920" s="148">
        <v>67.813180000000003</v>
      </c>
      <c r="R920" s="148">
        <v>100.98191032851608</v>
      </c>
    </row>
    <row r="921" spans="1:18" ht="15.75" hidden="1" thickBot="1" x14ac:dyDescent="0.3">
      <c r="B921" s="725" t="s">
        <v>715</v>
      </c>
      <c r="C921" s="149" t="s">
        <v>67</v>
      </c>
      <c r="D921" t="s">
        <v>68</v>
      </c>
      <c r="E921" s="147">
        <v>30.493829999999999</v>
      </c>
      <c r="F921" s="147">
        <v>32.952039999999997</v>
      </c>
      <c r="G921" s="147">
        <v>-2.4582099999999998</v>
      </c>
      <c r="H921" s="147">
        <v>-7.4599630250509525</v>
      </c>
      <c r="I921" s="729"/>
      <c r="J921" s="147">
        <v>30.493829999999999</v>
      </c>
      <c r="K921" s="147">
        <v>0</v>
      </c>
      <c r="L921" s="147">
        <v>398.02436</v>
      </c>
      <c r="M921" s="147">
        <v>393.35001999999997</v>
      </c>
      <c r="N921" s="147">
        <v>4.6743399999999999</v>
      </c>
      <c r="O921" s="147">
        <v>1.1883411115626739</v>
      </c>
      <c r="P921" s="147">
        <v>203.09857</v>
      </c>
      <c r="Q921" s="147">
        <v>194.92579000000001</v>
      </c>
      <c r="R921" s="147">
        <v>95.975953941970147</v>
      </c>
    </row>
    <row r="922" spans="1:18" ht="15.75" hidden="1" thickBot="1" x14ac:dyDescent="0.3">
      <c r="B922" s="725" t="s">
        <v>715</v>
      </c>
      <c r="C922" s="722" t="s">
        <v>69</v>
      </c>
      <c r="D922" t="s">
        <v>70</v>
      </c>
      <c r="E922" s="728"/>
      <c r="F922" s="728"/>
      <c r="G922" s="728"/>
      <c r="H922" s="728"/>
      <c r="I922" s="728"/>
      <c r="J922" s="728"/>
      <c r="K922" s="728"/>
      <c r="L922" s="148">
        <v>2.5989499999999999</v>
      </c>
      <c r="M922" s="728"/>
      <c r="N922" s="148">
        <v>2.5989499999999999</v>
      </c>
      <c r="O922" s="148">
        <v>0</v>
      </c>
      <c r="P922" s="148">
        <v>0.59894999999999998</v>
      </c>
      <c r="Q922" s="148">
        <v>2</v>
      </c>
      <c r="R922" s="148">
        <v>333.9176892895901</v>
      </c>
    </row>
    <row r="923" spans="1:18" ht="15.75" hidden="1" thickBot="1" x14ac:dyDescent="0.3">
      <c r="B923" s="725" t="s">
        <v>715</v>
      </c>
      <c r="C923" s="722" t="s">
        <v>137</v>
      </c>
      <c r="D923" t="s">
        <v>138</v>
      </c>
      <c r="E923" s="729"/>
      <c r="F923" s="729"/>
      <c r="G923" s="729"/>
      <c r="H923" s="729"/>
      <c r="I923" s="729"/>
      <c r="J923" s="729"/>
      <c r="K923" s="729"/>
      <c r="L923" s="147">
        <v>3.27E-2</v>
      </c>
      <c r="M923" s="729"/>
      <c r="N923" s="147">
        <v>3.27E-2</v>
      </c>
      <c r="O923" s="147">
        <v>0</v>
      </c>
      <c r="P923" s="729"/>
      <c r="Q923" s="147">
        <v>3.27E-2</v>
      </c>
      <c r="R923" s="147">
        <v>0</v>
      </c>
    </row>
    <row r="924" spans="1:18" ht="15.75" hidden="1" thickBot="1" x14ac:dyDescent="0.3">
      <c r="B924" s="725" t="s">
        <v>715</v>
      </c>
      <c r="C924" s="722" t="s">
        <v>139</v>
      </c>
      <c r="D924" t="s">
        <v>140</v>
      </c>
      <c r="E924" s="728"/>
      <c r="F924" s="148">
        <v>0.20499999999999999</v>
      </c>
      <c r="G924" s="148">
        <v>-0.20499999999999999</v>
      </c>
      <c r="H924" s="148">
        <v>-100</v>
      </c>
      <c r="I924" s="728"/>
      <c r="J924" s="728"/>
      <c r="K924" s="728"/>
      <c r="L924" s="148">
        <v>3.6454599999999999</v>
      </c>
      <c r="M924" s="148">
        <v>0.86</v>
      </c>
      <c r="N924" s="148">
        <v>2.78546</v>
      </c>
      <c r="O924" s="148">
        <v>323.89069767441862</v>
      </c>
      <c r="P924" s="148">
        <v>2.8804599999999998</v>
      </c>
      <c r="Q924" s="148">
        <v>0.76500000000000001</v>
      </c>
      <c r="R924" s="148">
        <v>26.558258056004945</v>
      </c>
    </row>
    <row r="925" spans="1:18" ht="15.75" hidden="1" thickBot="1" x14ac:dyDescent="0.3">
      <c r="B925" s="725" t="s">
        <v>715</v>
      </c>
      <c r="C925" s="722" t="s">
        <v>101</v>
      </c>
      <c r="D925" t="s">
        <v>102</v>
      </c>
      <c r="E925" s="147">
        <v>1.2670000000000001E-2</v>
      </c>
      <c r="F925" s="729"/>
      <c r="G925" s="147">
        <v>1.2670000000000001E-2</v>
      </c>
      <c r="H925" s="147">
        <v>0</v>
      </c>
      <c r="I925" s="729"/>
      <c r="J925" s="147">
        <v>1.2670000000000001E-2</v>
      </c>
      <c r="K925" s="147">
        <v>0</v>
      </c>
      <c r="L925" s="147">
        <v>0.16150999999999999</v>
      </c>
      <c r="M925" s="729"/>
      <c r="N925" s="147">
        <v>0.16150999999999999</v>
      </c>
      <c r="O925" s="147">
        <v>0</v>
      </c>
      <c r="P925" s="147">
        <v>8.5739999999999997E-2</v>
      </c>
      <c r="Q925" s="147">
        <v>7.5770000000000004E-2</v>
      </c>
      <c r="R925" s="147">
        <v>88.371821786797298</v>
      </c>
    </row>
    <row r="926" spans="1:18" ht="15.75" hidden="1" thickBot="1" x14ac:dyDescent="0.3">
      <c r="B926" s="725" t="s">
        <v>715</v>
      </c>
      <c r="C926" s="722" t="s">
        <v>103</v>
      </c>
      <c r="D926" t="s">
        <v>104</v>
      </c>
      <c r="E926" s="728"/>
      <c r="F926" s="728"/>
      <c r="G926" s="728"/>
      <c r="H926" s="728"/>
      <c r="I926" s="728"/>
      <c r="J926" s="728"/>
      <c r="K926" s="728"/>
      <c r="L926" s="148">
        <v>0.02</v>
      </c>
      <c r="M926" s="728"/>
      <c r="N926" s="148">
        <v>0.02</v>
      </c>
      <c r="O926" s="148">
        <v>0</v>
      </c>
      <c r="P926" s="728"/>
      <c r="Q926" s="148">
        <v>0.02</v>
      </c>
      <c r="R926" s="148">
        <v>0</v>
      </c>
    </row>
    <row r="927" spans="1:18" ht="15.75" hidden="1" thickBot="1" x14ac:dyDescent="0.3">
      <c r="B927" s="725" t="s">
        <v>715</v>
      </c>
      <c r="C927" s="722" t="s">
        <v>73</v>
      </c>
      <c r="D927" t="s">
        <v>74</v>
      </c>
      <c r="E927" s="147">
        <v>0.39265</v>
      </c>
      <c r="F927" s="147">
        <v>0.14099999999999999</v>
      </c>
      <c r="G927" s="147">
        <v>0.25164999999999998</v>
      </c>
      <c r="H927" s="147">
        <v>178.47517730496455</v>
      </c>
      <c r="I927" s="729"/>
      <c r="J927" s="147">
        <v>0.39265</v>
      </c>
      <c r="K927" s="147">
        <v>0</v>
      </c>
      <c r="L927" s="147">
        <v>2.2212399999999999</v>
      </c>
      <c r="M927" s="147">
        <v>1.9419999999999999</v>
      </c>
      <c r="N927" s="147">
        <v>0.27923999999999999</v>
      </c>
      <c r="O927" s="147">
        <v>14.378990731204944</v>
      </c>
      <c r="P927" s="147">
        <v>0.71438999999999997</v>
      </c>
      <c r="Q927" s="147">
        <v>1.50685</v>
      </c>
      <c r="R927" s="147">
        <v>210.92820448214562</v>
      </c>
    </row>
    <row r="928" spans="1:18" ht="15.75" hidden="1" thickBot="1" x14ac:dyDescent="0.3">
      <c r="B928" s="725" t="s">
        <v>715</v>
      </c>
      <c r="C928" s="722" t="s">
        <v>141</v>
      </c>
      <c r="D928" t="s">
        <v>142</v>
      </c>
      <c r="E928" s="728"/>
      <c r="F928" s="148">
        <v>9.9000000000000005E-2</v>
      </c>
      <c r="G928" s="148">
        <v>-9.9000000000000005E-2</v>
      </c>
      <c r="H928" s="148">
        <v>-100</v>
      </c>
      <c r="I928" s="728"/>
      <c r="J928" s="728"/>
      <c r="K928" s="728"/>
      <c r="L928" s="148">
        <v>0.71394000000000002</v>
      </c>
      <c r="M928" s="148">
        <v>1.038</v>
      </c>
      <c r="N928" s="148">
        <v>-0.32406000000000001</v>
      </c>
      <c r="O928" s="148">
        <v>-31.21965317919075</v>
      </c>
      <c r="P928" s="148">
        <v>0.65976000000000001</v>
      </c>
      <c r="Q928" s="148">
        <v>5.4179999999999999E-2</v>
      </c>
      <c r="R928" s="148">
        <v>8.2120771189523456</v>
      </c>
    </row>
    <row r="929" spans="2:18" ht="15.75" hidden="1" thickBot="1" x14ac:dyDescent="0.3">
      <c r="B929" s="725" t="s">
        <v>715</v>
      </c>
      <c r="C929" s="722" t="s">
        <v>113</v>
      </c>
      <c r="D929" t="s">
        <v>114</v>
      </c>
      <c r="E929" s="147">
        <v>3.0929999999999999E-2</v>
      </c>
      <c r="F929" s="147">
        <v>8.2000000000000003E-2</v>
      </c>
      <c r="G929" s="147">
        <v>-5.1069999999999997E-2</v>
      </c>
      <c r="H929" s="147">
        <v>-62.280487804878049</v>
      </c>
      <c r="I929" s="729"/>
      <c r="J929" s="147">
        <v>3.0929999999999999E-2</v>
      </c>
      <c r="K929" s="147">
        <v>0</v>
      </c>
      <c r="L929" s="147">
        <v>0.16757</v>
      </c>
      <c r="M929" s="147">
        <v>0.98399999999999999</v>
      </c>
      <c r="N929" s="147">
        <v>-0.81642999999999999</v>
      </c>
      <c r="O929" s="147">
        <v>-82.970528455284551</v>
      </c>
      <c r="P929" s="147">
        <v>7.1040000000000006E-2</v>
      </c>
      <c r="Q929" s="147">
        <v>9.6530000000000005E-2</v>
      </c>
      <c r="R929" s="147">
        <v>135.88119369369369</v>
      </c>
    </row>
    <row r="930" spans="2:18" ht="15.75" hidden="1" thickBot="1" x14ac:dyDescent="0.3">
      <c r="B930" s="725" t="s">
        <v>715</v>
      </c>
      <c r="C930" s="722" t="s">
        <v>145</v>
      </c>
      <c r="D930" t="s">
        <v>146</v>
      </c>
      <c r="E930" s="728"/>
      <c r="F930" s="728"/>
      <c r="G930" s="728"/>
      <c r="H930" s="728"/>
      <c r="I930" s="728"/>
      <c r="J930" s="728"/>
      <c r="K930" s="728"/>
      <c r="L930" s="148">
        <v>2E-3</v>
      </c>
      <c r="M930" s="728"/>
      <c r="N930" s="148">
        <v>2E-3</v>
      </c>
      <c r="O930" s="148">
        <v>0</v>
      </c>
      <c r="P930" s="728"/>
      <c r="Q930" s="148">
        <v>2E-3</v>
      </c>
      <c r="R930" s="148">
        <v>0</v>
      </c>
    </row>
    <row r="931" spans="2:18" ht="15.75" hidden="1" thickBot="1" x14ac:dyDescent="0.3">
      <c r="B931" s="725" t="s">
        <v>715</v>
      </c>
      <c r="C931" s="722" t="s">
        <v>149</v>
      </c>
      <c r="D931" t="s">
        <v>150</v>
      </c>
      <c r="E931" s="147">
        <v>0.35</v>
      </c>
      <c r="F931" s="147">
        <v>1.875</v>
      </c>
      <c r="G931" s="147">
        <v>-1.5249999999999999</v>
      </c>
      <c r="H931" s="147">
        <v>-81.333333333333329</v>
      </c>
      <c r="I931" s="729"/>
      <c r="J931" s="147">
        <v>0.35</v>
      </c>
      <c r="K931" s="147">
        <v>0</v>
      </c>
      <c r="L931" s="147">
        <v>49.774079999999998</v>
      </c>
      <c r="M931" s="147">
        <v>62.96</v>
      </c>
      <c r="N931" s="147">
        <v>-13.185919999999999</v>
      </c>
      <c r="O931" s="147">
        <v>-20.9433290978399</v>
      </c>
      <c r="P931" s="147">
        <v>12.84</v>
      </c>
      <c r="Q931" s="147">
        <v>36.934080000000002</v>
      </c>
      <c r="R931" s="147">
        <v>287.64859813084109</v>
      </c>
    </row>
    <row r="932" spans="2:18" ht="15.75" hidden="1" thickBot="1" x14ac:dyDescent="0.3">
      <c r="B932" s="725" t="s">
        <v>715</v>
      </c>
      <c r="C932" s="722" t="s">
        <v>75</v>
      </c>
      <c r="D932" t="s">
        <v>76</v>
      </c>
      <c r="E932" s="148">
        <v>3.3149999999999999E-2</v>
      </c>
      <c r="F932" s="148">
        <v>0.39</v>
      </c>
      <c r="G932" s="148">
        <v>-0.35685</v>
      </c>
      <c r="H932" s="148">
        <v>-91.5</v>
      </c>
      <c r="I932" s="728"/>
      <c r="J932" s="148">
        <v>3.3149999999999999E-2</v>
      </c>
      <c r="K932" s="148">
        <v>0</v>
      </c>
      <c r="L932" s="148">
        <v>0.85865999999999998</v>
      </c>
      <c r="M932" s="148">
        <v>3.2549999999999999</v>
      </c>
      <c r="N932" s="148">
        <v>-2.3963399999999999</v>
      </c>
      <c r="O932" s="148">
        <v>-73.620276497695855</v>
      </c>
      <c r="P932" s="148">
        <v>0.15532000000000001</v>
      </c>
      <c r="Q932" s="148">
        <v>0.70333999999999997</v>
      </c>
      <c r="R932" s="148">
        <v>452.83286118980169</v>
      </c>
    </row>
    <row r="933" spans="2:18" ht="15.75" hidden="1" thickBot="1" x14ac:dyDescent="0.3">
      <c r="B933" s="725" t="s">
        <v>715</v>
      </c>
      <c r="C933" s="722" t="s">
        <v>77</v>
      </c>
      <c r="D933" t="s">
        <v>78</v>
      </c>
      <c r="E933" s="147">
        <v>0.74624999999999997</v>
      </c>
      <c r="F933" s="729"/>
      <c r="G933" s="147">
        <v>0.74624999999999997</v>
      </c>
      <c r="H933" s="147">
        <v>0</v>
      </c>
      <c r="I933" s="729"/>
      <c r="J933" s="147">
        <v>0.74624999999999997</v>
      </c>
      <c r="K933" s="147">
        <v>0</v>
      </c>
      <c r="L933" s="147">
        <v>2.59022</v>
      </c>
      <c r="M933" s="147">
        <v>10</v>
      </c>
      <c r="N933" s="147">
        <v>-7.4097799999999996</v>
      </c>
      <c r="O933" s="147">
        <v>-74.097800000000007</v>
      </c>
      <c r="P933" s="729"/>
      <c r="Q933" s="147">
        <v>2.59022</v>
      </c>
      <c r="R933" s="147">
        <v>0</v>
      </c>
    </row>
    <row r="934" spans="2:18" ht="15.75" hidden="1" thickBot="1" x14ac:dyDescent="0.3">
      <c r="B934" s="725" t="s">
        <v>715</v>
      </c>
      <c r="C934" s="722" t="s">
        <v>81</v>
      </c>
      <c r="D934" t="s">
        <v>82</v>
      </c>
      <c r="E934" s="728"/>
      <c r="F934" s="728"/>
      <c r="G934" s="728"/>
      <c r="H934" s="728"/>
      <c r="I934" s="728"/>
      <c r="J934" s="728"/>
      <c r="K934" s="728"/>
      <c r="L934" s="148">
        <v>8.0300000000000007E-3</v>
      </c>
      <c r="M934" s="728"/>
      <c r="N934" s="148">
        <v>8.0300000000000007E-3</v>
      </c>
      <c r="O934" s="148">
        <v>0</v>
      </c>
      <c r="P934" s="148">
        <v>5.0800000000000003E-3</v>
      </c>
      <c r="Q934" s="148">
        <v>2.9499999999999999E-3</v>
      </c>
      <c r="R934" s="148">
        <v>58.070866141732282</v>
      </c>
    </row>
    <row r="935" spans="2:18" ht="15.75" hidden="1" thickBot="1" x14ac:dyDescent="0.3">
      <c r="B935" s="725" t="s">
        <v>715</v>
      </c>
      <c r="C935" s="722" t="s">
        <v>123</v>
      </c>
      <c r="D935" t="s">
        <v>124</v>
      </c>
      <c r="E935" s="729"/>
      <c r="F935" s="729"/>
      <c r="G935" s="729"/>
      <c r="H935" s="729"/>
      <c r="I935" s="729"/>
      <c r="J935" s="729"/>
      <c r="K935" s="729"/>
      <c r="L935" s="147">
        <v>0.1</v>
      </c>
      <c r="M935" s="729"/>
      <c r="N935" s="147">
        <v>0.1</v>
      </c>
      <c r="O935" s="147">
        <v>0</v>
      </c>
      <c r="P935" s="729"/>
      <c r="Q935" s="147">
        <v>0.1</v>
      </c>
      <c r="R935" s="147">
        <v>0</v>
      </c>
    </row>
    <row r="936" spans="2:18" ht="15.75" hidden="1" thickBot="1" x14ac:dyDescent="0.3">
      <c r="B936" s="725" t="s">
        <v>715</v>
      </c>
      <c r="C936" s="149" t="s">
        <v>85</v>
      </c>
      <c r="D936" t="s">
        <v>86</v>
      </c>
      <c r="E936" s="148">
        <v>1.56565</v>
      </c>
      <c r="F936" s="148">
        <v>2.7919999999999998</v>
      </c>
      <c r="G936" s="148">
        <v>-1.2263500000000001</v>
      </c>
      <c r="H936" s="148">
        <v>-43.9237106017192</v>
      </c>
      <c r="I936" s="728"/>
      <c r="J936" s="148">
        <v>1.56565</v>
      </c>
      <c r="K936" s="148">
        <v>0</v>
      </c>
      <c r="L936" s="148">
        <v>62.894359999999999</v>
      </c>
      <c r="M936" s="148">
        <v>81.039000000000001</v>
      </c>
      <c r="N936" s="148">
        <v>-18.144639999999999</v>
      </c>
      <c r="O936" s="148">
        <v>-22.39000974839275</v>
      </c>
      <c r="P936" s="148">
        <v>18.010739999999998</v>
      </c>
      <c r="Q936" s="148">
        <v>44.883620000000001</v>
      </c>
      <c r="R936" s="148">
        <v>249.20475227558669</v>
      </c>
    </row>
    <row r="937" spans="2:18" ht="15.75" hidden="1" thickBot="1" x14ac:dyDescent="0.3">
      <c r="B937" s="725" t="s">
        <v>715</v>
      </c>
      <c r="C937" s="144" t="s">
        <v>87</v>
      </c>
      <c r="D937" t="s">
        <v>87</v>
      </c>
      <c r="E937" s="147">
        <v>32.059480000000001</v>
      </c>
      <c r="F937" s="147">
        <v>35.744039999999998</v>
      </c>
      <c r="G937" s="147">
        <v>-3.6845599999999998</v>
      </c>
      <c r="H937" s="147">
        <v>-10.308180049037546</v>
      </c>
      <c r="I937" s="729"/>
      <c r="J937" s="147">
        <v>32.059480000000001</v>
      </c>
      <c r="K937" s="147">
        <v>0</v>
      </c>
      <c r="L937" s="147">
        <v>460.91872000000001</v>
      </c>
      <c r="M937" s="147">
        <v>474.38902000000002</v>
      </c>
      <c r="N937" s="147">
        <v>-13.4703</v>
      </c>
      <c r="O937" s="147">
        <v>-2.8395050121522627</v>
      </c>
      <c r="P937" s="147">
        <v>221.10930999999999</v>
      </c>
      <c r="Q937" s="147">
        <v>239.80941000000001</v>
      </c>
      <c r="R937" s="147">
        <v>108.45740054998136</v>
      </c>
    </row>
    <row r="938" spans="2:18" ht="15.75" hidden="1" thickBot="1" x14ac:dyDescent="0.3">
      <c r="B938" s="725" t="s">
        <v>716</v>
      </c>
      <c r="C938" s="722" t="s">
        <v>59</v>
      </c>
      <c r="D938" t="s">
        <v>60</v>
      </c>
      <c r="E938" s="148">
        <v>18.950749999999999</v>
      </c>
      <c r="F938" s="148">
        <v>17.841550000000002</v>
      </c>
      <c r="G938" s="148">
        <v>1.1092</v>
      </c>
      <c r="H938" s="148">
        <v>6.216948639552057</v>
      </c>
      <c r="I938" s="728"/>
      <c r="J938" s="148">
        <v>18.950749999999999</v>
      </c>
      <c r="K938" s="148">
        <v>0</v>
      </c>
      <c r="L938" s="148">
        <v>234.51943</v>
      </c>
      <c r="M938" s="148">
        <v>212.97540000000001</v>
      </c>
      <c r="N938" s="148">
        <v>21.544029999999999</v>
      </c>
      <c r="O938" s="148">
        <v>10.115736371430691</v>
      </c>
      <c r="P938" s="148">
        <v>117.64258</v>
      </c>
      <c r="Q938" s="148">
        <v>116.87685</v>
      </c>
      <c r="R938" s="148">
        <v>99.349104720416705</v>
      </c>
    </row>
    <row r="939" spans="2:18" ht="15.75" hidden="1" thickBot="1" x14ac:dyDescent="0.3">
      <c r="B939" s="725" t="s">
        <v>716</v>
      </c>
      <c r="C939" s="722" t="s">
        <v>134</v>
      </c>
      <c r="D939" t="s">
        <v>135</v>
      </c>
      <c r="E939" s="729"/>
      <c r="F939" s="729"/>
      <c r="G939" s="729"/>
      <c r="H939" s="729"/>
      <c r="I939" s="729"/>
      <c r="J939" s="729"/>
      <c r="K939" s="729"/>
      <c r="L939" s="147">
        <v>3.1782400000000002</v>
      </c>
      <c r="M939" s="729"/>
      <c r="N939" s="147">
        <v>3.1782400000000002</v>
      </c>
      <c r="O939" s="147">
        <v>0</v>
      </c>
      <c r="P939" s="147">
        <v>6.3009999999999997E-2</v>
      </c>
      <c r="Q939" s="147">
        <v>3.1152299999999999</v>
      </c>
      <c r="R939" s="147">
        <v>4944.0247579749248</v>
      </c>
    </row>
    <row r="940" spans="2:18" ht="15.75" hidden="1" thickBot="1" x14ac:dyDescent="0.3">
      <c r="B940" s="725" t="s">
        <v>716</v>
      </c>
      <c r="C940" s="722" t="s">
        <v>61</v>
      </c>
      <c r="D940" t="s">
        <v>62</v>
      </c>
      <c r="E940" s="148">
        <v>2.8079200000000002</v>
      </c>
      <c r="F940" s="148">
        <v>2.7654399999999999</v>
      </c>
      <c r="G940" s="148">
        <v>4.2479999999999997E-2</v>
      </c>
      <c r="H940" s="148">
        <v>1.5361027539921315</v>
      </c>
      <c r="I940" s="728"/>
      <c r="J940" s="148">
        <v>2.8079200000000002</v>
      </c>
      <c r="K940" s="148">
        <v>0</v>
      </c>
      <c r="L940" s="148">
        <v>33.438519999999997</v>
      </c>
      <c r="M940" s="148">
        <v>33.011180000000003</v>
      </c>
      <c r="N940" s="148">
        <v>0.42734</v>
      </c>
      <c r="O940" s="148">
        <v>1.2945311255156586</v>
      </c>
      <c r="P940" s="148">
        <v>16.590990000000001</v>
      </c>
      <c r="Q940" s="148">
        <v>16.847529999999999</v>
      </c>
      <c r="R940" s="148">
        <v>101.54626095248084</v>
      </c>
    </row>
    <row r="941" spans="2:18" ht="15.75" hidden="1" thickBot="1" x14ac:dyDescent="0.3">
      <c r="B941" s="725" t="s">
        <v>716</v>
      </c>
      <c r="C941" s="722" t="s">
        <v>63</v>
      </c>
      <c r="D941" t="s">
        <v>64</v>
      </c>
      <c r="E941" s="147">
        <v>10.908620000000001</v>
      </c>
      <c r="F941" s="147">
        <v>10.75845</v>
      </c>
      <c r="G941" s="147">
        <v>0.15017</v>
      </c>
      <c r="H941" s="147">
        <v>1.3958330428639814</v>
      </c>
      <c r="I941" s="729"/>
      <c r="J941" s="147">
        <v>10.908620000000001</v>
      </c>
      <c r="K941" s="147">
        <v>0</v>
      </c>
      <c r="L941" s="147">
        <v>129.90683999999999</v>
      </c>
      <c r="M941" s="147">
        <v>128.42411999999999</v>
      </c>
      <c r="N941" s="147">
        <v>1.48272</v>
      </c>
      <c r="O941" s="147">
        <v>1.154549472482272</v>
      </c>
      <c r="P941" s="147">
        <v>64.455110000000005</v>
      </c>
      <c r="Q941" s="147">
        <v>65.451729999999998</v>
      </c>
      <c r="R941" s="147">
        <v>101.54622341037042</v>
      </c>
    </row>
    <row r="942" spans="2:18" ht="15.75" hidden="1" thickBot="1" x14ac:dyDescent="0.3">
      <c r="B942" s="725" t="s">
        <v>716</v>
      </c>
      <c r="C942" s="722" t="s">
        <v>65</v>
      </c>
      <c r="D942" t="s">
        <v>66</v>
      </c>
      <c r="E942" s="148">
        <v>-4.1691200000000004</v>
      </c>
      <c r="F942" s="148">
        <v>-1.11422</v>
      </c>
      <c r="G942" s="148">
        <v>-3.0548999999999999</v>
      </c>
      <c r="H942" s="148">
        <v>-274.1738615354239</v>
      </c>
      <c r="I942" s="728"/>
      <c r="J942" s="148">
        <v>-4.1691200000000004</v>
      </c>
      <c r="K942" s="148">
        <v>0</v>
      </c>
      <c r="L942" s="148">
        <v>-10.1859</v>
      </c>
      <c r="M942" s="148">
        <v>-13.3005</v>
      </c>
      <c r="N942" s="148">
        <v>3.1145999999999998</v>
      </c>
      <c r="O942" s="148">
        <v>23.417164768241797</v>
      </c>
      <c r="P942" s="148">
        <v>-4.9816599999999998</v>
      </c>
      <c r="Q942" s="148">
        <v>-5.2042400000000004</v>
      </c>
      <c r="R942" s="148">
        <v>-104.46798858211922</v>
      </c>
    </row>
    <row r="943" spans="2:18" ht="15.75" hidden="1" thickBot="1" x14ac:dyDescent="0.3">
      <c r="B943" s="725" t="s">
        <v>716</v>
      </c>
      <c r="C943" s="149" t="s">
        <v>67</v>
      </c>
      <c r="D943" t="s">
        <v>68</v>
      </c>
      <c r="E943" s="147">
        <v>28.498169999999998</v>
      </c>
      <c r="F943" s="147">
        <v>30.25122</v>
      </c>
      <c r="G943" s="147">
        <v>-1.75305</v>
      </c>
      <c r="H943" s="147">
        <v>-5.7949728969608501</v>
      </c>
      <c r="I943" s="729"/>
      <c r="J943" s="147">
        <v>28.498169999999998</v>
      </c>
      <c r="K943" s="147">
        <v>0</v>
      </c>
      <c r="L943" s="147">
        <v>390.85712999999998</v>
      </c>
      <c r="M943" s="147">
        <v>361.11020000000002</v>
      </c>
      <c r="N943" s="147">
        <v>29.746929999999999</v>
      </c>
      <c r="O943" s="147">
        <v>8.2376321687950114</v>
      </c>
      <c r="P943" s="147">
        <v>193.77002999999999</v>
      </c>
      <c r="Q943" s="147">
        <v>197.08709999999999</v>
      </c>
      <c r="R943" s="147">
        <v>101.71185915592829</v>
      </c>
    </row>
    <row r="944" spans="2:18" ht="15.75" hidden="1" thickBot="1" x14ac:dyDescent="0.3">
      <c r="B944" s="725" t="s">
        <v>716</v>
      </c>
      <c r="C944" s="722" t="s">
        <v>69</v>
      </c>
      <c r="D944" t="s">
        <v>70</v>
      </c>
      <c r="E944" s="148">
        <v>1.99</v>
      </c>
      <c r="F944" s="148">
        <v>4</v>
      </c>
      <c r="G944" s="148">
        <v>-2.0099999999999998</v>
      </c>
      <c r="H944" s="148">
        <v>-50.25</v>
      </c>
      <c r="I944" s="728"/>
      <c r="J944" s="148">
        <v>1.99</v>
      </c>
      <c r="K944" s="148">
        <v>0</v>
      </c>
      <c r="L944" s="148">
        <v>8.0540000000000003</v>
      </c>
      <c r="M944" s="148">
        <v>13</v>
      </c>
      <c r="N944" s="148">
        <v>-4.9459999999999997</v>
      </c>
      <c r="O944" s="148">
        <v>-38.04615384615385</v>
      </c>
      <c r="P944" s="148">
        <v>2.73</v>
      </c>
      <c r="Q944" s="148">
        <v>5.3239999999999998</v>
      </c>
      <c r="R944" s="148">
        <v>195.01831501831501</v>
      </c>
    </row>
    <row r="945" spans="2:18" ht="15.75" hidden="1" thickBot="1" x14ac:dyDescent="0.3">
      <c r="B945" s="725" t="s">
        <v>716</v>
      </c>
      <c r="C945" s="722" t="s">
        <v>137</v>
      </c>
      <c r="D945" t="s">
        <v>138</v>
      </c>
      <c r="E945" s="729"/>
      <c r="F945" s="729"/>
      <c r="G945" s="729"/>
      <c r="H945" s="729"/>
      <c r="I945" s="729"/>
      <c r="J945" s="729"/>
      <c r="K945" s="729"/>
      <c r="L945" s="147">
        <v>3.5430000000000003E-2</v>
      </c>
      <c r="M945" s="729"/>
      <c r="N945" s="147">
        <v>3.5430000000000003E-2</v>
      </c>
      <c r="O945" s="147">
        <v>0</v>
      </c>
      <c r="P945" s="147">
        <v>1.7659999999999999E-2</v>
      </c>
      <c r="Q945" s="147">
        <v>1.7770000000000001E-2</v>
      </c>
      <c r="R945" s="147">
        <v>100.62287655719139</v>
      </c>
    </row>
    <row r="946" spans="2:18" ht="15.75" hidden="1" thickBot="1" x14ac:dyDescent="0.3">
      <c r="B946" s="725" t="s">
        <v>716</v>
      </c>
      <c r="C946" s="722" t="s">
        <v>139</v>
      </c>
      <c r="D946" t="s">
        <v>140</v>
      </c>
      <c r="E946" s="728"/>
      <c r="F946" s="728"/>
      <c r="G946" s="728"/>
      <c r="H946" s="728"/>
      <c r="I946" s="728"/>
      <c r="J946" s="728"/>
      <c r="K946" s="728"/>
      <c r="L946" s="148">
        <v>0.89900000000000002</v>
      </c>
      <c r="M946" s="148">
        <v>1.45</v>
      </c>
      <c r="N946" s="148">
        <v>-0.55100000000000005</v>
      </c>
      <c r="O946" s="148">
        <v>-38</v>
      </c>
      <c r="P946" s="148">
        <v>0.14399999999999999</v>
      </c>
      <c r="Q946" s="148">
        <v>0.755</v>
      </c>
      <c r="R946" s="148">
        <v>524.30555555555554</v>
      </c>
    </row>
    <row r="947" spans="2:18" ht="15.75" hidden="1" thickBot="1" x14ac:dyDescent="0.3">
      <c r="B947" s="725" t="s">
        <v>716</v>
      </c>
      <c r="C947" s="722" t="s">
        <v>101</v>
      </c>
      <c r="D947" t="s">
        <v>102</v>
      </c>
      <c r="E947" s="147">
        <v>1.2670000000000001E-2</v>
      </c>
      <c r="F947" s="147">
        <v>1.4E-2</v>
      </c>
      <c r="G947" s="147">
        <v>-1.33E-3</v>
      </c>
      <c r="H947" s="147">
        <v>-9.5</v>
      </c>
      <c r="I947" s="729"/>
      <c r="J947" s="147">
        <v>1.2670000000000001E-2</v>
      </c>
      <c r="K947" s="147">
        <v>0</v>
      </c>
      <c r="L947" s="147">
        <v>0.39974999999999999</v>
      </c>
      <c r="M947" s="147">
        <v>0.16800000000000001</v>
      </c>
      <c r="N947" s="147">
        <v>0.23175000000000001</v>
      </c>
      <c r="O947" s="147">
        <v>137.94642857142858</v>
      </c>
      <c r="P947" s="147">
        <v>0.25137999999999999</v>
      </c>
      <c r="Q947" s="147">
        <v>0.14837</v>
      </c>
      <c r="R947" s="147">
        <v>59.022197469965789</v>
      </c>
    </row>
    <row r="948" spans="2:18" ht="15.75" hidden="1" thickBot="1" x14ac:dyDescent="0.3">
      <c r="B948" s="725" t="s">
        <v>716</v>
      </c>
      <c r="C948" s="722" t="s">
        <v>71</v>
      </c>
      <c r="D948" t="s">
        <v>72</v>
      </c>
      <c r="E948" s="728"/>
      <c r="F948" s="728"/>
      <c r="G948" s="728"/>
      <c r="H948" s="728"/>
      <c r="I948" s="728"/>
      <c r="J948" s="728"/>
      <c r="K948" s="728"/>
      <c r="L948" s="148">
        <v>1.545E-2</v>
      </c>
      <c r="M948" s="728"/>
      <c r="N948" s="148">
        <v>1.545E-2</v>
      </c>
      <c r="O948" s="148">
        <v>0</v>
      </c>
      <c r="P948" s="728"/>
      <c r="Q948" s="148">
        <v>1.545E-2</v>
      </c>
      <c r="R948" s="148">
        <v>0</v>
      </c>
    </row>
    <row r="949" spans="2:18" ht="15.75" hidden="1" thickBot="1" x14ac:dyDescent="0.3">
      <c r="B949" s="725" t="s">
        <v>716</v>
      </c>
      <c r="C949" s="722" t="s">
        <v>109</v>
      </c>
      <c r="D949" t="s">
        <v>110</v>
      </c>
      <c r="E949" s="729"/>
      <c r="F949" s="147">
        <v>0.04</v>
      </c>
      <c r="G949" s="147">
        <v>-0.04</v>
      </c>
      <c r="H949" s="147">
        <v>-100</v>
      </c>
      <c r="I949" s="729"/>
      <c r="J949" s="729"/>
      <c r="K949" s="729"/>
      <c r="L949" s="147">
        <v>1.3390000000000001E-2</v>
      </c>
      <c r="M949" s="147">
        <v>0.24</v>
      </c>
      <c r="N949" s="147">
        <v>-0.22661000000000001</v>
      </c>
      <c r="O949" s="147">
        <v>-94.420833333333334</v>
      </c>
      <c r="P949" s="147">
        <v>1.3390000000000001E-2</v>
      </c>
      <c r="Q949" s="147">
        <v>0</v>
      </c>
      <c r="R949" s="147">
        <v>0</v>
      </c>
    </row>
    <row r="950" spans="2:18" ht="15.75" hidden="1" thickBot="1" x14ac:dyDescent="0.3">
      <c r="B950" s="725" t="s">
        <v>716</v>
      </c>
      <c r="C950" s="722" t="s">
        <v>73</v>
      </c>
      <c r="D950" t="s">
        <v>74</v>
      </c>
      <c r="E950" s="148">
        <v>1.495E-2</v>
      </c>
      <c r="F950" s="148">
        <v>0.15</v>
      </c>
      <c r="G950" s="148">
        <v>-0.13505</v>
      </c>
      <c r="H950" s="148">
        <v>-90.033333333333331</v>
      </c>
      <c r="I950" s="728"/>
      <c r="J950" s="148">
        <v>1.495E-2</v>
      </c>
      <c r="K950" s="148">
        <v>0</v>
      </c>
      <c r="L950" s="148">
        <v>1.495E-2</v>
      </c>
      <c r="M950" s="148">
        <v>0.6</v>
      </c>
      <c r="N950" s="148">
        <v>-0.58504999999999996</v>
      </c>
      <c r="O950" s="148">
        <v>-97.50833333333334</v>
      </c>
      <c r="P950" s="728"/>
      <c r="Q950" s="148">
        <v>1.495E-2</v>
      </c>
      <c r="R950" s="148">
        <v>0</v>
      </c>
    </row>
    <row r="951" spans="2:18" ht="15.75" hidden="1" thickBot="1" x14ac:dyDescent="0.3">
      <c r="B951" s="725" t="s">
        <v>716</v>
      </c>
      <c r="C951" s="722" t="s">
        <v>141</v>
      </c>
      <c r="D951" t="s">
        <v>142</v>
      </c>
      <c r="E951" s="729"/>
      <c r="F951" s="729"/>
      <c r="G951" s="729"/>
      <c r="H951" s="729"/>
      <c r="I951" s="729"/>
      <c r="J951" s="729"/>
      <c r="K951" s="729"/>
      <c r="L951" s="729"/>
      <c r="M951" s="147">
        <v>0.5</v>
      </c>
      <c r="N951" s="147">
        <v>-0.5</v>
      </c>
      <c r="O951" s="147">
        <v>-100</v>
      </c>
      <c r="P951" s="729"/>
      <c r="Q951" s="729"/>
      <c r="R951" s="729"/>
    </row>
    <row r="952" spans="2:18" ht="15.75" hidden="1" thickBot="1" x14ac:dyDescent="0.3">
      <c r="B952" s="725" t="s">
        <v>716</v>
      </c>
      <c r="C952" s="722" t="s">
        <v>113</v>
      </c>
      <c r="D952" t="s">
        <v>114</v>
      </c>
      <c r="E952" s="728"/>
      <c r="F952" s="728"/>
      <c r="G952" s="728"/>
      <c r="H952" s="728"/>
      <c r="I952" s="728"/>
      <c r="J952" s="728"/>
      <c r="K952" s="728"/>
      <c r="L952" s="148">
        <v>8.0180000000000001E-2</v>
      </c>
      <c r="M952" s="148">
        <v>0.3</v>
      </c>
      <c r="N952" s="148">
        <v>-0.21981999999999999</v>
      </c>
      <c r="O952" s="148">
        <v>-73.273333333333326</v>
      </c>
      <c r="P952" s="148">
        <v>6.4979999999999996E-2</v>
      </c>
      <c r="Q952" s="148">
        <v>1.52E-2</v>
      </c>
      <c r="R952" s="148">
        <v>23.391812865497077</v>
      </c>
    </row>
    <row r="953" spans="2:18" ht="15.75" hidden="1" thickBot="1" x14ac:dyDescent="0.3">
      <c r="B953" s="725" t="s">
        <v>716</v>
      </c>
      <c r="C953" s="722" t="s">
        <v>145</v>
      </c>
      <c r="D953" t="s">
        <v>146</v>
      </c>
      <c r="E953" s="147">
        <v>1.7000000000000001E-2</v>
      </c>
      <c r="F953" s="147">
        <v>2.5000000000000001E-2</v>
      </c>
      <c r="G953" s="147">
        <v>-8.0000000000000002E-3</v>
      </c>
      <c r="H953" s="147">
        <v>-32</v>
      </c>
      <c r="I953" s="729"/>
      <c r="J953" s="147">
        <v>1.7000000000000001E-2</v>
      </c>
      <c r="K953" s="147">
        <v>0</v>
      </c>
      <c r="L953" s="147">
        <v>0.28399999999999997</v>
      </c>
      <c r="M953" s="147">
        <v>7.4999999999999997E-2</v>
      </c>
      <c r="N953" s="147">
        <v>0.20899999999999999</v>
      </c>
      <c r="O953" s="147">
        <v>278.66666666666669</v>
      </c>
      <c r="P953" s="147">
        <v>0.13200000000000001</v>
      </c>
      <c r="Q953" s="147">
        <v>0.152</v>
      </c>
      <c r="R953" s="147">
        <v>115.15151515151516</v>
      </c>
    </row>
    <row r="954" spans="2:18" ht="15.75" hidden="1" thickBot="1" x14ac:dyDescent="0.3">
      <c r="B954" s="725" t="s">
        <v>716</v>
      </c>
      <c r="C954" s="722" t="s">
        <v>149</v>
      </c>
      <c r="D954" t="s">
        <v>150</v>
      </c>
      <c r="E954" s="148">
        <v>21.12</v>
      </c>
      <c r="F954" s="148">
        <v>0</v>
      </c>
      <c r="G954" s="148">
        <v>21.12</v>
      </c>
      <c r="H954" s="148">
        <v>0</v>
      </c>
      <c r="I954" s="728"/>
      <c r="J954" s="148">
        <v>21.12</v>
      </c>
      <c r="K954" s="148">
        <v>0</v>
      </c>
      <c r="L954" s="148">
        <v>135.28</v>
      </c>
      <c r="M954" s="148">
        <v>121.715</v>
      </c>
      <c r="N954" s="148">
        <v>13.565</v>
      </c>
      <c r="O954" s="148">
        <v>11.144887647372961</v>
      </c>
      <c r="P954" s="148">
        <v>3.91</v>
      </c>
      <c r="Q954" s="148">
        <v>131.37</v>
      </c>
      <c r="R954" s="148">
        <v>3359.8465473145779</v>
      </c>
    </row>
    <row r="955" spans="2:18" ht="15.75" hidden="1" thickBot="1" x14ac:dyDescent="0.3">
      <c r="B955" s="725" t="s">
        <v>716</v>
      </c>
      <c r="C955" s="722" t="s">
        <v>649</v>
      </c>
      <c r="D955" t="s">
        <v>650</v>
      </c>
      <c r="E955" s="147">
        <v>11.663349999999999</v>
      </c>
      <c r="F955" s="147">
        <v>14</v>
      </c>
      <c r="G955" s="147">
        <v>-2.3366500000000001</v>
      </c>
      <c r="H955" s="147">
        <v>-16.690357142857142</v>
      </c>
      <c r="I955" s="729"/>
      <c r="J955" s="147">
        <v>11.663349999999999</v>
      </c>
      <c r="K955" s="147">
        <v>0</v>
      </c>
      <c r="L955" s="147">
        <v>59.264000000000003</v>
      </c>
      <c r="M955" s="147">
        <v>62.7</v>
      </c>
      <c r="N955" s="147">
        <v>-3.4359999999999999</v>
      </c>
      <c r="O955" s="147">
        <v>-5.4800637958532699</v>
      </c>
      <c r="P955" s="147">
        <v>33.272399999999998</v>
      </c>
      <c r="Q955" s="147">
        <v>25.991599999999998</v>
      </c>
      <c r="R955" s="147">
        <v>78.117598970918834</v>
      </c>
    </row>
    <row r="956" spans="2:18" ht="15.75" hidden="1" thickBot="1" x14ac:dyDescent="0.3">
      <c r="B956" s="725" t="s">
        <v>716</v>
      </c>
      <c r="C956" s="722" t="s">
        <v>75</v>
      </c>
      <c r="D956" t="s">
        <v>76</v>
      </c>
      <c r="E956" s="148">
        <v>2.5000000000000001E-2</v>
      </c>
      <c r="F956" s="148">
        <v>0.15</v>
      </c>
      <c r="G956" s="148">
        <v>-0.125</v>
      </c>
      <c r="H956" s="148">
        <v>-83.333333333333329</v>
      </c>
      <c r="I956" s="728"/>
      <c r="J956" s="148">
        <v>2.5000000000000001E-2</v>
      </c>
      <c r="K956" s="148">
        <v>0</v>
      </c>
      <c r="L956" s="148">
        <v>1.03176</v>
      </c>
      <c r="M956" s="148">
        <v>1.3</v>
      </c>
      <c r="N956" s="148">
        <v>-0.26823999999999998</v>
      </c>
      <c r="O956" s="148">
        <v>-20.633846153846154</v>
      </c>
      <c r="P956" s="148">
        <v>0.46095999999999998</v>
      </c>
      <c r="Q956" s="148">
        <v>0.57079999999999997</v>
      </c>
      <c r="R956" s="148">
        <v>123.82853175980563</v>
      </c>
    </row>
    <row r="957" spans="2:18" ht="15.75" hidden="1" thickBot="1" x14ac:dyDescent="0.3">
      <c r="B957" s="725" t="s">
        <v>716</v>
      </c>
      <c r="C957" s="722" t="s">
        <v>77</v>
      </c>
      <c r="D957" t="s">
        <v>78</v>
      </c>
      <c r="E957" s="729"/>
      <c r="F957" s="147">
        <v>2</v>
      </c>
      <c r="G957" s="147">
        <v>-2</v>
      </c>
      <c r="H957" s="147">
        <v>-100</v>
      </c>
      <c r="I957" s="729"/>
      <c r="J957" s="729"/>
      <c r="K957" s="729"/>
      <c r="L957" s="147">
        <v>3.6265999999999998</v>
      </c>
      <c r="M957" s="147">
        <v>8.5</v>
      </c>
      <c r="N957" s="147">
        <v>-4.8734000000000002</v>
      </c>
      <c r="O957" s="147">
        <v>-57.334117647058825</v>
      </c>
      <c r="P957" s="147">
        <v>2.9823200000000001</v>
      </c>
      <c r="Q957" s="147">
        <v>0.64427999999999996</v>
      </c>
      <c r="R957" s="147">
        <v>21.603315539579924</v>
      </c>
    </row>
    <row r="958" spans="2:18" ht="15.75" hidden="1" thickBot="1" x14ac:dyDescent="0.3">
      <c r="B958" s="725" t="s">
        <v>716</v>
      </c>
      <c r="C958" s="722" t="s">
        <v>79</v>
      </c>
      <c r="D958" t="s">
        <v>80</v>
      </c>
      <c r="E958" s="728"/>
      <c r="F958" s="728"/>
      <c r="G958" s="728"/>
      <c r="H958" s="728"/>
      <c r="I958" s="728"/>
      <c r="J958" s="728"/>
      <c r="K958" s="728"/>
      <c r="L958" s="148">
        <v>0.57811000000000001</v>
      </c>
      <c r="M958" s="728"/>
      <c r="N958" s="148">
        <v>0.57811000000000001</v>
      </c>
      <c r="O958" s="148">
        <v>0</v>
      </c>
      <c r="P958" s="728"/>
      <c r="Q958" s="148">
        <v>0.57811000000000001</v>
      </c>
      <c r="R958" s="148">
        <v>0</v>
      </c>
    </row>
    <row r="959" spans="2:18" ht="15.75" hidden="1" thickBot="1" x14ac:dyDescent="0.3">
      <c r="B959" s="725" t="s">
        <v>716</v>
      </c>
      <c r="C959" s="722" t="s">
        <v>81</v>
      </c>
      <c r="D959" t="s">
        <v>82</v>
      </c>
      <c r="E959" s="729"/>
      <c r="F959" s="147">
        <v>0.1</v>
      </c>
      <c r="G959" s="147">
        <v>-0.1</v>
      </c>
      <c r="H959" s="147">
        <v>-100</v>
      </c>
      <c r="I959" s="729"/>
      <c r="J959" s="729"/>
      <c r="K959" s="729"/>
      <c r="L959" s="729"/>
      <c r="M959" s="147">
        <v>0.3</v>
      </c>
      <c r="N959" s="147">
        <v>-0.3</v>
      </c>
      <c r="O959" s="147">
        <v>-100</v>
      </c>
      <c r="P959" s="729"/>
      <c r="Q959" s="729"/>
      <c r="R959" s="729"/>
    </row>
    <row r="960" spans="2:18" ht="15.75" hidden="1" thickBot="1" x14ac:dyDescent="0.3">
      <c r="B960" s="725" t="s">
        <v>716</v>
      </c>
      <c r="C960" s="149" t="s">
        <v>85</v>
      </c>
      <c r="D960" t="s">
        <v>86</v>
      </c>
      <c r="E960" s="148">
        <v>34.842970000000001</v>
      </c>
      <c r="F960" s="148">
        <v>20.478999999999999</v>
      </c>
      <c r="G960" s="148">
        <v>14.36397</v>
      </c>
      <c r="H960" s="148">
        <v>70.139997070169443</v>
      </c>
      <c r="I960" s="728"/>
      <c r="J960" s="148">
        <v>34.842970000000001</v>
      </c>
      <c r="K960" s="148">
        <v>0</v>
      </c>
      <c r="L960" s="148">
        <v>209.57661999999999</v>
      </c>
      <c r="M960" s="148">
        <v>210.84800000000001</v>
      </c>
      <c r="N960" s="148">
        <v>-1.27138</v>
      </c>
      <c r="O960" s="148">
        <v>-0.60298414023372282</v>
      </c>
      <c r="P960" s="148">
        <v>43.979089999999999</v>
      </c>
      <c r="Q960" s="148">
        <v>165.59753000000001</v>
      </c>
      <c r="R960" s="148">
        <v>376.53696336145202</v>
      </c>
    </row>
    <row r="961" spans="2:18" ht="15.75" hidden="1" thickBot="1" x14ac:dyDescent="0.3">
      <c r="B961" s="725" t="s">
        <v>716</v>
      </c>
      <c r="C961" s="144" t="s">
        <v>87</v>
      </c>
      <c r="D961" t="s">
        <v>87</v>
      </c>
      <c r="E961" s="147">
        <v>63.341140000000003</v>
      </c>
      <c r="F961" s="147">
        <v>50.730220000000003</v>
      </c>
      <c r="G961" s="147">
        <v>12.61092</v>
      </c>
      <c r="H961" s="147">
        <v>24.858792254399845</v>
      </c>
      <c r="I961" s="729"/>
      <c r="J961" s="147">
        <v>63.341140000000003</v>
      </c>
      <c r="K961" s="147">
        <v>0</v>
      </c>
      <c r="L961" s="147">
        <v>600.43375000000003</v>
      </c>
      <c r="M961" s="147">
        <v>571.95820000000003</v>
      </c>
      <c r="N961" s="147">
        <v>28.475549999999998</v>
      </c>
      <c r="O961" s="147">
        <v>4.9786068282612259</v>
      </c>
      <c r="P961" s="147">
        <v>237.74912</v>
      </c>
      <c r="Q961" s="147">
        <v>362.68463000000003</v>
      </c>
      <c r="R961" s="147">
        <v>152.54930491435678</v>
      </c>
    </row>
    <row r="962" spans="2:18" ht="15.75" hidden="1" thickBot="1" x14ac:dyDescent="0.3">
      <c r="B962" s="725" t="s">
        <v>717</v>
      </c>
      <c r="C962" s="722" t="s">
        <v>139</v>
      </c>
      <c r="D962" t="s">
        <v>140</v>
      </c>
      <c r="E962" s="148">
        <v>4.9445600000000001</v>
      </c>
      <c r="F962" s="728"/>
      <c r="G962" s="148">
        <v>4.9445600000000001</v>
      </c>
      <c r="H962" s="148">
        <v>0</v>
      </c>
      <c r="I962" s="728"/>
      <c r="J962" s="148">
        <v>4.9445600000000001</v>
      </c>
      <c r="K962" s="148">
        <v>0</v>
      </c>
      <c r="L962" s="148">
        <v>450.68723999999997</v>
      </c>
      <c r="M962" s="148">
        <v>490</v>
      </c>
      <c r="N962" s="148">
        <v>-39.312759999999997</v>
      </c>
      <c r="O962" s="148">
        <v>-8.0230122448979593</v>
      </c>
      <c r="P962" s="148">
        <v>208.49405999999999</v>
      </c>
      <c r="Q962" s="148">
        <v>242.19318000000001</v>
      </c>
      <c r="R962" s="148">
        <v>116.16310795616911</v>
      </c>
    </row>
    <row r="963" spans="2:18" ht="15.75" hidden="1" thickBot="1" x14ac:dyDescent="0.3">
      <c r="B963" s="725" t="s">
        <v>717</v>
      </c>
      <c r="C963" s="722" t="s">
        <v>73</v>
      </c>
      <c r="D963" t="s">
        <v>74</v>
      </c>
      <c r="E963" s="729"/>
      <c r="F963" s="729"/>
      <c r="G963" s="729"/>
      <c r="H963" s="729"/>
      <c r="I963" s="729"/>
      <c r="J963" s="729"/>
      <c r="K963" s="729"/>
      <c r="L963" s="729"/>
      <c r="M963" s="147">
        <v>2</v>
      </c>
      <c r="N963" s="147">
        <v>-2</v>
      </c>
      <c r="O963" s="147">
        <v>-100</v>
      </c>
      <c r="P963" s="729"/>
      <c r="Q963" s="729"/>
      <c r="R963" s="729"/>
    </row>
    <row r="964" spans="2:18" ht="15.75" hidden="1" thickBot="1" x14ac:dyDescent="0.3">
      <c r="B964" s="725" t="s">
        <v>717</v>
      </c>
      <c r="C964" s="722" t="s">
        <v>141</v>
      </c>
      <c r="D964" t="s">
        <v>142</v>
      </c>
      <c r="E964" s="728"/>
      <c r="F964" s="728"/>
      <c r="G964" s="728"/>
      <c r="H964" s="728"/>
      <c r="I964" s="728"/>
      <c r="J964" s="728"/>
      <c r="K964" s="728"/>
      <c r="L964" s="148">
        <v>1.95</v>
      </c>
      <c r="M964" s="728"/>
      <c r="N964" s="148">
        <v>1.95</v>
      </c>
      <c r="O964" s="148">
        <v>0</v>
      </c>
      <c r="P964" s="728"/>
      <c r="Q964" s="148">
        <v>1.95</v>
      </c>
      <c r="R964" s="148">
        <v>0</v>
      </c>
    </row>
    <row r="965" spans="2:18" ht="15.75" hidden="1" thickBot="1" x14ac:dyDescent="0.3">
      <c r="B965" s="725" t="s">
        <v>717</v>
      </c>
      <c r="C965" s="722" t="s">
        <v>149</v>
      </c>
      <c r="D965" t="s">
        <v>150</v>
      </c>
      <c r="E965" s="147">
        <v>9.5170200000000005</v>
      </c>
      <c r="F965" s="729"/>
      <c r="G965" s="147">
        <v>9.5170200000000005</v>
      </c>
      <c r="H965" s="147">
        <v>0</v>
      </c>
      <c r="I965" s="729"/>
      <c r="J965" s="147">
        <v>9.5170200000000005</v>
      </c>
      <c r="K965" s="147">
        <v>0</v>
      </c>
      <c r="L965" s="147">
        <v>114.20424</v>
      </c>
      <c r="M965" s="147">
        <v>15</v>
      </c>
      <c r="N965" s="147">
        <v>99.204239999999999</v>
      </c>
      <c r="O965" s="147">
        <v>661.36159999999995</v>
      </c>
      <c r="P965" s="147">
        <v>57.102119999999999</v>
      </c>
      <c r="Q965" s="147">
        <v>57.102119999999999</v>
      </c>
      <c r="R965" s="147">
        <v>100</v>
      </c>
    </row>
    <row r="966" spans="2:18" ht="15.75" hidden="1" thickBot="1" x14ac:dyDescent="0.3">
      <c r="B966" s="725" t="s">
        <v>717</v>
      </c>
      <c r="C966" s="149" t="s">
        <v>85</v>
      </c>
      <c r="D966" t="s">
        <v>86</v>
      </c>
      <c r="E966" s="148">
        <v>14.46158</v>
      </c>
      <c r="F966" s="728"/>
      <c r="G966" s="148">
        <v>14.46158</v>
      </c>
      <c r="H966" s="148">
        <v>0</v>
      </c>
      <c r="I966" s="728"/>
      <c r="J966" s="148">
        <v>14.46158</v>
      </c>
      <c r="K966" s="148">
        <v>0</v>
      </c>
      <c r="L966" s="148">
        <v>566.84148000000005</v>
      </c>
      <c r="M966" s="148">
        <v>507</v>
      </c>
      <c r="N966" s="148">
        <v>59.841479999999997</v>
      </c>
      <c r="O966" s="148">
        <v>11.80305325443787</v>
      </c>
      <c r="P966" s="148">
        <v>265.59618</v>
      </c>
      <c r="Q966" s="148">
        <v>301.24529999999999</v>
      </c>
      <c r="R966" s="148">
        <v>113.42230148039027</v>
      </c>
    </row>
    <row r="967" spans="2:18" ht="15.75" hidden="1" thickBot="1" x14ac:dyDescent="0.3">
      <c r="B967" s="725" t="s">
        <v>717</v>
      </c>
      <c r="C967" s="144" t="s">
        <v>87</v>
      </c>
      <c r="D967" t="s">
        <v>87</v>
      </c>
      <c r="E967" s="147">
        <v>14.46158</v>
      </c>
      <c r="F967" s="729"/>
      <c r="G967" s="147">
        <v>14.46158</v>
      </c>
      <c r="H967" s="147">
        <v>0</v>
      </c>
      <c r="I967" s="729"/>
      <c r="J967" s="147">
        <v>14.46158</v>
      </c>
      <c r="K967" s="147">
        <v>0</v>
      </c>
      <c r="L967" s="147">
        <v>566.84148000000005</v>
      </c>
      <c r="M967" s="147">
        <v>507</v>
      </c>
      <c r="N967" s="147">
        <v>59.841479999999997</v>
      </c>
      <c r="O967" s="147">
        <v>11.80305325443787</v>
      </c>
      <c r="P967" s="147">
        <v>265.59618</v>
      </c>
      <c r="Q967" s="147">
        <v>301.24529999999999</v>
      </c>
      <c r="R967" s="147">
        <v>113.42230148039027</v>
      </c>
    </row>
    <row r="968" spans="2:18" ht="15.75" hidden="1" thickBot="1" x14ac:dyDescent="0.3">
      <c r="B968" s="725" t="s">
        <v>718</v>
      </c>
      <c r="C968" s="722" t="s">
        <v>59</v>
      </c>
      <c r="D968" t="s">
        <v>60</v>
      </c>
      <c r="E968" s="148">
        <v>126.41914</v>
      </c>
      <c r="F968" s="148">
        <v>143.41668999999999</v>
      </c>
      <c r="G968" s="148">
        <v>-16.99755</v>
      </c>
      <c r="H968" s="148">
        <v>-11.851863266402258</v>
      </c>
      <c r="I968" s="728"/>
      <c r="J968" s="148">
        <v>126.41914</v>
      </c>
      <c r="K968" s="148">
        <v>0</v>
      </c>
      <c r="L968" s="148">
        <v>1681.4804999999999</v>
      </c>
      <c r="M968" s="148">
        <v>1711.97162</v>
      </c>
      <c r="N968" s="148">
        <v>-30.491119999999999</v>
      </c>
      <c r="O968" s="148">
        <v>-1.7810528891828241</v>
      </c>
      <c r="P968" s="148">
        <v>887.18991000000005</v>
      </c>
      <c r="Q968" s="148">
        <v>794.29058999999995</v>
      </c>
      <c r="R968" s="148">
        <v>89.528812382458227</v>
      </c>
    </row>
    <row r="969" spans="2:18" ht="15.75" hidden="1" thickBot="1" x14ac:dyDescent="0.3">
      <c r="B969" s="725" t="s">
        <v>718</v>
      </c>
      <c r="C969" s="722" t="s">
        <v>91</v>
      </c>
      <c r="D969" t="s">
        <v>92</v>
      </c>
      <c r="E969" s="147">
        <v>19.085360000000001</v>
      </c>
      <c r="F969" s="147">
        <v>22.870729999999998</v>
      </c>
      <c r="G969" s="147">
        <v>-3.7853699999999999</v>
      </c>
      <c r="H969" s="147">
        <v>-16.551155122726733</v>
      </c>
      <c r="I969" s="729"/>
      <c r="J969" s="147">
        <v>19.085360000000001</v>
      </c>
      <c r="K969" s="147">
        <v>0</v>
      </c>
      <c r="L969" s="147">
        <v>246.61555000000001</v>
      </c>
      <c r="M969" s="147">
        <v>267.12121999999999</v>
      </c>
      <c r="N969" s="147">
        <v>-20.505669999999999</v>
      </c>
      <c r="O969" s="147">
        <v>-7.6765410101076954</v>
      </c>
      <c r="P969" s="147">
        <v>128.09347</v>
      </c>
      <c r="Q969" s="147">
        <v>118.52208</v>
      </c>
      <c r="R969" s="147">
        <v>92.527808013944821</v>
      </c>
    </row>
    <row r="970" spans="2:18" ht="15.75" hidden="1" thickBot="1" x14ac:dyDescent="0.3">
      <c r="B970" s="725" t="s">
        <v>718</v>
      </c>
      <c r="C970" s="722" t="s">
        <v>93</v>
      </c>
      <c r="D970" t="s">
        <v>94</v>
      </c>
      <c r="E970" s="148">
        <v>1.8146800000000001</v>
      </c>
      <c r="F970" s="148">
        <v>0.42436000000000001</v>
      </c>
      <c r="G970" s="148">
        <v>1.39032</v>
      </c>
      <c r="H970" s="148">
        <v>327.62748609671036</v>
      </c>
      <c r="I970" s="728"/>
      <c r="J970" s="148">
        <v>1.8146800000000001</v>
      </c>
      <c r="K970" s="148">
        <v>0</v>
      </c>
      <c r="L970" s="148">
        <v>5.6369699999999998</v>
      </c>
      <c r="M970" s="148">
        <v>4.9563600000000001</v>
      </c>
      <c r="N970" s="148">
        <v>0.68061000000000005</v>
      </c>
      <c r="O970" s="148">
        <v>13.732053361741277</v>
      </c>
      <c r="P970" s="148">
        <v>1.3396399999999999</v>
      </c>
      <c r="Q970" s="148">
        <v>4.2973299999999997</v>
      </c>
      <c r="R970" s="148">
        <v>320.78244901615358</v>
      </c>
    </row>
    <row r="971" spans="2:18" ht="15.75" hidden="1" thickBot="1" x14ac:dyDescent="0.3">
      <c r="B971" s="725" t="s">
        <v>718</v>
      </c>
      <c r="C971" s="722" t="s">
        <v>134</v>
      </c>
      <c r="D971" t="s">
        <v>135</v>
      </c>
      <c r="E971" s="729"/>
      <c r="F971" s="729"/>
      <c r="G971" s="729"/>
      <c r="H971" s="729"/>
      <c r="I971" s="729"/>
      <c r="J971" s="729"/>
      <c r="K971" s="729"/>
      <c r="L971" s="147">
        <v>13.15925</v>
      </c>
      <c r="M971" s="729"/>
      <c r="N971" s="147">
        <v>13.15925</v>
      </c>
      <c r="O971" s="147">
        <v>0</v>
      </c>
      <c r="P971" s="147">
        <v>12.84295</v>
      </c>
      <c r="Q971" s="147">
        <v>0.31630000000000003</v>
      </c>
      <c r="R971" s="147">
        <v>2.4628298015642822</v>
      </c>
    </row>
    <row r="972" spans="2:18" ht="15.75" hidden="1" thickBot="1" x14ac:dyDescent="0.3">
      <c r="B972" s="725" t="s">
        <v>718</v>
      </c>
      <c r="C972" s="722" t="s">
        <v>61</v>
      </c>
      <c r="D972" t="s">
        <v>62</v>
      </c>
      <c r="E972" s="148">
        <v>26.179269999999999</v>
      </c>
      <c r="F972" s="148">
        <v>25.774550000000001</v>
      </c>
      <c r="G972" s="148">
        <v>0.40472000000000002</v>
      </c>
      <c r="H972" s="148">
        <v>1.5702311000580029</v>
      </c>
      <c r="I972" s="728"/>
      <c r="J972" s="148">
        <v>26.179269999999999</v>
      </c>
      <c r="K972" s="148">
        <v>0</v>
      </c>
      <c r="L972" s="148">
        <v>291.93412999999998</v>
      </c>
      <c r="M972" s="148">
        <v>306.75943000000001</v>
      </c>
      <c r="N972" s="148">
        <v>-14.8253</v>
      </c>
      <c r="O972" s="148">
        <v>-4.832875064346025</v>
      </c>
      <c r="P972" s="148">
        <v>147.09344999999999</v>
      </c>
      <c r="Q972" s="148">
        <v>144.84067999999999</v>
      </c>
      <c r="R972" s="148">
        <v>98.468477012402658</v>
      </c>
    </row>
    <row r="973" spans="2:18" ht="15.75" hidden="1" thickBot="1" x14ac:dyDescent="0.3">
      <c r="B973" s="725" t="s">
        <v>718</v>
      </c>
      <c r="C973" s="722" t="s">
        <v>63</v>
      </c>
      <c r="D973" t="s">
        <v>64</v>
      </c>
      <c r="E973" s="147">
        <v>102.00391</v>
      </c>
      <c r="F973" s="147">
        <v>100.27131</v>
      </c>
      <c r="G973" s="147">
        <v>1.7325999999999999</v>
      </c>
      <c r="H973" s="147">
        <v>1.7279120019475163</v>
      </c>
      <c r="I973" s="729"/>
      <c r="J973" s="147">
        <v>102.00391</v>
      </c>
      <c r="K973" s="147">
        <v>0</v>
      </c>
      <c r="L973" s="147">
        <v>1135.4758099999999</v>
      </c>
      <c r="M973" s="147">
        <v>1193.3929599999999</v>
      </c>
      <c r="N973" s="147">
        <v>-57.917149999999999</v>
      </c>
      <c r="O973" s="147">
        <v>-4.8531499632778123</v>
      </c>
      <c r="P973" s="147">
        <v>572.07077000000004</v>
      </c>
      <c r="Q973" s="147">
        <v>563.40503999999999</v>
      </c>
      <c r="R973" s="147">
        <v>98.485199654581194</v>
      </c>
    </row>
    <row r="974" spans="2:18" ht="15.75" hidden="1" thickBot="1" x14ac:dyDescent="0.3">
      <c r="B974" s="725" t="s">
        <v>718</v>
      </c>
      <c r="C974" s="722" t="s">
        <v>65</v>
      </c>
      <c r="D974" t="s">
        <v>66</v>
      </c>
      <c r="E974" s="148">
        <v>-19.030080000000002</v>
      </c>
      <c r="F974" s="148">
        <v>-34.919220000000003</v>
      </c>
      <c r="G974" s="148">
        <v>15.889139999999999</v>
      </c>
      <c r="H974" s="148">
        <v>45.502562772020681</v>
      </c>
      <c r="I974" s="728"/>
      <c r="J974" s="148">
        <v>-19.030080000000002</v>
      </c>
      <c r="K974" s="148">
        <v>0</v>
      </c>
      <c r="L974" s="148">
        <v>-376.27393000000001</v>
      </c>
      <c r="M974" s="148">
        <v>-416.83231999999998</v>
      </c>
      <c r="N974" s="148">
        <v>40.558390000000003</v>
      </c>
      <c r="O974" s="148">
        <v>9.7301452056308886</v>
      </c>
      <c r="P974" s="148">
        <v>-192.63221999999999</v>
      </c>
      <c r="Q974" s="148">
        <v>-183.64170999999999</v>
      </c>
      <c r="R974" s="148">
        <v>-95.332810886984532</v>
      </c>
    </row>
    <row r="975" spans="2:18" ht="15.75" hidden="1" thickBot="1" x14ac:dyDescent="0.3">
      <c r="B975" s="725" t="s">
        <v>718</v>
      </c>
      <c r="C975" s="722" t="s">
        <v>163</v>
      </c>
      <c r="D975" t="s">
        <v>164</v>
      </c>
      <c r="E975" s="147">
        <v>-0.71558999999999995</v>
      </c>
      <c r="F975" s="147">
        <v>-0.31808999999999998</v>
      </c>
      <c r="G975" s="147">
        <v>-0.39750000000000002</v>
      </c>
      <c r="H975" s="147">
        <v>-124.96463265113647</v>
      </c>
      <c r="I975" s="729"/>
      <c r="J975" s="147">
        <v>-0.71558999999999995</v>
      </c>
      <c r="K975" s="147">
        <v>0</v>
      </c>
      <c r="L975" s="147">
        <v>-5.4047599999999996</v>
      </c>
      <c r="M975" s="147">
        <v>-3.7151100000000001</v>
      </c>
      <c r="N975" s="147">
        <v>-1.6896500000000001</v>
      </c>
      <c r="O975" s="147">
        <v>-45.480483754182245</v>
      </c>
      <c r="P975" s="147">
        <v>-1.98411</v>
      </c>
      <c r="Q975" s="147">
        <v>-3.4206500000000002</v>
      </c>
      <c r="R975" s="147">
        <v>-172.40223576313812</v>
      </c>
    </row>
    <row r="976" spans="2:18" ht="15.75" hidden="1" thickBot="1" x14ac:dyDescent="0.3">
      <c r="B976" s="725" t="s">
        <v>718</v>
      </c>
      <c r="C976" s="149" t="s">
        <v>67</v>
      </c>
      <c r="D976" t="s">
        <v>68</v>
      </c>
      <c r="E976" s="148">
        <v>255.75668999999999</v>
      </c>
      <c r="F976" s="148">
        <v>257.52033</v>
      </c>
      <c r="G976" s="148">
        <v>-1.7636400000000001</v>
      </c>
      <c r="H976" s="148">
        <v>-0.68485466759071023</v>
      </c>
      <c r="I976" s="728"/>
      <c r="J976" s="148">
        <v>255.75668999999999</v>
      </c>
      <c r="K976" s="148">
        <v>0</v>
      </c>
      <c r="L976" s="148">
        <v>2992.6235200000001</v>
      </c>
      <c r="M976" s="148">
        <v>3063.65416</v>
      </c>
      <c r="N976" s="148">
        <v>-71.030640000000005</v>
      </c>
      <c r="O976" s="148">
        <v>-2.3184940691869738</v>
      </c>
      <c r="P976" s="148">
        <v>1554.01386</v>
      </c>
      <c r="Q976" s="148">
        <v>1438.6096600000001</v>
      </c>
      <c r="R976" s="148">
        <v>92.573798537421027</v>
      </c>
    </row>
    <row r="977" spans="2:18" ht="15.75" hidden="1" thickBot="1" x14ac:dyDescent="0.3">
      <c r="B977" s="725" t="s">
        <v>718</v>
      </c>
      <c r="C977" s="722" t="s">
        <v>69</v>
      </c>
      <c r="D977" t="s">
        <v>70</v>
      </c>
      <c r="E977" s="729"/>
      <c r="F977" s="147">
        <v>1.8029999999999999</v>
      </c>
      <c r="G977" s="147">
        <v>-1.8029999999999999</v>
      </c>
      <c r="H977" s="147">
        <v>-100</v>
      </c>
      <c r="I977" s="729"/>
      <c r="J977" s="729"/>
      <c r="K977" s="729"/>
      <c r="L977" s="147">
        <v>25.002189999999999</v>
      </c>
      <c r="M977" s="147">
        <v>103.852</v>
      </c>
      <c r="N977" s="147">
        <v>-78.849810000000005</v>
      </c>
      <c r="O977" s="147">
        <v>-75.925172360667105</v>
      </c>
      <c r="P977" s="147">
        <v>11.27219</v>
      </c>
      <c r="Q977" s="147">
        <v>13.73</v>
      </c>
      <c r="R977" s="147">
        <v>121.80419244175266</v>
      </c>
    </row>
    <row r="978" spans="2:18" ht="15.75" hidden="1" thickBot="1" x14ac:dyDescent="0.3">
      <c r="B978" s="725" t="s">
        <v>718</v>
      </c>
      <c r="C978" s="722" t="s">
        <v>99</v>
      </c>
      <c r="D978" t="s">
        <v>100</v>
      </c>
      <c r="E978" s="728"/>
      <c r="F978" s="728"/>
      <c r="G978" s="728"/>
      <c r="H978" s="728"/>
      <c r="I978" s="728"/>
      <c r="J978" s="728"/>
      <c r="K978" s="728"/>
      <c r="L978" s="148">
        <v>2.8740000000000002E-2</v>
      </c>
      <c r="M978" s="728"/>
      <c r="N978" s="148">
        <v>2.8740000000000002E-2</v>
      </c>
      <c r="O978" s="148">
        <v>0</v>
      </c>
      <c r="P978" s="148">
        <v>2.8740000000000002E-2</v>
      </c>
      <c r="Q978" s="148">
        <v>0</v>
      </c>
      <c r="R978" s="148">
        <v>0</v>
      </c>
    </row>
    <row r="979" spans="2:18" ht="15.75" hidden="1" thickBot="1" x14ac:dyDescent="0.3">
      <c r="B979" s="725" t="s">
        <v>718</v>
      </c>
      <c r="C979" s="722" t="s">
        <v>137</v>
      </c>
      <c r="D979" t="s">
        <v>138</v>
      </c>
      <c r="E979" s="729"/>
      <c r="F979" s="729"/>
      <c r="G979" s="729"/>
      <c r="H979" s="729"/>
      <c r="I979" s="729"/>
      <c r="J979" s="729"/>
      <c r="K979" s="729"/>
      <c r="L979" s="147">
        <v>0.25342999999999999</v>
      </c>
      <c r="M979" s="729"/>
      <c r="N979" s="147">
        <v>0.25342999999999999</v>
      </c>
      <c r="O979" s="147">
        <v>0</v>
      </c>
      <c r="P979" s="147">
        <v>5.1229999999999998E-2</v>
      </c>
      <c r="Q979" s="147">
        <v>0.20219999999999999</v>
      </c>
      <c r="R979" s="147">
        <v>394.69061097013468</v>
      </c>
    </row>
    <row r="980" spans="2:18" ht="15.75" hidden="1" thickBot="1" x14ac:dyDescent="0.3">
      <c r="B980" s="725" t="s">
        <v>718</v>
      </c>
      <c r="C980" s="722" t="s">
        <v>190</v>
      </c>
      <c r="D980" t="s">
        <v>191</v>
      </c>
      <c r="E980" s="728"/>
      <c r="F980" s="728"/>
      <c r="G980" s="728"/>
      <c r="H980" s="728"/>
      <c r="I980" s="728"/>
      <c r="J980" s="728"/>
      <c r="K980" s="728"/>
      <c r="L980" s="148">
        <v>3.6260000000000001E-2</v>
      </c>
      <c r="M980" s="728"/>
      <c r="N980" s="148">
        <v>3.6260000000000001E-2</v>
      </c>
      <c r="O980" s="148">
        <v>0</v>
      </c>
      <c r="P980" s="728"/>
      <c r="Q980" s="148">
        <v>3.6260000000000001E-2</v>
      </c>
      <c r="R980" s="148">
        <v>0</v>
      </c>
    </row>
    <row r="981" spans="2:18" ht="15.75" hidden="1" thickBot="1" x14ac:dyDescent="0.3">
      <c r="B981" s="725" t="s">
        <v>718</v>
      </c>
      <c r="C981" s="722" t="s">
        <v>139</v>
      </c>
      <c r="D981" t="s">
        <v>140</v>
      </c>
      <c r="E981" s="147">
        <v>0.21</v>
      </c>
      <c r="F981" s="147">
        <v>0.38724999999999998</v>
      </c>
      <c r="G981" s="147">
        <v>-0.17724999999999999</v>
      </c>
      <c r="H981" s="147">
        <v>-45.771465461588122</v>
      </c>
      <c r="I981" s="729"/>
      <c r="J981" s="147">
        <v>0.21</v>
      </c>
      <c r="K981" s="147">
        <v>0</v>
      </c>
      <c r="L981" s="147">
        <v>2.9389599999999998</v>
      </c>
      <c r="M981" s="147">
        <v>6.2910000000000004</v>
      </c>
      <c r="N981" s="147">
        <v>-3.3520400000000001</v>
      </c>
      <c r="O981" s="147">
        <v>-53.283102845334604</v>
      </c>
      <c r="P981" s="147">
        <v>0.39954000000000001</v>
      </c>
      <c r="Q981" s="147">
        <v>2.5394199999999998</v>
      </c>
      <c r="R981" s="147">
        <v>635.58592381238429</v>
      </c>
    </row>
    <row r="982" spans="2:18" ht="15.75" hidden="1" thickBot="1" x14ac:dyDescent="0.3">
      <c r="B982" s="725" t="s">
        <v>718</v>
      </c>
      <c r="C982" s="722" t="s">
        <v>169</v>
      </c>
      <c r="D982" t="s">
        <v>170</v>
      </c>
      <c r="E982" s="148">
        <v>8.6359999999999992</v>
      </c>
      <c r="F982" s="148">
        <v>7.3</v>
      </c>
      <c r="G982" s="148">
        <v>1.3360000000000001</v>
      </c>
      <c r="H982" s="148">
        <v>18.301369863013697</v>
      </c>
      <c r="I982" s="728"/>
      <c r="J982" s="148">
        <v>8.6359999999999992</v>
      </c>
      <c r="K982" s="148">
        <v>0</v>
      </c>
      <c r="L982" s="148">
        <v>172.70258000000001</v>
      </c>
      <c r="M982" s="148">
        <v>87.6</v>
      </c>
      <c r="N982" s="148">
        <v>85.102580000000003</v>
      </c>
      <c r="O982" s="148">
        <v>97.149063926940642</v>
      </c>
      <c r="P982" s="148">
        <v>52.59178</v>
      </c>
      <c r="Q982" s="148">
        <v>120.1108</v>
      </c>
      <c r="R982" s="148">
        <v>228.38321882240913</v>
      </c>
    </row>
    <row r="983" spans="2:18" ht="15.75" hidden="1" thickBot="1" x14ac:dyDescent="0.3">
      <c r="B983" s="725" t="s">
        <v>718</v>
      </c>
      <c r="C983" s="722" t="s">
        <v>101</v>
      </c>
      <c r="D983" t="s">
        <v>102</v>
      </c>
      <c r="E983" s="147">
        <v>40.577370000000002</v>
      </c>
      <c r="F983" s="147">
        <v>3.87</v>
      </c>
      <c r="G983" s="147">
        <v>36.707369999999997</v>
      </c>
      <c r="H983" s="147">
        <v>948.51085271317834</v>
      </c>
      <c r="I983" s="729"/>
      <c r="J983" s="147">
        <v>40.577370000000002</v>
      </c>
      <c r="K983" s="147">
        <v>0</v>
      </c>
      <c r="L983" s="147">
        <v>213.83855</v>
      </c>
      <c r="M983" s="147">
        <v>19.440000000000001</v>
      </c>
      <c r="N983" s="147">
        <v>194.39855</v>
      </c>
      <c r="O983" s="147">
        <v>999.99254115226336</v>
      </c>
      <c r="P983" s="147">
        <v>57.393129999999999</v>
      </c>
      <c r="Q983" s="147">
        <v>156.44542000000001</v>
      </c>
      <c r="R983" s="147">
        <v>272.58562131042515</v>
      </c>
    </row>
    <row r="984" spans="2:18" ht="15.75" hidden="1" thickBot="1" x14ac:dyDescent="0.3">
      <c r="B984" s="725" t="s">
        <v>718</v>
      </c>
      <c r="C984" s="722" t="s">
        <v>103</v>
      </c>
      <c r="D984" t="s">
        <v>104</v>
      </c>
      <c r="E984" s="728"/>
      <c r="F984" s="728"/>
      <c r="G984" s="728"/>
      <c r="H984" s="728"/>
      <c r="I984" s="728"/>
      <c r="J984" s="728"/>
      <c r="K984" s="728"/>
      <c r="L984" s="148">
        <v>2.094E-2</v>
      </c>
      <c r="M984" s="728"/>
      <c r="N984" s="148">
        <v>2.094E-2</v>
      </c>
      <c r="O984" s="148">
        <v>0</v>
      </c>
      <c r="P984" s="148">
        <v>2.094E-2</v>
      </c>
      <c r="Q984" s="148">
        <v>0</v>
      </c>
      <c r="R984" s="148">
        <v>0</v>
      </c>
    </row>
    <row r="985" spans="2:18" ht="15.75" hidden="1" thickBot="1" x14ac:dyDescent="0.3">
      <c r="B985" s="725" t="s">
        <v>718</v>
      </c>
      <c r="C985" s="722" t="s">
        <v>105</v>
      </c>
      <c r="D985" t="s">
        <v>106</v>
      </c>
      <c r="E985" s="147">
        <v>1.073E-2</v>
      </c>
      <c r="F985" s="729"/>
      <c r="G985" s="147">
        <v>1.073E-2</v>
      </c>
      <c r="H985" s="147">
        <v>0</v>
      </c>
      <c r="I985" s="729"/>
      <c r="J985" s="147">
        <v>1.073E-2</v>
      </c>
      <c r="K985" s="147">
        <v>0</v>
      </c>
      <c r="L985" s="147">
        <v>-30.342369999999999</v>
      </c>
      <c r="M985" s="729"/>
      <c r="N985" s="147">
        <v>-30.342369999999999</v>
      </c>
      <c r="O985" s="147">
        <v>0</v>
      </c>
      <c r="P985" s="147">
        <v>-30.366520000000001</v>
      </c>
      <c r="Q985" s="147">
        <v>2.4150000000000001E-2</v>
      </c>
      <c r="R985" s="147">
        <v>7.952837532914539E-2</v>
      </c>
    </row>
    <row r="986" spans="2:18" ht="15.75" hidden="1" thickBot="1" x14ac:dyDescent="0.3">
      <c r="B986" s="725" t="s">
        <v>718</v>
      </c>
      <c r="C986" s="722" t="s">
        <v>109</v>
      </c>
      <c r="D986" t="s">
        <v>110</v>
      </c>
      <c r="E986" s="148">
        <v>0.55991999999999997</v>
      </c>
      <c r="F986" s="148">
        <v>0.70899999999999996</v>
      </c>
      <c r="G986" s="148">
        <v>-0.14907999999999999</v>
      </c>
      <c r="H986" s="148">
        <v>-21.026798307475318</v>
      </c>
      <c r="I986" s="728"/>
      <c r="J986" s="148">
        <v>0.55991999999999997</v>
      </c>
      <c r="K986" s="148">
        <v>0</v>
      </c>
      <c r="L986" s="148">
        <v>7.35663</v>
      </c>
      <c r="M986" s="148">
        <v>7.7430000000000003</v>
      </c>
      <c r="N986" s="148">
        <v>-0.38636999999999999</v>
      </c>
      <c r="O986" s="148">
        <v>-4.9899263851220459</v>
      </c>
      <c r="P986" s="148">
        <v>3.9580000000000002</v>
      </c>
      <c r="Q986" s="148">
        <v>3.3986299999999998</v>
      </c>
      <c r="R986" s="148">
        <v>85.867357251136937</v>
      </c>
    </row>
    <row r="987" spans="2:18" ht="15.75" hidden="1" thickBot="1" x14ac:dyDescent="0.3">
      <c r="B987" s="725" t="s">
        <v>718</v>
      </c>
      <c r="C987" s="722" t="s">
        <v>73</v>
      </c>
      <c r="D987" t="s">
        <v>74</v>
      </c>
      <c r="E987" s="147">
        <v>0.64268000000000003</v>
      </c>
      <c r="F987" s="147">
        <v>0.63832999999999995</v>
      </c>
      <c r="G987" s="147">
        <v>4.3499999999999997E-3</v>
      </c>
      <c r="H987" s="147">
        <v>0.68146569955978886</v>
      </c>
      <c r="I987" s="729"/>
      <c r="J987" s="147">
        <v>0.64268000000000003</v>
      </c>
      <c r="K987" s="147">
        <v>0</v>
      </c>
      <c r="L987" s="147">
        <v>5.5983799999999997</v>
      </c>
      <c r="M987" s="147">
        <v>7.91</v>
      </c>
      <c r="N987" s="147">
        <v>-2.31162</v>
      </c>
      <c r="O987" s="147">
        <v>-29.22402022756005</v>
      </c>
      <c r="P987" s="147">
        <v>3.1446299999999998</v>
      </c>
      <c r="Q987" s="147">
        <v>2.4537499999999999</v>
      </c>
      <c r="R987" s="147">
        <v>78.029847708633454</v>
      </c>
    </row>
    <row r="988" spans="2:18" ht="15.75" hidden="1" thickBot="1" x14ac:dyDescent="0.3">
      <c r="B988" s="725" t="s">
        <v>718</v>
      </c>
      <c r="C988" s="722" t="s">
        <v>111</v>
      </c>
      <c r="D988" t="s">
        <v>112</v>
      </c>
      <c r="E988" s="728"/>
      <c r="F988" s="728"/>
      <c r="G988" s="728"/>
      <c r="H988" s="728"/>
      <c r="I988" s="728"/>
      <c r="J988" s="728"/>
      <c r="K988" s="728"/>
      <c r="L988" s="148">
        <v>0.25297999999999998</v>
      </c>
      <c r="M988" s="728"/>
      <c r="N988" s="148">
        <v>0.25297999999999998</v>
      </c>
      <c r="O988" s="148">
        <v>0</v>
      </c>
      <c r="P988" s="148">
        <v>0.25297999999999998</v>
      </c>
      <c r="Q988" s="148">
        <v>0</v>
      </c>
      <c r="R988" s="148">
        <v>0</v>
      </c>
    </row>
    <row r="989" spans="2:18" ht="15.75" hidden="1" thickBot="1" x14ac:dyDescent="0.3">
      <c r="B989" s="725" t="s">
        <v>718</v>
      </c>
      <c r="C989" s="722" t="s">
        <v>141</v>
      </c>
      <c r="D989" t="s">
        <v>142</v>
      </c>
      <c r="E989" s="729"/>
      <c r="F989" s="729"/>
      <c r="G989" s="729"/>
      <c r="H989" s="729"/>
      <c r="I989" s="729"/>
      <c r="J989" s="729"/>
      <c r="K989" s="729"/>
      <c r="L989" s="729"/>
      <c r="M989" s="147">
        <v>0.2</v>
      </c>
      <c r="N989" s="147">
        <v>-0.2</v>
      </c>
      <c r="O989" s="147">
        <v>-100</v>
      </c>
      <c r="P989" s="729"/>
      <c r="Q989" s="729"/>
      <c r="R989" s="729"/>
    </row>
    <row r="990" spans="2:18" ht="15.75" hidden="1" thickBot="1" x14ac:dyDescent="0.3">
      <c r="B990" s="725" t="s">
        <v>718</v>
      </c>
      <c r="C990" s="722" t="s">
        <v>113</v>
      </c>
      <c r="D990" t="s">
        <v>114</v>
      </c>
      <c r="E990" s="148">
        <v>3.78E-2</v>
      </c>
      <c r="F990" s="148">
        <v>0.24166000000000001</v>
      </c>
      <c r="G990" s="148">
        <v>-0.20386000000000001</v>
      </c>
      <c r="H990" s="148">
        <v>-84.358189191425964</v>
      </c>
      <c r="I990" s="728"/>
      <c r="J990" s="148">
        <v>3.78E-2</v>
      </c>
      <c r="K990" s="148">
        <v>0</v>
      </c>
      <c r="L990" s="148">
        <v>1.38625</v>
      </c>
      <c r="M990" s="148">
        <v>2.5249999999999999</v>
      </c>
      <c r="N990" s="148">
        <v>-1.1387499999999999</v>
      </c>
      <c r="O990" s="148">
        <v>-45.099009900990097</v>
      </c>
      <c r="P990" s="148">
        <v>0.66217999999999999</v>
      </c>
      <c r="Q990" s="148">
        <v>0.72406999999999999</v>
      </c>
      <c r="R990" s="148">
        <v>109.34640128061857</v>
      </c>
    </row>
    <row r="991" spans="2:18" ht="15.75" hidden="1" thickBot="1" x14ac:dyDescent="0.3">
      <c r="B991" s="725" t="s">
        <v>718</v>
      </c>
      <c r="C991" s="722" t="s">
        <v>145</v>
      </c>
      <c r="D991" t="s">
        <v>146</v>
      </c>
      <c r="E991" s="147">
        <v>5.91E-2</v>
      </c>
      <c r="F991" s="729"/>
      <c r="G991" s="147">
        <v>5.91E-2</v>
      </c>
      <c r="H991" s="147">
        <v>0</v>
      </c>
      <c r="I991" s="729"/>
      <c r="J991" s="147">
        <v>5.91E-2</v>
      </c>
      <c r="K991" s="147">
        <v>0</v>
      </c>
      <c r="L991" s="147">
        <v>0.2306</v>
      </c>
      <c r="M991" s="729"/>
      <c r="N991" s="147">
        <v>0.2306</v>
      </c>
      <c r="O991" s="147">
        <v>0</v>
      </c>
      <c r="P991" s="147">
        <v>0.06</v>
      </c>
      <c r="Q991" s="147">
        <v>0.1706</v>
      </c>
      <c r="R991" s="147">
        <v>284.33333333333331</v>
      </c>
    </row>
    <row r="992" spans="2:18" ht="15.75" hidden="1" thickBot="1" x14ac:dyDescent="0.3">
      <c r="B992" s="725" t="s">
        <v>718</v>
      </c>
      <c r="C992" s="722" t="s">
        <v>147</v>
      </c>
      <c r="D992" t="s">
        <v>148</v>
      </c>
      <c r="E992" s="148">
        <v>3.7999999999999999E-2</v>
      </c>
      <c r="F992" s="728"/>
      <c r="G992" s="148">
        <v>3.7999999999999999E-2</v>
      </c>
      <c r="H992" s="148">
        <v>0</v>
      </c>
      <c r="I992" s="728"/>
      <c r="J992" s="148">
        <v>3.7999999999999999E-2</v>
      </c>
      <c r="K992" s="148">
        <v>0</v>
      </c>
      <c r="L992" s="148">
        <v>0.26436999999999999</v>
      </c>
      <c r="M992" s="728"/>
      <c r="N992" s="148">
        <v>0.26436999999999999</v>
      </c>
      <c r="O992" s="148">
        <v>0</v>
      </c>
      <c r="P992" s="148">
        <v>0.10836999999999999</v>
      </c>
      <c r="Q992" s="148">
        <v>0.156</v>
      </c>
      <c r="R992" s="148">
        <v>143.9512780289748</v>
      </c>
    </row>
    <row r="993" spans="2:18" ht="15.75" hidden="1" thickBot="1" x14ac:dyDescent="0.3">
      <c r="B993" s="725" t="s">
        <v>718</v>
      </c>
      <c r="C993" s="722" t="s">
        <v>149</v>
      </c>
      <c r="D993" t="s">
        <v>150</v>
      </c>
      <c r="E993" s="147">
        <v>285.55500000000001</v>
      </c>
      <c r="F993" s="147">
        <v>140.47499999999999</v>
      </c>
      <c r="G993" s="147">
        <v>145.08000000000001</v>
      </c>
      <c r="H993" s="147">
        <v>103.27816337426589</v>
      </c>
      <c r="I993" s="729"/>
      <c r="J993" s="147">
        <v>285.55500000000001</v>
      </c>
      <c r="K993" s="147">
        <v>0</v>
      </c>
      <c r="L993" s="147">
        <v>1537.489</v>
      </c>
      <c r="M993" s="147">
        <v>1171.075</v>
      </c>
      <c r="N993" s="147">
        <v>366.41399999999999</v>
      </c>
      <c r="O993" s="147">
        <v>31.288687744166683</v>
      </c>
      <c r="P993" s="147">
        <v>623.38400000000001</v>
      </c>
      <c r="Q993" s="147">
        <v>914.10500000000002</v>
      </c>
      <c r="R993" s="147">
        <v>146.63594189135429</v>
      </c>
    </row>
    <row r="994" spans="2:18" ht="15.75" hidden="1" thickBot="1" x14ac:dyDescent="0.3">
      <c r="B994" s="725" t="s">
        <v>718</v>
      </c>
      <c r="C994" s="722" t="s">
        <v>649</v>
      </c>
      <c r="D994" t="s">
        <v>650</v>
      </c>
      <c r="E994" s="148">
        <v>3.4761000000000002</v>
      </c>
      <c r="F994" s="148">
        <v>2.6828599999999998</v>
      </c>
      <c r="G994" s="148">
        <v>0.79323999999999995</v>
      </c>
      <c r="H994" s="148">
        <v>29.566954667779907</v>
      </c>
      <c r="I994" s="728"/>
      <c r="J994" s="148">
        <v>3.4761000000000002</v>
      </c>
      <c r="K994" s="148">
        <v>0</v>
      </c>
      <c r="L994" s="148">
        <v>77.163359999999997</v>
      </c>
      <c r="M994" s="148">
        <v>75.294319999999999</v>
      </c>
      <c r="N994" s="148">
        <v>1.86904</v>
      </c>
      <c r="O994" s="148">
        <v>2.4823120787862885</v>
      </c>
      <c r="P994" s="148">
        <v>59.47972</v>
      </c>
      <c r="Q994" s="148">
        <v>17.68364</v>
      </c>
      <c r="R994" s="148">
        <v>29.730536727476188</v>
      </c>
    </row>
    <row r="995" spans="2:18" ht="15.75" hidden="1" thickBot="1" x14ac:dyDescent="0.3">
      <c r="B995" s="725" t="s">
        <v>718</v>
      </c>
      <c r="C995" s="722" t="s">
        <v>479</v>
      </c>
      <c r="D995" t="s">
        <v>480</v>
      </c>
      <c r="E995" s="729"/>
      <c r="F995" s="729"/>
      <c r="G995" s="729"/>
      <c r="H995" s="729"/>
      <c r="I995" s="729"/>
      <c r="J995" s="729"/>
      <c r="K995" s="729"/>
      <c r="L995" s="147">
        <v>-0.42435</v>
      </c>
      <c r="M995" s="729"/>
      <c r="N995" s="147">
        <v>-0.42435</v>
      </c>
      <c r="O995" s="147">
        <v>0</v>
      </c>
      <c r="P995" s="147">
        <v>-0.42435</v>
      </c>
      <c r="Q995" s="147">
        <v>0</v>
      </c>
      <c r="R995" s="147">
        <v>0</v>
      </c>
    </row>
    <row r="996" spans="2:18" ht="15.75" hidden="1" thickBot="1" x14ac:dyDescent="0.3">
      <c r="B996" s="725" t="s">
        <v>718</v>
      </c>
      <c r="C996" s="722" t="s">
        <v>75</v>
      </c>
      <c r="D996" t="s">
        <v>76</v>
      </c>
      <c r="E996" s="148">
        <v>1.80203</v>
      </c>
      <c r="F996" s="148">
        <v>2.1333299999999999</v>
      </c>
      <c r="G996" s="148">
        <v>-0.33129999999999998</v>
      </c>
      <c r="H996" s="148">
        <v>-15.529711765174634</v>
      </c>
      <c r="I996" s="728"/>
      <c r="J996" s="148">
        <v>1.80203</v>
      </c>
      <c r="K996" s="148">
        <v>0</v>
      </c>
      <c r="L996" s="148">
        <v>10.74</v>
      </c>
      <c r="M996" s="148">
        <v>18.399999999999999</v>
      </c>
      <c r="N996" s="148">
        <v>-7.66</v>
      </c>
      <c r="O996" s="148">
        <v>-41.630434782608695</v>
      </c>
      <c r="P996" s="148">
        <v>4.8132799999999998</v>
      </c>
      <c r="Q996" s="148">
        <v>5.9267200000000004</v>
      </c>
      <c r="R996" s="148">
        <v>123.13266628993119</v>
      </c>
    </row>
    <row r="997" spans="2:18" ht="15.75" hidden="1" thickBot="1" x14ac:dyDescent="0.3">
      <c r="B997" s="725" t="s">
        <v>718</v>
      </c>
      <c r="C997" s="722" t="s">
        <v>77</v>
      </c>
      <c r="D997" t="s">
        <v>78</v>
      </c>
      <c r="E997" s="147">
        <v>1.66492</v>
      </c>
      <c r="F997" s="147">
        <v>2.9</v>
      </c>
      <c r="G997" s="147">
        <v>-1.23508</v>
      </c>
      <c r="H997" s="147">
        <v>-42.588965517241377</v>
      </c>
      <c r="I997" s="729"/>
      <c r="J997" s="147">
        <v>1.66492</v>
      </c>
      <c r="K997" s="147">
        <v>0</v>
      </c>
      <c r="L997" s="147">
        <v>23.903269999999999</v>
      </c>
      <c r="M997" s="147">
        <v>38</v>
      </c>
      <c r="N997" s="147">
        <v>-14.096730000000001</v>
      </c>
      <c r="O997" s="147">
        <v>-37.096657894736843</v>
      </c>
      <c r="P997" s="147">
        <v>3.99241</v>
      </c>
      <c r="Q997" s="147">
        <v>19.91086</v>
      </c>
      <c r="R997" s="147">
        <v>498.71781705786731</v>
      </c>
    </row>
    <row r="998" spans="2:18" ht="15.75" hidden="1" thickBot="1" x14ac:dyDescent="0.3">
      <c r="B998" s="725" t="s">
        <v>718</v>
      </c>
      <c r="C998" s="722" t="s">
        <v>79</v>
      </c>
      <c r="D998" t="s">
        <v>80</v>
      </c>
      <c r="E998" s="148">
        <v>0.25625999999999999</v>
      </c>
      <c r="F998" s="728"/>
      <c r="G998" s="148">
        <v>0.25625999999999999</v>
      </c>
      <c r="H998" s="148">
        <v>0</v>
      </c>
      <c r="I998" s="728"/>
      <c r="J998" s="148">
        <v>0.25625999999999999</v>
      </c>
      <c r="K998" s="148">
        <v>0</v>
      </c>
      <c r="L998" s="148">
        <v>1.8447899999999999</v>
      </c>
      <c r="M998" s="728"/>
      <c r="N998" s="148">
        <v>1.8447899999999999</v>
      </c>
      <c r="O998" s="148">
        <v>0</v>
      </c>
      <c r="P998" s="148">
        <v>0.89122000000000001</v>
      </c>
      <c r="Q998" s="148">
        <v>0.95357000000000003</v>
      </c>
      <c r="R998" s="148">
        <v>106.99602791678822</v>
      </c>
    </row>
    <row r="999" spans="2:18" ht="15.75" hidden="1" thickBot="1" x14ac:dyDescent="0.3">
      <c r="B999" s="725" t="s">
        <v>718</v>
      </c>
      <c r="C999" s="722" t="s">
        <v>81</v>
      </c>
      <c r="D999" t="s">
        <v>82</v>
      </c>
      <c r="E999" s="147">
        <v>1.9077</v>
      </c>
      <c r="F999" s="147">
        <v>1.6479999999999999</v>
      </c>
      <c r="G999" s="147">
        <v>0.25969999999999999</v>
      </c>
      <c r="H999" s="147">
        <v>15.758495145631068</v>
      </c>
      <c r="I999" s="729"/>
      <c r="J999" s="147">
        <v>1.9077</v>
      </c>
      <c r="K999" s="147">
        <v>0</v>
      </c>
      <c r="L999" s="147">
        <v>3.7869299999999999</v>
      </c>
      <c r="M999" s="147">
        <v>4.0679999999999996</v>
      </c>
      <c r="N999" s="147">
        <v>-0.28106999999999999</v>
      </c>
      <c r="O999" s="147">
        <v>-6.9092920353982299</v>
      </c>
      <c r="P999" s="147">
        <v>1.67424</v>
      </c>
      <c r="Q999" s="147">
        <v>2.1126900000000002</v>
      </c>
      <c r="R999" s="147">
        <v>126.18800172018349</v>
      </c>
    </row>
    <row r="1000" spans="2:18" ht="15.75" hidden="1" thickBot="1" x14ac:dyDescent="0.3">
      <c r="B1000" s="725" t="s">
        <v>718</v>
      </c>
      <c r="C1000" s="722" t="s">
        <v>123</v>
      </c>
      <c r="D1000" t="s">
        <v>124</v>
      </c>
      <c r="E1000" s="728"/>
      <c r="F1000" s="148">
        <v>0.5</v>
      </c>
      <c r="G1000" s="148">
        <v>-0.5</v>
      </c>
      <c r="H1000" s="148">
        <v>-100</v>
      </c>
      <c r="I1000" s="728"/>
      <c r="J1000" s="728"/>
      <c r="K1000" s="728"/>
      <c r="L1000" s="148">
        <v>0.74448000000000003</v>
      </c>
      <c r="M1000" s="148">
        <v>0.5</v>
      </c>
      <c r="N1000" s="148">
        <v>0.24448</v>
      </c>
      <c r="O1000" s="148">
        <v>48.896000000000001</v>
      </c>
      <c r="P1000" s="148">
        <v>0.74448000000000003</v>
      </c>
      <c r="Q1000" s="148">
        <v>0</v>
      </c>
      <c r="R1000" s="148">
        <v>0</v>
      </c>
    </row>
    <row r="1001" spans="2:18" ht="15.75" hidden="1" thickBot="1" x14ac:dyDescent="0.3">
      <c r="B1001" s="725" t="s">
        <v>718</v>
      </c>
      <c r="C1001" s="722" t="s">
        <v>685</v>
      </c>
      <c r="D1001" t="s">
        <v>686</v>
      </c>
      <c r="E1001" s="729"/>
      <c r="F1001" s="729"/>
      <c r="G1001" s="729"/>
      <c r="H1001" s="729"/>
      <c r="I1001" s="729"/>
      <c r="J1001" s="729"/>
      <c r="K1001" s="729"/>
      <c r="L1001" s="147">
        <v>0</v>
      </c>
      <c r="M1001" s="729"/>
      <c r="N1001" s="147">
        <v>0</v>
      </c>
      <c r="O1001" s="147">
        <v>0</v>
      </c>
      <c r="P1001" s="729"/>
      <c r="Q1001" s="147">
        <v>0</v>
      </c>
      <c r="R1001" s="147">
        <v>0</v>
      </c>
    </row>
    <row r="1002" spans="2:18" ht="15.75" hidden="1" thickBot="1" x14ac:dyDescent="0.3">
      <c r="B1002" s="725" t="s">
        <v>718</v>
      </c>
      <c r="C1002" s="722" t="s">
        <v>83</v>
      </c>
      <c r="D1002" t="s">
        <v>84</v>
      </c>
      <c r="E1002" s="728"/>
      <c r="F1002" s="148">
        <v>0.26</v>
      </c>
      <c r="G1002" s="148">
        <v>-0.26</v>
      </c>
      <c r="H1002" s="148">
        <v>-100</v>
      </c>
      <c r="I1002" s="728"/>
      <c r="J1002" s="728"/>
      <c r="K1002" s="728"/>
      <c r="L1002" s="728"/>
      <c r="M1002" s="148">
        <v>5.62</v>
      </c>
      <c r="N1002" s="148">
        <v>-5.62</v>
      </c>
      <c r="O1002" s="148">
        <v>-100</v>
      </c>
      <c r="P1002" s="728"/>
      <c r="Q1002" s="728"/>
      <c r="R1002" s="728"/>
    </row>
    <row r="1003" spans="2:18" ht="15.75" hidden="1" thickBot="1" x14ac:dyDescent="0.3">
      <c r="B1003" s="725" t="s">
        <v>718</v>
      </c>
      <c r="C1003" s="149" t="s">
        <v>85</v>
      </c>
      <c r="D1003" t="s">
        <v>86</v>
      </c>
      <c r="E1003" s="147">
        <v>345.43360999999999</v>
      </c>
      <c r="F1003" s="147">
        <v>165.54843</v>
      </c>
      <c r="G1003" s="147">
        <v>179.88517999999999</v>
      </c>
      <c r="H1003" s="147">
        <v>108.66015461457411</v>
      </c>
      <c r="I1003" s="729"/>
      <c r="J1003" s="147">
        <v>345.43360999999999</v>
      </c>
      <c r="K1003" s="147">
        <v>0</v>
      </c>
      <c r="L1003" s="147">
        <v>2054.8159700000001</v>
      </c>
      <c r="M1003" s="147">
        <v>1548.5183199999999</v>
      </c>
      <c r="N1003" s="147">
        <v>506.29764999999998</v>
      </c>
      <c r="O1003" s="147">
        <v>32.695618996616069</v>
      </c>
      <c r="P1003" s="147">
        <v>794.13219000000004</v>
      </c>
      <c r="Q1003" s="147">
        <v>1260.6837800000001</v>
      </c>
      <c r="R1003" s="147">
        <v>158.74986505710089</v>
      </c>
    </row>
    <row r="1004" spans="2:18" ht="15.75" hidden="1" thickBot="1" x14ac:dyDescent="0.3">
      <c r="B1004" s="725" t="s">
        <v>718</v>
      </c>
      <c r="C1004" s="144" t="s">
        <v>87</v>
      </c>
      <c r="D1004" t="s">
        <v>87</v>
      </c>
      <c r="E1004" s="148">
        <v>601.19029999999998</v>
      </c>
      <c r="F1004" s="148">
        <v>423.06876</v>
      </c>
      <c r="G1004" s="148">
        <v>178.12154000000001</v>
      </c>
      <c r="H1004" s="148">
        <v>42.102267253200168</v>
      </c>
      <c r="I1004" s="728"/>
      <c r="J1004" s="148">
        <v>601.19029999999998</v>
      </c>
      <c r="K1004" s="148">
        <v>0</v>
      </c>
      <c r="L1004" s="148">
        <v>5047.4394899999998</v>
      </c>
      <c r="M1004" s="148">
        <v>4612.1724800000002</v>
      </c>
      <c r="N1004" s="148">
        <v>435.26701000000003</v>
      </c>
      <c r="O1004" s="148">
        <v>9.4373532622093084</v>
      </c>
      <c r="P1004" s="148">
        <v>2348.1460499999998</v>
      </c>
      <c r="Q1004" s="148">
        <v>2699.2934399999999</v>
      </c>
      <c r="R1004" s="148">
        <v>114.95423975012116</v>
      </c>
    </row>
    <row r="1005" spans="2:18" ht="15.75" hidden="1" thickBot="1" x14ac:dyDescent="0.3">
      <c r="B1005" s="726" t="s">
        <v>719</v>
      </c>
      <c r="C1005" s="722" t="s">
        <v>59</v>
      </c>
      <c r="D1005" t="s">
        <v>60</v>
      </c>
      <c r="E1005" s="147">
        <v>33.025370000000002</v>
      </c>
      <c r="F1005" s="147">
        <v>33.497599999999998</v>
      </c>
      <c r="G1005" s="147">
        <v>-0.47222999999999998</v>
      </c>
      <c r="H1005" s="147">
        <v>-1.4097427875429882</v>
      </c>
      <c r="I1005" s="729"/>
      <c r="J1005" s="147">
        <v>33.025370000000002</v>
      </c>
      <c r="K1005" s="147">
        <v>0</v>
      </c>
      <c r="L1005" s="147">
        <v>322.98338999999999</v>
      </c>
      <c r="M1005" s="147">
        <v>399.86239999999998</v>
      </c>
      <c r="N1005" s="147">
        <v>-76.879009999999994</v>
      </c>
      <c r="O1005" s="147">
        <v>-19.22636637003129</v>
      </c>
      <c r="P1005" s="147">
        <v>175.77817999999999</v>
      </c>
      <c r="Q1005" s="147">
        <v>147.20520999999999</v>
      </c>
      <c r="R1005" s="147">
        <v>83.744870950421713</v>
      </c>
    </row>
    <row r="1006" spans="2:18" ht="15.75" hidden="1" thickBot="1" x14ac:dyDescent="0.3">
      <c r="B1006" s="726" t="s">
        <v>719</v>
      </c>
      <c r="C1006" s="722" t="s">
        <v>134</v>
      </c>
      <c r="D1006" t="s">
        <v>135</v>
      </c>
      <c r="E1006" s="728"/>
      <c r="F1006" s="728"/>
      <c r="G1006" s="728"/>
      <c r="H1006" s="728"/>
      <c r="I1006" s="728"/>
      <c r="J1006" s="728"/>
      <c r="K1006" s="728"/>
      <c r="L1006" s="148">
        <v>8.7799499999999995</v>
      </c>
      <c r="M1006" s="728"/>
      <c r="N1006" s="148">
        <v>8.7799499999999995</v>
      </c>
      <c r="O1006" s="148">
        <v>0</v>
      </c>
      <c r="P1006" s="148">
        <v>8.7799499999999995</v>
      </c>
      <c r="Q1006" s="148">
        <v>0</v>
      </c>
      <c r="R1006" s="148">
        <v>0</v>
      </c>
    </row>
    <row r="1007" spans="2:18" ht="15.75" hidden="1" thickBot="1" x14ac:dyDescent="0.3">
      <c r="B1007" s="726" t="s">
        <v>719</v>
      </c>
      <c r="C1007" s="722" t="s">
        <v>61</v>
      </c>
      <c r="D1007" t="s">
        <v>62</v>
      </c>
      <c r="E1007" s="147">
        <v>5.2914700000000003</v>
      </c>
      <c r="F1007" s="147">
        <v>5.1921299999999997</v>
      </c>
      <c r="G1007" s="147">
        <v>9.9339999999999998E-2</v>
      </c>
      <c r="H1007" s="147">
        <v>1.9132802915181246</v>
      </c>
      <c r="I1007" s="729"/>
      <c r="J1007" s="147">
        <v>5.2914700000000003</v>
      </c>
      <c r="K1007" s="147">
        <v>0</v>
      </c>
      <c r="L1007" s="147">
        <v>47.6205</v>
      </c>
      <c r="M1007" s="147">
        <v>61.978700000000003</v>
      </c>
      <c r="N1007" s="147">
        <v>-14.3582</v>
      </c>
      <c r="O1007" s="147">
        <v>-23.166345857528473</v>
      </c>
      <c r="P1007" s="147">
        <v>24.962810000000001</v>
      </c>
      <c r="Q1007" s="147">
        <v>22.657689999999999</v>
      </c>
      <c r="R1007" s="147">
        <v>90.765783179057166</v>
      </c>
    </row>
    <row r="1008" spans="2:18" ht="15.75" hidden="1" thickBot="1" x14ac:dyDescent="0.3">
      <c r="B1008" s="726" t="s">
        <v>719</v>
      </c>
      <c r="C1008" s="722" t="s">
        <v>63</v>
      </c>
      <c r="D1008" t="s">
        <v>64</v>
      </c>
      <c r="E1008" s="148">
        <v>20.55697</v>
      </c>
      <c r="F1008" s="148">
        <v>20.19905</v>
      </c>
      <c r="G1008" s="148">
        <v>0.35792000000000002</v>
      </c>
      <c r="H1008" s="148">
        <v>1.7719645230840064</v>
      </c>
      <c r="I1008" s="728"/>
      <c r="J1008" s="148">
        <v>20.55697</v>
      </c>
      <c r="K1008" s="148">
        <v>0</v>
      </c>
      <c r="L1008" s="148">
        <v>185.00219000000001</v>
      </c>
      <c r="M1008" s="148">
        <v>241.11699999999999</v>
      </c>
      <c r="N1008" s="148">
        <v>-56.114809999999999</v>
      </c>
      <c r="O1008" s="148">
        <v>-23.272855086949491</v>
      </c>
      <c r="P1008" s="148">
        <v>96.978579999999994</v>
      </c>
      <c r="Q1008" s="148">
        <v>88.023610000000005</v>
      </c>
      <c r="R1008" s="148">
        <v>90.766033076582474</v>
      </c>
    </row>
    <row r="1009" spans="2:18" ht="15.75" hidden="1" thickBot="1" x14ac:dyDescent="0.3">
      <c r="B1009" s="726" t="s">
        <v>719</v>
      </c>
      <c r="C1009" s="722" t="s">
        <v>65</v>
      </c>
      <c r="D1009" t="s">
        <v>66</v>
      </c>
      <c r="E1009" s="729"/>
      <c r="F1009" s="147">
        <v>-12.517569999999999</v>
      </c>
      <c r="G1009" s="147">
        <v>12.517569999999999</v>
      </c>
      <c r="H1009" s="147">
        <v>100</v>
      </c>
      <c r="I1009" s="729"/>
      <c r="J1009" s="729"/>
      <c r="K1009" s="729"/>
      <c r="L1009" s="147">
        <v>-29.211259999999999</v>
      </c>
      <c r="M1009" s="147">
        <v>-149.4228</v>
      </c>
      <c r="N1009" s="147">
        <v>120.21154</v>
      </c>
      <c r="O1009" s="147">
        <v>80.450600577689613</v>
      </c>
      <c r="P1009" s="147">
        <v>-18.059329999999999</v>
      </c>
      <c r="Q1009" s="147">
        <v>-11.15193</v>
      </c>
      <c r="R1009" s="147">
        <v>-61.751626444613393</v>
      </c>
    </row>
    <row r="1010" spans="2:18" ht="15.75" hidden="1" thickBot="1" x14ac:dyDescent="0.3">
      <c r="B1010" s="726" t="s">
        <v>719</v>
      </c>
      <c r="C1010" s="149" t="s">
        <v>67</v>
      </c>
      <c r="D1010" t="s">
        <v>68</v>
      </c>
      <c r="E1010" s="148">
        <v>58.873809999999999</v>
      </c>
      <c r="F1010" s="148">
        <v>46.371209999999998</v>
      </c>
      <c r="G1010" s="148">
        <v>12.502599999999999</v>
      </c>
      <c r="H1010" s="148">
        <v>26.96198783684963</v>
      </c>
      <c r="I1010" s="728"/>
      <c r="J1010" s="148">
        <v>58.873809999999999</v>
      </c>
      <c r="K1010" s="148">
        <v>0</v>
      </c>
      <c r="L1010" s="148">
        <v>535.17476999999997</v>
      </c>
      <c r="M1010" s="148">
        <v>553.53530000000001</v>
      </c>
      <c r="N1010" s="148">
        <v>-18.360530000000001</v>
      </c>
      <c r="O1010" s="148">
        <v>-3.3169573828444183</v>
      </c>
      <c r="P1010" s="148">
        <v>288.44018999999997</v>
      </c>
      <c r="Q1010" s="148">
        <v>246.73457999999999</v>
      </c>
      <c r="R1010" s="148">
        <v>85.540985117226555</v>
      </c>
    </row>
    <row r="1011" spans="2:18" ht="15.75" hidden="1" thickBot="1" x14ac:dyDescent="0.3">
      <c r="B1011" s="726" t="s">
        <v>719</v>
      </c>
      <c r="C1011" s="722" t="s">
        <v>69</v>
      </c>
      <c r="D1011" t="s">
        <v>70</v>
      </c>
      <c r="E1011" s="729"/>
      <c r="F1011" s="147">
        <v>0</v>
      </c>
      <c r="G1011" s="147">
        <v>0</v>
      </c>
      <c r="H1011" s="147">
        <v>0</v>
      </c>
      <c r="I1011" s="729"/>
      <c r="J1011" s="729"/>
      <c r="K1011" s="729"/>
      <c r="L1011" s="147">
        <v>4.5810000000000004</v>
      </c>
      <c r="M1011" s="147">
        <v>12</v>
      </c>
      <c r="N1011" s="147">
        <v>-7.4189999999999996</v>
      </c>
      <c r="O1011" s="147">
        <v>-61.825000000000003</v>
      </c>
      <c r="P1011" s="147">
        <v>1.3160000000000001</v>
      </c>
      <c r="Q1011" s="147">
        <v>3.2650000000000001</v>
      </c>
      <c r="R1011" s="147">
        <v>248.10030395136778</v>
      </c>
    </row>
    <row r="1012" spans="2:18" ht="15.75" hidden="1" thickBot="1" x14ac:dyDescent="0.3">
      <c r="B1012" s="726" t="s">
        <v>719</v>
      </c>
      <c r="C1012" s="722" t="s">
        <v>137</v>
      </c>
      <c r="D1012" t="s">
        <v>138</v>
      </c>
      <c r="E1012" s="728"/>
      <c r="F1012" s="728"/>
      <c r="G1012" s="728"/>
      <c r="H1012" s="728"/>
      <c r="I1012" s="728"/>
      <c r="J1012" s="728"/>
      <c r="K1012" s="728"/>
      <c r="L1012" s="148">
        <v>0.20219999999999999</v>
      </c>
      <c r="M1012" s="728"/>
      <c r="N1012" s="148">
        <v>0.20219999999999999</v>
      </c>
      <c r="O1012" s="148">
        <v>0</v>
      </c>
      <c r="P1012" s="728"/>
      <c r="Q1012" s="148">
        <v>0.20219999999999999</v>
      </c>
      <c r="R1012" s="148">
        <v>0</v>
      </c>
    </row>
    <row r="1013" spans="2:18" ht="15.75" hidden="1" thickBot="1" x14ac:dyDescent="0.3">
      <c r="B1013" s="726" t="s">
        <v>719</v>
      </c>
      <c r="C1013" s="722" t="s">
        <v>190</v>
      </c>
      <c r="D1013" t="s">
        <v>191</v>
      </c>
      <c r="E1013" s="729"/>
      <c r="F1013" s="729"/>
      <c r="G1013" s="729"/>
      <c r="H1013" s="729"/>
      <c r="I1013" s="729"/>
      <c r="J1013" s="729"/>
      <c r="K1013" s="729"/>
      <c r="L1013" s="147">
        <v>8.5500000000000003E-3</v>
      </c>
      <c r="M1013" s="729"/>
      <c r="N1013" s="147">
        <v>8.5500000000000003E-3</v>
      </c>
      <c r="O1013" s="147">
        <v>0</v>
      </c>
      <c r="P1013" s="729"/>
      <c r="Q1013" s="147">
        <v>8.5500000000000003E-3</v>
      </c>
      <c r="R1013" s="147">
        <v>0</v>
      </c>
    </row>
    <row r="1014" spans="2:18" ht="15.75" hidden="1" thickBot="1" x14ac:dyDescent="0.3">
      <c r="B1014" s="726" t="s">
        <v>719</v>
      </c>
      <c r="C1014" s="722" t="s">
        <v>139</v>
      </c>
      <c r="D1014" t="s">
        <v>140</v>
      </c>
      <c r="E1014" s="728"/>
      <c r="F1014" s="728"/>
      <c r="G1014" s="728"/>
      <c r="H1014" s="728"/>
      <c r="I1014" s="728"/>
      <c r="J1014" s="728"/>
      <c r="K1014" s="728"/>
      <c r="L1014" s="728"/>
      <c r="M1014" s="148">
        <v>1.2</v>
      </c>
      <c r="N1014" s="148">
        <v>-1.2</v>
      </c>
      <c r="O1014" s="148">
        <v>-100</v>
      </c>
      <c r="P1014" s="728"/>
      <c r="Q1014" s="728"/>
      <c r="R1014" s="728"/>
    </row>
    <row r="1015" spans="2:18" ht="15.75" hidden="1" thickBot="1" x14ac:dyDescent="0.3">
      <c r="B1015" s="726" t="s">
        <v>719</v>
      </c>
      <c r="C1015" s="722" t="s">
        <v>101</v>
      </c>
      <c r="D1015" t="s">
        <v>102</v>
      </c>
      <c r="E1015" s="147">
        <v>17.821000000000002</v>
      </c>
      <c r="F1015" s="147">
        <v>3.375</v>
      </c>
      <c r="G1015" s="147">
        <v>14.446</v>
      </c>
      <c r="H1015" s="147">
        <v>428.02962962962965</v>
      </c>
      <c r="I1015" s="729"/>
      <c r="J1015" s="147">
        <v>17.821000000000002</v>
      </c>
      <c r="K1015" s="147">
        <v>0</v>
      </c>
      <c r="L1015" s="147">
        <v>134.56095999999999</v>
      </c>
      <c r="M1015" s="147">
        <v>13.5</v>
      </c>
      <c r="N1015" s="147">
        <v>121.06095999999999</v>
      </c>
      <c r="O1015" s="147">
        <v>896.74785185185181</v>
      </c>
      <c r="P1015" s="147">
        <v>1.5534300000000001</v>
      </c>
      <c r="Q1015" s="147">
        <v>133.00753</v>
      </c>
      <c r="R1015" s="147">
        <v>8562.1836838480012</v>
      </c>
    </row>
    <row r="1016" spans="2:18" ht="15.75" hidden="1" thickBot="1" x14ac:dyDescent="0.3">
      <c r="B1016" s="726" t="s">
        <v>719</v>
      </c>
      <c r="C1016" s="722" t="s">
        <v>109</v>
      </c>
      <c r="D1016" t="s">
        <v>110</v>
      </c>
      <c r="E1016" s="728"/>
      <c r="F1016" s="148">
        <v>0.1</v>
      </c>
      <c r="G1016" s="148">
        <v>-0.1</v>
      </c>
      <c r="H1016" s="148">
        <v>-100</v>
      </c>
      <c r="I1016" s="728"/>
      <c r="J1016" s="728"/>
      <c r="K1016" s="728"/>
      <c r="L1016" s="728"/>
      <c r="M1016" s="148">
        <v>0.4</v>
      </c>
      <c r="N1016" s="148">
        <v>-0.4</v>
      </c>
      <c r="O1016" s="148">
        <v>-100</v>
      </c>
      <c r="P1016" s="728"/>
      <c r="Q1016" s="728"/>
      <c r="R1016" s="728"/>
    </row>
    <row r="1017" spans="2:18" ht="15.75" hidden="1" thickBot="1" x14ac:dyDescent="0.3">
      <c r="B1017" s="726" t="s">
        <v>719</v>
      </c>
      <c r="C1017" s="722" t="s">
        <v>73</v>
      </c>
      <c r="D1017" t="s">
        <v>74</v>
      </c>
      <c r="E1017" s="729"/>
      <c r="F1017" s="729"/>
      <c r="G1017" s="729"/>
      <c r="H1017" s="729"/>
      <c r="I1017" s="729"/>
      <c r="J1017" s="729"/>
      <c r="K1017" s="729"/>
      <c r="L1017" s="147">
        <v>0.20555999999999999</v>
      </c>
      <c r="M1017" s="729"/>
      <c r="N1017" s="147">
        <v>0.20555999999999999</v>
      </c>
      <c r="O1017" s="147">
        <v>0</v>
      </c>
      <c r="P1017" s="147">
        <v>0.20555999999999999</v>
      </c>
      <c r="Q1017" s="147">
        <v>0</v>
      </c>
      <c r="R1017" s="147">
        <v>0</v>
      </c>
    </row>
    <row r="1018" spans="2:18" ht="15.75" hidden="1" thickBot="1" x14ac:dyDescent="0.3">
      <c r="B1018" s="726" t="s">
        <v>719</v>
      </c>
      <c r="C1018" s="722" t="s">
        <v>141</v>
      </c>
      <c r="D1018" t="s">
        <v>142</v>
      </c>
      <c r="E1018" s="728"/>
      <c r="F1018" s="728"/>
      <c r="G1018" s="728"/>
      <c r="H1018" s="728"/>
      <c r="I1018" s="728"/>
      <c r="J1018" s="728"/>
      <c r="K1018" s="728"/>
      <c r="L1018" s="728"/>
      <c r="M1018" s="148">
        <v>0.2</v>
      </c>
      <c r="N1018" s="148">
        <v>-0.2</v>
      </c>
      <c r="O1018" s="148">
        <v>-100</v>
      </c>
      <c r="P1018" s="728"/>
      <c r="Q1018" s="728"/>
      <c r="R1018" s="728"/>
    </row>
    <row r="1019" spans="2:18" ht="15.75" hidden="1" thickBot="1" x14ac:dyDescent="0.3">
      <c r="B1019" s="726" t="s">
        <v>719</v>
      </c>
      <c r="C1019" s="722" t="s">
        <v>113</v>
      </c>
      <c r="D1019" t="s">
        <v>114</v>
      </c>
      <c r="E1019" s="729"/>
      <c r="F1019" s="729"/>
      <c r="G1019" s="729"/>
      <c r="H1019" s="729"/>
      <c r="I1019" s="729"/>
      <c r="J1019" s="729"/>
      <c r="K1019" s="729"/>
      <c r="L1019" s="147">
        <v>5.9200000000000003E-2</v>
      </c>
      <c r="M1019" s="729"/>
      <c r="N1019" s="147">
        <v>5.9200000000000003E-2</v>
      </c>
      <c r="O1019" s="147">
        <v>0</v>
      </c>
      <c r="P1019" s="147">
        <v>3.4000000000000002E-2</v>
      </c>
      <c r="Q1019" s="147">
        <v>2.52E-2</v>
      </c>
      <c r="R1019" s="147">
        <v>74.117647058823536</v>
      </c>
    </row>
    <row r="1020" spans="2:18" ht="15.75" hidden="1" thickBot="1" x14ac:dyDescent="0.3">
      <c r="B1020" s="726" t="s">
        <v>719</v>
      </c>
      <c r="C1020" s="722" t="s">
        <v>147</v>
      </c>
      <c r="D1020" t="s">
        <v>148</v>
      </c>
      <c r="E1020" s="148">
        <v>1.9E-2</v>
      </c>
      <c r="F1020" s="728"/>
      <c r="G1020" s="148">
        <v>1.9E-2</v>
      </c>
      <c r="H1020" s="148">
        <v>0</v>
      </c>
      <c r="I1020" s="728"/>
      <c r="J1020" s="148">
        <v>1.9E-2</v>
      </c>
      <c r="K1020" s="148">
        <v>0</v>
      </c>
      <c r="L1020" s="148">
        <v>0.24537</v>
      </c>
      <c r="M1020" s="728"/>
      <c r="N1020" s="148">
        <v>0.24537</v>
      </c>
      <c r="O1020" s="148">
        <v>0</v>
      </c>
      <c r="P1020" s="148">
        <v>0.10836999999999999</v>
      </c>
      <c r="Q1020" s="148">
        <v>0.13700000000000001</v>
      </c>
      <c r="R1020" s="148">
        <v>126.41875057672787</v>
      </c>
    </row>
    <row r="1021" spans="2:18" ht="15.75" hidden="1" thickBot="1" x14ac:dyDescent="0.3">
      <c r="B1021" s="726" t="s">
        <v>719</v>
      </c>
      <c r="C1021" s="722" t="s">
        <v>149</v>
      </c>
      <c r="D1021" t="s">
        <v>150</v>
      </c>
      <c r="E1021" s="147">
        <v>13.237</v>
      </c>
      <c r="F1021" s="729"/>
      <c r="G1021" s="147">
        <v>13.237</v>
      </c>
      <c r="H1021" s="147">
        <v>0</v>
      </c>
      <c r="I1021" s="729"/>
      <c r="J1021" s="147">
        <v>13.237</v>
      </c>
      <c r="K1021" s="147">
        <v>0</v>
      </c>
      <c r="L1021" s="147">
        <v>14.837</v>
      </c>
      <c r="M1021" s="147">
        <v>15.375</v>
      </c>
      <c r="N1021" s="147">
        <v>-0.53800000000000003</v>
      </c>
      <c r="O1021" s="147">
        <v>-3.4991869918699186</v>
      </c>
      <c r="P1021" s="147">
        <v>1.6</v>
      </c>
      <c r="Q1021" s="147">
        <v>13.237</v>
      </c>
      <c r="R1021" s="147">
        <v>827.3125</v>
      </c>
    </row>
    <row r="1022" spans="2:18" ht="15.75" hidden="1" thickBot="1" x14ac:dyDescent="0.3">
      <c r="B1022" s="726" t="s">
        <v>719</v>
      </c>
      <c r="C1022" s="722" t="s">
        <v>649</v>
      </c>
      <c r="D1022" t="s">
        <v>650</v>
      </c>
      <c r="E1022" s="148">
        <v>3.4761000000000002</v>
      </c>
      <c r="F1022" s="148">
        <v>2.6828599999999998</v>
      </c>
      <c r="G1022" s="148">
        <v>0.79323999999999995</v>
      </c>
      <c r="H1022" s="148">
        <v>29.566954667779907</v>
      </c>
      <c r="I1022" s="728"/>
      <c r="J1022" s="148">
        <v>3.4761000000000002</v>
      </c>
      <c r="K1022" s="148">
        <v>0</v>
      </c>
      <c r="L1022" s="148">
        <v>33.780799999999999</v>
      </c>
      <c r="M1022" s="148">
        <v>32.194319999999998</v>
      </c>
      <c r="N1022" s="148">
        <v>1.5864799999999999</v>
      </c>
      <c r="O1022" s="148">
        <v>4.9278257779633181</v>
      </c>
      <c r="P1022" s="148">
        <v>16.097159999999999</v>
      </c>
      <c r="Q1022" s="148">
        <v>17.68364</v>
      </c>
      <c r="R1022" s="148">
        <v>109.85565155592664</v>
      </c>
    </row>
    <row r="1023" spans="2:18" ht="15.75" hidden="1" thickBot="1" x14ac:dyDescent="0.3">
      <c r="B1023" s="726" t="s">
        <v>719</v>
      </c>
      <c r="C1023" s="722" t="s">
        <v>75</v>
      </c>
      <c r="D1023" t="s">
        <v>76</v>
      </c>
      <c r="E1023" s="147">
        <v>0.20621</v>
      </c>
      <c r="F1023" s="147">
        <v>0.2</v>
      </c>
      <c r="G1023" s="147">
        <v>6.2100000000000002E-3</v>
      </c>
      <c r="H1023" s="147">
        <v>3.105</v>
      </c>
      <c r="I1023" s="729"/>
      <c r="J1023" s="147">
        <v>0.20621</v>
      </c>
      <c r="K1023" s="147">
        <v>0</v>
      </c>
      <c r="L1023" s="147">
        <v>2.51593</v>
      </c>
      <c r="M1023" s="147">
        <v>3.6</v>
      </c>
      <c r="N1023" s="147">
        <v>-1.0840700000000001</v>
      </c>
      <c r="O1023" s="147">
        <v>-30.113055555555555</v>
      </c>
      <c r="P1023" s="147">
        <v>0.96223000000000003</v>
      </c>
      <c r="Q1023" s="147">
        <v>1.5537000000000001</v>
      </c>
      <c r="R1023" s="147">
        <v>161.46867173129087</v>
      </c>
    </row>
    <row r="1024" spans="2:18" ht="15.75" hidden="1" thickBot="1" x14ac:dyDescent="0.3">
      <c r="B1024" s="726" t="s">
        <v>719</v>
      </c>
      <c r="C1024" s="722" t="s">
        <v>77</v>
      </c>
      <c r="D1024" t="s">
        <v>78</v>
      </c>
      <c r="E1024" s="148">
        <v>0.32969999999999999</v>
      </c>
      <c r="F1024" s="728"/>
      <c r="G1024" s="148">
        <v>0.32969999999999999</v>
      </c>
      <c r="H1024" s="148">
        <v>0</v>
      </c>
      <c r="I1024" s="728"/>
      <c r="J1024" s="148">
        <v>0.32969999999999999</v>
      </c>
      <c r="K1024" s="148">
        <v>0</v>
      </c>
      <c r="L1024" s="148">
        <v>7.1180700000000003</v>
      </c>
      <c r="M1024" s="148">
        <v>9</v>
      </c>
      <c r="N1024" s="148">
        <v>-1.8819300000000001</v>
      </c>
      <c r="O1024" s="148">
        <v>-20.910333333333334</v>
      </c>
      <c r="P1024" s="728"/>
      <c r="Q1024" s="148">
        <v>7.1180700000000003</v>
      </c>
      <c r="R1024" s="148">
        <v>0</v>
      </c>
    </row>
    <row r="1025" spans="2:18" ht="15.75" hidden="1" thickBot="1" x14ac:dyDescent="0.3">
      <c r="B1025" s="726" t="s">
        <v>719</v>
      </c>
      <c r="C1025" s="722" t="s">
        <v>79</v>
      </c>
      <c r="D1025" t="s">
        <v>80</v>
      </c>
      <c r="E1025" s="147">
        <v>0.25625999999999999</v>
      </c>
      <c r="F1025" s="729"/>
      <c r="G1025" s="147">
        <v>0.25625999999999999</v>
      </c>
      <c r="H1025" s="147">
        <v>0</v>
      </c>
      <c r="I1025" s="729"/>
      <c r="J1025" s="147">
        <v>0.25625999999999999</v>
      </c>
      <c r="K1025" s="147">
        <v>0</v>
      </c>
      <c r="L1025" s="147">
        <v>0.25625999999999999</v>
      </c>
      <c r="M1025" s="729"/>
      <c r="N1025" s="147">
        <v>0.25625999999999999</v>
      </c>
      <c r="O1025" s="147">
        <v>0</v>
      </c>
      <c r="P1025" s="729"/>
      <c r="Q1025" s="147">
        <v>0.25625999999999999</v>
      </c>
      <c r="R1025" s="147">
        <v>0</v>
      </c>
    </row>
    <row r="1026" spans="2:18" ht="15.75" hidden="1" thickBot="1" x14ac:dyDescent="0.3">
      <c r="B1026" s="726" t="s">
        <v>719</v>
      </c>
      <c r="C1026" s="722" t="s">
        <v>81</v>
      </c>
      <c r="D1026" t="s">
        <v>82</v>
      </c>
      <c r="E1026" s="148">
        <v>0.2198</v>
      </c>
      <c r="F1026" s="728"/>
      <c r="G1026" s="148">
        <v>0.2198</v>
      </c>
      <c r="H1026" s="148">
        <v>0</v>
      </c>
      <c r="I1026" s="728"/>
      <c r="J1026" s="148">
        <v>0.2198</v>
      </c>
      <c r="K1026" s="148">
        <v>0</v>
      </c>
      <c r="L1026" s="148">
        <v>1.2317</v>
      </c>
      <c r="M1026" s="728"/>
      <c r="N1026" s="148">
        <v>1.2317</v>
      </c>
      <c r="O1026" s="148">
        <v>0</v>
      </c>
      <c r="P1026" s="148">
        <v>1.0119</v>
      </c>
      <c r="Q1026" s="148">
        <v>0.2198</v>
      </c>
      <c r="R1026" s="148">
        <v>21.721513983595216</v>
      </c>
    </row>
    <row r="1027" spans="2:18" ht="15.75" hidden="1" thickBot="1" x14ac:dyDescent="0.3">
      <c r="B1027" s="726" t="s">
        <v>719</v>
      </c>
      <c r="C1027" s="722" t="s">
        <v>123</v>
      </c>
      <c r="D1027" t="s">
        <v>124</v>
      </c>
      <c r="E1027" s="729"/>
      <c r="F1027" s="147">
        <v>0.5</v>
      </c>
      <c r="G1027" s="147">
        <v>-0.5</v>
      </c>
      <c r="H1027" s="147">
        <v>-100</v>
      </c>
      <c r="I1027" s="729"/>
      <c r="J1027" s="729"/>
      <c r="K1027" s="729"/>
      <c r="L1027" s="729"/>
      <c r="M1027" s="147">
        <v>0.5</v>
      </c>
      <c r="N1027" s="147">
        <v>-0.5</v>
      </c>
      <c r="O1027" s="147">
        <v>-100</v>
      </c>
      <c r="P1027" s="729"/>
      <c r="Q1027" s="729"/>
      <c r="R1027" s="729"/>
    </row>
    <row r="1028" spans="2:18" ht="15.75" hidden="1" thickBot="1" x14ac:dyDescent="0.3">
      <c r="B1028" s="726" t="s">
        <v>719</v>
      </c>
      <c r="C1028" s="149" t="s">
        <v>85</v>
      </c>
      <c r="D1028" t="s">
        <v>86</v>
      </c>
      <c r="E1028" s="148">
        <v>35.565069999999999</v>
      </c>
      <c r="F1028" s="148">
        <v>6.8578599999999996</v>
      </c>
      <c r="G1028" s="148">
        <v>28.70721</v>
      </c>
      <c r="H1028" s="148">
        <v>418.60303359940275</v>
      </c>
      <c r="I1028" s="728"/>
      <c r="J1028" s="148">
        <v>35.565069999999999</v>
      </c>
      <c r="K1028" s="148">
        <v>0</v>
      </c>
      <c r="L1028" s="148">
        <v>199.6026</v>
      </c>
      <c r="M1028" s="148">
        <v>87.969319999999996</v>
      </c>
      <c r="N1028" s="148">
        <v>111.63328</v>
      </c>
      <c r="O1028" s="148">
        <v>126.90024203892902</v>
      </c>
      <c r="P1028" s="148">
        <v>22.888649999999998</v>
      </c>
      <c r="Q1028" s="148">
        <v>176.71395000000001</v>
      </c>
      <c r="R1028" s="148">
        <v>772.05929576449466</v>
      </c>
    </row>
    <row r="1029" spans="2:18" ht="15.75" hidden="1" thickBot="1" x14ac:dyDescent="0.3">
      <c r="B1029" s="726" t="s">
        <v>719</v>
      </c>
      <c r="C1029" s="144" t="s">
        <v>87</v>
      </c>
      <c r="D1029" t="s">
        <v>87</v>
      </c>
      <c r="E1029" s="147">
        <v>94.438879999999997</v>
      </c>
      <c r="F1029" s="147">
        <v>53.22907</v>
      </c>
      <c r="G1029" s="147">
        <v>41.209809999999997</v>
      </c>
      <c r="H1029" s="147">
        <v>77.419744511786504</v>
      </c>
      <c r="I1029" s="729"/>
      <c r="J1029" s="147">
        <v>94.438879999999997</v>
      </c>
      <c r="K1029" s="147">
        <v>0</v>
      </c>
      <c r="L1029" s="147">
        <v>734.77737000000002</v>
      </c>
      <c r="M1029" s="147">
        <v>641.50462000000005</v>
      </c>
      <c r="N1029" s="147">
        <v>93.272750000000002</v>
      </c>
      <c r="O1029" s="147">
        <v>14.53968484279973</v>
      </c>
      <c r="P1029" s="147">
        <v>311.32884000000001</v>
      </c>
      <c r="Q1029" s="147">
        <v>423.44853000000001</v>
      </c>
      <c r="R1029" s="147">
        <v>136.01326815723209</v>
      </c>
    </row>
    <row r="1030" spans="2:18" ht="15.75" hidden="1" thickBot="1" x14ac:dyDescent="0.3">
      <c r="B1030" s="726" t="s">
        <v>720</v>
      </c>
      <c r="C1030" s="722" t="s">
        <v>59</v>
      </c>
      <c r="D1030" t="s">
        <v>60</v>
      </c>
      <c r="E1030" s="148">
        <v>25.754190000000001</v>
      </c>
      <c r="F1030" s="148">
        <v>36.211100000000002</v>
      </c>
      <c r="G1030" s="148">
        <v>-10.456910000000001</v>
      </c>
      <c r="H1030" s="148">
        <v>-28.877636967670135</v>
      </c>
      <c r="I1030" s="728"/>
      <c r="J1030" s="148">
        <v>25.754190000000001</v>
      </c>
      <c r="K1030" s="148">
        <v>0</v>
      </c>
      <c r="L1030" s="148">
        <v>380.64319</v>
      </c>
      <c r="M1030" s="148">
        <v>432.25355999999999</v>
      </c>
      <c r="N1030" s="148">
        <v>-51.610370000000003</v>
      </c>
      <c r="O1030" s="148">
        <v>-11.939836886479316</v>
      </c>
      <c r="P1030" s="148">
        <v>193.80291</v>
      </c>
      <c r="Q1030" s="148">
        <v>186.84028000000001</v>
      </c>
      <c r="R1030" s="148">
        <v>96.407365606636148</v>
      </c>
    </row>
    <row r="1031" spans="2:18" ht="15.75" hidden="1" thickBot="1" x14ac:dyDescent="0.3">
      <c r="B1031" s="726" t="s">
        <v>720</v>
      </c>
      <c r="C1031" s="722" t="s">
        <v>134</v>
      </c>
      <c r="D1031" t="s">
        <v>135</v>
      </c>
      <c r="E1031" s="729"/>
      <c r="F1031" s="729"/>
      <c r="G1031" s="729"/>
      <c r="H1031" s="729"/>
      <c r="I1031" s="729"/>
      <c r="J1031" s="729"/>
      <c r="K1031" s="729"/>
      <c r="L1031" s="147">
        <v>4</v>
      </c>
      <c r="M1031" s="729"/>
      <c r="N1031" s="147">
        <v>4</v>
      </c>
      <c r="O1031" s="147">
        <v>0</v>
      </c>
      <c r="P1031" s="147">
        <v>4</v>
      </c>
      <c r="Q1031" s="147">
        <v>0</v>
      </c>
      <c r="R1031" s="147">
        <v>0</v>
      </c>
    </row>
    <row r="1032" spans="2:18" ht="15.75" hidden="1" thickBot="1" x14ac:dyDescent="0.3">
      <c r="B1032" s="726" t="s">
        <v>720</v>
      </c>
      <c r="C1032" s="722" t="s">
        <v>61</v>
      </c>
      <c r="D1032" t="s">
        <v>62</v>
      </c>
      <c r="E1032" s="148">
        <v>4.9832999999999998</v>
      </c>
      <c r="F1032" s="148">
        <v>5.6127200000000004</v>
      </c>
      <c r="G1032" s="148">
        <v>-0.62941999999999998</v>
      </c>
      <c r="H1032" s="148">
        <v>-11.214170669479326</v>
      </c>
      <c r="I1032" s="728"/>
      <c r="J1032" s="148">
        <v>4.9832999999999998</v>
      </c>
      <c r="K1032" s="148">
        <v>0</v>
      </c>
      <c r="L1032" s="148">
        <v>58.612780000000001</v>
      </c>
      <c r="M1032" s="148">
        <v>66.999300000000005</v>
      </c>
      <c r="N1032" s="148">
        <v>-8.3865200000000009</v>
      </c>
      <c r="O1032" s="148">
        <v>-12.517324807871127</v>
      </c>
      <c r="P1032" s="148">
        <v>28.712869999999999</v>
      </c>
      <c r="Q1032" s="148">
        <v>29.899909999999998</v>
      </c>
      <c r="R1032" s="148">
        <v>104.13417397842849</v>
      </c>
    </row>
    <row r="1033" spans="2:18" ht="15.75" hidden="1" thickBot="1" x14ac:dyDescent="0.3">
      <c r="B1033" s="726" t="s">
        <v>720</v>
      </c>
      <c r="C1033" s="722" t="s">
        <v>63</v>
      </c>
      <c r="D1033" t="s">
        <v>64</v>
      </c>
      <c r="E1033" s="147">
        <v>19.359940000000002</v>
      </c>
      <c r="F1033" s="147">
        <v>21.835290000000001</v>
      </c>
      <c r="G1033" s="147">
        <v>-2.4753500000000002</v>
      </c>
      <c r="H1033" s="147">
        <v>-11.336464961079061</v>
      </c>
      <c r="I1033" s="729"/>
      <c r="J1033" s="147">
        <v>19.359940000000002</v>
      </c>
      <c r="K1033" s="147">
        <v>0</v>
      </c>
      <c r="L1033" s="147">
        <v>228.10751999999999</v>
      </c>
      <c r="M1033" s="147">
        <v>260.64886000000001</v>
      </c>
      <c r="N1033" s="147">
        <v>-32.541339999999998</v>
      </c>
      <c r="O1033" s="147">
        <v>-12.484742883586753</v>
      </c>
      <c r="P1033" s="147">
        <v>111.94793</v>
      </c>
      <c r="Q1033" s="147">
        <v>116.15958999999999</v>
      </c>
      <c r="R1033" s="147">
        <v>103.76215978267754</v>
      </c>
    </row>
    <row r="1034" spans="2:18" ht="15.75" hidden="1" thickBot="1" x14ac:dyDescent="0.3">
      <c r="B1034" s="726" t="s">
        <v>720</v>
      </c>
      <c r="C1034" s="722" t="s">
        <v>65</v>
      </c>
      <c r="D1034" t="s">
        <v>66</v>
      </c>
      <c r="E1034" s="728"/>
      <c r="F1034" s="148">
        <v>-6.1552300000000004</v>
      </c>
      <c r="G1034" s="148">
        <v>6.1552300000000004</v>
      </c>
      <c r="H1034" s="148">
        <v>100</v>
      </c>
      <c r="I1034" s="728"/>
      <c r="J1034" s="728"/>
      <c r="K1034" s="728"/>
      <c r="L1034" s="148">
        <v>-0.94603999999999999</v>
      </c>
      <c r="M1034" s="148">
        <v>-73.475260000000006</v>
      </c>
      <c r="N1034" s="148">
        <v>72.529219999999995</v>
      </c>
      <c r="O1034" s="148">
        <v>98.712437356465287</v>
      </c>
      <c r="P1034" s="148">
        <v>-0.51473999999999998</v>
      </c>
      <c r="Q1034" s="148">
        <v>-0.43130000000000002</v>
      </c>
      <c r="R1034" s="148">
        <v>-83.789874499747441</v>
      </c>
    </row>
    <row r="1035" spans="2:18" ht="15.75" hidden="1" thickBot="1" x14ac:dyDescent="0.3">
      <c r="B1035" s="726" t="s">
        <v>720</v>
      </c>
      <c r="C1035" s="149" t="s">
        <v>67</v>
      </c>
      <c r="D1035" t="s">
        <v>68</v>
      </c>
      <c r="E1035" s="147">
        <v>50.097430000000003</v>
      </c>
      <c r="F1035" s="147">
        <v>57.503880000000002</v>
      </c>
      <c r="G1035" s="147">
        <v>-7.4064500000000004</v>
      </c>
      <c r="H1035" s="147">
        <v>-12.879913494532891</v>
      </c>
      <c r="I1035" s="729"/>
      <c r="J1035" s="147">
        <v>50.097430000000003</v>
      </c>
      <c r="K1035" s="147">
        <v>0</v>
      </c>
      <c r="L1035" s="147">
        <v>670.41745000000003</v>
      </c>
      <c r="M1035" s="147">
        <v>686.42646000000002</v>
      </c>
      <c r="N1035" s="147">
        <v>-16.00901</v>
      </c>
      <c r="O1035" s="147">
        <v>-2.3322250718598463</v>
      </c>
      <c r="P1035" s="147">
        <v>337.94896999999997</v>
      </c>
      <c r="Q1035" s="147">
        <v>332.46848</v>
      </c>
      <c r="R1035" s="147">
        <v>98.378308417392134</v>
      </c>
    </row>
    <row r="1036" spans="2:18" ht="15.75" hidden="1" thickBot="1" x14ac:dyDescent="0.3">
      <c r="B1036" s="726" t="s">
        <v>720</v>
      </c>
      <c r="C1036" s="722" t="s">
        <v>69</v>
      </c>
      <c r="D1036" t="s">
        <v>70</v>
      </c>
      <c r="E1036" s="728"/>
      <c r="F1036" s="148">
        <v>0</v>
      </c>
      <c r="G1036" s="148">
        <v>0</v>
      </c>
      <c r="H1036" s="148">
        <v>0</v>
      </c>
      <c r="I1036" s="728"/>
      <c r="J1036" s="728"/>
      <c r="K1036" s="728"/>
      <c r="L1036" s="148">
        <v>8.0960000000000001</v>
      </c>
      <c r="M1036" s="148">
        <v>70.2</v>
      </c>
      <c r="N1036" s="148">
        <v>-62.103999999999999</v>
      </c>
      <c r="O1036" s="148">
        <v>-88.467236467236461</v>
      </c>
      <c r="P1036" s="148">
        <v>3.0960000000000001</v>
      </c>
      <c r="Q1036" s="148">
        <v>5</v>
      </c>
      <c r="R1036" s="148">
        <v>161.49870801033592</v>
      </c>
    </row>
    <row r="1037" spans="2:18" ht="15.75" hidden="1" thickBot="1" x14ac:dyDescent="0.3">
      <c r="B1037" s="726" t="s">
        <v>720</v>
      </c>
      <c r="C1037" s="722" t="s">
        <v>139</v>
      </c>
      <c r="D1037" t="s">
        <v>140</v>
      </c>
      <c r="E1037" s="729"/>
      <c r="F1037" s="729"/>
      <c r="G1037" s="729"/>
      <c r="H1037" s="729"/>
      <c r="I1037" s="729"/>
      <c r="J1037" s="729"/>
      <c r="K1037" s="729"/>
      <c r="L1037" s="147">
        <v>0.78500000000000003</v>
      </c>
      <c r="M1037" s="147">
        <v>0.97</v>
      </c>
      <c r="N1037" s="147">
        <v>-0.185</v>
      </c>
      <c r="O1037" s="147">
        <v>-19.072164948453608</v>
      </c>
      <c r="P1037" s="729"/>
      <c r="Q1037" s="147">
        <v>0.78500000000000003</v>
      </c>
      <c r="R1037" s="147">
        <v>0</v>
      </c>
    </row>
    <row r="1038" spans="2:18" ht="15.75" hidden="1" thickBot="1" x14ac:dyDescent="0.3">
      <c r="B1038" s="726" t="s">
        <v>720</v>
      </c>
      <c r="C1038" s="722" t="s">
        <v>101</v>
      </c>
      <c r="D1038" t="s">
        <v>102</v>
      </c>
      <c r="E1038" s="728"/>
      <c r="F1038" s="148">
        <v>0.45</v>
      </c>
      <c r="G1038" s="148">
        <v>-0.45</v>
      </c>
      <c r="H1038" s="148">
        <v>-100</v>
      </c>
      <c r="I1038" s="728"/>
      <c r="J1038" s="728"/>
      <c r="K1038" s="728"/>
      <c r="L1038" s="148">
        <v>55</v>
      </c>
      <c r="M1038" s="148">
        <v>5.4</v>
      </c>
      <c r="N1038" s="148">
        <v>49.6</v>
      </c>
      <c r="O1038" s="148">
        <v>918.51851851851848</v>
      </c>
      <c r="P1038" s="148">
        <v>55</v>
      </c>
      <c r="Q1038" s="148">
        <v>0</v>
      </c>
      <c r="R1038" s="148">
        <v>0</v>
      </c>
    </row>
    <row r="1039" spans="2:18" ht="15.75" hidden="1" thickBot="1" x14ac:dyDescent="0.3">
      <c r="B1039" s="726" t="s">
        <v>720</v>
      </c>
      <c r="C1039" s="722" t="s">
        <v>103</v>
      </c>
      <c r="D1039" t="s">
        <v>104</v>
      </c>
      <c r="E1039" s="729"/>
      <c r="F1039" s="729"/>
      <c r="G1039" s="729"/>
      <c r="H1039" s="729"/>
      <c r="I1039" s="729"/>
      <c r="J1039" s="729"/>
      <c r="K1039" s="729"/>
      <c r="L1039" s="147">
        <v>2.094E-2</v>
      </c>
      <c r="M1039" s="729"/>
      <c r="N1039" s="147">
        <v>2.094E-2</v>
      </c>
      <c r="O1039" s="147">
        <v>0</v>
      </c>
      <c r="P1039" s="147">
        <v>2.094E-2</v>
      </c>
      <c r="Q1039" s="147">
        <v>0</v>
      </c>
      <c r="R1039" s="147">
        <v>0</v>
      </c>
    </row>
    <row r="1040" spans="2:18" ht="15.75" hidden="1" thickBot="1" x14ac:dyDescent="0.3">
      <c r="B1040" s="726" t="s">
        <v>720</v>
      </c>
      <c r="C1040" s="722" t="s">
        <v>109</v>
      </c>
      <c r="D1040" t="s">
        <v>110</v>
      </c>
      <c r="E1040" s="728"/>
      <c r="F1040" s="728"/>
      <c r="G1040" s="728"/>
      <c r="H1040" s="728"/>
      <c r="I1040" s="728"/>
      <c r="J1040" s="728"/>
      <c r="K1040" s="728"/>
      <c r="L1040" s="148">
        <v>0.20254</v>
      </c>
      <c r="M1040" s="148">
        <v>3.5000000000000003E-2</v>
      </c>
      <c r="N1040" s="148">
        <v>0.16753999999999999</v>
      </c>
      <c r="O1040" s="148">
        <v>478.68571428571431</v>
      </c>
      <c r="P1040" s="148">
        <v>2.3619999999999999E-2</v>
      </c>
      <c r="Q1040" s="148">
        <v>0.17892</v>
      </c>
      <c r="R1040" s="148">
        <v>757.49364944961894</v>
      </c>
    </row>
    <row r="1041" spans="2:18" ht="15.75" hidden="1" thickBot="1" x14ac:dyDescent="0.3">
      <c r="B1041" s="726" t="s">
        <v>720</v>
      </c>
      <c r="C1041" s="722" t="s">
        <v>73</v>
      </c>
      <c r="D1041" t="s">
        <v>74</v>
      </c>
      <c r="E1041" s="147">
        <v>0.16103000000000001</v>
      </c>
      <c r="F1041" s="147">
        <v>0.01</v>
      </c>
      <c r="G1041" s="147">
        <v>0.15103</v>
      </c>
      <c r="H1041" s="147">
        <v>1510.3</v>
      </c>
      <c r="I1041" s="729"/>
      <c r="J1041" s="147">
        <v>0.16103000000000001</v>
      </c>
      <c r="K1041" s="147">
        <v>0</v>
      </c>
      <c r="L1041" s="147">
        <v>0.22728999999999999</v>
      </c>
      <c r="M1041" s="147">
        <v>0.37</v>
      </c>
      <c r="N1041" s="147">
        <v>-0.14271</v>
      </c>
      <c r="O1041" s="147">
        <v>-38.570270270270271</v>
      </c>
      <c r="P1041" s="147">
        <v>5.1369999999999999E-2</v>
      </c>
      <c r="Q1041" s="147">
        <v>0.17591999999999999</v>
      </c>
      <c r="R1041" s="147">
        <v>342.45668678216856</v>
      </c>
    </row>
    <row r="1042" spans="2:18" ht="15.75" hidden="1" thickBot="1" x14ac:dyDescent="0.3">
      <c r="B1042" s="726" t="s">
        <v>720</v>
      </c>
      <c r="C1042" s="722" t="s">
        <v>113</v>
      </c>
      <c r="D1042" t="s">
        <v>114</v>
      </c>
      <c r="E1042" s="148">
        <v>2.215E-2</v>
      </c>
      <c r="F1042" s="728"/>
      <c r="G1042" s="148">
        <v>2.215E-2</v>
      </c>
      <c r="H1042" s="148">
        <v>0</v>
      </c>
      <c r="I1042" s="728"/>
      <c r="J1042" s="148">
        <v>2.215E-2</v>
      </c>
      <c r="K1042" s="148">
        <v>0</v>
      </c>
      <c r="L1042" s="148">
        <v>0.30348000000000003</v>
      </c>
      <c r="M1042" s="728"/>
      <c r="N1042" s="148">
        <v>0.30348000000000003</v>
      </c>
      <c r="O1042" s="148">
        <v>0</v>
      </c>
      <c r="P1042" s="148">
        <v>0.18156</v>
      </c>
      <c r="Q1042" s="148">
        <v>0.12192</v>
      </c>
      <c r="R1042" s="148">
        <v>67.151354923992074</v>
      </c>
    </row>
    <row r="1043" spans="2:18" ht="15.75" hidden="1" thickBot="1" x14ac:dyDescent="0.3">
      <c r="B1043" s="726" t="s">
        <v>720</v>
      </c>
      <c r="C1043" s="722" t="s">
        <v>149</v>
      </c>
      <c r="D1043" t="s">
        <v>150</v>
      </c>
      <c r="E1043" s="729"/>
      <c r="F1043" s="729"/>
      <c r="G1043" s="729"/>
      <c r="H1043" s="729"/>
      <c r="I1043" s="729"/>
      <c r="J1043" s="729"/>
      <c r="K1043" s="729"/>
      <c r="L1043" s="147">
        <v>2.79</v>
      </c>
      <c r="M1043" s="729"/>
      <c r="N1043" s="147">
        <v>2.79</v>
      </c>
      <c r="O1043" s="147">
        <v>0</v>
      </c>
      <c r="P1043" s="147">
        <v>2.79</v>
      </c>
      <c r="Q1043" s="147">
        <v>0</v>
      </c>
      <c r="R1043" s="147">
        <v>0</v>
      </c>
    </row>
    <row r="1044" spans="2:18" ht="15.75" hidden="1" thickBot="1" x14ac:dyDescent="0.3">
      <c r="B1044" s="726" t="s">
        <v>720</v>
      </c>
      <c r="C1044" s="722" t="s">
        <v>649</v>
      </c>
      <c r="D1044" t="s">
        <v>650</v>
      </c>
      <c r="E1044" s="728"/>
      <c r="F1044" s="728"/>
      <c r="G1044" s="728"/>
      <c r="H1044" s="728"/>
      <c r="I1044" s="728"/>
      <c r="J1044" s="728"/>
      <c r="K1044" s="728"/>
      <c r="L1044" s="148">
        <v>41.387439999999998</v>
      </c>
      <c r="M1044" s="148">
        <v>41</v>
      </c>
      <c r="N1044" s="148">
        <v>0.38744000000000001</v>
      </c>
      <c r="O1044" s="148">
        <v>0.94497560975609751</v>
      </c>
      <c r="P1044" s="148">
        <v>41.387439999999998</v>
      </c>
      <c r="Q1044" s="148">
        <v>0</v>
      </c>
      <c r="R1044" s="148">
        <v>0</v>
      </c>
    </row>
    <row r="1045" spans="2:18" ht="15.75" hidden="1" thickBot="1" x14ac:dyDescent="0.3">
      <c r="B1045" s="726" t="s">
        <v>720</v>
      </c>
      <c r="C1045" s="722" t="s">
        <v>75</v>
      </c>
      <c r="D1045" t="s">
        <v>76</v>
      </c>
      <c r="E1045" s="147">
        <v>0.17762</v>
      </c>
      <c r="F1045" s="147">
        <v>7.4999999999999997E-2</v>
      </c>
      <c r="G1045" s="147">
        <v>0.10262</v>
      </c>
      <c r="H1045" s="147">
        <v>136.82666666666665</v>
      </c>
      <c r="I1045" s="729"/>
      <c r="J1045" s="147">
        <v>0.17762</v>
      </c>
      <c r="K1045" s="147">
        <v>0</v>
      </c>
      <c r="L1045" s="147">
        <v>1.65879</v>
      </c>
      <c r="M1045" s="147">
        <v>0.9</v>
      </c>
      <c r="N1045" s="147">
        <v>0.75878999999999996</v>
      </c>
      <c r="O1045" s="147">
        <v>84.31</v>
      </c>
      <c r="P1045" s="147">
        <v>0.66683000000000003</v>
      </c>
      <c r="Q1045" s="147">
        <v>0.99195999999999995</v>
      </c>
      <c r="R1045" s="147">
        <v>148.75755439917219</v>
      </c>
    </row>
    <row r="1046" spans="2:18" ht="15.75" hidden="1" thickBot="1" x14ac:dyDescent="0.3">
      <c r="B1046" s="726" t="s">
        <v>720</v>
      </c>
      <c r="C1046" s="722" t="s">
        <v>77</v>
      </c>
      <c r="D1046" t="s">
        <v>78</v>
      </c>
      <c r="E1046" s="148">
        <v>1.0575000000000001</v>
      </c>
      <c r="F1046" s="728"/>
      <c r="G1046" s="148">
        <v>1.0575000000000001</v>
      </c>
      <c r="H1046" s="148">
        <v>0</v>
      </c>
      <c r="I1046" s="728"/>
      <c r="J1046" s="148">
        <v>1.0575000000000001</v>
      </c>
      <c r="K1046" s="148">
        <v>0</v>
      </c>
      <c r="L1046" s="148">
        <v>6.5285099999999998</v>
      </c>
      <c r="M1046" s="148">
        <v>5.5</v>
      </c>
      <c r="N1046" s="148">
        <v>1.02851</v>
      </c>
      <c r="O1046" s="148">
        <v>18.700181818181818</v>
      </c>
      <c r="P1046" s="148">
        <v>0.3785</v>
      </c>
      <c r="Q1046" s="148">
        <v>6.15001</v>
      </c>
      <c r="R1046" s="148">
        <v>1624.8375165125494</v>
      </c>
    </row>
    <row r="1047" spans="2:18" ht="15.75" hidden="1" thickBot="1" x14ac:dyDescent="0.3">
      <c r="B1047" s="726" t="s">
        <v>720</v>
      </c>
      <c r="C1047" s="722" t="s">
        <v>79</v>
      </c>
      <c r="D1047" t="s">
        <v>80</v>
      </c>
      <c r="E1047" s="729"/>
      <c r="F1047" s="729"/>
      <c r="G1047" s="729"/>
      <c r="H1047" s="729"/>
      <c r="I1047" s="729"/>
      <c r="J1047" s="729"/>
      <c r="K1047" s="729"/>
      <c r="L1047" s="147">
        <v>1.58853</v>
      </c>
      <c r="M1047" s="729"/>
      <c r="N1047" s="147">
        <v>1.58853</v>
      </c>
      <c r="O1047" s="147">
        <v>0</v>
      </c>
      <c r="P1047" s="147">
        <v>0.89122000000000001</v>
      </c>
      <c r="Q1047" s="147">
        <v>0.69730999999999999</v>
      </c>
      <c r="R1047" s="147">
        <v>78.242184870177965</v>
      </c>
    </row>
    <row r="1048" spans="2:18" ht="15.75" hidden="1" thickBot="1" x14ac:dyDescent="0.3">
      <c r="B1048" s="726" t="s">
        <v>720</v>
      </c>
      <c r="C1048" s="722" t="s">
        <v>81</v>
      </c>
      <c r="D1048" t="s">
        <v>82</v>
      </c>
      <c r="E1048" s="148">
        <v>0.2</v>
      </c>
      <c r="F1048" s="148">
        <v>0.2</v>
      </c>
      <c r="G1048" s="148">
        <v>0</v>
      </c>
      <c r="H1048" s="148">
        <v>0</v>
      </c>
      <c r="I1048" s="728"/>
      <c r="J1048" s="148">
        <v>0.2</v>
      </c>
      <c r="K1048" s="148">
        <v>0</v>
      </c>
      <c r="L1048" s="148">
        <v>0.2</v>
      </c>
      <c r="M1048" s="148">
        <v>0.2</v>
      </c>
      <c r="N1048" s="148">
        <v>0</v>
      </c>
      <c r="O1048" s="148">
        <v>0</v>
      </c>
      <c r="P1048" s="148">
        <v>0</v>
      </c>
      <c r="Q1048" s="148">
        <v>0.2</v>
      </c>
      <c r="R1048" s="148">
        <v>0</v>
      </c>
    </row>
    <row r="1049" spans="2:18" ht="15.75" hidden="1" thickBot="1" x14ac:dyDescent="0.3">
      <c r="B1049" s="726" t="s">
        <v>720</v>
      </c>
      <c r="C1049" s="722" t="s">
        <v>685</v>
      </c>
      <c r="D1049" t="s">
        <v>686</v>
      </c>
      <c r="E1049" s="729"/>
      <c r="F1049" s="729"/>
      <c r="G1049" s="729"/>
      <c r="H1049" s="729"/>
      <c r="I1049" s="729"/>
      <c r="J1049" s="729"/>
      <c r="K1049" s="729"/>
      <c r="L1049" s="147">
        <v>0</v>
      </c>
      <c r="M1049" s="729"/>
      <c r="N1049" s="147">
        <v>0</v>
      </c>
      <c r="O1049" s="147">
        <v>0</v>
      </c>
      <c r="P1049" s="729"/>
      <c r="Q1049" s="147">
        <v>0</v>
      </c>
      <c r="R1049" s="147">
        <v>0</v>
      </c>
    </row>
    <row r="1050" spans="2:18" ht="15.75" hidden="1" thickBot="1" x14ac:dyDescent="0.3">
      <c r="B1050" s="726" t="s">
        <v>720</v>
      </c>
      <c r="C1050" s="149" t="s">
        <v>85</v>
      </c>
      <c r="D1050" t="s">
        <v>86</v>
      </c>
      <c r="E1050" s="148">
        <v>1.6183000000000001</v>
      </c>
      <c r="F1050" s="148">
        <v>0.73499999999999999</v>
      </c>
      <c r="G1050" s="148">
        <v>0.88329999999999997</v>
      </c>
      <c r="H1050" s="148">
        <v>120.17687074829932</v>
      </c>
      <c r="I1050" s="728"/>
      <c r="J1050" s="148">
        <v>1.6183000000000001</v>
      </c>
      <c r="K1050" s="148">
        <v>0</v>
      </c>
      <c r="L1050" s="148">
        <v>118.78852000000001</v>
      </c>
      <c r="M1050" s="148">
        <v>124.575</v>
      </c>
      <c r="N1050" s="148">
        <v>-5.7864800000000001</v>
      </c>
      <c r="O1050" s="148">
        <v>-4.6449769215332131</v>
      </c>
      <c r="P1050" s="148">
        <v>104.48748000000001</v>
      </c>
      <c r="Q1050" s="148">
        <v>14.30104</v>
      </c>
      <c r="R1050" s="148">
        <v>13.686845543600056</v>
      </c>
    </row>
    <row r="1051" spans="2:18" ht="15.75" hidden="1" thickBot="1" x14ac:dyDescent="0.3">
      <c r="B1051" s="726" t="s">
        <v>720</v>
      </c>
      <c r="C1051" s="144" t="s">
        <v>87</v>
      </c>
      <c r="D1051" t="s">
        <v>87</v>
      </c>
      <c r="E1051" s="147">
        <v>51.715730000000001</v>
      </c>
      <c r="F1051" s="147">
        <v>58.238880000000002</v>
      </c>
      <c r="G1051" s="147">
        <v>-6.5231500000000002</v>
      </c>
      <c r="H1051" s="147">
        <v>-11.20067899657411</v>
      </c>
      <c r="I1051" s="729"/>
      <c r="J1051" s="147">
        <v>51.715730000000001</v>
      </c>
      <c r="K1051" s="147">
        <v>0</v>
      </c>
      <c r="L1051" s="147">
        <v>789.20596999999998</v>
      </c>
      <c r="M1051" s="147">
        <v>811.00145999999995</v>
      </c>
      <c r="N1051" s="147">
        <v>-21.795490000000001</v>
      </c>
      <c r="O1051" s="147">
        <v>-2.6874785157600085</v>
      </c>
      <c r="P1051" s="147">
        <v>442.43644999999998</v>
      </c>
      <c r="Q1051" s="147">
        <v>346.76952</v>
      </c>
      <c r="R1051" s="147">
        <v>78.377249433223682</v>
      </c>
    </row>
    <row r="1052" spans="2:18" ht="15.75" hidden="1" thickBot="1" x14ac:dyDescent="0.3">
      <c r="B1052" s="726" t="s">
        <v>721</v>
      </c>
      <c r="C1052" s="722" t="s">
        <v>59</v>
      </c>
      <c r="D1052" t="s">
        <v>60</v>
      </c>
      <c r="E1052" s="148">
        <v>21.352900000000002</v>
      </c>
      <c r="F1052" s="148">
        <v>29.74211</v>
      </c>
      <c r="G1052" s="148">
        <v>-8.3892100000000003</v>
      </c>
      <c r="H1052" s="148">
        <v>-28.206505859873424</v>
      </c>
      <c r="I1052" s="728"/>
      <c r="J1052" s="148">
        <v>21.352900000000002</v>
      </c>
      <c r="K1052" s="148">
        <v>0</v>
      </c>
      <c r="L1052" s="148">
        <v>351.75869999999998</v>
      </c>
      <c r="M1052" s="148">
        <v>355.03294</v>
      </c>
      <c r="N1052" s="148">
        <v>-3.2742399999999998</v>
      </c>
      <c r="O1052" s="148">
        <v>-0.92223555369256727</v>
      </c>
      <c r="P1052" s="148">
        <v>190.51114999999999</v>
      </c>
      <c r="Q1052" s="148">
        <v>161.24754999999999</v>
      </c>
      <c r="R1052" s="148">
        <v>84.639429240755732</v>
      </c>
    </row>
    <row r="1053" spans="2:18" ht="15.75" hidden="1" thickBot="1" x14ac:dyDescent="0.3">
      <c r="B1053" s="726" t="s">
        <v>721</v>
      </c>
      <c r="C1053" s="722" t="s">
        <v>134</v>
      </c>
      <c r="D1053" t="s">
        <v>135</v>
      </c>
      <c r="E1053" s="729"/>
      <c r="F1053" s="729"/>
      <c r="G1053" s="729"/>
      <c r="H1053" s="729"/>
      <c r="I1053" s="729"/>
      <c r="J1053" s="729"/>
      <c r="K1053" s="729"/>
      <c r="L1053" s="147">
        <v>0.15815000000000001</v>
      </c>
      <c r="M1053" s="729"/>
      <c r="N1053" s="147">
        <v>0.15815000000000001</v>
      </c>
      <c r="O1053" s="147">
        <v>0</v>
      </c>
      <c r="P1053" s="729"/>
      <c r="Q1053" s="147">
        <v>0.15815000000000001</v>
      </c>
      <c r="R1053" s="147">
        <v>0</v>
      </c>
    </row>
    <row r="1054" spans="2:18" ht="15.75" hidden="1" thickBot="1" x14ac:dyDescent="0.3">
      <c r="B1054" s="726" t="s">
        <v>721</v>
      </c>
      <c r="C1054" s="722" t="s">
        <v>61</v>
      </c>
      <c r="D1054" t="s">
        <v>62</v>
      </c>
      <c r="E1054" s="148">
        <v>4.62568</v>
      </c>
      <c r="F1054" s="148">
        <v>4.6100300000000001</v>
      </c>
      <c r="G1054" s="148">
        <v>1.5650000000000001E-2</v>
      </c>
      <c r="H1054" s="148">
        <v>0.33947718344566086</v>
      </c>
      <c r="I1054" s="728"/>
      <c r="J1054" s="148">
        <v>4.62568</v>
      </c>
      <c r="K1054" s="148">
        <v>0</v>
      </c>
      <c r="L1054" s="148">
        <v>55.220109999999998</v>
      </c>
      <c r="M1054" s="148">
        <v>55.030140000000003</v>
      </c>
      <c r="N1054" s="148">
        <v>0.18997</v>
      </c>
      <c r="O1054" s="148">
        <v>0.34521082446819146</v>
      </c>
      <c r="P1054" s="148">
        <v>27.465959999999999</v>
      </c>
      <c r="Q1054" s="148">
        <v>27.754149999999999</v>
      </c>
      <c r="R1054" s="148">
        <v>101.04926243248006</v>
      </c>
    </row>
    <row r="1055" spans="2:18" ht="15.75" hidden="1" thickBot="1" x14ac:dyDescent="0.3">
      <c r="B1055" s="726" t="s">
        <v>721</v>
      </c>
      <c r="C1055" s="722" t="s">
        <v>63</v>
      </c>
      <c r="D1055" t="s">
        <v>64</v>
      </c>
      <c r="E1055" s="147">
        <v>17.97052</v>
      </c>
      <c r="F1055" s="147">
        <v>17.93449</v>
      </c>
      <c r="G1055" s="147">
        <v>3.603E-2</v>
      </c>
      <c r="H1055" s="147">
        <v>0.20089782313296894</v>
      </c>
      <c r="I1055" s="729"/>
      <c r="J1055" s="147">
        <v>17.97052</v>
      </c>
      <c r="K1055" s="147">
        <v>0</v>
      </c>
      <c r="L1055" s="147">
        <v>214.52654000000001</v>
      </c>
      <c r="M1055" s="147">
        <v>214.08484000000001</v>
      </c>
      <c r="N1055" s="147">
        <v>0.44169999999999998</v>
      </c>
      <c r="O1055" s="147">
        <v>0.2063200738548325</v>
      </c>
      <c r="P1055" s="147">
        <v>106.7034</v>
      </c>
      <c r="Q1055" s="147">
        <v>107.82314</v>
      </c>
      <c r="R1055" s="147">
        <v>101.04939486464349</v>
      </c>
    </row>
    <row r="1056" spans="2:18" ht="15.75" hidden="1" thickBot="1" x14ac:dyDescent="0.3">
      <c r="B1056" s="726" t="s">
        <v>721</v>
      </c>
      <c r="C1056" s="722" t="s">
        <v>65</v>
      </c>
      <c r="D1056" t="s">
        <v>66</v>
      </c>
      <c r="E1056" s="148">
        <v>-6.4993999999999996</v>
      </c>
      <c r="F1056" s="148">
        <v>-14.83123</v>
      </c>
      <c r="G1056" s="148">
        <v>8.3318300000000001</v>
      </c>
      <c r="H1056" s="148">
        <v>56.17760630777083</v>
      </c>
      <c r="I1056" s="728"/>
      <c r="J1056" s="148">
        <v>-6.4993999999999996</v>
      </c>
      <c r="K1056" s="148">
        <v>0</v>
      </c>
      <c r="L1056" s="148">
        <v>-155.91401999999999</v>
      </c>
      <c r="M1056" s="148">
        <v>-177.04107999999999</v>
      </c>
      <c r="N1056" s="148">
        <v>21.12706</v>
      </c>
      <c r="O1056" s="148">
        <v>11.93342245765785</v>
      </c>
      <c r="P1056" s="148">
        <v>-83.874880000000005</v>
      </c>
      <c r="Q1056" s="148">
        <v>-72.039140000000003</v>
      </c>
      <c r="R1056" s="148">
        <v>-85.888814386381242</v>
      </c>
    </row>
    <row r="1057" spans="2:18" ht="15.75" hidden="1" thickBot="1" x14ac:dyDescent="0.3">
      <c r="B1057" s="726" t="s">
        <v>721</v>
      </c>
      <c r="C1057" s="149" t="s">
        <v>67</v>
      </c>
      <c r="D1057" t="s">
        <v>68</v>
      </c>
      <c r="E1057" s="147">
        <v>37.4497</v>
      </c>
      <c r="F1057" s="147">
        <v>37.455399999999997</v>
      </c>
      <c r="G1057" s="147">
        <v>-5.7000000000000002E-3</v>
      </c>
      <c r="H1057" s="147">
        <v>-1.5218099392877929E-2</v>
      </c>
      <c r="I1057" s="729"/>
      <c r="J1057" s="147">
        <v>37.4497</v>
      </c>
      <c r="K1057" s="147">
        <v>0</v>
      </c>
      <c r="L1057" s="147">
        <v>465.74948000000001</v>
      </c>
      <c r="M1057" s="147">
        <v>447.10683999999998</v>
      </c>
      <c r="N1057" s="147">
        <v>18.64264</v>
      </c>
      <c r="O1057" s="147">
        <v>4.1696163717826371</v>
      </c>
      <c r="P1057" s="147">
        <v>240.80563000000001</v>
      </c>
      <c r="Q1057" s="147">
        <v>224.94385</v>
      </c>
      <c r="R1057" s="147">
        <v>93.413036065643482</v>
      </c>
    </row>
    <row r="1058" spans="2:18" ht="15.75" hidden="1" thickBot="1" x14ac:dyDescent="0.3">
      <c r="B1058" s="726" t="s">
        <v>721</v>
      </c>
      <c r="C1058" s="722" t="s">
        <v>69</v>
      </c>
      <c r="D1058" t="s">
        <v>70</v>
      </c>
      <c r="E1058" s="728"/>
      <c r="F1058" s="148">
        <v>1.4279999999999999</v>
      </c>
      <c r="G1058" s="148">
        <v>-1.4279999999999999</v>
      </c>
      <c r="H1058" s="148">
        <v>-100</v>
      </c>
      <c r="I1058" s="728"/>
      <c r="J1058" s="728"/>
      <c r="K1058" s="728"/>
      <c r="L1058" s="148">
        <v>4.42</v>
      </c>
      <c r="M1058" s="148">
        <v>5.7119999999999997</v>
      </c>
      <c r="N1058" s="148">
        <v>-1.292</v>
      </c>
      <c r="O1058" s="148">
        <v>-22.61904761904762</v>
      </c>
      <c r="P1058" s="148">
        <v>2.625</v>
      </c>
      <c r="Q1058" s="148">
        <v>1.7949999999999999</v>
      </c>
      <c r="R1058" s="148">
        <v>68.38095238095238</v>
      </c>
    </row>
    <row r="1059" spans="2:18" ht="15.75" hidden="1" thickBot="1" x14ac:dyDescent="0.3">
      <c r="B1059" s="726" t="s">
        <v>721</v>
      </c>
      <c r="C1059" s="722" t="s">
        <v>190</v>
      </c>
      <c r="D1059" t="s">
        <v>191</v>
      </c>
      <c r="E1059" s="729"/>
      <c r="F1059" s="729"/>
      <c r="G1059" s="729"/>
      <c r="H1059" s="729"/>
      <c r="I1059" s="729"/>
      <c r="J1059" s="729"/>
      <c r="K1059" s="729"/>
      <c r="L1059" s="147">
        <v>1.057E-2</v>
      </c>
      <c r="M1059" s="729"/>
      <c r="N1059" s="147">
        <v>1.057E-2</v>
      </c>
      <c r="O1059" s="147">
        <v>0</v>
      </c>
      <c r="P1059" s="729"/>
      <c r="Q1059" s="147">
        <v>1.057E-2</v>
      </c>
      <c r="R1059" s="147">
        <v>0</v>
      </c>
    </row>
    <row r="1060" spans="2:18" ht="15.75" hidden="1" thickBot="1" x14ac:dyDescent="0.3">
      <c r="B1060" s="726" t="s">
        <v>721</v>
      </c>
      <c r="C1060" s="722" t="s">
        <v>139</v>
      </c>
      <c r="D1060" t="s">
        <v>140</v>
      </c>
      <c r="E1060" s="148">
        <v>0.21</v>
      </c>
      <c r="F1060" s="148">
        <v>0.18225</v>
      </c>
      <c r="G1060" s="148">
        <v>2.775E-2</v>
      </c>
      <c r="H1060" s="148">
        <v>15.22633744855967</v>
      </c>
      <c r="I1060" s="728"/>
      <c r="J1060" s="148">
        <v>0.21</v>
      </c>
      <c r="K1060" s="148">
        <v>0</v>
      </c>
      <c r="L1060" s="148">
        <v>0.21</v>
      </c>
      <c r="M1060" s="148">
        <v>0.72899999999999998</v>
      </c>
      <c r="N1060" s="148">
        <v>-0.51900000000000002</v>
      </c>
      <c r="O1060" s="148">
        <v>-71.193415637860085</v>
      </c>
      <c r="P1060" s="728"/>
      <c r="Q1060" s="148">
        <v>0.21</v>
      </c>
      <c r="R1060" s="148">
        <v>0</v>
      </c>
    </row>
    <row r="1061" spans="2:18" ht="15.75" hidden="1" thickBot="1" x14ac:dyDescent="0.3">
      <c r="B1061" s="726" t="s">
        <v>721</v>
      </c>
      <c r="C1061" s="722" t="s">
        <v>101</v>
      </c>
      <c r="D1061" t="s">
        <v>102</v>
      </c>
      <c r="E1061" s="729"/>
      <c r="F1061" s="729"/>
      <c r="G1061" s="729"/>
      <c r="H1061" s="729"/>
      <c r="I1061" s="729"/>
      <c r="J1061" s="729"/>
      <c r="K1061" s="729"/>
      <c r="L1061" s="147">
        <v>0</v>
      </c>
      <c r="M1061" s="729"/>
      <c r="N1061" s="147">
        <v>0</v>
      </c>
      <c r="O1061" s="147">
        <v>0</v>
      </c>
      <c r="P1061" s="147">
        <v>0</v>
      </c>
      <c r="Q1061" s="147">
        <v>0</v>
      </c>
      <c r="R1061" s="147">
        <v>0</v>
      </c>
    </row>
    <row r="1062" spans="2:18" ht="15.75" hidden="1" thickBot="1" x14ac:dyDescent="0.3">
      <c r="B1062" s="726" t="s">
        <v>721</v>
      </c>
      <c r="C1062" s="722" t="s">
        <v>75</v>
      </c>
      <c r="D1062" t="s">
        <v>76</v>
      </c>
      <c r="E1062" s="148">
        <v>1</v>
      </c>
      <c r="F1062" s="148">
        <v>1.05</v>
      </c>
      <c r="G1062" s="148">
        <v>-0.05</v>
      </c>
      <c r="H1062" s="148">
        <v>-4.7619047619047619</v>
      </c>
      <c r="I1062" s="728"/>
      <c r="J1062" s="148">
        <v>1</v>
      </c>
      <c r="K1062" s="148">
        <v>0</v>
      </c>
      <c r="L1062" s="148">
        <v>1.37635</v>
      </c>
      <c r="M1062" s="148">
        <v>4.2</v>
      </c>
      <c r="N1062" s="148">
        <v>-2.8236500000000002</v>
      </c>
      <c r="O1062" s="148">
        <v>-67.229761904761901</v>
      </c>
      <c r="P1062" s="148">
        <v>0.39423000000000002</v>
      </c>
      <c r="Q1062" s="148">
        <v>0.98211999999999999</v>
      </c>
      <c r="R1062" s="148">
        <v>249.12360804606448</v>
      </c>
    </row>
    <row r="1063" spans="2:18" ht="15.75" hidden="1" thickBot="1" x14ac:dyDescent="0.3">
      <c r="B1063" s="726" t="s">
        <v>721</v>
      </c>
      <c r="C1063" s="722" t="s">
        <v>77</v>
      </c>
      <c r="D1063" t="s">
        <v>78</v>
      </c>
      <c r="E1063" s="729"/>
      <c r="F1063" s="147">
        <v>2.4</v>
      </c>
      <c r="G1063" s="147">
        <v>-2.4</v>
      </c>
      <c r="H1063" s="147">
        <v>-100</v>
      </c>
      <c r="I1063" s="729"/>
      <c r="J1063" s="729"/>
      <c r="K1063" s="729"/>
      <c r="L1063" s="147">
        <v>2.8563000000000001</v>
      </c>
      <c r="M1063" s="147">
        <v>9.6</v>
      </c>
      <c r="N1063" s="147">
        <v>-6.7436999999999996</v>
      </c>
      <c r="O1063" s="147">
        <v>-70.246875000000003</v>
      </c>
      <c r="P1063" s="147">
        <v>1.4307799999999999</v>
      </c>
      <c r="Q1063" s="147">
        <v>1.4255199999999999</v>
      </c>
      <c r="R1063" s="147">
        <v>99.632368358517738</v>
      </c>
    </row>
    <row r="1064" spans="2:18" ht="15.75" hidden="1" thickBot="1" x14ac:dyDescent="0.3">
      <c r="B1064" s="726" t="s">
        <v>721</v>
      </c>
      <c r="C1064" s="149" t="s">
        <v>85</v>
      </c>
      <c r="D1064" t="s">
        <v>86</v>
      </c>
      <c r="E1064" s="148">
        <v>1.21</v>
      </c>
      <c r="F1064" s="148">
        <v>5.0602499999999999</v>
      </c>
      <c r="G1064" s="148">
        <v>-3.85025</v>
      </c>
      <c r="H1064" s="148">
        <v>-76.088137937848927</v>
      </c>
      <c r="I1064" s="728"/>
      <c r="J1064" s="148">
        <v>1.21</v>
      </c>
      <c r="K1064" s="148">
        <v>0</v>
      </c>
      <c r="L1064" s="148">
        <v>8.8732199999999999</v>
      </c>
      <c r="M1064" s="148">
        <v>20.241</v>
      </c>
      <c r="N1064" s="148">
        <v>-11.36778</v>
      </c>
      <c r="O1064" s="148">
        <v>-56.162146139024749</v>
      </c>
      <c r="P1064" s="148">
        <v>4.4500099999999998</v>
      </c>
      <c r="Q1064" s="148">
        <v>4.4232100000000001</v>
      </c>
      <c r="R1064" s="148">
        <v>99.397754162350196</v>
      </c>
    </row>
    <row r="1065" spans="2:18" ht="15.75" hidden="1" thickBot="1" x14ac:dyDescent="0.3">
      <c r="B1065" s="726" t="s">
        <v>721</v>
      </c>
      <c r="C1065" s="144" t="s">
        <v>87</v>
      </c>
      <c r="D1065" t="s">
        <v>87</v>
      </c>
      <c r="E1065" s="147">
        <v>38.659700000000001</v>
      </c>
      <c r="F1065" s="147">
        <v>42.515650000000001</v>
      </c>
      <c r="G1065" s="147">
        <v>-3.85595</v>
      </c>
      <c r="H1065" s="147">
        <v>-9.0694838253678345</v>
      </c>
      <c r="I1065" s="729"/>
      <c r="J1065" s="147">
        <v>38.659700000000001</v>
      </c>
      <c r="K1065" s="147">
        <v>0</v>
      </c>
      <c r="L1065" s="147">
        <v>474.62270000000001</v>
      </c>
      <c r="M1065" s="147">
        <v>467.34784000000002</v>
      </c>
      <c r="N1065" s="147">
        <v>7.2748600000000003</v>
      </c>
      <c r="O1065" s="147">
        <v>1.5566264305404729</v>
      </c>
      <c r="P1065" s="147">
        <v>245.25564</v>
      </c>
      <c r="Q1065" s="147">
        <v>229.36706000000001</v>
      </c>
      <c r="R1065" s="147">
        <v>93.52162502766501</v>
      </c>
    </row>
    <row r="1066" spans="2:18" ht="15.75" hidden="1" thickBot="1" x14ac:dyDescent="0.3">
      <c r="B1066" s="726" t="s">
        <v>722</v>
      </c>
      <c r="C1066" s="722" t="s">
        <v>59</v>
      </c>
      <c r="D1066" t="s">
        <v>60</v>
      </c>
      <c r="E1066" s="148">
        <v>46.286679999999997</v>
      </c>
      <c r="F1066" s="148">
        <v>43.965879999999999</v>
      </c>
      <c r="G1066" s="148">
        <v>2.3208000000000002</v>
      </c>
      <c r="H1066" s="148">
        <v>5.2786387989959485</v>
      </c>
      <c r="I1066" s="728"/>
      <c r="J1066" s="148">
        <v>46.286679999999997</v>
      </c>
      <c r="K1066" s="148">
        <v>0</v>
      </c>
      <c r="L1066" s="148">
        <v>626.09522000000004</v>
      </c>
      <c r="M1066" s="148">
        <v>524.82272</v>
      </c>
      <c r="N1066" s="148">
        <v>101.27249999999999</v>
      </c>
      <c r="O1066" s="148">
        <v>19.296515974003565</v>
      </c>
      <c r="P1066" s="148">
        <v>327.09766999999999</v>
      </c>
      <c r="Q1066" s="148">
        <v>298.99754999999999</v>
      </c>
      <c r="R1066" s="148">
        <v>91.409257057685551</v>
      </c>
    </row>
    <row r="1067" spans="2:18" ht="15.75" hidden="1" thickBot="1" x14ac:dyDescent="0.3">
      <c r="B1067" s="726" t="s">
        <v>722</v>
      </c>
      <c r="C1067" s="722" t="s">
        <v>91</v>
      </c>
      <c r="D1067" t="s">
        <v>92</v>
      </c>
      <c r="E1067" s="147">
        <v>19.085360000000001</v>
      </c>
      <c r="F1067" s="147">
        <v>22.870729999999998</v>
      </c>
      <c r="G1067" s="147">
        <v>-3.7853699999999999</v>
      </c>
      <c r="H1067" s="147">
        <v>-16.551155122726733</v>
      </c>
      <c r="I1067" s="729"/>
      <c r="J1067" s="147">
        <v>19.085360000000001</v>
      </c>
      <c r="K1067" s="147">
        <v>0</v>
      </c>
      <c r="L1067" s="147">
        <v>246.61555000000001</v>
      </c>
      <c r="M1067" s="147">
        <v>267.12121999999999</v>
      </c>
      <c r="N1067" s="147">
        <v>-20.505669999999999</v>
      </c>
      <c r="O1067" s="147">
        <v>-7.6765410101076954</v>
      </c>
      <c r="P1067" s="147">
        <v>128.09347</v>
      </c>
      <c r="Q1067" s="147">
        <v>118.52208</v>
      </c>
      <c r="R1067" s="147">
        <v>92.527808013944821</v>
      </c>
    </row>
    <row r="1068" spans="2:18" ht="15.75" hidden="1" thickBot="1" x14ac:dyDescent="0.3">
      <c r="B1068" s="726" t="s">
        <v>722</v>
      </c>
      <c r="C1068" s="722" t="s">
        <v>93</v>
      </c>
      <c r="D1068" t="s">
        <v>94</v>
      </c>
      <c r="E1068" s="148">
        <v>1.8146800000000001</v>
      </c>
      <c r="F1068" s="148">
        <v>0.42436000000000001</v>
      </c>
      <c r="G1068" s="148">
        <v>1.39032</v>
      </c>
      <c r="H1068" s="148">
        <v>327.62748609671036</v>
      </c>
      <c r="I1068" s="728"/>
      <c r="J1068" s="148">
        <v>1.8146800000000001</v>
      </c>
      <c r="K1068" s="148">
        <v>0</v>
      </c>
      <c r="L1068" s="148">
        <v>5.6369699999999998</v>
      </c>
      <c r="M1068" s="148">
        <v>4.9563600000000001</v>
      </c>
      <c r="N1068" s="148">
        <v>0.68061000000000005</v>
      </c>
      <c r="O1068" s="148">
        <v>13.732053361741277</v>
      </c>
      <c r="P1068" s="148">
        <v>1.3396399999999999</v>
      </c>
      <c r="Q1068" s="148">
        <v>4.2973299999999997</v>
      </c>
      <c r="R1068" s="148">
        <v>320.78244901615358</v>
      </c>
    </row>
    <row r="1069" spans="2:18" ht="15.75" hidden="1" thickBot="1" x14ac:dyDescent="0.3">
      <c r="B1069" s="726" t="s">
        <v>722</v>
      </c>
      <c r="C1069" s="722" t="s">
        <v>134</v>
      </c>
      <c r="D1069" t="s">
        <v>135</v>
      </c>
      <c r="E1069" s="729"/>
      <c r="F1069" s="729"/>
      <c r="G1069" s="729"/>
      <c r="H1069" s="729"/>
      <c r="I1069" s="729"/>
      <c r="J1069" s="729"/>
      <c r="K1069" s="729"/>
      <c r="L1069" s="147">
        <v>0.22115000000000001</v>
      </c>
      <c r="M1069" s="729"/>
      <c r="N1069" s="147">
        <v>0.22115000000000001</v>
      </c>
      <c r="O1069" s="147">
        <v>0</v>
      </c>
      <c r="P1069" s="147">
        <v>6.3E-2</v>
      </c>
      <c r="Q1069" s="147">
        <v>0.15815000000000001</v>
      </c>
      <c r="R1069" s="147">
        <v>251.03174603174602</v>
      </c>
    </row>
    <row r="1070" spans="2:18" ht="15.75" hidden="1" thickBot="1" x14ac:dyDescent="0.3">
      <c r="B1070" s="726" t="s">
        <v>722</v>
      </c>
      <c r="C1070" s="722" t="s">
        <v>61</v>
      </c>
      <c r="D1070" t="s">
        <v>62</v>
      </c>
      <c r="E1070" s="148">
        <v>11.27882</v>
      </c>
      <c r="F1070" s="148">
        <v>10.359669999999999</v>
      </c>
      <c r="G1070" s="148">
        <v>0.91915000000000002</v>
      </c>
      <c r="H1070" s="148">
        <v>8.8723868617436654</v>
      </c>
      <c r="I1070" s="728"/>
      <c r="J1070" s="148">
        <v>11.27882</v>
      </c>
      <c r="K1070" s="148">
        <v>0</v>
      </c>
      <c r="L1070" s="148">
        <v>130.48074</v>
      </c>
      <c r="M1070" s="148">
        <v>122.75129</v>
      </c>
      <c r="N1070" s="148">
        <v>7.7294499999999999</v>
      </c>
      <c r="O1070" s="148">
        <v>6.2968381024753386</v>
      </c>
      <c r="P1070" s="148">
        <v>65.951809999999995</v>
      </c>
      <c r="Q1070" s="148">
        <v>64.528930000000003</v>
      </c>
      <c r="R1070" s="148">
        <v>97.842545943773189</v>
      </c>
    </row>
    <row r="1071" spans="2:18" ht="15.75" hidden="1" thickBot="1" x14ac:dyDescent="0.3">
      <c r="B1071" s="726" t="s">
        <v>722</v>
      </c>
      <c r="C1071" s="722" t="s">
        <v>63</v>
      </c>
      <c r="D1071" t="s">
        <v>64</v>
      </c>
      <c r="E1071" s="147">
        <v>44.116480000000003</v>
      </c>
      <c r="F1071" s="147">
        <v>40.302480000000003</v>
      </c>
      <c r="G1071" s="147">
        <v>3.8140000000000001</v>
      </c>
      <c r="H1071" s="147">
        <v>9.4634374857328876</v>
      </c>
      <c r="I1071" s="729"/>
      <c r="J1071" s="147">
        <v>44.116480000000003</v>
      </c>
      <c r="K1071" s="147">
        <v>0</v>
      </c>
      <c r="L1071" s="147">
        <v>507.83956000000001</v>
      </c>
      <c r="M1071" s="147">
        <v>477.54226</v>
      </c>
      <c r="N1071" s="147">
        <v>30.2973</v>
      </c>
      <c r="O1071" s="147">
        <v>6.3444227951679082</v>
      </c>
      <c r="P1071" s="147">
        <v>256.44085999999999</v>
      </c>
      <c r="Q1071" s="147">
        <v>251.39869999999999</v>
      </c>
      <c r="R1071" s="147">
        <v>98.033792274756834</v>
      </c>
    </row>
    <row r="1072" spans="2:18" ht="15.75" hidden="1" thickBot="1" x14ac:dyDescent="0.3">
      <c r="B1072" s="726" t="s">
        <v>722</v>
      </c>
      <c r="C1072" s="722" t="s">
        <v>65</v>
      </c>
      <c r="D1072" t="s">
        <v>66</v>
      </c>
      <c r="E1072" s="148">
        <v>-12.53068</v>
      </c>
      <c r="F1072" s="148">
        <v>-1.4151899999999999</v>
      </c>
      <c r="G1072" s="148">
        <v>-11.115489999999999</v>
      </c>
      <c r="H1072" s="148">
        <v>-785.4415308191833</v>
      </c>
      <c r="I1072" s="728"/>
      <c r="J1072" s="148">
        <v>-12.53068</v>
      </c>
      <c r="K1072" s="148">
        <v>0</v>
      </c>
      <c r="L1072" s="148">
        <v>-190.20260999999999</v>
      </c>
      <c r="M1072" s="148">
        <v>-16.893180000000001</v>
      </c>
      <c r="N1072" s="148">
        <v>-173.30942999999999</v>
      </c>
      <c r="O1072" s="148">
        <v>-1025.9135935330116</v>
      </c>
      <c r="P1072" s="148">
        <v>-90.183269999999993</v>
      </c>
      <c r="Q1072" s="148">
        <v>-100.01934</v>
      </c>
      <c r="R1072" s="148">
        <v>-110.9067568740854</v>
      </c>
    </row>
    <row r="1073" spans="2:18" ht="15.75" hidden="1" thickBot="1" x14ac:dyDescent="0.3">
      <c r="B1073" s="726" t="s">
        <v>722</v>
      </c>
      <c r="C1073" s="722" t="s">
        <v>163</v>
      </c>
      <c r="D1073" t="s">
        <v>164</v>
      </c>
      <c r="E1073" s="147">
        <v>-0.71558999999999995</v>
      </c>
      <c r="F1073" s="147">
        <v>-0.31808999999999998</v>
      </c>
      <c r="G1073" s="147">
        <v>-0.39750000000000002</v>
      </c>
      <c r="H1073" s="147">
        <v>-124.96463265113647</v>
      </c>
      <c r="I1073" s="729"/>
      <c r="J1073" s="147">
        <v>-0.71558999999999995</v>
      </c>
      <c r="K1073" s="147">
        <v>0</v>
      </c>
      <c r="L1073" s="147">
        <v>-5.4047599999999996</v>
      </c>
      <c r="M1073" s="147">
        <v>-3.7151100000000001</v>
      </c>
      <c r="N1073" s="147">
        <v>-1.6896500000000001</v>
      </c>
      <c r="O1073" s="147">
        <v>-45.480483754182245</v>
      </c>
      <c r="P1073" s="147">
        <v>-1.98411</v>
      </c>
      <c r="Q1073" s="147">
        <v>-3.4206500000000002</v>
      </c>
      <c r="R1073" s="147">
        <v>-172.40223576313812</v>
      </c>
    </row>
    <row r="1074" spans="2:18" ht="15.75" hidden="1" thickBot="1" x14ac:dyDescent="0.3">
      <c r="B1074" s="726" t="s">
        <v>722</v>
      </c>
      <c r="C1074" s="149" t="s">
        <v>67</v>
      </c>
      <c r="D1074" t="s">
        <v>68</v>
      </c>
      <c r="E1074" s="148">
        <v>109.33575</v>
      </c>
      <c r="F1074" s="148">
        <v>116.18984</v>
      </c>
      <c r="G1074" s="148">
        <v>-6.8540900000000002</v>
      </c>
      <c r="H1074" s="148">
        <v>-5.8990441849304549</v>
      </c>
      <c r="I1074" s="728"/>
      <c r="J1074" s="148">
        <v>109.33575</v>
      </c>
      <c r="K1074" s="148">
        <v>0</v>
      </c>
      <c r="L1074" s="148">
        <v>1321.2818199999999</v>
      </c>
      <c r="M1074" s="148">
        <v>1376.58556</v>
      </c>
      <c r="N1074" s="148">
        <v>-55.303739999999998</v>
      </c>
      <c r="O1074" s="148">
        <v>-4.0174575127753052</v>
      </c>
      <c r="P1074" s="148">
        <v>686.81907000000001</v>
      </c>
      <c r="Q1074" s="148">
        <v>634.46275000000003</v>
      </c>
      <c r="R1074" s="148">
        <v>92.376985106135734</v>
      </c>
    </row>
    <row r="1075" spans="2:18" ht="15.75" hidden="1" thickBot="1" x14ac:dyDescent="0.3">
      <c r="B1075" s="726" t="s">
        <v>722</v>
      </c>
      <c r="C1075" s="722" t="s">
        <v>69</v>
      </c>
      <c r="D1075" t="s">
        <v>70</v>
      </c>
      <c r="E1075" s="729"/>
      <c r="F1075" s="147">
        <v>0.375</v>
      </c>
      <c r="G1075" s="147">
        <v>-0.375</v>
      </c>
      <c r="H1075" s="147">
        <v>-100</v>
      </c>
      <c r="I1075" s="729"/>
      <c r="J1075" s="729"/>
      <c r="K1075" s="729"/>
      <c r="L1075" s="147">
        <v>7.9051900000000002</v>
      </c>
      <c r="M1075" s="147">
        <v>15.94</v>
      </c>
      <c r="N1075" s="147">
        <v>-8.0348100000000002</v>
      </c>
      <c r="O1075" s="147">
        <v>-50.406587202007529</v>
      </c>
      <c r="P1075" s="147">
        <v>4.2351900000000002</v>
      </c>
      <c r="Q1075" s="147">
        <v>3.67</v>
      </c>
      <c r="R1075" s="147">
        <v>86.654908044267202</v>
      </c>
    </row>
    <row r="1076" spans="2:18" ht="15.75" hidden="1" thickBot="1" x14ac:dyDescent="0.3">
      <c r="B1076" s="726" t="s">
        <v>722</v>
      </c>
      <c r="C1076" s="722" t="s">
        <v>99</v>
      </c>
      <c r="D1076" t="s">
        <v>100</v>
      </c>
      <c r="E1076" s="728"/>
      <c r="F1076" s="728"/>
      <c r="G1076" s="728"/>
      <c r="H1076" s="728"/>
      <c r="I1076" s="728"/>
      <c r="J1076" s="728"/>
      <c r="K1076" s="728"/>
      <c r="L1076" s="148">
        <v>2.8740000000000002E-2</v>
      </c>
      <c r="M1076" s="728"/>
      <c r="N1076" s="148">
        <v>2.8740000000000002E-2</v>
      </c>
      <c r="O1076" s="148">
        <v>0</v>
      </c>
      <c r="P1076" s="148">
        <v>2.8740000000000002E-2</v>
      </c>
      <c r="Q1076" s="148">
        <v>0</v>
      </c>
      <c r="R1076" s="148">
        <v>0</v>
      </c>
    </row>
    <row r="1077" spans="2:18" ht="15.75" hidden="1" thickBot="1" x14ac:dyDescent="0.3">
      <c r="B1077" s="726" t="s">
        <v>722</v>
      </c>
      <c r="C1077" s="722" t="s">
        <v>137</v>
      </c>
      <c r="D1077" t="s">
        <v>138</v>
      </c>
      <c r="E1077" s="729"/>
      <c r="F1077" s="729"/>
      <c r="G1077" s="729"/>
      <c r="H1077" s="729"/>
      <c r="I1077" s="729"/>
      <c r="J1077" s="729"/>
      <c r="K1077" s="729"/>
      <c r="L1077" s="147">
        <v>5.1229999999999998E-2</v>
      </c>
      <c r="M1077" s="729"/>
      <c r="N1077" s="147">
        <v>5.1229999999999998E-2</v>
      </c>
      <c r="O1077" s="147">
        <v>0</v>
      </c>
      <c r="P1077" s="147">
        <v>5.1229999999999998E-2</v>
      </c>
      <c r="Q1077" s="147">
        <v>0</v>
      </c>
      <c r="R1077" s="147">
        <v>0</v>
      </c>
    </row>
    <row r="1078" spans="2:18" ht="15.75" hidden="1" thickBot="1" x14ac:dyDescent="0.3">
      <c r="B1078" s="726" t="s">
        <v>722</v>
      </c>
      <c r="C1078" s="722" t="s">
        <v>190</v>
      </c>
      <c r="D1078" t="s">
        <v>191</v>
      </c>
      <c r="E1078" s="728"/>
      <c r="F1078" s="728"/>
      <c r="G1078" s="728"/>
      <c r="H1078" s="728"/>
      <c r="I1078" s="728"/>
      <c r="J1078" s="728"/>
      <c r="K1078" s="728"/>
      <c r="L1078" s="148">
        <v>1.7139999999999999E-2</v>
      </c>
      <c r="M1078" s="728"/>
      <c r="N1078" s="148">
        <v>1.7139999999999999E-2</v>
      </c>
      <c r="O1078" s="148">
        <v>0</v>
      </c>
      <c r="P1078" s="728"/>
      <c r="Q1078" s="148">
        <v>1.7139999999999999E-2</v>
      </c>
      <c r="R1078" s="148">
        <v>0</v>
      </c>
    </row>
    <row r="1079" spans="2:18" ht="15.75" hidden="1" thickBot="1" x14ac:dyDescent="0.3">
      <c r="B1079" s="726" t="s">
        <v>722</v>
      </c>
      <c r="C1079" s="722" t="s">
        <v>139</v>
      </c>
      <c r="D1079" t="s">
        <v>140</v>
      </c>
      <c r="E1079" s="729"/>
      <c r="F1079" s="147">
        <v>0.20499999999999999</v>
      </c>
      <c r="G1079" s="147">
        <v>-0.20499999999999999</v>
      </c>
      <c r="H1079" s="147">
        <v>-100</v>
      </c>
      <c r="I1079" s="729"/>
      <c r="J1079" s="729"/>
      <c r="K1079" s="729"/>
      <c r="L1079" s="147">
        <v>1.9439599999999999</v>
      </c>
      <c r="M1079" s="147">
        <v>3.3919999999999999</v>
      </c>
      <c r="N1079" s="147">
        <v>-1.44804</v>
      </c>
      <c r="O1079" s="147">
        <v>-42.689858490566039</v>
      </c>
      <c r="P1079" s="147">
        <v>0.39954000000000001</v>
      </c>
      <c r="Q1079" s="147">
        <v>1.5444199999999999</v>
      </c>
      <c r="R1079" s="147">
        <v>386.54953196175603</v>
      </c>
    </row>
    <row r="1080" spans="2:18" ht="15.75" hidden="1" thickBot="1" x14ac:dyDescent="0.3">
      <c r="B1080" s="726" t="s">
        <v>722</v>
      </c>
      <c r="C1080" s="722" t="s">
        <v>169</v>
      </c>
      <c r="D1080" t="s">
        <v>170</v>
      </c>
      <c r="E1080" s="148">
        <v>8.6359999999999992</v>
      </c>
      <c r="F1080" s="148">
        <v>7.3</v>
      </c>
      <c r="G1080" s="148">
        <v>1.3360000000000001</v>
      </c>
      <c r="H1080" s="148">
        <v>18.301369863013697</v>
      </c>
      <c r="I1080" s="728"/>
      <c r="J1080" s="148">
        <v>8.6359999999999992</v>
      </c>
      <c r="K1080" s="148">
        <v>0</v>
      </c>
      <c r="L1080" s="148">
        <v>172.70258000000001</v>
      </c>
      <c r="M1080" s="148">
        <v>87.6</v>
      </c>
      <c r="N1080" s="148">
        <v>85.102580000000003</v>
      </c>
      <c r="O1080" s="148">
        <v>97.149063926940642</v>
      </c>
      <c r="P1080" s="148">
        <v>52.59178</v>
      </c>
      <c r="Q1080" s="148">
        <v>120.1108</v>
      </c>
      <c r="R1080" s="148">
        <v>228.38321882240913</v>
      </c>
    </row>
    <row r="1081" spans="2:18" ht="15.75" hidden="1" thickBot="1" x14ac:dyDescent="0.3">
      <c r="B1081" s="726" t="s">
        <v>722</v>
      </c>
      <c r="C1081" s="722" t="s">
        <v>101</v>
      </c>
      <c r="D1081" t="s">
        <v>102</v>
      </c>
      <c r="E1081" s="147">
        <v>22.75637</v>
      </c>
      <c r="F1081" s="147">
        <v>4.4999999999999998E-2</v>
      </c>
      <c r="G1081" s="147">
        <v>22.711369999999999</v>
      </c>
      <c r="H1081" s="147">
        <v>50469.711111111108</v>
      </c>
      <c r="I1081" s="729"/>
      <c r="J1081" s="147">
        <v>22.75637</v>
      </c>
      <c r="K1081" s="147">
        <v>0</v>
      </c>
      <c r="L1081" s="147">
        <v>24.27759</v>
      </c>
      <c r="M1081" s="147">
        <v>0.54</v>
      </c>
      <c r="N1081" s="147">
        <v>23.737590000000001</v>
      </c>
      <c r="O1081" s="147">
        <v>4395.8500000000004</v>
      </c>
      <c r="P1081" s="147">
        <v>0.8397</v>
      </c>
      <c r="Q1081" s="147">
        <v>23.437889999999999</v>
      </c>
      <c r="R1081" s="147">
        <v>2791.2218649517686</v>
      </c>
    </row>
    <row r="1082" spans="2:18" ht="15.75" hidden="1" thickBot="1" x14ac:dyDescent="0.3">
      <c r="B1082" s="726" t="s">
        <v>722</v>
      </c>
      <c r="C1082" s="722" t="s">
        <v>105</v>
      </c>
      <c r="D1082" t="s">
        <v>106</v>
      </c>
      <c r="E1082" s="148">
        <v>1.073E-2</v>
      </c>
      <c r="F1082" s="728"/>
      <c r="G1082" s="148">
        <v>1.073E-2</v>
      </c>
      <c r="H1082" s="148">
        <v>0</v>
      </c>
      <c r="I1082" s="728"/>
      <c r="J1082" s="148">
        <v>1.073E-2</v>
      </c>
      <c r="K1082" s="148">
        <v>0</v>
      </c>
      <c r="L1082" s="148">
        <v>-30.342369999999999</v>
      </c>
      <c r="M1082" s="728"/>
      <c r="N1082" s="148">
        <v>-30.342369999999999</v>
      </c>
      <c r="O1082" s="148">
        <v>0</v>
      </c>
      <c r="P1082" s="148">
        <v>-30.366520000000001</v>
      </c>
      <c r="Q1082" s="148">
        <v>2.4150000000000001E-2</v>
      </c>
      <c r="R1082" s="148">
        <v>7.952837532914539E-2</v>
      </c>
    </row>
    <row r="1083" spans="2:18" ht="15.75" hidden="1" thickBot="1" x14ac:dyDescent="0.3">
      <c r="B1083" s="726" t="s">
        <v>722</v>
      </c>
      <c r="C1083" s="722" t="s">
        <v>109</v>
      </c>
      <c r="D1083" t="s">
        <v>110</v>
      </c>
      <c r="E1083" s="147">
        <v>0.55991999999999997</v>
      </c>
      <c r="F1083" s="147">
        <v>0.60899999999999999</v>
      </c>
      <c r="G1083" s="147">
        <v>-4.9079999999999999E-2</v>
      </c>
      <c r="H1083" s="147">
        <v>-8.0591133004926103</v>
      </c>
      <c r="I1083" s="729"/>
      <c r="J1083" s="147">
        <v>0.55991999999999997</v>
      </c>
      <c r="K1083" s="147">
        <v>0</v>
      </c>
      <c r="L1083" s="147">
        <v>7.1540900000000001</v>
      </c>
      <c r="M1083" s="147">
        <v>7.3079999999999998</v>
      </c>
      <c r="N1083" s="147">
        <v>-0.15390999999999999</v>
      </c>
      <c r="O1083" s="147">
        <v>-2.106048166392994</v>
      </c>
      <c r="P1083" s="147">
        <v>3.93438</v>
      </c>
      <c r="Q1083" s="147">
        <v>3.2197100000000001</v>
      </c>
      <c r="R1083" s="147">
        <v>81.835257397607762</v>
      </c>
    </row>
    <row r="1084" spans="2:18" ht="15.75" hidden="1" thickBot="1" x14ac:dyDescent="0.3">
      <c r="B1084" s="726" t="s">
        <v>722</v>
      </c>
      <c r="C1084" s="722" t="s">
        <v>73</v>
      </c>
      <c r="D1084" t="s">
        <v>74</v>
      </c>
      <c r="E1084" s="148">
        <v>0.48165000000000002</v>
      </c>
      <c r="F1084" s="148">
        <v>0.62833000000000006</v>
      </c>
      <c r="G1084" s="148">
        <v>-0.14668</v>
      </c>
      <c r="H1084" s="148">
        <v>-23.344420925309947</v>
      </c>
      <c r="I1084" s="728"/>
      <c r="J1084" s="148">
        <v>0.48165000000000002</v>
      </c>
      <c r="K1084" s="148">
        <v>0</v>
      </c>
      <c r="L1084" s="148">
        <v>5.1655300000000004</v>
      </c>
      <c r="M1084" s="148">
        <v>7.54</v>
      </c>
      <c r="N1084" s="148">
        <v>-2.3744700000000001</v>
      </c>
      <c r="O1084" s="148">
        <v>-31.491644562334219</v>
      </c>
      <c r="P1084" s="148">
        <v>2.8877000000000002</v>
      </c>
      <c r="Q1084" s="148">
        <v>2.2778299999999998</v>
      </c>
      <c r="R1084" s="148">
        <v>78.880423866745161</v>
      </c>
    </row>
    <row r="1085" spans="2:18" ht="15.75" hidden="1" thickBot="1" x14ac:dyDescent="0.3">
      <c r="B1085" s="726" t="s">
        <v>722</v>
      </c>
      <c r="C1085" s="722" t="s">
        <v>111</v>
      </c>
      <c r="D1085" t="s">
        <v>112</v>
      </c>
      <c r="E1085" s="729"/>
      <c r="F1085" s="729"/>
      <c r="G1085" s="729"/>
      <c r="H1085" s="729"/>
      <c r="I1085" s="729"/>
      <c r="J1085" s="729"/>
      <c r="K1085" s="729"/>
      <c r="L1085" s="147">
        <v>0.25297999999999998</v>
      </c>
      <c r="M1085" s="729"/>
      <c r="N1085" s="147">
        <v>0.25297999999999998</v>
      </c>
      <c r="O1085" s="147">
        <v>0</v>
      </c>
      <c r="P1085" s="147">
        <v>0.25297999999999998</v>
      </c>
      <c r="Q1085" s="147">
        <v>0</v>
      </c>
      <c r="R1085" s="147">
        <v>0</v>
      </c>
    </row>
    <row r="1086" spans="2:18" ht="15.75" hidden="1" thickBot="1" x14ac:dyDescent="0.3">
      <c r="B1086" s="726" t="s">
        <v>722</v>
      </c>
      <c r="C1086" s="722" t="s">
        <v>113</v>
      </c>
      <c r="D1086" t="s">
        <v>114</v>
      </c>
      <c r="E1086" s="148">
        <v>1.5650000000000001E-2</v>
      </c>
      <c r="F1086" s="148">
        <v>0.24166000000000001</v>
      </c>
      <c r="G1086" s="148">
        <v>-0.22600999999999999</v>
      </c>
      <c r="H1086" s="148">
        <v>-93.523959281635356</v>
      </c>
      <c r="I1086" s="728"/>
      <c r="J1086" s="148">
        <v>1.5650000000000001E-2</v>
      </c>
      <c r="K1086" s="148">
        <v>0</v>
      </c>
      <c r="L1086" s="148">
        <v>1.0235700000000001</v>
      </c>
      <c r="M1086" s="148">
        <v>2.5249999999999999</v>
      </c>
      <c r="N1086" s="148">
        <v>-1.50143</v>
      </c>
      <c r="O1086" s="148">
        <v>-59.462574257425743</v>
      </c>
      <c r="P1086" s="148">
        <v>0.44662000000000002</v>
      </c>
      <c r="Q1086" s="148">
        <v>0.57694999999999996</v>
      </c>
      <c r="R1086" s="148">
        <v>129.18140701267296</v>
      </c>
    </row>
    <row r="1087" spans="2:18" ht="15.75" hidden="1" thickBot="1" x14ac:dyDescent="0.3">
      <c r="B1087" s="726" t="s">
        <v>722</v>
      </c>
      <c r="C1087" s="722" t="s">
        <v>145</v>
      </c>
      <c r="D1087" t="s">
        <v>146</v>
      </c>
      <c r="E1087" s="147">
        <v>5.91E-2</v>
      </c>
      <c r="F1087" s="729"/>
      <c r="G1087" s="147">
        <v>5.91E-2</v>
      </c>
      <c r="H1087" s="147">
        <v>0</v>
      </c>
      <c r="I1087" s="729"/>
      <c r="J1087" s="147">
        <v>5.91E-2</v>
      </c>
      <c r="K1087" s="147">
        <v>0</v>
      </c>
      <c r="L1087" s="147">
        <v>0.2306</v>
      </c>
      <c r="M1087" s="729"/>
      <c r="N1087" s="147">
        <v>0.2306</v>
      </c>
      <c r="O1087" s="147">
        <v>0</v>
      </c>
      <c r="P1087" s="147">
        <v>0.06</v>
      </c>
      <c r="Q1087" s="147">
        <v>0.1706</v>
      </c>
      <c r="R1087" s="147">
        <v>284.33333333333331</v>
      </c>
    </row>
    <row r="1088" spans="2:18" ht="15.75" hidden="1" thickBot="1" x14ac:dyDescent="0.3">
      <c r="B1088" s="726" t="s">
        <v>722</v>
      </c>
      <c r="C1088" s="722" t="s">
        <v>147</v>
      </c>
      <c r="D1088" t="s">
        <v>148</v>
      </c>
      <c r="E1088" s="148">
        <v>1.9E-2</v>
      </c>
      <c r="F1088" s="728"/>
      <c r="G1088" s="148">
        <v>1.9E-2</v>
      </c>
      <c r="H1088" s="148">
        <v>0</v>
      </c>
      <c r="I1088" s="728"/>
      <c r="J1088" s="148">
        <v>1.9E-2</v>
      </c>
      <c r="K1088" s="148">
        <v>0</v>
      </c>
      <c r="L1088" s="148">
        <v>1.9E-2</v>
      </c>
      <c r="M1088" s="728"/>
      <c r="N1088" s="148">
        <v>1.9E-2</v>
      </c>
      <c r="O1088" s="148">
        <v>0</v>
      </c>
      <c r="P1088" s="728"/>
      <c r="Q1088" s="148">
        <v>1.9E-2</v>
      </c>
      <c r="R1088" s="148">
        <v>0</v>
      </c>
    </row>
    <row r="1089" spans="2:18" ht="15.75" hidden="1" thickBot="1" x14ac:dyDescent="0.3">
      <c r="B1089" s="726" t="s">
        <v>722</v>
      </c>
      <c r="C1089" s="722" t="s">
        <v>149</v>
      </c>
      <c r="D1089" t="s">
        <v>150</v>
      </c>
      <c r="E1089" s="147">
        <v>272.31799999999998</v>
      </c>
      <c r="F1089" s="147">
        <v>140.47499999999999</v>
      </c>
      <c r="G1089" s="147">
        <v>131.84299999999999</v>
      </c>
      <c r="H1089" s="147">
        <v>93.855134365545467</v>
      </c>
      <c r="I1089" s="729"/>
      <c r="J1089" s="147">
        <v>272.31799999999998</v>
      </c>
      <c r="K1089" s="147">
        <v>0</v>
      </c>
      <c r="L1089" s="147">
        <v>1519.8620000000001</v>
      </c>
      <c r="M1089" s="147">
        <v>1155.7</v>
      </c>
      <c r="N1089" s="147">
        <v>364.16199999999998</v>
      </c>
      <c r="O1089" s="147">
        <v>31.510080470710392</v>
      </c>
      <c r="P1089" s="147">
        <v>618.99400000000003</v>
      </c>
      <c r="Q1089" s="147">
        <v>900.86800000000005</v>
      </c>
      <c r="R1089" s="147">
        <v>145.5374365502735</v>
      </c>
    </row>
    <row r="1090" spans="2:18" ht="15.75" hidden="1" thickBot="1" x14ac:dyDescent="0.3">
      <c r="B1090" s="726" t="s">
        <v>722</v>
      </c>
      <c r="C1090" s="722" t="s">
        <v>649</v>
      </c>
      <c r="D1090" t="s">
        <v>650</v>
      </c>
      <c r="E1090" s="728"/>
      <c r="F1090" s="148">
        <v>0</v>
      </c>
      <c r="G1090" s="148">
        <v>0</v>
      </c>
      <c r="H1090" s="148">
        <v>0</v>
      </c>
      <c r="I1090" s="728"/>
      <c r="J1090" s="728"/>
      <c r="K1090" s="728"/>
      <c r="L1090" s="148">
        <v>1.99512</v>
      </c>
      <c r="M1090" s="148">
        <v>2.1</v>
      </c>
      <c r="N1090" s="148">
        <v>-0.10488</v>
      </c>
      <c r="O1090" s="148">
        <v>-4.9942857142857147</v>
      </c>
      <c r="P1090" s="148">
        <v>1.99512</v>
      </c>
      <c r="Q1090" s="148">
        <v>0</v>
      </c>
      <c r="R1090" s="148">
        <v>0</v>
      </c>
    </row>
    <row r="1091" spans="2:18" ht="15.75" hidden="1" thickBot="1" x14ac:dyDescent="0.3">
      <c r="B1091" s="726" t="s">
        <v>722</v>
      </c>
      <c r="C1091" s="722" t="s">
        <v>479</v>
      </c>
      <c r="D1091" t="s">
        <v>480</v>
      </c>
      <c r="E1091" s="729"/>
      <c r="F1091" s="729"/>
      <c r="G1091" s="729"/>
      <c r="H1091" s="729"/>
      <c r="I1091" s="729"/>
      <c r="J1091" s="729"/>
      <c r="K1091" s="729"/>
      <c r="L1091" s="147">
        <v>-0.42435</v>
      </c>
      <c r="M1091" s="729"/>
      <c r="N1091" s="147">
        <v>-0.42435</v>
      </c>
      <c r="O1091" s="147">
        <v>0</v>
      </c>
      <c r="P1091" s="147">
        <v>-0.42435</v>
      </c>
      <c r="Q1091" s="147">
        <v>0</v>
      </c>
      <c r="R1091" s="147">
        <v>0</v>
      </c>
    </row>
    <row r="1092" spans="2:18" ht="15.75" hidden="1" thickBot="1" x14ac:dyDescent="0.3">
      <c r="B1092" s="726" t="s">
        <v>722</v>
      </c>
      <c r="C1092" s="722" t="s">
        <v>75</v>
      </c>
      <c r="D1092" t="s">
        <v>76</v>
      </c>
      <c r="E1092" s="148">
        <v>0.41820000000000002</v>
      </c>
      <c r="F1092" s="148">
        <v>0.80832999999999999</v>
      </c>
      <c r="G1092" s="148">
        <v>-0.39012999999999998</v>
      </c>
      <c r="H1092" s="148">
        <v>-48.263704180223421</v>
      </c>
      <c r="I1092" s="728"/>
      <c r="J1092" s="148">
        <v>0.41820000000000002</v>
      </c>
      <c r="K1092" s="148">
        <v>0</v>
      </c>
      <c r="L1092" s="148">
        <v>5.18893</v>
      </c>
      <c r="M1092" s="148">
        <v>9.6999999999999993</v>
      </c>
      <c r="N1092" s="148">
        <v>-4.5110700000000001</v>
      </c>
      <c r="O1092" s="148">
        <v>-46.505876288659792</v>
      </c>
      <c r="P1092" s="148">
        <v>2.78999</v>
      </c>
      <c r="Q1092" s="148">
        <v>2.3989400000000001</v>
      </c>
      <c r="R1092" s="148">
        <v>85.983820730540259</v>
      </c>
    </row>
    <row r="1093" spans="2:18" ht="15.75" hidden="1" thickBot="1" x14ac:dyDescent="0.3">
      <c r="B1093" s="726" t="s">
        <v>722</v>
      </c>
      <c r="C1093" s="722" t="s">
        <v>77</v>
      </c>
      <c r="D1093" t="s">
        <v>78</v>
      </c>
      <c r="E1093" s="147">
        <v>0.27772000000000002</v>
      </c>
      <c r="F1093" s="147">
        <v>0.5</v>
      </c>
      <c r="G1093" s="147">
        <v>-0.22228000000000001</v>
      </c>
      <c r="H1093" s="147">
        <v>-44.456000000000003</v>
      </c>
      <c r="I1093" s="729"/>
      <c r="J1093" s="147">
        <v>0.27772000000000002</v>
      </c>
      <c r="K1093" s="147">
        <v>0</v>
      </c>
      <c r="L1093" s="147">
        <v>7.4003899999999998</v>
      </c>
      <c r="M1093" s="147">
        <v>13.9</v>
      </c>
      <c r="N1093" s="147">
        <v>-6.4996099999999997</v>
      </c>
      <c r="O1093" s="147">
        <v>-46.759784172661874</v>
      </c>
      <c r="P1093" s="147">
        <v>2.1831299999999998</v>
      </c>
      <c r="Q1093" s="147">
        <v>5.2172599999999996</v>
      </c>
      <c r="R1093" s="147">
        <v>238.98072950305297</v>
      </c>
    </row>
    <row r="1094" spans="2:18" ht="15.75" hidden="1" thickBot="1" x14ac:dyDescent="0.3">
      <c r="B1094" s="726" t="s">
        <v>722</v>
      </c>
      <c r="C1094" s="722" t="s">
        <v>81</v>
      </c>
      <c r="D1094" t="s">
        <v>82</v>
      </c>
      <c r="E1094" s="148">
        <v>1.4879</v>
      </c>
      <c r="F1094" s="148">
        <v>1.448</v>
      </c>
      <c r="G1094" s="148">
        <v>3.9899999999999998E-2</v>
      </c>
      <c r="H1094" s="148">
        <v>2.7555248618784529</v>
      </c>
      <c r="I1094" s="728"/>
      <c r="J1094" s="148">
        <v>1.4879</v>
      </c>
      <c r="K1094" s="148">
        <v>0</v>
      </c>
      <c r="L1094" s="148">
        <v>2.3552300000000002</v>
      </c>
      <c r="M1094" s="148">
        <v>3.8679999999999999</v>
      </c>
      <c r="N1094" s="148">
        <v>-1.5127699999999999</v>
      </c>
      <c r="O1094" s="148">
        <v>-39.109875904860395</v>
      </c>
      <c r="P1094" s="148">
        <v>0.66234000000000004</v>
      </c>
      <c r="Q1094" s="148">
        <v>1.69289</v>
      </c>
      <c r="R1094" s="148">
        <v>255.592293987982</v>
      </c>
    </row>
    <row r="1095" spans="2:18" ht="15.75" hidden="1" thickBot="1" x14ac:dyDescent="0.3">
      <c r="B1095" s="726" t="s">
        <v>722</v>
      </c>
      <c r="C1095" s="722" t="s">
        <v>123</v>
      </c>
      <c r="D1095" t="s">
        <v>124</v>
      </c>
      <c r="E1095" s="729"/>
      <c r="F1095" s="729"/>
      <c r="G1095" s="729"/>
      <c r="H1095" s="729"/>
      <c r="I1095" s="729"/>
      <c r="J1095" s="729"/>
      <c r="K1095" s="729"/>
      <c r="L1095" s="147">
        <v>0.74448000000000003</v>
      </c>
      <c r="M1095" s="729"/>
      <c r="N1095" s="147">
        <v>0.74448000000000003</v>
      </c>
      <c r="O1095" s="147">
        <v>0</v>
      </c>
      <c r="P1095" s="147">
        <v>0.74448000000000003</v>
      </c>
      <c r="Q1095" s="147">
        <v>0</v>
      </c>
      <c r="R1095" s="147">
        <v>0</v>
      </c>
    </row>
    <row r="1096" spans="2:18" ht="15.75" hidden="1" thickBot="1" x14ac:dyDescent="0.3">
      <c r="B1096" s="726" t="s">
        <v>722</v>
      </c>
      <c r="C1096" s="722" t="s">
        <v>83</v>
      </c>
      <c r="D1096" t="s">
        <v>84</v>
      </c>
      <c r="E1096" s="728"/>
      <c r="F1096" s="148">
        <v>0.26</v>
      </c>
      <c r="G1096" s="148">
        <v>-0.26</v>
      </c>
      <c r="H1096" s="148">
        <v>-100</v>
      </c>
      <c r="I1096" s="728"/>
      <c r="J1096" s="728"/>
      <c r="K1096" s="728"/>
      <c r="L1096" s="728"/>
      <c r="M1096" s="148">
        <v>5.62</v>
      </c>
      <c r="N1096" s="148">
        <v>-5.62</v>
      </c>
      <c r="O1096" s="148">
        <v>-100</v>
      </c>
      <c r="P1096" s="728"/>
      <c r="Q1096" s="728"/>
      <c r="R1096" s="728"/>
    </row>
    <row r="1097" spans="2:18" ht="15.75" hidden="1" thickBot="1" x14ac:dyDescent="0.3">
      <c r="B1097" s="726" t="s">
        <v>722</v>
      </c>
      <c r="C1097" s="149" t="s">
        <v>85</v>
      </c>
      <c r="D1097" t="s">
        <v>86</v>
      </c>
      <c r="E1097" s="147">
        <v>307.04023999999998</v>
      </c>
      <c r="F1097" s="147">
        <v>152.89532</v>
      </c>
      <c r="G1097" s="147">
        <v>154.14492000000001</v>
      </c>
      <c r="H1097" s="147">
        <v>100.8172912028962</v>
      </c>
      <c r="I1097" s="729"/>
      <c r="J1097" s="147">
        <v>307.04023999999998</v>
      </c>
      <c r="K1097" s="147">
        <v>0</v>
      </c>
      <c r="L1097" s="147">
        <v>1727.5516299999999</v>
      </c>
      <c r="M1097" s="147">
        <v>1315.7329999999999</v>
      </c>
      <c r="N1097" s="147">
        <v>411.81862999999998</v>
      </c>
      <c r="O1097" s="147">
        <v>31.299559257083313</v>
      </c>
      <c r="P1097" s="147">
        <v>662.30605000000003</v>
      </c>
      <c r="Q1097" s="147">
        <v>1065.24558</v>
      </c>
      <c r="R1097" s="147">
        <v>160.83887199882895</v>
      </c>
    </row>
    <row r="1098" spans="2:18" ht="15.75" hidden="1" thickBot="1" x14ac:dyDescent="0.3">
      <c r="B1098" s="726" t="s">
        <v>722</v>
      </c>
      <c r="C1098" s="144" t="s">
        <v>87</v>
      </c>
      <c r="D1098" t="s">
        <v>87</v>
      </c>
      <c r="E1098" s="148">
        <v>416.37599</v>
      </c>
      <c r="F1098" s="148">
        <v>269.08515999999997</v>
      </c>
      <c r="G1098" s="148">
        <v>147.29083</v>
      </c>
      <c r="H1098" s="148">
        <v>54.737626556588999</v>
      </c>
      <c r="I1098" s="728"/>
      <c r="J1098" s="148">
        <v>416.37599</v>
      </c>
      <c r="K1098" s="148">
        <v>0</v>
      </c>
      <c r="L1098" s="148">
        <v>3048.8334500000001</v>
      </c>
      <c r="M1098" s="148">
        <v>2692.3185600000002</v>
      </c>
      <c r="N1098" s="148">
        <v>356.51488999999998</v>
      </c>
      <c r="O1098" s="148">
        <v>13.241928176582492</v>
      </c>
      <c r="P1098" s="148">
        <v>1349.1251199999999</v>
      </c>
      <c r="Q1098" s="148">
        <v>1699.7083299999999</v>
      </c>
      <c r="R1098" s="148">
        <v>125.98596711326522</v>
      </c>
    </row>
    <row r="1099" spans="2:18" ht="15.75" hidden="1" thickBot="1" x14ac:dyDescent="0.3">
      <c r="B1099" s="727" t="s">
        <v>723</v>
      </c>
      <c r="C1099" s="722" t="s">
        <v>59</v>
      </c>
      <c r="D1099" t="s">
        <v>60</v>
      </c>
      <c r="E1099" s="147">
        <v>26.714790000000001</v>
      </c>
      <c r="F1099" s="147">
        <v>23.233039999999999</v>
      </c>
      <c r="G1099" s="147">
        <v>3.4817499999999999</v>
      </c>
      <c r="H1099" s="147">
        <v>14.986200686608381</v>
      </c>
      <c r="I1099" s="729"/>
      <c r="J1099" s="147">
        <v>26.714790000000001</v>
      </c>
      <c r="K1099" s="147">
        <v>0</v>
      </c>
      <c r="L1099" s="147">
        <v>369.74245999999999</v>
      </c>
      <c r="M1099" s="147">
        <v>277.33386000000002</v>
      </c>
      <c r="N1099" s="147">
        <v>92.408600000000007</v>
      </c>
      <c r="O1099" s="147">
        <v>33.320345377228733</v>
      </c>
      <c r="P1099" s="147">
        <v>195.39948999999999</v>
      </c>
      <c r="Q1099" s="147">
        <v>174.34297000000001</v>
      </c>
      <c r="R1099" s="147">
        <v>89.223861331470204</v>
      </c>
    </row>
    <row r="1100" spans="2:18" ht="15.75" hidden="1" thickBot="1" x14ac:dyDescent="0.3">
      <c r="B1100" s="727" t="s">
        <v>723</v>
      </c>
      <c r="C1100" s="722" t="s">
        <v>91</v>
      </c>
      <c r="D1100" t="s">
        <v>92</v>
      </c>
      <c r="E1100" s="148">
        <v>3.6272199999999999</v>
      </c>
      <c r="F1100" s="148">
        <v>4.7763400000000003</v>
      </c>
      <c r="G1100" s="148">
        <v>-1.1491199999999999</v>
      </c>
      <c r="H1100" s="148">
        <v>-24.058588793930081</v>
      </c>
      <c r="I1100" s="728"/>
      <c r="J1100" s="148">
        <v>3.6272199999999999</v>
      </c>
      <c r="K1100" s="148">
        <v>0</v>
      </c>
      <c r="L1100" s="148">
        <v>58.646590000000003</v>
      </c>
      <c r="M1100" s="148">
        <v>55.785760000000003</v>
      </c>
      <c r="N1100" s="148">
        <v>2.86083</v>
      </c>
      <c r="O1100" s="148">
        <v>5.1282441970854213</v>
      </c>
      <c r="P1100" s="148">
        <v>29.650469999999999</v>
      </c>
      <c r="Q1100" s="148">
        <v>28.996120000000001</v>
      </c>
      <c r="R1100" s="148">
        <v>97.793120985940533</v>
      </c>
    </row>
    <row r="1101" spans="2:18" ht="15.75" hidden="1" thickBot="1" x14ac:dyDescent="0.3">
      <c r="B1101" s="727" t="s">
        <v>723</v>
      </c>
      <c r="C1101" s="722" t="s">
        <v>93</v>
      </c>
      <c r="D1101" t="s">
        <v>94</v>
      </c>
      <c r="E1101" s="147">
        <v>0.86158999999999997</v>
      </c>
      <c r="F1101" s="729"/>
      <c r="G1101" s="147">
        <v>0.86158999999999997</v>
      </c>
      <c r="H1101" s="147">
        <v>0</v>
      </c>
      <c r="I1101" s="729"/>
      <c r="J1101" s="147">
        <v>0.86158999999999997</v>
      </c>
      <c r="K1101" s="147">
        <v>0</v>
      </c>
      <c r="L1101" s="147">
        <v>1.6727300000000001</v>
      </c>
      <c r="M1101" s="729"/>
      <c r="N1101" s="147">
        <v>1.6727300000000001</v>
      </c>
      <c r="O1101" s="147">
        <v>0</v>
      </c>
      <c r="P1101" s="729"/>
      <c r="Q1101" s="147">
        <v>1.6727300000000001</v>
      </c>
      <c r="R1101" s="147">
        <v>0</v>
      </c>
    </row>
    <row r="1102" spans="2:18" ht="15.75" hidden="1" thickBot="1" x14ac:dyDescent="0.3">
      <c r="B1102" s="727" t="s">
        <v>723</v>
      </c>
      <c r="C1102" s="722" t="s">
        <v>134</v>
      </c>
      <c r="D1102" t="s">
        <v>135</v>
      </c>
      <c r="E1102" s="728"/>
      <c r="F1102" s="728"/>
      <c r="G1102" s="728"/>
      <c r="H1102" s="728"/>
      <c r="I1102" s="728"/>
      <c r="J1102" s="728"/>
      <c r="K1102" s="728"/>
      <c r="L1102" s="148">
        <v>6.3E-2</v>
      </c>
      <c r="M1102" s="728"/>
      <c r="N1102" s="148">
        <v>6.3E-2</v>
      </c>
      <c r="O1102" s="148">
        <v>0</v>
      </c>
      <c r="P1102" s="148">
        <v>6.3E-2</v>
      </c>
      <c r="Q1102" s="148">
        <v>0</v>
      </c>
      <c r="R1102" s="148">
        <v>0</v>
      </c>
    </row>
    <row r="1103" spans="2:18" ht="15.75" hidden="1" thickBot="1" x14ac:dyDescent="0.3">
      <c r="B1103" s="727" t="s">
        <v>723</v>
      </c>
      <c r="C1103" s="722" t="s">
        <v>61</v>
      </c>
      <c r="D1103" t="s">
        <v>62</v>
      </c>
      <c r="E1103" s="147">
        <v>5.4022199999999998</v>
      </c>
      <c r="F1103" s="147">
        <v>4.34145</v>
      </c>
      <c r="G1103" s="147">
        <v>1.06077</v>
      </c>
      <c r="H1103" s="147">
        <v>24.433541789033619</v>
      </c>
      <c r="I1103" s="729"/>
      <c r="J1103" s="147">
        <v>5.4022199999999998</v>
      </c>
      <c r="K1103" s="147">
        <v>0</v>
      </c>
      <c r="L1103" s="147">
        <v>63.33822</v>
      </c>
      <c r="M1103" s="147">
        <v>51.633540000000004</v>
      </c>
      <c r="N1103" s="147">
        <v>11.70468</v>
      </c>
      <c r="O1103" s="147">
        <v>22.668753682199593</v>
      </c>
      <c r="P1103" s="147">
        <v>31.95881</v>
      </c>
      <c r="Q1103" s="147">
        <v>31.37941</v>
      </c>
      <c r="R1103" s="147">
        <v>98.187041382329312</v>
      </c>
    </row>
    <row r="1104" spans="2:18" ht="15.75" hidden="1" thickBot="1" x14ac:dyDescent="0.3">
      <c r="B1104" s="727" t="s">
        <v>723</v>
      </c>
      <c r="C1104" s="722" t="s">
        <v>63</v>
      </c>
      <c r="D1104" t="s">
        <v>64</v>
      </c>
      <c r="E1104" s="148">
        <v>21.12921</v>
      </c>
      <c r="F1104" s="148">
        <v>16.889659999999999</v>
      </c>
      <c r="G1104" s="148">
        <v>4.2395500000000004</v>
      </c>
      <c r="H1104" s="148">
        <v>25.101452604729758</v>
      </c>
      <c r="I1104" s="728"/>
      <c r="J1104" s="148">
        <v>21.12921</v>
      </c>
      <c r="K1104" s="148">
        <v>0</v>
      </c>
      <c r="L1104" s="148">
        <v>246.33786000000001</v>
      </c>
      <c r="M1104" s="148">
        <v>200.87117000000001</v>
      </c>
      <c r="N1104" s="148">
        <v>45.46669</v>
      </c>
      <c r="O1104" s="148">
        <v>22.634751418035748</v>
      </c>
      <c r="P1104" s="148">
        <v>124.15674</v>
      </c>
      <c r="Q1104" s="148">
        <v>122.18112000000001</v>
      </c>
      <c r="R1104" s="148">
        <v>98.408769431285009</v>
      </c>
    </row>
    <row r="1105" spans="2:18" ht="15.75" hidden="1" thickBot="1" x14ac:dyDescent="0.3">
      <c r="B1105" s="727" t="s">
        <v>723</v>
      </c>
      <c r="C1105" s="722" t="s">
        <v>65</v>
      </c>
      <c r="D1105" t="s">
        <v>66</v>
      </c>
      <c r="E1105" s="147">
        <v>-10.0731</v>
      </c>
      <c r="F1105" s="147">
        <v>-0.50517000000000001</v>
      </c>
      <c r="G1105" s="147">
        <v>-9.5679300000000005</v>
      </c>
      <c r="H1105" s="147">
        <v>-1894.0020191222757</v>
      </c>
      <c r="I1105" s="729"/>
      <c r="J1105" s="147">
        <v>-10.0731</v>
      </c>
      <c r="K1105" s="147">
        <v>0</v>
      </c>
      <c r="L1105" s="147">
        <v>-163.74019000000001</v>
      </c>
      <c r="M1105" s="147">
        <v>-6.03024</v>
      </c>
      <c r="N1105" s="147">
        <v>-157.70994999999999</v>
      </c>
      <c r="O1105" s="147">
        <v>-2615.3179641274642</v>
      </c>
      <c r="P1105" s="147">
        <v>-80.763080000000002</v>
      </c>
      <c r="Q1105" s="147">
        <v>-82.977109999999996</v>
      </c>
      <c r="R1105" s="147">
        <v>-102.74138876328144</v>
      </c>
    </row>
    <row r="1106" spans="2:18" ht="15.75" hidden="1" thickBot="1" x14ac:dyDescent="0.3">
      <c r="B1106" s="727" t="s">
        <v>723</v>
      </c>
      <c r="C1106" s="722" t="s">
        <v>163</v>
      </c>
      <c r="D1106" t="s">
        <v>164</v>
      </c>
      <c r="E1106" s="148">
        <v>-0.36477999999999999</v>
      </c>
      <c r="F1106" s="728"/>
      <c r="G1106" s="148">
        <v>-0.36477999999999999</v>
      </c>
      <c r="H1106" s="148">
        <v>0</v>
      </c>
      <c r="I1106" s="728"/>
      <c r="J1106" s="148">
        <v>-0.36477999999999999</v>
      </c>
      <c r="K1106" s="148">
        <v>0</v>
      </c>
      <c r="L1106" s="148">
        <v>-2.0541999999999998</v>
      </c>
      <c r="M1106" s="728"/>
      <c r="N1106" s="148">
        <v>-2.0541999999999998</v>
      </c>
      <c r="O1106" s="148">
        <v>0</v>
      </c>
      <c r="P1106" s="148">
        <v>-0.57216999999999996</v>
      </c>
      <c r="Q1106" s="148">
        <v>-1.48203</v>
      </c>
      <c r="R1106" s="148">
        <v>-259.019172623521</v>
      </c>
    </row>
    <row r="1107" spans="2:18" ht="15.75" hidden="1" thickBot="1" x14ac:dyDescent="0.3">
      <c r="B1107" s="727" t="s">
        <v>723</v>
      </c>
      <c r="C1107" s="149" t="s">
        <v>67</v>
      </c>
      <c r="D1107" t="s">
        <v>68</v>
      </c>
      <c r="E1107" s="147">
        <v>47.297150000000002</v>
      </c>
      <c r="F1107" s="147">
        <v>48.735320000000002</v>
      </c>
      <c r="G1107" s="147">
        <v>-1.4381699999999999</v>
      </c>
      <c r="H1107" s="147">
        <v>-2.9509809312835125</v>
      </c>
      <c r="I1107" s="729"/>
      <c r="J1107" s="147">
        <v>47.297150000000002</v>
      </c>
      <c r="K1107" s="147">
        <v>0</v>
      </c>
      <c r="L1107" s="147">
        <v>574.00647000000004</v>
      </c>
      <c r="M1107" s="147">
        <v>579.59409000000005</v>
      </c>
      <c r="N1107" s="147">
        <v>-5.5876200000000003</v>
      </c>
      <c r="O1107" s="147">
        <v>-0.96405744924003622</v>
      </c>
      <c r="P1107" s="147">
        <v>299.89326</v>
      </c>
      <c r="Q1107" s="147">
        <v>274.11320999999998</v>
      </c>
      <c r="R1107" s="147">
        <v>91.403591397819341</v>
      </c>
    </row>
    <row r="1108" spans="2:18" ht="15.75" hidden="1" thickBot="1" x14ac:dyDescent="0.3">
      <c r="B1108" s="727" t="s">
        <v>723</v>
      </c>
      <c r="C1108" s="722" t="s">
        <v>69</v>
      </c>
      <c r="D1108" t="s">
        <v>70</v>
      </c>
      <c r="E1108" s="728"/>
      <c r="F1108" s="148">
        <v>0</v>
      </c>
      <c r="G1108" s="148">
        <v>0</v>
      </c>
      <c r="H1108" s="148">
        <v>0</v>
      </c>
      <c r="I1108" s="728"/>
      <c r="J1108" s="728"/>
      <c r="K1108" s="728"/>
      <c r="L1108" s="148">
        <v>5.7811899999999996</v>
      </c>
      <c r="M1108" s="148">
        <v>8.44</v>
      </c>
      <c r="N1108" s="148">
        <v>-2.6588099999999999</v>
      </c>
      <c r="O1108" s="148">
        <v>-31.502488151658767</v>
      </c>
      <c r="P1108" s="148">
        <v>3.9061900000000001</v>
      </c>
      <c r="Q1108" s="148">
        <v>1.875</v>
      </c>
      <c r="R1108" s="148">
        <v>48.000737291324796</v>
      </c>
    </row>
    <row r="1109" spans="2:18" ht="15.75" hidden="1" thickBot="1" x14ac:dyDescent="0.3">
      <c r="B1109" s="727" t="s">
        <v>723</v>
      </c>
      <c r="C1109" s="722" t="s">
        <v>137</v>
      </c>
      <c r="D1109" t="s">
        <v>138</v>
      </c>
      <c r="E1109" s="729"/>
      <c r="F1109" s="729"/>
      <c r="G1109" s="729"/>
      <c r="H1109" s="729"/>
      <c r="I1109" s="729"/>
      <c r="J1109" s="729"/>
      <c r="K1109" s="729"/>
      <c r="L1109" s="147">
        <v>5.1229999999999998E-2</v>
      </c>
      <c r="M1109" s="729"/>
      <c r="N1109" s="147">
        <v>5.1229999999999998E-2</v>
      </c>
      <c r="O1109" s="147">
        <v>0</v>
      </c>
      <c r="P1109" s="147">
        <v>5.1229999999999998E-2</v>
      </c>
      <c r="Q1109" s="147">
        <v>0</v>
      </c>
      <c r="R1109" s="147">
        <v>0</v>
      </c>
    </row>
    <row r="1110" spans="2:18" ht="15.75" hidden="1" thickBot="1" x14ac:dyDescent="0.3">
      <c r="B1110" s="727" t="s">
        <v>723</v>
      </c>
      <c r="C1110" s="722" t="s">
        <v>190</v>
      </c>
      <c r="D1110" t="s">
        <v>191</v>
      </c>
      <c r="E1110" s="728"/>
      <c r="F1110" s="728"/>
      <c r="G1110" s="728"/>
      <c r="H1110" s="728"/>
      <c r="I1110" s="728"/>
      <c r="J1110" s="728"/>
      <c r="K1110" s="728"/>
      <c r="L1110" s="148">
        <v>8.5699999999999995E-3</v>
      </c>
      <c r="M1110" s="728"/>
      <c r="N1110" s="148">
        <v>8.5699999999999995E-3</v>
      </c>
      <c r="O1110" s="148">
        <v>0</v>
      </c>
      <c r="P1110" s="728"/>
      <c r="Q1110" s="148">
        <v>8.5699999999999995E-3</v>
      </c>
      <c r="R1110" s="148">
        <v>0</v>
      </c>
    </row>
    <row r="1111" spans="2:18" ht="15.75" hidden="1" thickBot="1" x14ac:dyDescent="0.3">
      <c r="B1111" s="727" t="s">
        <v>723</v>
      </c>
      <c r="C1111" s="722" t="s">
        <v>139</v>
      </c>
      <c r="D1111" t="s">
        <v>140</v>
      </c>
      <c r="E1111" s="729"/>
      <c r="F1111" s="147">
        <v>0</v>
      </c>
      <c r="G1111" s="147">
        <v>0</v>
      </c>
      <c r="H1111" s="147">
        <v>0</v>
      </c>
      <c r="I1111" s="729"/>
      <c r="J1111" s="729"/>
      <c r="K1111" s="729"/>
      <c r="L1111" s="147">
        <v>1.7441899999999999</v>
      </c>
      <c r="M1111" s="147">
        <v>1.571</v>
      </c>
      <c r="N1111" s="147">
        <v>0.17319000000000001</v>
      </c>
      <c r="O1111" s="147">
        <v>11.024188415022278</v>
      </c>
      <c r="P1111" s="147">
        <v>0.19977</v>
      </c>
      <c r="Q1111" s="147">
        <v>1.5444199999999999</v>
      </c>
      <c r="R1111" s="147">
        <v>773.09906392351206</v>
      </c>
    </row>
    <row r="1112" spans="2:18" ht="15.75" hidden="1" thickBot="1" x14ac:dyDescent="0.3">
      <c r="B1112" s="727" t="s">
        <v>723</v>
      </c>
      <c r="C1112" s="722" t="s">
        <v>169</v>
      </c>
      <c r="D1112" t="s">
        <v>170</v>
      </c>
      <c r="E1112" s="148">
        <v>8.6359999999999992</v>
      </c>
      <c r="F1112" s="148">
        <v>7.3</v>
      </c>
      <c r="G1112" s="148">
        <v>1.3360000000000001</v>
      </c>
      <c r="H1112" s="148">
        <v>18.301369863013697</v>
      </c>
      <c r="I1112" s="728"/>
      <c r="J1112" s="148">
        <v>8.6359999999999992</v>
      </c>
      <c r="K1112" s="148">
        <v>0</v>
      </c>
      <c r="L1112" s="148">
        <v>104.81193</v>
      </c>
      <c r="M1112" s="148">
        <v>87.6</v>
      </c>
      <c r="N1112" s="148">
        <v>17.211929999999999</v>
      </c>
      <c r="O1112" s="148">
        <v>19.648321917808218</v>
      </c>
      <c r="P1112" s="148">
        <v>40.222499999999997</v>
      </c>
      <c r="Q1112" s="148">
        <v>64.589429999999993</v>
      </c>
      <c r="R1112" s="148">
        <v>160.58034682080924</v>
      </c>
    </row>
    <row r="1113" spans="2:18" ht="15.75" hidden="1" thickBot="1" x14ac:dyDescent="0.3">
      <c r="B1113" s="727" t="s">
        <v>723</v>
      </c>
      <c r="C1113" s="722" t="s">
        <v>101</v>
      </c>
      <c r="D1113" t="s">
        <v>102</v>
      </c>
      <c r="E1113" s="147">
        <v>9.1800000000000007E-2</v>
      </c>
      <c r="F1113" s="729"/>
      <c r="G1113" s="147">
        <v>9.1800000000000007E-2</v>
      </c>
      <c r="H1113" s="147">
        <v>0</v>
      </c>
      <c r="I1113" s="729"/>
      <c r="J1113" s="147">
        <v>9.1800000000000007E-2</v>
      </c>
      <c r="K1113" s="147">
        <v>0</v>
      </c>
      <c r="L1113" s="147">
        <v>0.31738</v>
      </c>
      <c r="M1113" s="729"/>
      <c r="N1113" s="147">
        <v>0.31738</v>
      </c>
      <c r="O1113" s="147">
        <v>0</v>
      </c>
      <c r="P1113" s="147">
        <v>0.15815000000000001</v>
      </c>
      <c r="Q1113" s="147">
        <v>0.15923000000000001</v>
      </c>
      <c r="R1113" s="147">
        <v>100.68289598482454</v>
      </c>
    </row>
    <row r="1114" spans="2:18" ht="15.75" hidden="1" thickBot="1" x14ac:dyDescent="0.3">
      <c r="B1114" s="727" t="s">
        <v>723</v>
      </c>
      <c r="C1114" s="722" t="s">
        <v>105</v>
      </c>
      <c r="D1114" t="s">
        <v>106</v>
      </c>
      <c r="E1114" s="148">
        <v>1.073E-2</v>
      </c>
      <c r="F1114" s="728"/>
      <c r="G1114" s="148">
        <v>1.073E-2</v>
      </c>
      <c r="H1114" s="148">
        <v>0</v>
      </c>
      <c r="I1114" s="728"/>
      <c r="J1114" s="148">
        <v>1.073E-2</v>
      </c>
      <c r="K1114" s="148">
        <v>0</v>
      </c>
      <c r="L1114" s="148">
        <v>-30.342369999999999</v>
      </c>
      <c r="M1114" s="728"/>
      <c r="N1114" s="148">
        <v>-30.342369999999999</v>
      </c>
      <c r="O1114" s="148">
        <v>0</v>
      </c>
      <c r="P1114" s="148">
        <v>-30.366520000000001</v>
      </c>
      <c r="Q1114" s="148">
        <v>2.4150000000000001E-2</v>
      </c>
      <c r="R1114" s="148">
        <v>7.952837532914539E-2</v>
      </c>
    </row>
    <row r="1115" spans="2:18" ht="15.75" hidden="1" thickBot="1" x14ac:dyDescent="0.3">
      <c r="B1115" s="727" t="s">
        <v>723</v>
      </c>
      <c r="C1115" s="722" t="s">
        <v>109</v>
      </c>
      <c r="D1115" t="s">
        <v>110</v>
      </c>
      <c r="E1115" s="729"/>
      <c r="F1115" s="729"/>
      <c r="G1115" s="729"/>
      <c r="H1115" s="729"/>
      <c r="I1115" s="729"/>
      <c r="J1115" s="729"/>
      <c r="K1115" s="729"/>
      <c r="L1115" s="147">
        <v>5.2810000000000003E-2</v>
      </c>
      <c r="M1115" s="729"/>
      <c r="N1115" s="147">
        <v>5.2810000000000003E-2</v>
      </c>
      <c r="O1115" s="147">
        <v>0</v>
      </c>
      <c r="P1115" s="147">
        <v>8.0499999999999999E-3</v>
      </c>
      <c r="Q1115" s="147">
        <v>4.4760000000000001E-2</v>
      </c>
      <c r="R1115" s="147">
        <v>556.02484472049684</v>
      </c>
    </row>
    <row r="1116" spans="2:18" ht="15.75" hidden="1" thickBot="1" x14ac:dyDescent="0.3">
      <c r="B1116" s="727" t="s">
        <v>723</v>
      </c>
      <c r="C1116" s="722" t="s">
        <v>73</v>
      </c>
      <c r="D1116" t="s">
        <v>74</v>
      </c>
      <c r="E1116" s="148">
        <v>0.48165000000000002</v>
      </c>
      <c r="F1116" s="148">
        <v>0.4</v>
      </c>
      <c r="G1116" s="148">
        <v>8.165E-2</v>
      </c>
      <c r="H1116" s="148">
        <v>20.412500000000001</v>
      </c>
      <c r="I1116" s="728"/>
      <c r="J1116" s="148">
        <v>0.48165000000000002</v>
      </c>
      <c r="K1116" s="148">
        <v>0</v>
      </c>
      <c r="L1116" s="148">
        <v>3.90211</v>
      </c>
      <c r="M1116" s="148">
        <v>4.8</v>
      </c>
      <c r="N1116" s="148">
        <v>-0.89788999999999997</v>
      </c>
      <c r="O1116" s="148">
        <v>-18.706041666666668</v>
      </c>
      <c r="P1116" s="148">
        <v>2.3670599999999999</v>
      </c>
      <c r="Q1116" s="148">
        <v>1.53505</v>
      </c>
      <c r="R1116" s="148">
        <v>64.850489636933574</v>
      </c>
    </row>
    <row r="1117" spans="2:18" ht="15.75" hidden="1" thickBot="1" x14ac:dyDescent="0.3">
      <c r="B1117" s="727" t="s">
        <v>723</v>
      </c>
      <c r="C1117" s="722" t="s">
        <v>113</v>
      </c>
      <c r="D1117" t="s">
        <v>114</v>
      </c>
      <c r="E1117" s="147">
        <v>1.5650000000000001E-2</v>
      </c>
      <c r="F1117" s="147">
        <v>0.2</v>
      </c>
      <c r="G1117" s="147">
        <v>-0.18435000000000001</v>
      </c>
      <c r="H1117" s="147">
        <v>-92.174999999999997</v>
      </c>
      <c r="I1117" s="729"/>
      <c r="J1117" s="147">
        <v>1.5650000000000001E-2</v>
      </c>
      <c r="K1117" s="147">
        <v>0</v>
      </c>
      <c r="L1117" s="147">
        <v>0.78929000000000005</v>
      </c>
      <c r="M1117" s="147">
        <v>2.0249999999999999</v>
      </c>
      <c r="N1117" s="147">
        <v>-1.2357100000000001</v>
      </c>
      <c r="O1117" s="147">
        <v>-61.022716049382716</v>
      </c>
      <c r="P1117" s="147">
        <v>0.35897000000000001</v>
      </c>
      <c r="Q1117" s="147">
        <v>0.43031999999999998</v>
      </c>
      <c r="R1117" s="147">
        <v>119.87631278379808</v>
      </c>
    </row>
    <row r="1118" spans="2:18" ht="15.75" hidden="1" thickBot="1" x14ac:dyDescent="0.3">
      <c r="B1118" s="727" t="s">
        <v>723</v>
      </c>
      <c r="C1118" s="722" t="s">
        <v>145</v>
      </c>
      <c r="D1118" t="s">
        <v>146</v>
      </c>
      <c r="E1118" s="148">
        <v>5.91E-2</v>
      </c>
      <c r="F1118" s="728"/>
      <c r="G1118" s="148">
        <v>5.91E-2</v>
      </c>
      <c r="H1118" s="148">
        <v>0</v>
      </c>
      <c r="I1118" s="728"/>
      <c r="J1118" s="148">
        <v>5.91E-2</v>
      </c>
      <c r="K1118" s="148">
        <v>0</v>
      </c>
      <c r="L1118" s="148">
        <v>0.2306</v>
      </c>
      <c r="M1118" s="728"/>
      <c r="N1118" s="148">
        <v>0.2306</v>
      </c>
      <c r="O1118" s="148">
        <v>0</v>
      </c>
      <c r="P1118" s="148">
        <v>0.06</v>
      </c>
      <c r="Q1118" s="148">
        <v>0.1706</v>
      </c>
      <c r="R1118" s="148">
        <v>284.33333333333331</v>
      </c>
    </row>
    <row r="1119" spans="2:18" ht="15.75" hidden="1" thickBot="1" x14ac:dyDescent="0.3">
      <c r="B1119" s="727" t="s">
        <v>723</v>
      </c>
      <c r="C1119" s="722" t="s">
        <v>147</v>
      </c>
      <c r="D1119" t="s">
        <v>148</v>
      </c>
      <c r="E1119" s="147">
        <v>1.9E-2</v>
      </c>
      <c r="F1119" s="729"/>
      <c r="G1119" s="147">
        <v>1.9E-2</v>
      </c>
      <c r="H1119" s="147">
        <v>0</v>
      </c>
      <c r="I1119" s="729"/>
      <c r="J1119" s="147">
        <v>1.9E-2</v>
      </c>
      <c r="K1119" s="147">
        <v>0</v>
      </c>
      <c r="L1119" s="147">
        <v>1.9E-2</v>
      </c>
      <c r="M1119" s="729"/>
      <c r="N1119" s="147">
        <v>1.9E-2</v>
      </c>
      <c r="O1119" s="147">
        <v>0</v>
      </c>
      <c r="P1119" s="729"/>
      <c r="Q1119" s="147">
        <v>1.9E-2</v>
      </c>
      <c r="R1119" s="147">
        <v>0</v>
      </c>
    </row>
    <row r="1120" spans="2:18" ht="15.75" hidden="1" thickBot="1" x14ac:dyDescent="0.3">
      <c r="B1120" s="727" t="s">
        <v>723</v>
      </c>
      <c r="C1120" s="722" t="s">
        <v>149</v>
      </c>
      <c r="D1120" t="s">
        <v>150</v>
      </c>
      <c r="E1120" s="148">
        <v>19.36</v>
      </c>
      <c r="F1120" s="728"/>
      <c r="G1120" s="148">
        <v>19.36</v>
      </c>
      <c r="H1120" s="148">
        <v>0</v>
      </c>
      <c r="I1120" s="728"/>
      <c r="J1120" s="148">
        <v>19.36</v>
      </c>
      <c r="K1120" s="148">
        <v>0</v>
      </c>
      <c r="L1120" s="148">
        <v>19.36</v>
      </c>
      <c r="M1120" s="728"/>
      <c r="N1120" s="148">
        <v>19.36</v>
      </c>
      <c r="O1120" s="148">
        <v>0</v>
      </c>
      <c r="P1120" s="728"/>
      <c r="Q1120" s="148">
        <v>19.36</v>
      </c>
      <c r="R1120" s="148">
        <v>0</v>
      </c>
    </row>
    <row r="1121" spans="2:18" ht="15.75" hidden="1" thickBot="1" x14ac:dyDescent="0.3">
      <c r="B1121" s="727" t="s">
        <v>723</v>
      </c>
      <c r="C1121" s="722" t="s">
        <v>479</v>
      </c>
      <c r="D1121" t="s">
        <v>480</v>
      </c>
      <c r="E1121" s="729"/>
      <c r="F1121" s="729"/>
      <c r="G1121" s="729"/>
      <c r="H1121" s="729"/>
      <c r="I1121" s="729"/>
      <c r="J1121" s="729"/>
      <c r="K1121" s="729"/>
      <c r="L1121" s="147">
        <v>-0.42435</v>
      </c>
      <c r="M1121" s="729"/>
      <c r="N1121" s="147">
        <v>-0.42435</v>
      </c>
      <c r="O1121" s="147">
        <v>0</v>
      </c>
      <c r="P1121" s="147">
        <v>-0.42435</v>
      </c>
      <c r="Q1121" s="147">
        <v>0</v>
      </c>
      <c r="R1121" s="147">
        <v>0</v>
      </c>
    </row>
    <row r="1122" spans="2:18" ht="15.75" hidden="1" thickBot="1" x14ac:dyDescent="0.3">
      <c r="B1122" s="727" t="s">
        <v>723</v>
      </c>
      <c r="C1122" s="722" t="s">
        <v>75</v>
      </c>
      <c r="D1122" t="s">
        <v>76</v>
      </c>
      <c r="E1122" s="148">
        <v>0.29744999999999999</v>
      </c>
      <c r="F1122" s="148">
        <v>0.52500000000000002</v>
      </c>
      <c r="G1122" s="148">
        <v>-0.22755</v>
      </c>
      <c r="H1122" s="148">
        <v>-43.342857142857142</v>
      </c>
      <c r="I1122" s="728"/>
      <c r="J1122" s="148">
        <v>0.29744999999999999</v>
      </c>
      <c r="K1122" s="148">
        <v>0</v>
      </c>
      <c r="L1122" s="148">
        <v>4.1867599999999996</v>
      </c>
      <c r="M1122" s="148">
        <v>6.3</v>
      </c>
      <c r="N1122" s="148">
        <v>-2.1132399999999998</v>
      </c>
      <c r="O1122" s="148">
        <v>-33.54349206349206</v>
      </c>
      <c r="P1122" s="148">
        <v>2.5063300000000002</v>
      </c>
      <c r="Q1122" s="148">
        <v>1.6804300000000001</v>
      </c>
      <c r="R1122" s="148">
        <v>67.047435892320649</v>
      </c>
    </row>
    <row r="1123" spans="2:18" ht="15.75" hidden="1" thickBot="1" x14ac:dyDescent="0.3">
      <c r="B1123" s="727" t="s">
        <v>723</v>
      </c>
      <c r="C1123" s="722" t="s">
        <v>77</v>
      </c>
      <c r="D1123" t="s">
        <v>78</v>
      </c>
      <c r="E1123" s="147">
        <v>0.27772000000000002</v>
      </c>
      <c r="F1123" s="147">
        <v>0</v>
      </c>
      <c r="G1123" s="147">
        <v>0.27772000000000002</v>
      </c>
      <c r="H1123" s="147">
        <v>0</v>
      </c>
      <c r="I1123" s="729"/>
      <c r="J1123" s="147">
        <v>0.27772000000000002</v>
      </c>
      <c r="K1123" s="147">
        <v>0</v>
      </c>
      <c r="L1123" s="147">
        <v>5.8699700000000004</v>
      </c>
      <c r="M1123" s="147">
        <v>6.4</v>
      </c>
      <c r="N1123" s="147">
        <v>-0.53003</v>
      </c>
      <c r="O1123" s="147">
        <v>-8.2817187499999996</v>
      </c>
      <c r="P1123" s="147">
        <v>2.1831299999999998</v>
      </c>
      <c r="Q1123" s="147">
        <v>3.6868400000000001</v>
      </c>
      <c r="R1123" s="147">
        <v>168.87862839134638</v>
      </c>
    </row>
    <row r="1124" spans="2:18" ht="15.75" hidden="1" thickBot="1" x14ac:dyDescent="0.3">
      <c r="B1124" s="727" t="s">
        <v>723</v>
      </c>
      <c r="C1124" s="722" t="s">
        <v>81</v>
      </c>
      <c r="D1124" t="s">
        <v>82</v>
      </c>
      <c r="E1124" s="148">
        <v>1.1338999999999999</v>
      </c>
      <c r="F1124" s="148">
        <v>0.98</v>
      </c>
      <c r="G1124" s="148">
        <v>0.15390000000000001</v>
      </c>
      <c r="H1124" s="148">
        <v>15.704081632653061</v>
      </c>
      <c r="I1124" s="728"/>
      <c r="J1124" s="148">
        <v>1.1338999999999999</v>
      </c>
      <c r="K1124" s="148">
        <v>0</v>
      </c>
      <c r="L1124" s="148">
        <v>1.9712400000000001</v>
      </c>
      <c r="M1124" s="148">
        <v>2.2999999999999998</v>
      </c>
      <c r="N1124" s="148">
        <v>-0.32876</v>
      </c>
      <c r="O1124" s="148">
        <v>-14.293913043478261</v>
      </c>
      <c r="P1124" s="148">
        <v>0.66234000000000004</v>
      </c>
      <c r="Q1124" s="148">
        <v>1.3089</v>
      </c>
      <c r="R1124" s="148">
        <v>197.61753782045474</v>
      </c>
    </row>
    <row r="1125" spans="2:18" ht="15.75" hidden="1" thickBot="1" x14ac:dyDescent="0.3">
      <c r="B1125" s="727" t="s">
        <v>723</v>
      </c>
      <c r="C1125" s="722" t="s">
        <v>123</v>
      </c>
      <c r="D1125" t="s">
        <v>124</v>
      </c>
      <c r="E1125" s="729"/>
      <c r="F1125" s="729"/>
      <c r="G1125" s="729"/>
      <c r="H1125" s="729"/>
      <c r="I1125" s="729"/>
      <c r="J1125" s="729"/>
      <c r="K1125" s="729"/>
      <c r="L1125" s="147">
        <v>0.55020999999999998</v>
      </c>
      <c r="M1125" s="729"/>
      <c r="N1125" s="147">
        <v>0.55020999999999998</v>
      </c>
      <c r="O1125" s="147">
        <v>0</v>
      </c>
      <c r="P1125" s="147">
        <v>0.55020999999999998</v>
      </c>
      <c r="Q1125" s="147">
        <v>0</v>
      </c>
      <c r="R1125" s="147">
        <v>0</v>
      </c>
    </row>
    <row r="1126" spans="2:18" ht="15.75" hidden="1" thickBot="1" x14ac:dyDescent="0.3">
      <c r="B1126" s="727" t="s">
        <v>723</v>
      </c>
      <c r="C1126" s="722" t="s">
        <v>83</v>
      </c>
      <c r="D1126" t="s">
        <v>84</v>
      </c>
      <c r="E1126" s="728"/>
      <c r="F1126" s="148">
        <v>0.1</v>
      </c>
      <c r="G1126" s="148">
        <v>-0.1</v>
      </c>
      <c r="H1126" s="148">
        <v>-100</v>
      </c>
      <c r="I1126" s="728"/>
      <c r="J1126" s="728"/>
      <c r="K1126" s="728"/>
      <c r="L1126" s="728"/>
      <c r="M1126" s="148">
        <v>1.2</v>
      </c>
      <c r="N1126" s="148">
        <v>-1.2</v>
      </c>
      <c r="O1126" s="148">
        <v>-100</v>
      </c>
      <c r="P1126" s="728"/>
      <c r="Q1126" s="728"/>
      <c r="R1126" s="728"/>
    </row>
    <row r="1127" spans="2:18" ht="15.75" hidden="1" thickBot="1" x14ac:dyDescent="0.3">
      <c r="B1127" s="727" t="s">
        <v>723</v>
      </c>
      <c r="C1127" s="149" t="s">
        <v>85</v>
      </c>
      <c r="D1127" t="s">
        <v>86</v>
      </c>
      <c r="E1127" s="147">
        <v>30.382999999999999</v>
      </c>
      <c r="F1127" s="147">
        <v>9.5050000000000008</v>
      </c>
      <c r="G1127" s="147">
        <v>20.878</v>
      </c>
      <c r="H1127" s="147">
        <v>219.6528143082588</v>
      </c>
      <c r="I1127" s="729"/>
      <c r="J1127" s="147">
        <v>30.382999999999999</v>
      </c>
      <c r="K1127" s="147">
        <v>0</v>
      </c>
      <c r="L1127" s="147">
        <v>118.87976</v>
      </c>
      <c r="M1127" s="147">
        <v>120.636</v>
      </c>
      <c r="N1127" s="147">
        <v>-1.75624</v>
      </c>
      <c r="O1127" s="147">
        <v>-1.4558175005802581</v>
      </c>
      <c r="P1127" s="147">
        <v>22.443059999999999</v>
      </c>
      <c r="Q1127" s="147">
        <v>96.436700000000002</v>
      </c>
      <c r="R1127" s="147">
        <v>429.69497029371217</v>
      </c>
    </row>
    <row r="1128" spans="2:18" ht="15.75" hidden="1" thickBot="1" x14ac:dyDescent="0.3">
      <c r="B1128" s="727" t="s">
        <v>723</v>
      </c>
      <c r="C1128" s="144" t="s">
        <v>87</v>
      </c>
      <c r="D1128" t="s">
        <v>87</v>
      </c>
      <c r="E1128" s="148">
        <v>77.680149999999998</v>
      </c>
      <c r="F1128" s="148">
        <v>58.240319999999997</v>
      </c>
      <c r="G1128" s="148">
        <v>19.439830000000001</v>
      </c>
      <c r="H1128" s="148">
        <v>33.378645584364918</v>
      </c>
      <c r="I1128" s="728"/>
      <c r="J1128" s="148">
        <v>77.680149999999998</v>
      </c>
      <c r="K1128" s="148">
        <v>0</v>
      </c>
      <c r="L1128" s="148">
        <v>692.88622999999995</v>
      </c>
      <c r="M1128" s="148">
        <v>700.23009000000002</v>
      </c>
      <c r="N1128" s="148">
        <v>-7.3438600000000003</v>
      </c>
      <c r="O1128" s="148">
        <v>-1.0487781237735727</v>
      </c>
      <c r="P1128" s="148">
        <v>322.33632</v>
      </c>
      <c r="Q1128" s="148">
        <v>370.54991000000001</v>
      </c>
      <c r="R1128" s="148">
        <v>114.95754186186652</v>
      </c>
    </row>
    <row r="1129" spans="2:18" ht="15.75" hidden="1" thickBot="1" x14ac:dyDescent="0.3">
      <c r="B1129" s="727" t="s">
        <v>724</v>
      </c>
      <c r="C1129" s="722" t="s">
        <v>59</v>
      </c>
      <c r="D1129" t="s">
        <v>60</v>
      </c>
      <c r="E1129" s="147">
        <v>13.721869999999999</v>
      </c>
      <c r="F1129" s="147">
        <v>14.52651</v>
      </c>
      <c r="G1129" s="147">
        <v>-0.80464000000000002</v>
      </c>
      <c r="H1129" s="147">
        <v>-5.5391143502465496</v>
      </c>
      <c r="I1129" s="729"/>
      <c r="J1129" s="147">
        <v>13.721869999999999</v>
      </c>
      <c r="K1129" s="147">
        <v>0</v>
      </c>
      <c r="L1129" s="147">
        <v>181.51482999999999</v>
      </c>
      <c r="M1129" s="147">
        <v>173.40361999999999</v>
      </c>
      <c r="N1129" s="147">
        <v>8.1112099999999998</v>
      </c>
      <c r="O1129" s="147">
        <v>4.6776474447303924</v>
      </c>
      <c r="P1129" s="147">
        <v>92.458699999999993</v>
      </c>
      <c r="Q1129" s="147">
        <v>89.056129999999996</v>
      </c>
      <c r="R1129" s="147">
        <v>96.319902832291604</v>
      </c>
    </row>
    <row r="1130" spans="2:18" ht="15.75" hidden="1" thickBot="1" x14ac:dyDescent="0.3">
      <c r="B1130" s="727" t="s">
        <v>724</v>
      </c>
      <c r="C1130" s="722" t="s">
        <v>134</v>
      </c>
      <c r="D1130" t="s">
        <v>135</v>
      </c>
      <c r="E1130" s="728"/>
      <c r="F1130" s="728"/>
      <c r="G1130" s="728"/>
      <c r="H1130" s="728"/>
      <c r="I1130" s="728"/>
      <c r="J1130" s="728"/>
      <c r="K1130" s="728"/>
      <c r="L1130" s="148">
        <v>0.15815000000000001</v>
      </c>
      <c r="M1130" s="728"/>
      <c r="N1130" s="148">
        <v>0.15815000000000001</v>
      </c>
      <c r="O1130" s="148">
        <v>0</v>
      </c>
      <c r="P1130" s="728"/>
      <c r="Q1130" s="148">
        <v>0.15815000000000001</v>
      </c>
      <c r="R1130" s="148">
        <v>0</v>
      </c>
    </row>
    <row r="1131" spans="2:18" ht="15.75" hidden="1" thickBot="1" x14ac:dyDescent="0.3">
      <c r="B1131" s="727" t="s">
        <v>724</v>
      </c>
      <c r="C1131" s="722" t="s">
        <v>61</v>
      </c>
      <c r="D1131" t="s">
        <v>62</v>
      </c>
      <c r="E1131" s="147">
        <v>2.2702599999999999</v>
      </c>
      <c r="F1131" s="147">
        <v>2.2516099999999999</v>
      </c>
      <c r="G1131" s="147">
        <v>1.865E-2</v>
      </c>
      <c r="H1131" s="147">
        <v>0.82829619694352041</v>
      </c>
      <c r="I1131" s="729"/>
      <c r="J1131" s="147">
        <v>2.2702599999999999</v>
      </c>
      <c r="K1131" s="147">
        <v>0</v>
      </c>
      <c r="L1131" s="147">
        <v>27.080369999999998</v>
      </c>
      <c r="M1131" s="147">
        <v>26.877579999999998</v>
      </c>
      <c r="N1131" s="147">
        <v>0.20279</v>
      </c>
      <c r="O1131" s="147">
        <v>0.75449501033947253</v>
      </c>
      <c r="P1131" s="147">
        <v>13.4588</v>
      </c>
      <c r="Q1131" s="147">
        <v>13.62157</v>
      </c>
      <c r="R1131" s="147">
        <v>101.20939459684369</v>
      </c>
    </row>
    <row r="1132" spans="2:18" ht="15.75" hidden="1" thickBot="1" x14ac:dyDescent="0.3">
      <c r="B1132" s="727" t="s">
        <v>724</v>
      </c>
      <c r="C1132" s="722" t="s">
        <v>63</v>
      </c>
      <c r="D1132" t="s">
        <v>64</v>
      </c>
      <c r="E1132" s="148">
        <v>8.8197799999999997</v>
      </c>
      <c r="F1132" s="148">
        <v>8.7594899999999996</v>
      </c>
      <c r="G1132" s="148">
        <v>6.0290000000000003E-2</v>
      </c>
      <c r="H1132" s="148">
        <v>0.68828208034942673</v>
      </c>
      <c r="I1132" s="728"/>
      <c r="J1132" s="148">
        <v>8.8197799999999997</v>
      </c>
      <c r="K1132" s="148">
        <v>0</v>
      </c>
      <c r="L1132" s="148">
        <v>105.20504</v>
      </c>
      <c r="M1132" s="148">
        <v>104.56242</v>
      </c>
      <c r="N1132" s="148">
        <v>0.64261999999999997</v>
      </c>
      <c r="O1132" s="148">
        <v>0.61458026698310919</v>
      </c>
      <c r="P1132" s="148">
        <v>52.2864</v>
      </c>
      <c r="Q1132" s="148">
        <v>52.918640000000003</v>
      </c>
      <c r="R1132" s="148">
        <v>101.20918632761101</v>
      </c>
    </row>
    <row r="1133" spans="2:18" ht="15.75" hidden="1" thickBot="1" x14ac:dyDescent="0.3">
      <c r="B1133" s="727" t="s">
        <v>724</v>
      </c>
      <c r="C1133" s="722" t="s">
        <v>65</v>
      </c>
      <c r="D1133" t="s">
        <v>66</v>
      </c>
      <c r="E1133" s="147">
        <v>-1.2666599999999999</v>
      </c>
      <c r="F1133" s="147">
        <v>-0.25536999999999999</v>
      </c>
      <c r="G1133" s="147">
        <v>-1.01129</v>
      </c>
      <c r="H1133" s="147">
        <v>-396.00971139914634</v>
      </c>
      <c r="I1133" s="729"/>
      <c r="J1133" s="147">
        <v>-1.2666599999999999</v>
      </c>
      <c r="K1133" s="147">
        <v>0</v>
      </c>
      <c r="L1133" s="147">
        <v>-18.705670000000001</v>
      </c>
      <c r="M1133" s="147">
        <v>-3.0483600000000002</v>
      </c>
      <c r="N1133" s="147">
        <v>-15.657310000000001</v>
      </c>
      <c r="O1133" s="147">
        <v>-513.63060793344619</v>
      </c>
      <c r="P1133" s="147">
        <v>-5.5250199999999996</v>
      </c>
      <c r="Q1133" s="147">
        <v>-13.18065</v>
      </c>
      <c r="R1133" s="147">
        <v>-238.56293732873365</v>
      </c>
    </row>
    <row r="1134" spans="2:18" ht="15.75" hidden="1" thickBot="1" x14ac:dyDescent="0.3">
      <c r="B1134" s="727" t="s">
        <v>724</v>
      </c>
      <c r="C1134" s="149" t="s">
        <v>67</v>
      </c>
      <c r="D1134" t="s">
        <v>68</v>
      </c>
      <c r="E1134" s="148">
        <v>23.545249999999999</v>
      </c>
      <c r="F1134" s="148">
        <v>25.282240000000002</v>
      </c>
      <c r="G1134" s="148">
        <v>-1.73699</v>
      </c>
      <c r="H1134" s="148">
        <v>-6.8703959775716079</v>
      </c>
      <c r="I1134" s="728"/>
      <c r="J1134" s="148">
        <v>23.545249999999999</v>
      </c>
      <c r="K1134" s="148">
        <v>0</v>
      </c>
      <c r="L1134" s="148">
        <v>295.25272000000001</v>
      </c>
      <c r="M1134" s="148">
        <v>301.79525999999998</v>
      </c>
      <c r="N1134" s="148">
        <v>-6.5425399999999998</v>
      </c>
      <c r="O1134" s="148">
        <v>-2.167873677008711</v>
      </c>
      <c r="P1134" s="148">
        <v>152.67887999999999</v>
      </c>
      <c r="Q1134" s="148">
        <v>142.57383999999999</v>
      </c>
      <c r="R1134" s="148">
        <v>93.381507645327233</v>
      </c>
    </row>
    <row r="1135" spans="2:18" ht="15.75" hidden="1" thickBot="1" x14ac:dyDescent="0.3">
      <c r="B1135" s="727" t="s">
        <v>724</v>
      </c>
      <c r="C1135" s="722" t="s">
        <v>69</v>
      </c>
      <c r="D1135" t="s">
        <v>70</v>
      </c>
      <c r="E1135" s="729"/>
      <c r="F1135" s="147">
        <v>0.375</v>
      </c>
      <c r="G1135" s="147">
        <v>-0.375</v>
      </c>
      <c r="H1135" s="147">
        <v>-100</v>
      </c>
      <c r="I1135" s="729"/>
      <c r="J1135" s="729"/>
      <c r="K1135" s="729"/>
      <c r="L1135" s="147">
        <v>2.1240000000000001</v>
      </c>
      <c r="M1135" s="147">
        <v>4.5</v>
      </c>
      <c r="N1135" s="147">
        <v>-2.3759999999999999</v>
      </c>
      <c r="O1135" s="147">
        <v>-52.8</v>
      </c>
      <c r="P1135" s="147">
        <v>0.32900000000000001</v>
      </c>
      <c r="Q1135" s="147">
        <v>1.7949999999999999</v>
      </c>
      <c r="R1135" s="147">
        <v>545.59270516717322</v>
      </c>
    </row>
    <row r="1136" spans="2:18" ht="15.75" hidden="1" thickBot="1" x14ac:dyDescent="0.3">
      <c r="B1136" s="727" t="s">
        <v>724</v>
      </c>
      <c r="C1136" s="722" t="s">
        <v>190</v>
      </c>
      <c r="D1136" t="s">
        <v>191</v>
      </c>
      <c r="E1136" s="728"/>
      <c r="F1136" s="728"/>
      <c r="G1136" s="728"/>
      <c r="H1136" s="728"/>
      <c r="I1136" s="728"/>
      <c r="J1136" s="728"/>
      <c r="K1136" s="728"/>
      <c r="L1136" s="148">
        <v>8.5699999999999995E-3</v>
      </c>
      <c r="M1136" s="728"/>
      <c r="N1136" s="148">
        <v>8.5699999999999995E-3</v>
      </c>
      <c r="O1136" s="148">
        <v>0</v>
      </c>
      <c r="P1136" s="728"/>
      <c r="Q1136" s="148">
        <v>8.5699999999999995E-3</v>
      </c>
      <c r="R1136" s="148">
        <v>0</v>
      </c>
    </row>
    <row r="1137" spans="2:18" ht="15.75" hidden="1" thickBot="1" x14ac:dyDescent="0.3">
      <c r="B1137" s="727" t="s">
        <v>724</v>
      </c>
      <c r="C1137" s="722" t="s">
        <v>139</v>
      </c>
      <c r="D1137" t="s">
        <v>140</v>
      </c>
      <c r="E1137" s="729"/>
      <c r="F1137" s="147">
        <v>0.20499999999999999</v>
      </c>
      <c r="G1137" s="147">
        <v>-0.20499999999999999</v>
      </c>
      <c r="H1137" s="147">
        <v>-100</v>
      </c>
      <c r="I1137" s="729"/>
      <c r="J1137" s="729"/>
      <c r="K1137" s="729"/>
      <c r="L1137" s="147">
        <v>0.19977</v>
      </c>
      <c r="M1137" s="147">
        <v>1.321</v>
      </c>
      <c r="N1137" s="147">
        <v>-1.1212299999999999</v>
      </c>
      <c r="O1137" s="147">
        <v>-84.877365632096897</v>
      </c>
      <c r="P1137" s="147">
        <v>0.19977</v>
      </c>
      <c r="Q1137" s="147">
        <v>0</v>
      </c>
      <c r="R1137" s="147">
        <v>0</v>
      </c>
    </row>
    <row r="1138" spans="2:18" ht="15.75" hidden="1" thickBot="1" x14ac:dyDescent="0.3">
      <c r="B1138" s="727" t="s">
        <v>724</v>
      </c>
      <c r="C1138" s="722" t="s">
        <v>101</v>
      </c>
      <c r="D1138" t="s">
        <v>102</v>
      </c>
      <c r="E1138" s="148">
        <v>22.5</v>
      </c>
      <c r="F1138" s="728"/>
      <c r="G1138" s="148">
        <v>22.5</v>
      </c>
      <c r="H1138" s="148">
        <v>0</v>
      </c>
      <c r="I1138" s="728"/>
      <c r="J1138" s="148">
        <v>22.5</v>
      </c>
      <c r="K1138" s="148">
        <v>0</v>
      </c>
      <c r="L1138" s="148">
        <v>22.5</v>
      </c>
      <c r="M1138" s="728"/>
      <c r="N1138" s="148">
        <v>22.5</v>
      </c>
      <c r="O1138" s="148">
        <v>0</v>
      </c>
      <c r="P1138" s="728"/>
      <c r="Q1138" s="148">
        <v>22.5</v>
      </c>
      <c r="R1138" s="148">
        <v>0</v>
      </c>
    </row>
    <row r="1139" spans="2:18" ht="15.75" hidden="1" thickBot="1" x14ac:dyDescent="0.3">
      <c r="B1139" s="727" t="s">
        <v>724</v>
      </c>
      <c r="C1139" s="722" t="s">
        <v>73</v>
      </c>
      <c r="D1139" t="s">
        <v>74</v>
      </c>
      <c r="E1139" s="729"/>
      <c r="F1139" s="147">
        <v>0.02</v>
      </c>
      <c r="G1139" s="147">
        <v>-0.02</v>
      </c>
      <c r="H1139" s="147">
        <v>-100</v>
      </c>
      <c r="I1139" s="729"/>
      <c r="J1139" s="729"/>
      <c r="K1139" s="729"/>
      <c r="L1139" s="147">
        <v>2.0209999999999999E-2</v>
      </c>
      <c r="M1139" s="147">
        <v>0.24</v>
      </c>
      <c r="N1139" s="147">
        <v>-0.21979000000000001</v>
      </c>
      <c r="O1139" s="147">
        <v>-91.579166666666666</v>
      </c>
      <c r="P1139" s="729"/>
      <c r="Q1139" s="147">
        <v>2.0209999999999999E-2</v>
      </c>
      <c r="R1139" s="147">
        <v>0</v>
      </c>
    </row>
    <row r="1140" spans="2:18" ht="15.75" hidden="1" thickBot="1" x14ac:dyDescent="0.3">
      <c r="B1140" s="727" t="s">
        <v>724</v>
      </c>
      <c r="C1140" s="722" t="s">
        <v>111</v>
      </c>
      <c r="D1140" t="s">
        <v>112</v>
      </c>
      <c r="E1140" s="728"/>
      <c r="F1140" s="728"/>
      <c r="G1140" s="728"/>
      <c r="H1140" s="728"/>
      <c r="I1140" s="728"/>
      <c r="J1140" s="728"/>
      <c r="K1140" s="728"/>
      <c r="L1140" s="148">
        <v>0.25297999999999998</v>
      </c>
      <c r="M1140" s="728"/>
      <c r="N1140" s="148">
        <v>0.25297999999999998</v>
      </c>
      <c r="O1140" s="148">
        <v>0</v>
      </c>
      <c r="P1140" s="148">
        <v>0.25297999999999998</v>
      </c>
      <c r="Q1140" s="148">
        <v>0</v>
      </c>
      <c r="R1140" s="148">
        <v>0</v>
      </c>
    </row>
    <row r="1141" spans="2:18" ht="15.75" hidden="1" thickBot="1" x14ac:dyDescent="0.3">
      <c r="B1141" s="727" t="s">
        <v>724</v>
      </c>
      <c r="C1141" s="722" t="s">
        <v>113</v>
      </c>
      <c r="D1141" t="s">
        <v>114</v>
      </c>
      <c r="E1141" s="729"/>
      <c r="F1141" s="729"/>
      <c r="G1141" s="729"/>
      <c r="H1141" s="729"/>
      <c r="I1141" s="729"/>
      <c r="J1141" s="729"/>
      <c r="K1141" s="729"/>
      <c r="L1141" s="147">
        <v>9.4999999999999998E-3</v>
      </c>
      <c r="M1141" s="729"/>
      <c r="N1141" s="147">
        <v>9.4999999999999998E-3</v>
      </c>
      <c r="O1141" s="147">
        <v>0</v>
      </c>
      <c r="P1141" s="729"/>
      <c r="Q1141" s="147">
        <v>9.4999999999999998E-3</v>
      </c>
      <c r="R1141" s="147">
        <v>0</v>
      </c>
    </row>
    <row r="1142" spans="2:18" ht="15.75" hidden="1" thickBot="1" x14ac:dyDescent="0.3">
      <c r="B1142" s="727" t="s">
        <v>724</v>
      </c>
      <c r="C1142" s="722" t="s">
        <v>149</v>
      </c>
      <c r="D1142" t="s">
        <v>150</v>
      </c>
      <c r="E1142" s="148">
        <v>252.958</v>
      </c>
      <c r="F1142" s="148">
        <v>140.47499999999999</v>
      </c>
      <c r="G1142" s="148">
        <v>112.483</v>
      </c>
      <c r="H1142" s="148">
        <v>80.073322655276741</v>
      </c>
      <c r="I1142" s="728"/>
      <c r="J1142" s="148">
        <v>252.958</v>
      </c>
      <c r="K1142" s="148">
        <v>0</v>
      </c>
      <c r="L1142" s="148">
        <v>1500.502</v>
      </c>
      <c r="M1142" s="148">
        <v>1155.7</v>
      </c>
      <c r="N1142" s="148">
        <v>344.80200000000002</v>
      </c>
      <c r="O1142" s="148">
        <v>29.834905252228086</v>
      </c>
      <c r="P1142" s="148">
        <v>618.99400000000003</v>
      </c>
      <c r="Q1142" s="148">
        <v>881.50800000000004</v>
      </c>
      <c r="R1142" s="148">
        <v>142.40978103180322</v>
      </c>
    </row>
    <row r="1143" spans="2:18" ht="15.75" hidden="1" thickBot="1" x14ac:dyDescent="0.3">
      <c r="B1143" s="727" t="s">
        <v>724</v>
      </c>
      <c r="C1143" s="722" t="s">
        <v>75</v>
      </c>
      <c r="D1143" t="s">
        <v>76</v>
      </c>
      <c r="E1143" s="147">
        <v>1.7250000000000001E-2</v>
      </c>
      <c r="F1143" s="147">
        <v>7.4999999999999997E-2</v>
      </c>
      <c r="G1143" s="147">
        <v>-5.7750000000000003E-2</v>
      </c>
      <c r="H1143" s="147">
        <v>-77</v>
      </c>
      <c r="I1143" s="729"/>
      <c r="J1143" s="147">
        <v>1.7250000000000001E-2</v>
      </c>
      <c r="K1143" s="147">
        <v>0</v>
      </c>
      <c r="L1143" s="147">
        <v>0.52959000000000001</v>
      </c>
      <c r="M1143" s="147">
        <v>0.9</v>
      </c>
      <c r="N1143" s="147">
        <v>-0.37041000000000002</v>
      </c>
      <c r="O1143" s="147">
        <v>-41.156666666666666</v>
      </c>
      <c r="P1143" s="147">
        <v>0.30023</v>
      </c>
      <c r="Q1143" s="147">
        <v>0.22936000000000001</v>
      </c>
      <c r="R1143" s="147">
        <v>76.394764014255742</v>
      </c>
    </row>
    <row r="1144" spans="2:18" ht="15.75" hidden="1" thickBot="1" x14ac:dyDescent="0.3">
      <c r="B1144" s="727" t="s">
        <v>724</v>
      </c>
      <c r="C1144" s="722" t="s">
        <v>77</v>
      </c>
      <c r="D1144" t="s">
        <v>78</v>
      </c>
      <c r="E1144" s="728"/>
      <c r="F1144" s="148">
        <v>0.5</v>
      </c>
      <c r="G1144" s="148">
        <v>-0.5</v>
      </c>
      <c r="H1144" s="148">
        <v>-100</v>
      </c>
      <c r="I1144" s="728"/>
      <c r="J1144" s="728"/>
      <c r="K1144" s="728"/>
      <c r="L1144" s="148">
        <v>1.5304199999999999</v>
      </c>
      <c r="M1144" s="148">
        <v>6</v>
      </c>
      <c r="N1144" s="148">
        <v>-4.4695799999999997</v>
      </c>
      <c r="O1144" s="148">
        <v>-74.492999999999995</v>
      </c>
      <c r="P1144" s="728"/>
      <c r="Q1144" s="148">
        <v>1.5304199999999999</v>
      </c>
      <c r="R1144" s="148">
        <v>0</v>
      </c>
    </row>
    <row r="1145" spans="2:18" ht="15.75" hidden="1" thickBot="1" x14ac:dyDescent="0.3">
      <c r="B1145" s="727" t="s">
        <v>724</v>
      </c>
      <c r="C1145" s="722" t="s">
        <v>81</v>
      </c>
      <c r="D1145" t="s">
        <v>82</v>
      </c>
      <c r="E1145" s="147">
        <v>0.04</v>
      </c>
      <c r="F1145" s="729"/>
      <c r="G1145" s="147">
        <v>0.04</v>
      </c>
      <c r="H1145" s="147">
        <v>0</v>
      </c>
      <c r="I1145" s="729"/>
      <c r="J1145" s="147">
        <v>0.04</v>
      </c>
      <c r="K1145" s="147">
        <v>0</v>
      </c>
      <c r="L1145" s="147">
        <v>0.04</v>
      </c>
      <c r="M1145" s="729"/>
      <c r="N1145" s="147">
        <v>0.04</v>
      </c>
      <c r="O1145" s="147">
        <v>0</v>
      </c>
      <c r="P1145" s="147">
        <v>0</v>
      </c>
      <c r="Q1145" s="147">
        <v>0.04</v>
      </c>
      <c r="R1145" s="147">
        <v>0</v>
      </c>
    </row>
    <row r="1146" spans="2:18" ht="15.75" hidden="1" thickBot="1" x14ac:dyDescent="0.3">
      <c r="B1146" s="727" t="s">
        <v>724</v>
      </c>
      <c r="C1146" s="722" t="s">
        <v>83</v>
      </c>
      <c r="D1146" t="s">
        <v>84</v>
      </c>
      <c r="E1146" s="728"/>
      <c r="F1146" s="148">
        <v>0.16</v>
      </c>
      <c r="G1146" s="148">
        <v>-0.16</v>
      </c>
      <c r="H1146" s="148">
        <v>-100</v>
      </c>
      <c r="I1146" s="728"/>
      <c r="J1146" s="728"/>
      <c r="K1146" s="728"/>
      <c r="L1146" s="728"/>
      <c r="M1146" s="148">
        <v>1.92</v>
      </c>
      <c r="N1146" s="148">
        <v>-1.92</v>
      </c>
      <c r="O1146" s="148">
        <v>-100</v>
      </c>
      <c r="P1146" s="728"/>
      <c r="Q1146" s="728"/>
      <c r="R1146" s="728"/>
    </row>
    <row r="1147" spans="2:18" ht="15.75" hidden="1" thickBot="1" x14ac:dyDescent="0.3">
      <c r="B1147" s="727" t="s">
        <v>724</v>
      </c>
      <c r="C1147" s="149" t="s">
        <v>85</v>
      </c>
      <c r="D1147" t="s">
        <v>86</v>
      </c>
      <c r="E1147" s="147">
        <v>275.51524999999998</v>
      </c>
      <c r="F1147" s="147">
        <v>141.81</v>
      </c>
      <c r="G1147" s="147">
        <v>133.70525000000001</v>
      </c>
      <c r="H1147" s="147">
        <v>94.284782455398073</v>
      </c>
      <c r="I1147" s="729"/>
      <c r="J1147" s="147">
        <v>275.51524999999998</v>
      </c>
      <c r="K1147" s="147">
        <v>0</v>
      </c>
      <c r="L1147" s="147">
        <v>1527.71704</v>
      </c>
      <c r="M1147" s="147">
        <v>1170.5809999999999</v>
      </c>
      <c r="N1147" s="147">
        <v>357.13603999999998</v>
      </c>
      <c r="O1147" s="147">
        <v>30.509297519778642</v>
      </c>
      <c r="P1147" s="147">
        <v>620.07597999999996</v>
      </c>
      <c r="Q1147" s="147">
        <v>907.64106000000004</v>
      </c>
      <c r="R1147" s="147">
        <v>146.37578123893786</v>
      </c>
    </row>
    <row r="1148" spans="2:18" ht="15.75" hidden="1" thickBot="1" x14ac:dyDescent="0.3">
      <c r="B1148" s="727" t="s">
        <v>724</v>
      </c>
      <c r="C1148" s="144" t="s">
        <v>87</v>
      </c>
      <c r="D1148" t="s">
        <v>87</v>
      </c>
      <c r="E1148" s="148">
        <v>299.06049999999999</v>
      </c>
      <c r="F1148" s="148">
        <v>167.09224</v>
      </c>
      <c r="G1148" s="148">
        <v>131.96825999999999</v>
      </c>
      <c r="H1148" s="148">
        <v>78.979287129073143</v>
      </c>
      <c r="I1148" s="728"/>
      <c r="J1148" s="148">
        <v>299.06049999999999</v>
      </c>
      <c r="K1148" s="148">
        <v>0</v>
      </c>
      <c r="L1148" s="148">
        <v>1822.96976</v>
      </c>
      <c r="M1148" s="148">
        <v>1472.37626</v>
      </c>
      <c r="N1148" s="148">
        <v>350.59350000000001</v>
      </c>
      <c r="O1148" s="148">
        <v>23.811406739198581</v>
      </c>
      <c r="P1148" s="148">
        <v>772.75486000000001</v>
      </c>
      <c r="Q1148" s="148">
        <v>1050.2148999999999</v>
      </c>
      <c r="R1148" s="148">
        <v>135.90531154990083</v>
      </c>
    </row>
    <row r="1149" spans="2:18" ht="15.75" hidden="1" thickBot="1" x14ac:dyDescent="0.3">
      <c r="B1149" s="727" t="s">
        <v>725</v>
      </c>
      <c r="C1149" s="722" t="s">
        <v>59</v>
      </c>
      <c r="D1149" t="s">
        <v>60</v>
      </c>
      <c r="E1149" s="147">
        <v>5.8500199999999998</v>
      </c>
      <c r="F1149" s="147">
        <v>6.2063300000000003</v>
      </c>
      <c r="G1149" s="147">
        <v>-0.35631000000000002</v>
      </c>
      <c r="H1149" s="147">
        <v>-5.7410740324797427</v>
      </c>
      <c r="I1149" s="729"/>
      <c r="J1149" s="147">
        <v>5.8500199999999998</v>
      </c>
      <c r="K1149" s="147">
        <v>0</v>
      </c>
      <c r="L1149" s="147">
        <v>74.83793</v>
      </c>
      <c r="M1149" s="147">
        <v>74.085239999999999</v>
      </c>
      <c r="N1149" s="147">
        <v>0.75268999999999997</v>
      </c>
      <c r="O1149" s="147">
        <v>1.0159783514233065</v>
      </c>
      <c r="P1149" s="147">
        <v>39.23948</v>
      </c>
      <c r="Q1149" s="147">
        <v>35.59845</v>
      </c>
      <c r="R1149" s="147">
        <v>90.721003438373799</v>
      </c>
    </row>
    <row r="1150" spans="2:18" ht="15.75" hidden="1" thickBot="1" x14ac:dyDescent="0.3">
      <c r="B1150" s="727" t="s">
        <v>725</v>
      </c>
      <c r="C1150" s="722" t="s">
        <v>91</v>
      </c>
      <c r="D1150" t="s">
        <v>92</v>
      </c>
      <c r="E1150" s="148">
        <v>15.45814</v>
      </c>
      <c r="F1150" s="148">
        <v>18.094390000000001</v>
      </c>
      <c r="G1150" s="148">
        <v>-2.63625</v>
      </c>
      <c r="H1150" s="148">
        <v>-14.56943284631314</v>
      </c>
      <c r="I1150" s="728"/>
      <c r="J1150" s="148">
        <v>15.45814</v>
      </c>
      <c r="K1150" s="148">
        <v>0</v>
      </c>
      <c r="L1150" s="148">
        <v>187.96896000000001</v>
      </c>
      <c r="M1150" s="148">
        <v>211.33546000000001</v>
      </c>
      <c r="N1150" s="148">
        <v>-23.366499999999998</v>
      </c>
      <c r="O1150" s="148">
        <v>-11.056592206532684</v>
      </c>
      <c r="P1150" s="148">
        <v>98.442999999999998</v>
      </c>
      <c r="Q1150" s="148">
        <v>89.525959999999998</v>
      </c>
      <c r="R1150" s="148">
        <v>90.941925784464104</v>
      </c>
    </row>
    <row r="1151" spans="2:18" ht="15.75" hidden="1" thickBot="1" x14ac:dyDescent="0.3">
      <c r="B1151" s="727" t="s">
        <v>725</v>
      </c>
      <c r="C1151" s="722" t="s">
        <v>93</v>
      </c>
      <c r="D1151" t="s">
        <v>94</v>
      </c>
      <c r="E1151" s="147">
        <v>0.95308999999999999</v>
      </c>
      <c r="F1151" s="147">
        <v>0.42436000000000001</v>
      </c>
      <c r="G1151" s="147">
        <v>0.52873000000000003</v>
      </c>
      <c r="H1151" s="147">
        <v>124.59468375907248</v>
      </c>
      <c r="I1151" s="729"/>
      <c r="J1151" s="147">
        <v>0.95308999999999999</v>
      </c>
      <c r="K1151" s="147">
        <v>0</v>
      </c>
      <c r="L1151" s="147">
        <v>3.9642400000000002</v>
      </c>
      <c r="M1151" s="147">
        <v>4.9563600000000001</v>
      </c>
      <c r="N1151" s="147">
        <v>-0.99212</v>
      </c>
      <c r="O1151" s="147">
        <v>-20.017109330234284</v>
      </c>
      <c r="P1151" s="147">
        <v>1.3396399999999999</v>
      </c>
      <c r="Q1151" s="147">
        <v>2.6246</v>
      </c>
      <c r="R1151" s="147">
        <v>195.9183064106775</v>
      </c>
    </row>
    <row r="1152" spans="2:18" ht="15.75" hidden="1" thickBot="1" x14ac:dyDescent="0.3">
      <c r="B1152" s="727" t="s">
        <v>725</v>
      </c>
      <c r="C1152" s="722" t="s">
        <v>61</v>
      </c>
      <c r="D1152" t="s">
        <v>62</v>
      </c>
      <c r="E1152" s="148">
        <v>3.6063399999999999</v>
      </c>
      <c r="F1152" s="148">
        <v>3.76661</v>
      </c>
      <c r="G1152" s="148">
        <v>-0.16027</v>
      </c>
      <c r="H1152" s="148">
        <v>-4.2550197657840867</v>
      </c>
      <c r="I1152" s="728"/>
      <c r="J1152" s="148">
        <v>3.6063399999999999</v>
      </c>
      <c r="K1152" s="148">
        <v>0</v>
      </c>
      <c r="L1152" s="148">
        <v>40.062150000000003</v>
      </c>
      <c r="M1152" s="148">
        <v>44.240169999999999</v>
      </c>
      <c r="N1152" s="148">
        <v>-4.1780200000000001</v>
      </c>
      <c r="O1152" s="148">
        <v>-9.443951051725163</v>
      </c>
      <c r="P1152" s="148">
        <v>20.534199999999998</v>
      </c>
      <c r="Q1152" s="148">
        <v>19.527950000000001</v>
      </c>
      <c r="R1152" s="148">
        <v>95.099638651615351</v>
      </c>
    </row>
    <row r="1153" spans="2:18" ht="15.75" hidden="1" thickBot="1" x14ac:dyDescent="0.3">
      <c r="B1153" s="727" t="s">
        <v>725</v>
      </c>
      <c r="C1153" s="722" t="s">
        <v>63</v>
      </c>
      <c r="D1153" t="s">
        <v>64</v>
      </c>
      <c r="E1153" s="147">
        <v>14.167490000000001</v>
      </c>
      <c r="F1153" s="147">
        <v>14.65333</v>
      </c>
      <c r="G1153" s="147">
        <v>-0.48583999999999999</v>
      </c>
      <c r="H1153" s="147">
        <v>-3.3155603538581331</v>
      </c>
      <c r="I1153" s="729"/>
      <c r="J1153" s="147">
        <v>14.167490000000001</v>
      </c>
      <c r="K1153" s="147">
        <v>0</v>
      </c>
      <c r="L1153" s="147">
        <v>156.29666</v>
      </c>
      <c r="M1153" s="147">
        <v>172.10866999999999</v>
      </c>
      <c r="N1153" s="147">
        <v>-15.812010000000001</v>
      </c>
      <c r="O1153" s="147">
        <v>-9.187224559924843</v>
      </c>
      <c r="P1153" s="147">
        <v>79.997720000000001</v>
      </c>
      <c r="Q1153" s="147">
        <v>76.298940000000002</v>
      </c>
      <c r="R1153" s="147">
        <v>95.376393227206975</v>
      </c>
    </row>
    <row r="1154" spans="2:18" ht="15.75" hidden="1" thickBot="1" x14ac:dyDescent="0.3">
      <c r="B1154" s="727" t="s">
        <v>725</v>
      </c>
      <c r="C1154" s="722" t="s">
        <v>65</v>
      </c>
      <c r="D1154" t="s">
        <v>66</v>
      </c>
      <c r="E1154" s="148">
        <v>-1.19092</v>
      </c>
      <c r="F1154" s="148">
        <v>-0.65464999999999995</v>
      </c>
      <c r="G1154" s="148">
        <v>-0.53627000000000002</v>
      </c>
      <c r="H1154" s="148">
        <v>-81.917054914839994</v>
      </c>
      <c r="I1154" s="728"/>
      <c r="J1154" s="148">
        <v>-1.19092</v>
      </c>
      <c r="K1154" s="148">
        <v>0</v>
      </c>
      <c r="L1154" s="148">
        <v>-7.7567500000000003</v>
      </c>
      <c r="M1154" s="148">
        <v>-7.8145800000000003</v>
      </c>
      <c r="N1154" s="148">
        <v>5.7829999999999999E-2</v>
      </c>
      <c r="O1154" s="148">
        <v>0.74002697521811789</v>
      </c>
      <c r="P1154" s="148">
        <v>-3.8951699999999998</v>
      </c>
      <c r="Q1154" s="148">
        <v>-3.86158</v>
      </c>
      <c r="R1154" s="148">
        <v>-99.137649961362399</v>
      </c>
    </row>
    <row r="1155" spans="2:18" ht="15.75" hidden="1" thickBot="1" x14ac:dyDescent="0.3">
      <c r="B1155" s="727" t="s">
        <v>725</v>
      </c>
      <c r="C1155" s="722" t="s">
        <v>163</v>
      </c>
      <c r="D1155" t="s">
        <v>164</v>
      </c>
      <c r="E1155" s="147">
        <v>-0.35081000000000001</v>
      </c>
      <c r="F1155" s="147">
        <v>-0.31808999999999998</v>
      </c>
      <c r="G1155" s="147">
        <v>-3.2719999999999999E-2</v>
      </c>
      <c r="H1155" s="147">
        <v>-10.286396931686001</v>
      </c>
      <c r="I1155" s="729"/>
      <c r="J1155" s="147">
        <v>-0.35081000000000001</v>
      </c>
      <c r="K1155" s="147">
        <v>0</v>
      </c>
      <c r="L1155" s="147">
        <v>-3.3505600000000002</v>
      </c>
      <c r="M1155" s="147">
        <v>-3.7151100000000001</v>
      </c>
      <c r="N1155" s="147">
        <v>0.36454999999999999</v>
      </c>
      <c r="O1155" s="147">
        <v>9.8126300432557851</v>
      </c>
      <c r="P1155" s="147">
        <v>-1.41194</v>
      </c>
      <c r="Q1155" s="147">
        <v>-1.93862</v>
      </c>
      <c r="R1155" s="147">
        <v>-137.30186835134637</v>
      </c>
    </row>
    <row r="1156" spans="2:18" ht="15.75" hidden="1" thickBot="1" x14ac:dyDescent="0.3">
      <c r="B1156" s="727" t="s">
        <v>725</v>
      </c>
      <c r="C1156" s="149" t="s">
        <v>67</v>
      </c>
      <c r="D1156" t="s">
        <v>68</v>
      </c>
      <c r="E1156" s="148">
        <v>38.49335</v>
      </c>
      <c r="F1156" s="148">
        <v>42.172280000000001</v>
      </c>
      <c r="G1156" s="148">
        <v>-3.6789299999999998</v>
      </c>
      <c r="H1156" s="148">
        <v>-8.723573873644014</v>
      </c>
      <c r="I1156" s="728"/>
      <c r="J1156" s="148">
        <v>38.49335</v>
      </c>
      <c r="K1156" s="148">
        <v>0</v>
      </c>
      <c r="L1156" s="148">
        <v>452.02262999999999</v>
      </c>
      <c r="M1156" s="148">
        <v>495.19621000000001</v>
      </c>
      <c r="N1156" s="148">
        <v>-43.173580000000001</v>
      </c>
      <c r="O1156" s="148">
        <v>-8.7184794891705657</v>
      </c>
      <c r="P1156" s="148">
        <v>234.24692999999999</v>
      </c>
      <c r="Q1156" s="148">
        <v>217.7757</v>
      </c>
      <c r="R1156" s="148">
        <v>92.968432926741031</v>
      </c>
    </row>
    <row r="1157" spans="2:18" ht="15.75" hidden="1" thickBot="1" x14ac:dyDescent="0.3">
      <c r="B1157" s="727" t="s">
        <v>725</v>
      </c>
      <c r="C1157" s="722" t="s">
        <v>69</v>
      </c>
      <c r="D1157" t="s">
        <v>70</v>
      </c>
      <c r="E1157" s="729"/>
      <c r="F1157" s="729"/>
      <c r="G1157" s="729"/>
      <c r="H1157" s="729"/>
      <c r="I1157" s="729"/>
      <c r="J1157" s="729"/>
      <c r="K1157" s="729"/>
      <c r="L1157" s="729"/>
      <c r="M1157" s="147">
        <v>3</v>
      </c>
      <c r="N1157" s="147">
        <v>-3</v>
      </c>
      <c r="O1157" s="147">
        <v>-100</v>
      </c>
      <c r="P1157" s="729"/>
      <c r="Q1157" s="729"/>
      <c r="R1157" s="729"/>
    </row>
    <row r="1158" spans="2:18" ht="15.75" hidden="1" thickBot="1" x14ac:dyDescent="0.3">
      <c r="B1158" s="727" t="s">
        <v>725</v>
      </c>
      <c r="C1158" s="722" t="s">
        <v>99</v>
      </c>
      <c r="D1158" t="s">
        <v>100</v>
      </c>
      <c r="E1158" s="728"/>
      <c r="F1158" s="728"/>
      <c r="G1158" s="728"/>
      <c r="H1158" s="728"/>
      <c r="I1158" s="728"/>
      <c r="J1158" s="728"/>
      <c r="K1158" s="728"/>
      <c r="L1158" s="148">
        <v>2.8740000000000002E-2</v>
      </c>
      <c r="M1158" s="728"/>
      <c r="N1158" s="148">
        <v>2.8740000000000002E-2</v>
      </c>
      <c r="O1158" s="148">
        <v>0</v>
      </c>
      <c r="P1158" s="148">
        <v>2.8740000000000002E-2</v>
      </c>
      <c r="Q1158" s="148">
        <v>0</v>
      </c>
      <c r="R1158" s="148">
        <v>0</v>
      </c>
    </row>
    <row r="1159" spans="2:18" ht="15.75" hidden="1" thickBot="1" x14ac:dyDescent="0.3">
      <c r="B1159" s="727" t="s">
        <v>725</v>
      </c>
      <c r="C1159" s="722" t="s">
        <v>139</v>
      </c>
      <c r="D1159" t="s">
        <v>140</v>
      </c>
      <c r="E1159" s="729"/>
      <c r="F1159" s="729"/>
      <c r="G1159" s="729"/>
      <c r="H1159" s="729"/>
      <c r="I1159" s="729"/>
      <c r="J1159" s="729"/>
      <c r="K1159" s="729"/>
      <c r="L1159" s="729"/>
      <c r="M1159" s="147">
        <v>0.5</v>
      </c>
      <c r="N1159" s="147">
        <v>-0.5</v>
      </c>
      <c r="O1159" s="147">
        <v>-100</v>
      </c>
      <c r="P1159" s="729"/>
      <c r="Q1159" s="729"/>
      <c r="R1159" s="729"/>
    </row>
    <row r="1160" spans="2:18" ht="15.75" hidden="1" thickBot="1" x14ac:dyDescent="0.3">
      <c r="B1160" s="727" t="s">
        <v>725</v>
      </c>
      <c r="C1160" s="722" t="s">
        <v>169</v>
      </c>
      <c r="D1160" t="s">
        <v>170</v>
      </c>
      <c r="E1160" s="728"/>
      <c r="F1160" s="148">
        <v>0</v>
      </c>
      <c r="G1160" s="148">
        <v>0</v>
      </c>
      <c r="H1160" s="148">
        <v>0</v>
      </c>
      <c r="I1160" s="728"/>
      <c r="J1160" s="728"/>
      <c r="K1160" s="728"/>
      <c r="L1160" s="148">
        <v>67.890649999999994</v>
      </c>
      <c r="M1160" s="148">
        <v>0</v>
      </c>
      <c r="N1160" s="148">
        <v>67.890649999999994</v>
      </c>
      <c r="O1160" s="148">
        <v>0</v>
      </c>
      <c r="P1160" s="148">
        <v>12.36928</v>
      </c>
      <c r="Q1160" s="148">
        <v>55.521369999999997</v>
      </c>
      <c r="R1160" s="148">
        <v>448.86501073627568</v>
      </c>
    </row>
    <row r="1161" spans="2:18" ht="15.75" hidden="1" thickBot="1" x14ac:dyDescent="0.3">
      <c r="B1161" s="727" t="s">
        <v>725</v>
      </c>
      <c r="C1161" s="722" t="s">
        <v>101</v>
      </c>
      <c r="D1161" t="s">
        <v>102</v>
      </c>
      <c r="E1161" s="147">
        <v>0.16456999999999999</v>
      </c>
      <c r="F1161" s="147">
        <v>4.4999999999999998E-2</v>
      </c>
      <c r="G1161" s="147">
        <v>0.11957</v>
      </c>
      <c r="H1161" s="147">
        <v>265.71111111111111</v>
      </c>
      <c r="I1161" s="729"/>
      <c r="J1161" s="147">
        <v>0.16456999999999999</v>
      </c>
      <c r="K1161" s="147">
        <v>0</v>
      </c>
      <c r="L1161" s="147">
        <v>1.46021</v>
      </c>
      <c r="M1161" s="147">
        <v>0.54</v>
      </c>
      <c r="N1161" s="147">
        <v>0.92020999999999997</v>
      </c>
      <c r="O1161" s="147">
        <v>170.40925925925927</v>
      </c>
      <c r="P1161" s="147">
        <v>0.68154999999999999</v>
      </c>
      <c r="Q1161" s="147">
        <v>0.77866000000000002</v>
      </c>
      <c r="R1161" s="147">
        <v>114.24840437238647</v>
      </c>
    </row>
    <row r="1162" spans="2:18" ht="15.75" hidden="1" thickBot="1" x14ac:dyDescent="0.3">
      <c r="B1162" s="727" t="s">
        <v>725</v>
      </c>
      <c r="C1162" s="722" t="s">
        <v>109</v>
      </c>
      <c r="D1162" t="s">
        <v>110</v>
      </c>
      <c r="E1162" s="148">
        <v>0.55991999999999997</v>
      </c>
      <c r="F1162" s="148">
        <v>0.60899999999999999</v>
      </c>
      <c r="G1162" s="148">
        <v>-4.9079999999999999E-2</v>
      </c>
      <c r="H1162" s="148">
        <v>-8.0591133004926103</v>
      </c>
      <c r="I1162" s="728"/>
      <c r="J1162" s="148">
        <v>0.55991999999999997</v>
      </c>
      <c r="K1162" s="148">
        <v>0</v>
      </c>
      <c r="L1162" s="148">
        <v>7.10128</v>
      </c>
      <c r="M1162" s="148">
        <v>7.3079999999999998</v>
      </c>
      <c r="N1162" s="148">
        <v>-0.20671999999999999</v>
      </c>
      <c r="O1162" s="148">
        <v>-2.8286808976464148</v>
      </c>
      <c r="P1162" s="148">
        <v>3.9263300000000001</v>
      </c>
      <c r="Q1162" s="148">
        <v>3.1749499999999999</v>
      </c>
      <c r="R1162" s="148">
        <v>80.863045133750859</v>
      </c>
    </row>
    <row r="1163" spans="2:18" ht="15.75" hidden="1" thickBot="1" x14ac:dyDescent="0.3">
      <c r="B1163" s="727" t="s">
        <v>725</v>
      </c>
      <c r="C1163" s="722" t="s">
        <v>73</v>
      </c>
      <c r="D1163" t="s">
        <v>74</v>
      </c>
      <c r="E1163" s="729"/>
      <c r="F1163" s="147">
        <v>0.20832999999999999</v>
      </c>
      <c r="G1163" s="147">
        <v>-0.20832999999999999</v>
      </c>
      <c r="H1163" s="147">
        <v>-100</v>
      </c>
      <c r="I1163" s="729"/>
      <c r="J1163" s="729"/>
      <c r="K1163" s="729"/>
      <c r="L1163" s="147">
        <v>1.2432099999999999</v>
      </c>
      <c r="M1163" s="147">
        <v>2.5</v>
      </c>
      <c r="N1163" s="147">
        <v>-1.2567900000000001</v>
      </c>
      <c r="O1163" s="147">
        <v>-50.271599999999999</v>
      </c>
      <c r="P1163" s="147">
        <v>0.52063999999999999</v>
      </c>
      <c r="Q1163" s="147">
        <v>0.72257000000000005</v>
      </c>
      <c r="R1163" s="147">
        <v>138.78495697602949</v>
      </c>
    </row>
    <row r="1164" spans="2:18" ht="15.75" hidden="1" thickBot="1" x14ac:dyDescent="0.3">
      <c r="B1164" s="727" t="s">
        <v>725</v>
      </c>
      <c r="C1164" s="722" t="s">
        <v>113</v>
      </c>
      <c r="D1164" t="s">
        <v>114</v>
      </c>
      <c r="E1164" s="728"/>
      <c r="F1164" s="148">
        <v>4.1660000000000003E-2</v>
      </c>
      <c r="G1164" s="148">
        <v>-4.1660000000000003E-2</v>
      </c>
      <c r="H1164" s="148">
        <v>-100</v>
      </c>
      <c r="I1164" s="728"/>
      <c r="J1164" s="728"/>
      <c r="K1164" s="728"/>
      <c r="L1164" s="148">
        <v>0.22478000000000001</v>
      </c>
      <c r="M1164" s="148">
        <v>0.5</v>
      </c>
      <c r="N1164" s="148">
        <v>-0.27522000000000002</v>
      </c>
      <c r="O1164" s="148">
        <v>-55.043999999999997</v>
      </c>
      <c r="P1164" s="148">
        <v>8.7650000000000006E-2</v>
      </c>
      <c r="Q1164" s="148">
        <v>0.13713</v>
      </c>
      <c r="R1164" s="148">
        <v>156.45179691956645</v>
      </c>
    </row>
    <row r="1165" spans="2:18" ht="15.75" hidden="1" thickBot="1" x14ac:dyDescent="0.3">
      <c r="B1165" s="727" t="s">
        <v>725</v>
      </c>
      <c r="C1165" s="722" t="s">
        <v>649</v>
      </c>
      <c r="D1165" t="s">
        <v>650</v>
      </c>
      <c r="E1165" s="729"/>
      <c r="F1165" s="147">
        <v>0</v>
      </c>
      <c r="G1165" s="147">
        <v>0</v>
      </c>
      <c r="H1165" s="147">
        <v>0</v>
      </c>
      <c r="I1165" s="729"/>
      <c r="J1165" s="729"/>
      <c r="K1165" s="729"/>
      <c r="L1165" s="147">
        <v>1.99512</v>
      </c>
      <c r="M1165" s="147">
        <v>2.1</v>
      </c>
      <c r="N1165" s="147">
        <v>-0.10488</v>
      </c>
      <c r="O1165" s="147">
        <v>-4.9942857142857147</v>
      </c>
      <c r="P1165" s="147">
        <v>1.99512</v>
      </c>
      <c r="Q1165" s="147">
        <v>0</v>
      </c>
      <c r="R1165" s="147">
        <v>0</v>
      </c>
    </row>
    <row r="1166" spans="2:18" ht="15.75" hidden="1" thickBot="1" x14ac:dyDescent="0.3">
      <c r="B1166" s="727" t="s">
        <v>725</v>
      </c>
      <c r="C1166" s="722" t="s">
        <v>75</v>
      </c>
      <c r="D1166" t="s">
        <v>76</v>
      </c>
      <c r="E1166" s="148">
        <v>0.10349999999999999</v>
      </c>
      <c r="F1166" s="148">
        <v>0.20832999999999999</v>
      </c>
      <c r="G1166" s="148">
        <v>-0.10483000000000001</v>
      </c>
      <c r="H1166" s="148">
        <v>-50.319205107281718</v>
      </c>
      <c r="I1166" s="728"/>
      <c r="J1166" s="148">
        <v>0.10349999999999999</v>
      </c>
      <c r="K1166" s="148">
        <v>0</v>
      </c>
      <c r="L1166" s="148">
        <v>0.47258</v>
      </c>
      <c r="M1166" s="148">
        <v>2.5</v>
      </c>
      <c r="N1166" s="148">
        <v>-2.0274200000000002</v>
      </c>
      <c r="O1166" s="148">
        <v>-81.096800000000002</v>
      </c>
      <c r="P1166" s="148">
        <v>-1.6570000000000001E-2</v>
      </c>
      <c r="Q1166" s="148">
        <v>0.48914999999999997</v>
      </c>
      <c r="R1166" s="148">
        <v>2952.0217260108629</v>
      </c>
    </row>
    <row r="1167" spans="2:18" ht="15.75" hidden="1" thickBot="1" x14ac:dyDescent="0.3">
      <c r="B1167" s="727" t="s">
        <v>725</v>
      </c>
      <c r="C1167" s="722" t="s">
        <v>77</v>
      </c>
      <c r="D1167" t="s">
        <v>78</v>
      </c>
      <c r="E1167" s="729"/>
      <c r="F1167" s="729"/>
      <c r="G1167" s="729"/>
      <c r="H1167" s="729"/>
      <c r="I1167" s="729"/>
      <c r="J1167" s="729"/>
      <c r="K1167" s="729"/>
      <c r="L1167" s="729"/>
      <c r="M1167" s="147">
        <v>1.5</v>
      </c>
      <c r="N1167" s="147">
        <v>-1.5</v>
      </c>
      <c r="O1167" s="147">
        <v>-100</v>
      </c>
      <c r="P1167" s="729"/>
      <c r="Q1167" s="729"/>
      <c r="R1167" s="729"/>
    </row>
    <row r="1168" spans="2:18" ht="15.75" hidden="1" thickBot="1" x14ac:dyDescent="0.3">
      <c r="B1168" s="727" t="s">
        <v>725</v>
      </c>
      <c r="C1168" s="722" t="s">
        <v>81</v>
      </c>
      <c r="D1168" t="s">
        <v>82</v>
      </c>
      <c r="E1168" s="148">
        <v>0.314</v>
      </c>
      <c r="F1168" s="148">
        <v>0.46800000000000003</v>
      </c>
      <c r="G1168" s="148">
        <v>-0.154</v>
      </c>
      <c r="H1168" s="148">
        <v>-32.905982905982903</v>
      </c>
      <c r="I1168" s="728"/>
      <c r="J1168" s="148">
        <v>0.314</v>
      </c>
      <c r="K1168" s="148">
        <v>0</v>
      </c>
      <c r="L1168" s="148">
        <v>0.34399000000000002</v>
      </c>
      <c r="M1168" s="148">
        <v>1.5680000000000001</v>
      </c>
      <c r="N1168" s="148">
        <v>-1.22401</v>
      </c>
      <c r="O1168" s="148">
        <v>-78.061862244897952</v>
      </c>
      <c r="P1168" s="148">
        <v>0</v>
      </c>
      <c r="Q1168" s="148">
        <v>0.34399000000000002</v>
      </c>
      <c r="R1168" s="148">
        <v>0</v>
      </c>
    </row>
    <row r="1169" spans="2:18" ht="15.75" hidden="1" thickBot="1" x14ac:dyDescent="0.3">
      <c r="B1169" s="727" t="s">
        <v>725</v>
      </c>
      <c r="C1169" s="722" t="s">
        <v>123</v>
      </c>
      <c r="D1169" t="s">
        <v>124</v>
      </c>
      <c r="E1169" s="729"/>
      <c r="F1169" s="729"/>
      <c r="G1169" s="729"/>
      <c r="H1169" s="729"/>
      <c r="I1169" s="729"/>
      <c r="J1169" s="729"/>
      <c r="K1169" s="729"/>
      <c r="L1169" s="147">
        <v>0.19427</v>
      </c>
      <c r="M1169" s="729"/>
      <c r="N1169" s="147">
        <v>0.19427</v>
      </c>
      <c r="O1169" s="147">
        <v>0</v>
      </c>
      <c r="P1169" s="147">
        <v>0.19427</v>
      </c>
      <c r="Q1169" s="147">
        <v>0</v>
      </c>
      <c r="R1169" s="147">
        <v>0</v>
      </c>
    </row>
    <row r="1170" spans="2:18" ht="15.75" hidden="1" thickBot="1" x14ac:dyDescent="0.3">
      <c r="B1170" s="727" t="s">
        <v>725</v>
      </c>
      <c r="C1170" s="722" t="s">
        <v>83</v>
      </c>
      <c r="D1170" t="s">
        <v>84</v>
      </c>
      <c r="E1170" s="728"/>
      <c r="F1170" s="728"/>
      <c r="G1170" s="728"/>
      <c r="H1170" s="728"/>
      <c r="I1170" s="728"/>
      <c r="J1170" s="728"/>
      <c r="K1170" s="728"/>
      <c r="L1170" s="728"/>
      <c r="M1170" s="148">
        <v>2.5</v>
      </c>
      <c r="N1170" s="148">
        <v>-2.5</v>
      </c>
      <c r="O1170" s="148">
        <v>-100</v>
      </c>
      <c r="P1170" s="728"/>
      <c r="Q1170" s="728"/>
      <c r="R1170" s="728"/>
    </row>
    <row r="1171" spans="2:18" ht="15.75" hidden="1" thickBot="1" x14ac:dyDescent="0.3">
      <c r="B1171" s="727" t="s">
        <v>725</v>
      </c>
      <c r="C1171" s="149" t="s">
        <v>85</v>
      </c>
      <c r="D1171" t="s">
        <v>86</v>
      </c>
      <c r="E1171" s="147">
        <v>1.1419900000000001</v>
      </c>
      <c r="F1171" s="147">
        <v>1.5803199999999999</v>
      </c>
      <c r="G1171" s="147">
        <v>-0.43833</v>
      </c>
      <c r="H1171" s="147">
        <v>-27.736787486078768</v>
      </c>
      <c r="I1171" s="729"/>
      <c r="J1171" s="147">
        <v>1.1419900000000001</v>
      </c>
      <c r="K1171" s="147">
        <v>0</v>
      </c>
      <c r="L1171" s="147">
        <v>80.954830000000001</v>
      </c>
      <c r="M1171" s="147">
        <v>24.515999999999998</v>
      </c>
      <c r="N1171" s="147">
        <v>56.438830000000003</v>
      </c>
      <c r="O1171" s="147">
        <v>230.21222874857236</v>
      </c>
      <c r="P1171" s="147">
        <v>19.787009999999999</v>
      </c>
      <c r="Q1171" s="147">
        <v>61.167819999999999</v>
      </c>
      <c r="R1171" s="147">
        <v>309.13119263597684</v>
      </c>
    </row>
    <row r="1172" spans="2:18" ht="15.75" hidden="1" thickBot="1" x14ac:dyDescent="0.3">
      <c r="B1172" s="727" t="s">
        <v>725</v>
      </c>
      <c r="C1172" s="144" t="s">
        <v>87</v>
      </c>
      <c r="D1172" t="s">
        <v>87</v>
      </c>
      <c r="E1172" s="148">
        <v>39.635339999999999</v>
      </c>
      <c r="F1172" s="148">
        <v>43.752600000000001</v>
      </c>
      <c r="G1172" s="148">
        <v>-4.1172599999999999</v>
      </c>
      <c r="H1172" s="148">
        <v>-9.4103207580806618</v>
      </c>
      <c r="I1172" s="728"/>
      <c r="J1172" s="148">
        <v>39.635339999999999</v>
      </c>
      <c r="K1172" s="148">
        <v>0</v>
      </c>
      <c r="L1172" s="148">
        <v>532.97745999999995</v>
      </c>
      <c r="M1172" s="148">
        <v>519.71221000000003</v>
      </c>
      <c r="N1172" s="148">
        <v>13.26525</v>
      </c>
      <c r="O1172" s="148">
        <v>2.5524222338359146</v>
      </c>
      <c r="P1172" s="148">
        <v>254.03394</v>
      </c>
      <c r="Q1172" s="148">
        <v>278.94351999999998</v>
      </c>
      <c r="R1172" s="148">
        <v>109.80561101402435</v>
      </c>
    </row>
    <row r="1173" spans="2:18" ht="15.75" hidden="1" thickBot="1" x14ac:dyDescent="0.3">
      <c r="B1173" s="723" t="s">
        <v>726</v>
      </c>
      <c r="C1173" s="722" t="s">
        <v>59</v>
      </c>
      <c r="D1173" t="s">
        <v>60</v>
      </c>
      <c r="E1173" s="147">
        <v>100.74065</v>
      </c>
      <c r="F1173" s="147">
        <v>107.32559000000001</v>
      </c>
      <c r="G1173" s="147">
        <v>-6.5849399999999996</v>
      </c>
      <c r="H1173" s="147">
        <v>-6.135479898130539</v>
      </c>
      <c r="I1173" s="729"/>
      <c r="J1173" s="147">
        <v>100.74065</v>
      </c>
      <c r="K1173" s="147">
        <v>0</v>
      </c>
      <c r="L1173" s="147">
        <v>1399.8415299999999</v>
      </c>
      <c r="M1173" s="147">
        <v>1324.8968</v>
      </c>
      <c r="N1173" s="147">
        <v>74.944730000000007</v>
      </c>
      <c r="O1173" s="147">
        <v>5.6566466157967925</v>
      </c>
      <c r="P1173" s="147">
        <v>710.65305999999998</v>
      </c>
      <c r="Q1173" s="147">
        <v>689.18847000000005</v>
      </c>
      <c r="R1173" s="147">
        <v>96.979596485519949</v>
      </c>
    </row>
    <row r="1174" spans="2:18" ht="15.75" hidden="1" thickBot="1" x14ac:dyDescent="0.3">
      <c r="B1174" s="723" t="s">
        <v>726</v>
      </c>
      <c r="C1174" s="722" t="s">
        <v>134</v>
      </c>
      <c r="D1174" t="s">
        <v>135</v>
      </c>
      <c r="E1174" s="148">
        <v>7.9758399999999998</v>
      </c>
      <c r="F1174" s="148">
        <v>1.7965199999999999</v>
      </c>
      <c r="G1174" s="148">
        <v>6.1793199999999997</v>
      </c>
      <c r="H1174" s="148">
        <v>343.96054594438135</v>
      </c>
      <c r="I1174" s="728"/>
      <c r="J1174" s="148">
        <v>7.9758399999999998</v>
      </c>
      <c r="K1174" s="148">
        <v>0</v>
      </c>
      <c r="L1174" s="148">
        <v>113.5044</v>
      </c>
      <c r="M1174" s="148">
        <v>39.7042</v>
      </c>
      <c r="N1174" s="148">
        <v>73.800200000000004</v>
      </c>
      <c r="O1174" s="148">
        <v>185.87504596491053</v>
      </c>
      <c r="P1174" s="148">
        <v>65.091729999999998</v>
      </c>
      <c r="Q1174" s="148">
        <v>48.412669999999999</v>
      </c>
      <c r="R1174" s="148">
        <v>74.376068972202773</v>
      </c>
    </row>
    <row r="1175" spans="2:18" ht="15.75" hidden="1" thickBot="1" x14ac:dyDescent="0.3">
      <c r="B1175" s="723" t="s">
        <v>726</v>
      </c>
      <c r="C1175" s="722" t="s">
        <v>61</v>
      </c>
      <c r="D1175" t="s">
        <v>62</v>
      </c>
      <c r="E1175" s="147">
        <v>16.790299999999998</v>
      </c>
      <c r="F1175" s="147">
        <v>16.635459999999998</v>
      </c>
      <c r="G1175" s="147">
        <v>0.15484000000000001</v>
      </c>
      <c r="H1175" s="147">
        <v>0.93078279771043304</v>
      </c>
      <c r="I1175" s="729"/>
      <c r="J1175" s="147">
        <v>16.790299999999998</v>
      </c>
      <c r="K1175" s="147">
        <v>0</v>
      </c>
      <c r="L1175" s="147">
        <v>205.16019</v>
      </c>
      <c r="M1175" s="147">
        <v>205.35893999999999</v>
      </c>
      <c r="N1175" s="147">
        <v>-0.19875000000000001</v>
      </c>
      <c r="O1175" s="147">
        <v>-9.6781761728999965E-2</v>
      </c>
      <c r="P1175" s="147">
        <v>101.50067</v>
      </c>
      <c r="Q1175" s="147">
        <v>103.65952</v>
      </c>
      <c r="R1175" s="147">
        <v>102.12693177296268</v>
      </c>
    </row>
    <row r="1176" spans="2:18" ht="15.75" hidden="1" thickBot="1" x14ac:dyDescent="0.3">
      <c r="B1176" s="723" t="s">
        <v>726</v>
      </c>
      <c r="C1176" s="722" t="s">
        <v>63</v>
      </c>
      <c r="D1176" t="s">
        <v>64</v>
      </c>
      <c r="E1176" s="148">
        <v>66.026970000000006</v>
      </c>
      <c r="F1176" s="148">
        <v>64.717330000000004</v>
      </c>
      <c r="G1176" s="148">
        <v>1.3096399999999999</v>
      </c>
      <c r="H1176" s="148">
        <v>2.023631073778847</v>
      </c>
      <c r="I1176" s="728"/>
      <c r="J1176" s="148">
        <v>66.026970000000006</v>
      </c>
      <c r="K1176" s="148">
        <v>0</v>
      </c>
      <c r="L1176" s="148">
        <v>808.29947000000004</v>
      </c>
      <c r="M1176" s="148">
        <v>798.91273999999999</v>
      </c>
      <c r="N1176" s="148">
        <v>9.38673</v>
      </c>
      <c r="O1176" s="148">
        <v>1.1749380789696757</v>
      </c>
      <c r="P1176" s="148">
        <v>400.80189000000001</v>
      </c>
      <c r="Q1176" s="148">
        <v>407.49758000000003</v>
      </c>
      <c r="R1176" s="148">
        <v>101.67057345962117</v>
      </c>
    </row>
    <row r="1177" spans="2:18" ht="15.75" hidden="1" thickBot="1" x14ac:dyDescent="0.3">
      <c r="B1177" s="723" t="s">
        <v>726</v>
      </c>
      <c r="C1177" s="722" t="s">
        <v>156</v>
      </c>
      <c r="D1177" t="s">
        <v>157</v>
      </c>
      <c r="E1177" s="147">
        <v>5.72072</v>
      </c>
      <c r="F1177" s="147">
        <v>18.32996</v>
      </c>
      <c r="G1177" s="147">
        <v>-12.60924</v>
      </c>
      <c r="H1177" s="147">
        <v>-68.790330148019962</v>
      </c>
      <c r="I1177" s="729"/>
      <c r="J1177" s="147">
        <v>5.72072</v>
      </c>
      <c r="K1177" s="147">
        <v>0</v>
      </c>
      <c r="L1177" s="147">
        <v>444.01107000000002</v>
      </c>
      <c r="M1177" s="147">
        <v>218.80557999999999</v>
      </c>
      <c r="N1177" s="147">
        <v>225.20549</v>
      </c>
      <c r="O1177" s="147">
        <v>102.92492997664867</v>
      </c>
      <c r="P1177" s="147">
        <v>189.26432</v>
      </c>
      <c r="Q1177" s="147">
        <v>254.74674999999999</v>
      </c>
      <c r="R1177" s="147">
        <v>134.59840185408427</v>
      </c>
    </row>
    <row r="1178" spans="2:18" ht="15.75" hidden="1" thickBot="1" x14ac:dyDescent="0.3">
      <c r="B1178" s="723" t="s">
        <v>726</v>
      </c>
      <c r="C1178" s="722" t="s">
        <v>184</v>
      </c>
      <c r="D1178" t="s">
        <v>185</v>
      </c>
      <c r="E1178" s="728"/>
      <c r="F1178" s="728"/>
      <c r="G1178" s="728"/>
      <c r="H1178" s="728"/>
      <c r="I1178" s="728"/>
      <c r="J1178" s="728"/>
      <c r="K1178" s="728"/>
      <c r="L1178" s="148">
        <v>0.48359999999999997</v>
      </c>
      <c r="M1178" s="728"/>
      <c r="N1178" s="148">
        <v>0.48359999999999997</v>
      </c>
      <c r="O1178" s="148">
        <v>0</v>
      </c>
      <c r="P1178" s="728"/>
      <c r="Q1178" s="148">
        <v>0.48359999999999997</v>
      </c>
      <c r="R1178" s="148">
        <v>0</v>
      </c>
    </row>
    <row r="1179" spans="2:18" ht="15.75" hidden="1" thickBot="1" x14ac:dyDescent="0.3">
      <c r="B1179" s="723" t="s">
        <v>726</v>
      </c>
      <c r="C1179" s="722" t="s">
        <v>65</v>
      </c>
      <c r="D1179" t="s">
        <v>66</v>
      </c>
      <c r="E1179" s="147">
        <v>-114.02976</v>
      </c>
      <c r="F1179" s="147">
        <v>-17.358370000000001</v>
      </c>
      <c r="G1179" s="147">
        <v>-96.671390000000002</v>
      </c>
      <c r="H1179" s="147">
        <v>-556.91513661709018</v>
      </c>
      <c r="I1179" s="729"/>
      <c r="J1179" s="147">
        <v>-114.02976</v>
      </c>
      <c r="K1179" s="147">
        <v>0</v>
      </c>
      <c r="L1179" s="147">
        <v>-270.27839999999998</v>
      </c>
      <c r="M1179" s="147">
        <v>-207.20766</v>
      </c>
      <c r="N1179" s="147">
        <v>-63.070740000000001</v>
      </c>
      <c r="O1179" s="147">
        <v>-30.438421050650348</v>
      </c>
      <c r="P1179" s="147">
        <v>-53.643999999999998</v>
      </c>
      <c r="Q1179" s="147">
        <v>-216.6344</v>
      </c>
      <c r="R1179" s="147">
        <v>-403.83714860935055</v>
      </c>
    </row>
    <row r="1180" spans="2:18" ht="15.75" hidden="1" thickBot="1" x14ac:dyDescent="0.3">
      <c r="B1180" s="723" t="s">
        <v>726</v>
      </c>
      <c r="C1180" s="149" t="s">
        <v>67</v>
      </c>
      <c r="D1180" t="s">
        <v>68</v>
      </c>
      <c r="E1180" s="148">
        <v>83.224720000000005</v>
      </c>
      <c r="F1180" s="148">
        <v>191.44649000000001</v>
      </c>
      <c r="G1180" s="148">
        <v>-108.22177000000001</v>
      </c>
      <c r="H1180" s="148">
        <v>-56.528469129938081</v>
      </c>
      <c r="I1180" s="728"/>
      <c r="J1180" s="148">
        <v>83.224720000000005</v>
      </c>
      <c r="K1180" s="148">
        <v>0</v>
      </c>
      <c r="L1180" s="148">
        <v>2701.0218599999998</v>
      </c>
      <c r="M1180" s="148">
        <v>2380.4706000000001</v>
      </c>
      <c r="N1180" s="148">
        <v>320.55126000000001</v>
      </c>
      <c r="O1180" s="148">
        <v>13.465877713423556</v>
      </c>
      <c r="P1180" s="148">
        <v>1413.66767</v>
      </c>
      <c r="Q1180" s="148">
        <v>1287.35419</v>
      </c>
      <c r="R1180" s="148">
        <v>91.064839164073121</v>
      </c>
    </row>
    <row r="1181" spans="2:18" ht="15.75" hidden="1" thickBot="1" x14ac:dyDescent="0.3">
      <c r="B1181" s="723" t="s">
        <v>726</v>
      </c>
      <c r="C1181" s="722" t="s">
        <v>69</v>
      </c>
      <c r="D1181" t="s">
        <v>70</v>
      </c>
      <c r="E1181" s="729"/>
      <c r="F1181" s="729"/>
      <c r="G1181" s="729"/>
      <c r="H1181" s="729"/>
      <c r="I1181" s="729"/>
      <c r="J1181" s="729"/>
      <c r="K1181" s="729"/>
      <c r="L1181" s="147">
        <v>2.1773400000000001</v>
      </c>
      <c r="M1181" s="729"/>
      <c r="N1181" s="147">
        <v>2.1773400000000001</v>
      </c>
      <c r="O1181" s="147">
        <v>0</v>
      </c>
      <c r="P1181" s="147">
        <v>0.86834</v>
      </c>
      <c r="Q1181" s="147">
        <v>1.3089999999999999</v>
      </c>
      <c r="R1181" s="147">
        <v>150.74740309095515</v>
      </c>
    </row>
    <row r="1182" spans="2:18" ht="15.75" hidden="1" thickBot="1" x14ac:dyDescent="0.3">
      <c r="B1182" s="723" t="s">
        <v>726</v>
      </c>
      <c r="C1182" s="722" t="s">
        <v>582</v>
      </c>
      <c r="D1182" t="s">
        <v>583</v>
      </c>
      <c r="E1182" s="148">
        <v>1.05</v>
      </c>
      <c r="F1182" s="148">
        <v>1.575</v>
      </c>
      <c r="G1182" s="148">
        <v>-0.52500000000000002</v>
      </c>
      <c r="H1182" s="148">
        <v>-33.333333333333336</v>
      </c>
      <c r="I1182" s="728"/>
      <c r="J1182" s="148">
        <v>1.05</v>
      </c>
      <c r="K1182" s="148">
        <v>0</v>
      </c>
      <c r="L1182" s="148">
        <v>12.61074</v>
      </c>
      <c r="M1182" s="148">
        <v>18.899999999999999</v>
      </c>
      <c r="N1182" s="148">
        <v>-6.2892599999999996</v>
      </c>
      <c r="O1182" s="148">
        <v>-33.276507936507933</v>
      </c>
      <c r="P1182" s="148">
        <v>6.31074</v>
      </c>
      <c r="Q1182" s="148">
        <v>6.3</v>
      </c>
      <c r="R1182" s="148">
        <v>99.829813936242019</v>
      </c>
    </row>
    <row r="1183" spans="2:18" ht="15.75" hidden="1" thickBot="1" x14ac:dyDescent="0.3">
      <c r="B1183" s="723" t="s">
        <v>726</v>
      </c>
      <c r="C1183" s="722" t="s">
        <v>165</v>
      </c>
      <c r="D1183" t="s">
        <v>166</v>
      </c>
      <c r="E1183" s="147">
        <v>0.10272000000000001</v>
      </c>
      <c r="F1183" s="729"/>
      <c r="G1183" s="147">
        <v>0.10272000000000001</v>
      </c>
      <c r="H1183" s="147">
        <v>0</v>
      </c>
      <c r="I1183" s="729"/>
      <c r="J1183" s="147">
        <v>0.10272000000000001</v>
      </c>
      <c r="K1183" s="147">
        <v>0</v>
      </c>
      <c r="L1183" s="147">
        <v>0.10272000000000001</v>
      </c>
      <c r="M1183" s="729"/>
      <c r="N1183" s="147">
        <v>0.10272000000000001</v>
      </c>
      <c r="O1183" s="147">
        <v>0</v>
      </c>
      <c r="P1183" s="729"/>
      <c r="Q1183" s="147">
        <v>0.10272000000000001</v>
      </c>
      <c r="R1183" s="147">
        <v>0</v>
      </c>
    </row>
    <row r="1184" spans="2:18" ht="15.75" hidden="1" thickBot="1" x14ac:dyDescent="0.3">
      <c r="B1184" s="723" t="s">
        <v>726</v>
      </c>
      <c r="C1184" s="722" t="s">
        <v>137</v>
      </c>
      <c r="D1184" t="s">
        <v>138</v>
      </c>
      <c r="E1184" s="148">
        <v>0.16525000000000001</v>
      </c>
      <c r="F1184" s="148">
        <v>0.375</v>
      </c>
      <c r="G1184" s="148">
        <v>-0.20974999999999999</v>
      </c>
      <c r="H1184" s="148">
        <v>-55.93333333333333</v>
      </c>
      <c r="I1184" s="728"/>
      <c r="J1184" s="148">
        <v>0.16525000000000001</v>
      </c>
      <c r="K1184" s="148">
        <v>0</v>
      </c>
      <c r="L1184" s="148">
        <v>3.4272800000000001</v>
      </c>
      <c r="M1184" s="148">
        <v>2.5</v>
      </c>
      <c r="N1184" s="148">
        <v>0.92727999999999999</v>
      </c>
      <c r="O1184" s="148">
        <v>37.091200000000001</v>
      </c>
      <c r="P1184" s="148">
        <v>1.52319</v>
      </c>
      <c r="Q1184" s="148">
        <v>1.9040900000000001</v>
      </c>
      <c r="R1184" s="148">
        <v>125.00672929838038</v>
      </c>
    </row>
    <row r="1185" spans="2:18" ht="15.75" hidden="1" thickBot="1" x14ac:dyDescent="0.3">
      <c r="B1185" s="723" t="s">
        <v>726</v>
      </c>
      <c r="C1185" s="722" t="s">
        <v>190</v>
      </c>
      <c r="D1185" t="s">
        <v>191</v>
      </c>
      <c r="E1185" s="147">
        <v>9.5820000000000002E-2</v>
      </c>
      <c r="F1185" s="729"/>
      <c r="G1185" s="147">
        <v>9.5820000000000002E-2</v>
      </c>
      <c r="H1185" s="147">
        <v>0</v>
      </c>
      <c r="I1185" s="729"/>
      <c r="J1185" s="147">
        <v>9.5820000000000002E-2</v>
      </c>
      <c r="K1185" s="147">
        <v>0</v>
      </c>
      <c r="L1185" s="147">
        <v>1.0432699999999999</v>
      </c>
      <c r="M1185" s="729"/>
      <c r="N1185" s="147">
        <v>1.0432699999999999</v>
      </c>
      <c r="O1185" s="147">
        <v>0</v>
      </c>
      <c r="P1185" s="147">
        <v>0.29746</v>
      </c>
      <c r="Q1185" s="147">
        <v>0.74580999999999997</v>
      </c>
      <c r="R1185" s="147">
        <v>250.72614805351981</v>
      </c>
    </row>
    <row r="1186" spans="2:18" ht="15.75" hidden="1" thickBot="1" x14ac:dyDescent="0.3">
      <c r="B1186" s="723" t="s">
        <v>726</v>
      </c>
      <c r="C1186" s="722" t="s">
        <v>139</v>
      </c>
      <c r="D1186" t="s">
        <v>140</v>
      </c>
      <c r="E1186" s="728"/>
      <c r="F1186" s="148">
        <v>1.125</v>
      </c>
      <c r="G1186" s="148">
        <v>-1.125</v>
      </c>
      <c r="H1186" s="148">
        <v>-100</v>
      </c>
      <c r="I1186" s="728"/>
      <c r="J1186" s="728"/>
      <c r="K1186" s="728"/>
      <c r="L1186" s="148">
        <v>3.9729999999999999</v>
      </c>
      <c r="M1186" s="148">
        <v>4.5</v>
      </c>
      <c r="N1186" s="148">
        <v>-0.52700000000000002</v>
      </c>
      <c r="O1186" s="148">
        <v>-11.71111111111111</v>
      </c>
      <c r="P1186" s="148">
        <v>3.9729999999999999</v>
      </c>
      <c r="Q1186" s="148">
        <v>0</v>
      </c>
      <c r="R1186" s="148">
        <v>0</v>
      </c>
    </row>
    <row r="1187" spans="2:18" ht="15.75" hidden="1" thickBot="1" x14ac:dyDescent="0.3">
      <c r="B1187" s="723" t="s">
        <v>726</v>
      </c>
      <c r="C1187" s="722" t="s">
        <v>169</v>
      </c>
      <c r="D1187" t="s">
        <v>170</v>
      </c>
      <c r="E1187" s="729"/>
      <c r="F1187" s="147">
        <v>1.5</v>
      </c>
      <c r="G1187" s="147">
        <v>-1.5</v>
      </c>
      <c r="H1187" s="147">
        <v>-100</v>
      </c>
      <c r="I1187" s="729"/>
      <c r="J1187" s="729"/>
      <c r="K1187" s="729"/>
      <c r="L1187" s="147">
        <v>14.586</v>
      </c>
      <c r="M1187" s="147">
        <v>6</v>
      </c>
      <c r="N1187" s="147">
        <v>8.5860000000000003</v>
      </c>
      <c r="O1187" s="147">
        <v>143.1</v>
      </c>
      <c r="P1187" s="147">
        <v>14.0145</v>
      </c>
      <c r="Q1187" s="147">
        <v>0.57150000000000001</v>
      </c>
      <c r="R1187" s="147">
        <v>4.0779192978700634</v>
      </c>
    </row>
    <row r="1188" spans="2:18" ht="15.75" hidden="1" thickBot="1" x14ac:dyDescent="0.3">
      <c r="B1188" s="723" t="s">
        <v>726</v>
      </c>
      <c r="C1188" s="722" t="s">
        <v>101</v>
      </c>
      <c r="D1188" t="s">
        <v>102</v>
      </c>
      <c r="E1188" s="148">
        <v>1.2270799999999999</v>
      </c>
      <c r="F1188" s="148">
        <v>8.3330000000000002</v>
      </c>
      <c r="G1188" s="148">
        <v>-7.1059200000000002</v>
      </c>
      <c r="H1188" s="148">
        <v>-85.274450978039127</v>
      </c>
      <c r="I1188" s="728"/>
      <c r="J1188" s="148">
        <v>1.2270799999999999</v>
      </c>
      <c r="K1188" s="148">
        <v>0</v>
      </c>
      <c r="L1188" s="148">
        <v>21.855329999999999</v>
      </c>
      <c r="M1188" s="148">
        <v>100</v>
      </c>
      <c r="N1188" s="148">
        <v>-78.144670000000005</v>
      </c>
      <c r="O1188" s="148">
        <v>-78.144670000000005</v>
      </c>
      <c r="P1188" s="148">
        <v>0.65905000000000002</v>
      </c>
      <c r="Q1188" s="148">
        <v>21.196280000000002</v>
      </c>
      <c r="R1188" s="148">
        <v>3216.1869357408391</v>
      </c>
    </row>
    <row r="1189" spans="2:18" ht="15.75" hidden="1" thickBot="1" x14ac:dyDescent="0.3">
      <c r="B1189" s="723" t="s">
        <v>726</v>
      </c>
      <c r="C1189" s="722" t="s">
        <v>103</v>
      </c>
      <c r="D1189" t="s">
        <v>104</v>
      </c>
      <c r="E1189" s="147">
        <v>0.64890000000000003</v>
      </c>
      <c r="F1189" s="729"/>
      <c r="G1189" s="147">
        <v>0.64890000000000003</v>
      </c>
      <c r="H1189" s="147">
        <v>0</v>
      </c>
      <c r="I1189" s="729"/>
      <c r="J1189" s="147">
        <v>0.64890000000000003</v>
      </c>
      <c r="K1189" s="147">
        <v>0</v>
      </c>
      <c r="L1189" s="147">
        <v>2.66675</v>
      </c>
      <c r="M1189" s="729"/>
      <c r="N1189" s="147">
        <v>2.66675</v>
      </c>
      <c r="O1189" s="147">
        <v>0</v>
      </c>
      <c r="P1189" s="147">
        <v>0.55411999999999995</v>
      </c>
      <c r="Q1189" s="147">
        <v>2.1126299999999998</v>
      </c>
      <c r="R1189" s="147">
        <v>381.25857215043675</v>
      </c>
    </row>
    <row r="1190" spans="2:18" ht="15.75" hidden="1" thickBot="1" x14ac:dyDescent="0.3">
      <c r="B1190" s="723" t="s">
        <v>726</v>
      </c>
      <c r="C1190" s="722" t="s">
        <v>71</v>
      </c>
      <c r="D1190" t="s">
        <v>72</v>
      </c>
      <c r="E1190" s="148">
        <v>-4.4999999999999998E-2</v>
      </c>
      <c r="F1190" s="728"/>
      <c r="G1190" s="148">
        <v>-4.4999999999999998E-2</v>
      </c>
      <c r="H1190" s="148">
        <v>0</v>
      </c>
      <c r="I1190" s="728"/>
      <c r="J1190" s="148">
        <v>-4.4999999999999998E-2</v>
      </c>
      <c r="K1190" s="148">
        <v>0</v>
      </c>
      <c r="L1190" s="148">
        <v>0</v>
      </c>
      <c r="M1190" s="728"/>
      <c r="N1190" s="148">
        <v>0</v>
      </c>
      <c r="O1190" s="148">
        <v>0</v>
      </c>
      <c r="P1190" s="148">
        <v>3.2989999999999998E-2</v>
      </c>
      <c r="Q1190" s="148">
        <v>-3.2989999999999998E-2</v>
      </c>
      <c r="R1190" s="148">
        <v>-100</v>
      </c>
    </row>
    <row r="1191" spans="2:18" ht="15.75" hidden="1" thickBot="1" x14ac:dyDescent="0.3">
      <c r="B1191" s="723" t="s">
        <v>726</v>
      </c>
      <c r="C1191" s="722" t="s">
        <v>109</v>
      </c>
      <c r="D1191" t="s">
        <v>110</v>
      </c>
      <c r="E1191" s="147">
        <v>-1.8079999999999999E-2</v>
      </c>
      <c r="F1191" s="147">
        <v>0</v>
      </c>
      <c r="G1191" s="147">
        <v>-1.8079999999999999E-2</v>
      </c>
      <c r="H1191" s="147">
        <v>0</v>
      </c>
      <c r="I1191" s="729"/>
      <c r="J1191" s="147">
        <v>-1.8079999999999999E-2</v>
      </c>
      <c r="K1191" s="147">
        <v>0</v>
      </c>
      <c r="L1191" s="147">
        <v>0.29720000000000002</v>
      </c>
      <c r="M1191" s="147">
        <v>0</v>
      </c>
      <c r="N1191" s="147">
        <v>0.29720000000000002</v>
      </c>
      <c r="O1191" s="147">
        <v>0</v>
      </c>
      <c r="P1191" s="147">
        <v>0.29720000000000002</v>
      </c>
      <c r="Q1191" s="147">
        <v>0</v>
      </c>
      <c r="R1191" s="147">
        <v>0</v>
      </c>
    </row>
    <row r="1192" spans="2:18" ht="15.75" hidden="1" thickBot="1" x14ac:dyDescent="0.3">
      <c r="B1192" s="723" t="s">
        <v>726</v>
      </c>
      <c r="C1192" s="722" t="s">
        <v>73</v>
      </c>
      <c r="D1192" t="s">
        <v>74</v>
      </c>
      <c r="E1192" s="148">
        <v>0.14016999999999999</v>
      </c>
      <c r="F1192" s="148">
        <v>0.25</v>
      </c>
      <c r="G1192" s="148">
        <v>-0.10983</v>
      </c>
      <c r="H1192" s="148">
        <v>-43.932000000000002</v>
      </c>
      <c r="I1192" s="728"/>
      <c r="J1192" s="148">
        <v>0.14016999999999999</v>
      </c>
      <c r="K1192" s="148">
        <v>0</v>
      </c>
      <c r="L1192" s="148">
        <v>5.7520199999999999</v>
      </c>
      <c r="M1192" s="148">
        <v>3</v>
      </c>
      <c r="N1192" s="148">
        <v>2.7520199999999999</v>
      </c>
      <c r="O1192" s="148">
        <v>91.733999999999995</v>
      </c>
      <c r="P1192" s="148">
        <v>3.9923600000000001</v>
      </c>
      <c r="Q1192" s="148">
        <v>1.75966</v>
      </c>
      <c r="R1192" s="148">
        <v>44.075684557504836</v>
      </c>
    </row>
    <row r="1193" spans="2:18" ht="15.75" hidden="1" thickBot="1" x14ac:dyDescent="0.3">
      <c r="B1193" s="723" t="s">
        <v>726</v>
      </c>
      <c r="C1193" s="722" t="s">
        <v>111</v>
      </c>
      <c r="D1193" t="s">
        <v>112</v>
      </c>
      <c r="E1193" s="729"/>
      <c r="F1193" s="147">
        <v>0</v>
      </c>
      <c r="G1193" s="147">
        <v>0</v>
      </c>
      <c r="H1193" s="147">
        <v>0</v>
      </c>
      <c r="I1193" s="729"/>
      <c r="J1193" s="729"/>
      <c r="K1193" s="729"/>
      <c r="L1193" s="729"/>
      <c r="M1193" s="147">
        <v>3.45</v>
      </c>
      <c r="N1193" s="147">
        <v>-3.45</v>
      </c>
      <c r="O1193" s="147">
        <v>-100</v>
      </c>
      <c r="P1193" s="729"/>
      <c r="Q1193" s="729"/>
      <c r="R1193" s="729"/>
    </row>
    <row r="1194" spans="2:18" ht="15.75" hidden="1" thickBot="1" x14ac:dyDescent="0.3">
      <c r="B1194" s="723" t="s">
        <v>726</v>
      </c>
      <c r="C1194" s="722" t="s">
        <v>141</v>
      </c>
      <c r="D1194" t="s">
        <v>142</v>
      </c>
      <c r="E1194" s="148">
        <v>8.1989999999999993E-2</v>
      </c>
      <c r="F1194" s="148">
        <v>0.27087</v>
      </c>
      <c r="G1194" s="148">
        <v>-0.18887999999999999</v>
      </c>
      <c r="H1194" s="148">
        <v>-69.73086720567062</v>
      </c>
      <c r="I1194" s="728"/>
      <c r="J1194" s="148">
        <v>8.1989999999999993E-2</v>
      </c>
      <c r="K1194" s="148">
        <v>0</v>
      </c>
      <c r="L1194" s="148">
        <v>3.04053</v>
      </c>
      <c r="M1194" s="148">
        <v>1.25</v>
      </c>
      <c r="N1194" s="148">
        <v>1.79053</v>
      </c>
      <c r="O1194" s="148">
        <v>143.2424</v>
      </c>
      <c r="P1194" s="148">
        <v>2.7094</v>
      </c>
      <c r="Q1194" s="148">
        <v>0.33112999999999998</v>
      </c>
      <c r="R1194" s="148">
        <v>12.221525060899092</v>
      </c>
    </row>
    <row r="1195" spans="2:18" ht="15.75" hidden="1" thickBot="1" x14ac:dyDescent="0.3">
      <c r="B1195" s="723" t="s">
        <v>726</v>
      </c>
      <c r="C1195" s="722" t="s">
        <v>113</v>
      </c>
      <c r="D1195" t="s">
        <v>114</v>
      </c>
      <c r="E1195" s="147">
        <v>0.15542</v>
      </c>
      <c r="F1195" s="729"/>
      <c r="G1195" s="147">
        <v>0.15542</v>
      </c>
      <c r="H1195" s="147">
        <v>0</v>
      </c>
      <c r="I1195" s="729"/>
      <c r="J1195" s="147">
        <v>0.15542</v>
      </c>
      <c r="K1195" s="147">
        <v>0</v>
      </c>
      <c r="L1195" s="147">
        <v>1.3050600000000001</v>
      </c>
      <c r="M1195" s="729"/>
      <c r="N1195" s="147">
        <v>1.3050600000000001</v>
      </c>
      <c r="O1195" s="147">
        <v>0</v>
      </c>
      <c r="P1195" s="147">
        <v>0.59323000000000004</v>
      </c>
      <c r="Q1195" s="147">
        <v>0.71182999999999996</v>
      </c>
      <c r="R1195" s="147">
        <v>119.99224584056773</v>
      </c>
    </row>
    <row r="1196" spans="2:18" ht="15.75" hidden="1" thickBot="1" x14ac:dyDescent="0.3">
      <c r="B1196" s="723" t="s">
        <v>726</v>
      </c>
      <c r="C1196" s="722" t="s">
        <v>145</v>
      </c>
      <c r="D1196" t="s">
        <v>146</v>
      </c>
      <c r="E1196" s="148">
        <v>3.2500000000000001E-2</v>
      </c>
      <c r="F1196" s="148">
        <v>0.1</v>
      </c>
      <c r="G1196" s="148">
        <v>-6.7500000000000004E-2</v>
      </c>
      <c r="H1196" s="148">
        <v>-67.5</v>
      </c>
      <c r="I1196" s="728"/>
      <c r="J1196" s="148">
        <v>3.2500000000000001E-2</v>
      </c>
      <c r="K1196" s="148">
        <v>0</v>
      </c>
      <c r="L1196" s="148">
        <v>0.38784999999999997</v>
      </c>
      <c r="M1196" s="148">
        <v>0.2</v>
      </c>
      <c r="N1196" s="148">
        <v>0.18784999999999999</v>
      </c>
      <c r="O1196" s="148">
        <v>93.924999999999997</v>
      </c>
      <c r="P1196" s="148">
        <v>0.23235</v>
      </c>
      <c r="Q1196" s="148">
        <v>0.1555</v>
      </c>
      <c r="R1196" s="148">
        <v>66.924897783516244</v>
      </c>
    </row>
    <row r="1197" spans="2:18" ht="15.75" hidden="1" thickBot="1" x14ac:dyDescent="0.3">
      <c r="B1197" s="723" t="s">
        <v>726</v>
      </c>
      <c r="C1197" s="722" t="s">
        <v>147</v>
      </c>
      <c r="D1197" t="s">
        <v>148</v>
      </c>
      <c r="E1197" s="147">
        <v>-7.0000000000000001E-3</v>
      </c>
      <c r="F1197" s="729"/>
      <c r="G1197" s="147">
        <v>-7.0000000000000001E-3</v>
      </c>
      <c r="H1197" s="147">
        <v>0</v>
      </c>
      <c r="I1197" s="729"/>
      <c r="J1197" s="147">
        <v>-7.0000000000000001E-3</v>
      </c>
      <c r="K1197" s="147">
        <v>0</v>
      </c>
      <c r="L1197" s="147">
        <v>0.11194999999999999</v>
      </c>
      <c r="M1197" s="729"/>
      <c r="N1197" s="147">
        <v>0.11194999999999999</v>
      </c>
      <c r="O1197" s="147">
        <v>0</v>
      </c>
      <c r="P1197" s="147">
        <v>9.2950000000000005E-2</v>
      </c>
      <c r="Q1197" s="147">
        <v>1.9E-2</v>
      </c>
      <c r="R1197" s="147">
        <v>20.441097364174286</v>
      </c>
    </row>
    <row r="1198" spans="2:18" ht="15.75" hidden="1" thickBot="1" x14ac:dyDescent="0.3">
      <c r="B1198" s="723" t="s">
        <v>726</v>
      </c>
      <c r="C1198" s="722" t="s">
        <v>203</v>
      </c>
      <c r="D1198" t="s">
        <v>204</v>
      </c>
      <c r="E1198" s="148">
        <v>0.17554</v>
      </c>
      <c r="F1198" s="728"/>
      <c r="G1198" s="148">
        <v>0.17554</v>
      </c>
      <c r="H1198" s="148">
        <v>0</v>
      </c>
      <c r="I1198" s="728"/>
      <c r="J1198" s="148">
        <v>0.17554</v>
      </c>
      <c r="K1198" s="148">
        <v>0</v>
      </c>
      <c r="L1198" s="148">
        <v>0.17554</v>
      </c>
      <c r="M1198" s="728"/>
      <c r="N1198" s="148">
        <v>0.17554</v>
      </c>
      <c r="O1198" s="148">
        <v>0</v>
      </c>
      <c r="P1198" s="728"/>
      <c r="Q1198" s="148">
        <v>0.17554</v>
      </c>
      <c r="R1198" s="148">
        <v>0</v>
      </c>
    </row>
    <row r="1199" spans="2:18" ht="15.75" hidden="1" thickBot="1" x14ac:dyDescent="0.3">
      <c r="B1199" s="723" t="s">
        <v>726</v>
      </c>
      <c r="C1199" s="722" t="s">
        <v>643</v>
      </c>
      <c r="D1199" t="s">
        <v>644</v>
      </c>
      <c r="E1199" s="729"/>
      <c r="F1199" s="147">
        <v>0</v>
      </c>
      <c r="G1199" s="147">
        <v>0</v>
      </c>
      <c r="H1199" s="147">
        <v>0</v>
      </c>
      <c r="I1199" s="729"/>
      <c r="J1199" s="729"/>
      <c r="K1199" s="729"/>
      <c r="L1199" s="147">
        <v>-7.6654999999999998</v>
      </c>
      <c r="M1199" s="147">
        <v>0</v>
      </c>
      <c r="N1199" s="147">
        <v>-7.6654999999999998</v>
      </c>
      <c r="O1199" s="147">
        <v>0</v>
      </c>
      <c r="P1199" s="147">
        <v>-7.6654999999999998</v>
      </c>
      <c r="Q1199" s="147">
        <v>0</v>
      </c>
      <c r="R1199" s="147">
        <v>0</v>
      </c>
    </row>
    <row r="1200" spans="2:18" ht="15.75" hidden="1" thickBot="1" x14ac:dyDescent="0.3">
      <c r="B1200" s="723" t="s">
        <v>726</v>
      </c>
      <c r="C1200" s="722" t="s">
        <v>149</v>
      </c>
      <c r="D1200" t="s">
        <v>150</v>
      </c>
      <c r="E1200" s="148">
        <v>183.23616000000001</v>
      </c>
      <c r="F1200" s="148">
        <v>33.842829999999999</v>
      </c>
      <c r="G1200" s="148">
        <v>149.39332999999999</v>
      </c>
      <c r="H1200" s="148">
        <v>441.43273479197808</v>
      </c>
      <c r="I1200" s="728"/>
      <c r="J1200" s="148">
        <v>183.23616000000001</v>
      </c>
      <c r="K1200" s="148">
        <v>0</v>
      </c>
      <c r="L1200" s="148">
        <v>950.43143999999995</v>
      </c>
      <c r="M1200" s="148">
        <v>459.13995999999997</v>
      </c>
      <c r="N1200" s="148">
        <v>491.29147999999998</v>
      </c>
      <c r="O1200" s="148">
        <v>107.00255320839423</v>
      </c>
      <c r="P1200" s="148">
        <v>634.88711999999998</v>
      </c>
      <c r="Q1200" s="148">
        <v>315.54432000000003</v>
      </c>
      <c r="R1200" s="148">
        <v>49.700853909274457</v>
      </c>
    </row>
    <row r="1201" spans="2:18" ht="15.75" hidden="1" thickBot="1" x14ac:dyDescent="0.3">
      <c r="B1201" s="723" t="s">
        <v>726</v>
      </c>
      <c r="C1201" s="722" t="s">
        <v>151</v>
      </c>
      <c r="D1201" t="s">
        <v>152</v>
      </c>
      <c r="E1201" s="147">
        <v>-195.34049999999999</v>
      </c>
      <c r="F1201" s="729"/>
      <c r="G1201" s="147">
        <v>-195.34049999999999</v>
      </c>
      <c r="H1201" s="147">
        <v>0</v>
      </c>
      <c r="I1201" s="729"/>
      <c r="J1201" s="147">
        <v>-195.34049999999999</v>
      </c>
      <c r="K1201" s="147">
        <v>0</v>
      </c>
      <c r="L1201" s="147">
        <v>3.6850000000000001</v>
      </c>
      <c r="M1201" s="729"/>
      <c r="N1201" s="147">
        <v>3.6850000000000001</v>
      </c>
      <c r="O1201" s="147">
        <v>0</v>
      </c>
      <c r="P1201" s="147">
        <v>199.02549999999999</v>
      </c>
      <c r="Q1201" s="147">
        <v>-195.34049999999999</v>
      </c>
      <c r="R1201" s="147">
        <v>-98.148478461302702</v>
      </c>
    </row>
    <row r="1202" spans="2:18" ht="15.75" hidden="1" thickBot="1" x14ac:dyDescent="0.3">
      <c r="B1202" s="723" t="s">
        <v>726</v>
      </c>
      <c r="C1202" s="722" t="s">
        <v>153</v>
      </c>
      <c r="D1202" t="s">
        <v>154</v>
      </c>
      <c r="E1202" s="728"/>
      <c r="F1202" s="728"/>
      <c r="G1202" s="728"/>
      <c r="H1202" s="728"/>
      <c r="I1202" s="728"/>
      <c r="J1202" s="728"/>
      <c r="K1202" s="728"/>
      <c r="L1202" s="148">
        <v>2.5</v>
      </c>
      <c r="M1202" s="728"/>
      <c r="N1202" s="148">
        <v>2.5</v>
      </c>
      <c r="O1202" s="148">
        <v>0</v>
      </c>
      <c r="P1202" s="148">
        <v>2.5</v>
      </c>
      <c r="Q1202" s="148">
        <v>0</v>
      </c>
      <c r="R1202" s="148">
        <v>0</v>
      </c>
    </row>
    <row r="1203" spans="2:18" ht="15.75" hidden="1" thickBot="1" x14ac:dyDescent="0.3">
      <c r="B1203" s="723" t="s">
        <v>726</v>
      </c>
      <c r="C1203" s="722" t="s">
        <v>673</v>
      </c>
      <c r="D1203" t="s">
        <v>674</v>
      </c>
      <c r="E1203" s="147">
        <v>-37.234439999999999</v>
      </c>
      <c r="F1203" s="729"/>
      <c r="G1203" s="147">
        <v>-37.234439999999999</v>
      </c>
      <c r="H1203" s="147">
        <v>0</v>
      </c>
      <c r="I1203" s="729"/>
      <c r="J1203" s="147">
        <v>-37.234439999999999</v>
      </c>
      <c r="K1203" s="147">
        <v>0</v>
      </c>
      <c r="L1203" s="147">
        <v>-37.234439999999999</v>
      </c>
      <c r="M1203" s="729"/>
      <c r="N1203" s="147">
        <v>-37.234439999999999</v>
      </c>
      <c r="O1203" s="147">
        <v>0</v>
      </c>
      <c r="P1203" s="729"/>
      <c r="Q1203" s="147">
        <v>-37.234439999999999</v>
      </c>
      <c r="R1203" s="147">
        <v>0</v>
      </c>
    </row>
    <row r="1204" spans="2:18" ht="15.75" hidden="1" thickBot="1" x14ac:dyDescent="0.3">
      <c r="B1204" s="723" t="s">
        <v>726</v>
      </c>
      <c r="C1204" s="722" t="s">
        <v>75</v>
      </c>
      <c r="D1204" t="s">
        <v>76</v>
      </c>
      <c r="E1204" s="148">
        <v>0.84348999999999996</v>
      </c>
      <c r="F1204" s="148">
        <v>2.2999999999999998</v>
      </c>
      <c r="G1204" s="148">
        <v>-1.45651</v>
      </c>
      <c r="H1204" s="148">
        <v>-63.326521739130435</v>
      </c>
      <c r="I1204" s="728"/>
      <c r="J1204" s="148">
        <v>0.84348999999999996</v>
      </c>
      <c r="K1204" s="148">
        <v>0</v>
      </c>
      <c r="L1204" s="148">
        <v>11.690950000000001</v>
      </c>
      <c r="M1204" s="148">
        <v>12.8</v>
      </c>
      <c r="N1204" s="148">
        <v>-1.1090500000000001</v>
      </c>
      <c r="O1204" s="148">
        <v>-8.6644531249999996</v>
      </c>
      <c r="P1204" s="148">
        <v>7.2471800000000002</v>
      </c>
      <c r="Q1204" s="148">
        <v>4.4437699999999998</v>
      </c>
      <c r="R1204" s="148">
        <v>61.317229598271325</v>
      </c>
    </row>
    <row r="1205" spans="2:18" ht="15.75" hidden="1" thickBot="1" x14ac:dyDescent="0.3">
      <c r="B1205" s="723" t="s">
        <v>726</v>
      </c>
      <c r="C1205" s="722" t="s">
        <v>121</v>
      </c>
      <c r="D1205" t="s">
        <v>122</v>
      </c>
      <c r="E1205" s="147">
        <v>0.13672000000000001</v>
      </c>
      <c r="F1205" s="147">
        <v>8.3330000000000001E-2</v>
      </c>
      <c r="G1205" s="147">
        <v>5.339E-2</v>
      </c>
      <c r="H1205" s="147">
        <v>64.070562822512898</v>
      </c>
      <c r="I1205" s="729"/>
      <c r="J1205" s="147">
        <v>0.13672000000000001</v>
      </c>
      <c r="K1205" s="147">
        <v>0</v>
      </c>
      <c r="L1205" s="147">
        <v>1.0896699999999999</v>
      </c>
      <c r="M1205" s="147">
        <v>1</v>
      </c>
      <c r="N1205" s="147">
        <v>8.967E-2</v>
      </c>
      <c r="O1205" s="147">
        <v>8.9670000000000005</v>
      </c>
      <c r="P1205" s="147">
        <v>0.71843999999999997</v>
      </c>
      <c r="Q1205" s="147">
        <v>0.37123</v>
      </c>
      <c r="R1205" s="147">
        <v>51.671677523523186</v>
      </c>
    </row>
    <row r="1206" spans="2:18" ht="15.75" hidden="1" thickBot="1" x14ac:dyDescent="0.3">
      <c r="B1206" s="723" t="s">
        <v>726</v>
      </c>
      <c r="C1206" s="722" t="s">
        <v>77</v>
      </c>
      <c r="D1206" t="s">
        <v>78</v>
      </c>
      <c r="E1206" s="148">
        <v>0.70765999999999996</v>
      </c>
      <c r="F1206" s="148">
        <v>1.5</v>
      </c>
      <c r="G1206" s="148">
        <v>-0.79234000000000004</v>
      </c>
      <c r="H1206" s="148">
        <v>-52.82266666666667</v>
      </c>
      <c r="I1206" s="728"/>
      <c r="J1206" s="148">
        <v>0.70765999999999996</v>
      </c>
      <c r="K1206" s="148">
        <v>0</v>
      </c>
      <c r="L1206" s="148">
        <v>24.54551</v>
      </c>
      <c r="M1206" s="148">
        <v>41</v>
      </c>
      <c r="N1206" s="148">
        <v>-16.45449</v>
      </c>
      <c r="O1206" s="148">
        <v>-40.132902439024392</v>
      </c>
      <c r="P1206" s="148">
        <v>16.767299999999999</v>
      </c>
      <c r="Q1206" s="148">
        <v>7.7782099999999996</v>
      </c>
      <c r="R1206" s="148">
        <v>46.389162238404516</v>
      </c>
    </row>
    <row r="1207" spans="2:18" ht="15.75" hidden="1" thickBot="1" x14ac:dyDescent="0.3">
      <c r="B1207" s="723" t="s">
        <v>726</v>
      </c>
      <c r="C1207" s="722" t="s">
        <v>79</v>
      </c>
      <c r="D1207" t="s">
        <v>80</v>
      </c>
      <c r="E1207" s="147">
        <v>2.1441300000000001</v>
      </c>
      <c r="F1207" s="147">
        <v>2.6669999999999998</v>
      </c>
      <c r="G1207" s="147">
        <v>-0.52286999999999995</v>
      </c>
      <c r="H1207" s="147">
        <v>-19.60517435320585</v>
      </c>
      <c r="I1207" s="729"/>
      <c r="J1207" s="147">
        <v>2.1441300000000001</v>
      </c>
      <c r="K1207" s="147">
        <v>0</v>
      </c>
      <c r="L1207" s="147">
        <v>26.261379999999999</v>
      </c>
      <c r="M1207" s="147">
        <v>24</v>
      </c>
      <c r="N1207" s="147">
        <v>2.2613799999999999</v>
      </c>
      <c r="O1207" s="147">
        <v>9.4224166666666669</v>
      </c>
      <c r="P1207" s="147">
        <v>15.845230000000001</v>
      </c>
      <c r="Q1207" s="147">
        <v>10.41615</v>
      </c>
      <c r="R1207" s="147">
        <v>65.736817957202263</v>
      </c>
    </row>
    <row r="1208" spans="2:18" ht="15.75" hidden="1" thickBot="1" x14ac:dyDescent="0.3">
      <c r="B1208" s="723" t="s">
        <v>726</v>
      </c>
      <c r="C1208" s="722" t="s">
        <v>81</v>
      </c>
      <c r="D1208" t="s">
        <v>82</v>
      </c>
      <c r="E1208" s="148">
        <v>0.56906999999999996</v>
      </c>
      <c r="F1208" s="148">
        <v>0.25</v>
      </c>
      <c r="G1208" s="148">
        <v>0.31907000000000002</v>
      </c>
      <c r="H1208" s="148">
        <v>127.628</v>
      </c>
      <c r="I1208" s="728"/>
      <c r="J1208" s="148">
        <v>0.56906999999999996</v>
      </c>
      <c r="K1208" s="148">
        <v>0</v>
      </c>
      <c r="L1208" s="148">
        <v>3.1799599999999999</v>
      </c>
      <c r="M1208" s="148">
        <v>1.75</v>
      </c>
      <c r="N1208" s="148">
        <v>1.4299599999999999</v>
      </c>
      <c r="O1208" s="148">
        <v>81.712000000000003</v>
      </c>
      <c r="P1208" s="148">
        <v>0.87434000000000001</v>
      </c>
      <c r="Q1208" s="148">
        <v>2.3056199999999998</v>
      </c>
      <c r="R1208" s="148">
        <v>263.69833245648147</v>
      </c>
    </row>
    <row r="1209" spans="2:18" ht="15.75" hidden="1" thickBot="1" x14ac:dyDescent="0.3">
      <c r="B1209" s="723" t="s">
        <v>726</v>
      </c>
      <c r="C1209" s="722" t="s">
        <v>123</v>
      </c>
      <c r="D1209" t="s">
        <v>124</v>
      </c>
      <c r="E1209" s="147">
        <v>0.21410999999999999</v>
      </c>
      <c r="F1209" s="729"/>
      <c r="G1209" s="147">
        <v>0.21410999999999999</v>
      </c>
      <c r="H1209" s="147">
        <v>0</v>
      </c>
      <c r="I1209" s="729"/>
      <c r="J1209" s="147">
        <v>0.21410999999999999</v>
      </c>
      <c r="K1209" s="147">
        <v>0</v>
      </c>
      <c r="L1209" s="147">
        <v>0.77461000000000002</v>
      </c>
      <c r="M1209" s="147">
        <v>1</v>
      </c>
      <c r="N1209" s="147">
        <v>-0.22539000000000001</v>
      </c>
      <c r="O1209" s="147">
        <v>-22.539000000000001</v>
      </c>
      <c r="P1209" s="147">
        <v>0.2984</v>
      </c>
      <c r="Q1209" s="147">
        <v>0.47621000000000002</v>
      </c>
      <c r="R1209" s="147">
        <v>159.5878016085791</v>
      </c>
    </row>
    <row r="1210" spans="2:18" ht="15.75" hidden="1" thickBot="1" x14ac:dyDescent="0.3">
      <c r="B1210" s="723" t="s">
        <v>726</v>
      </c>
      <c r="C1210" s="722" t="s">
        <v>125</v>
      </c>
      <c r="D1210" t="s">
        <v>126</v>
      </c>
      <c r="E1210" s="728"/>
      <c r="F1210" s="728"/>
      <c r="G1210" s="728"/>
      <c r="H1210" s="728"/>
      <c r="I1210" s="728"/>
      <c r="J1210" s="728"/>
      <c r="K1210" s="728"/>
      <c r="L1210" s="148">
        <v>0.12085</v>
      </c>
      <c r="M1210" s="728"/>
      <c r="N1210" s="148">
        <v>0.12085</v>
      </c>
      <c r="O1210" s="148">
        <v>0</v>
      </c>
      <c r="P1210" s="148">
        <v>0.12085</v>
      </c>
      <c r="Q1210" s="148">
        <v>0</v>
      </c>
      <c r="R1210" s="148">
        <v>0</v>
      </c>
    </row>
    <row r="1211" spans="2:18" ht="15.75" hidden="1" thickBot="1" x14ac:dyDescent="0.3">
      <c r="B1211" s="723" t="s">
        <v>726</v>
      </c>
      <c r="C1211" s="722" t="s">
        <v>83</v>
      </c>
      <c r="D1211" t="s">
        <v>84</v>
      </c>
      <c r="E1211" s="729"/>
      <c r="F1211" s="147">
        <v>1.3660000000000001</v>
      </c>
      <c r="G1211" s="147">
        <v>-1.3660000000000001</v>
      </c>
      <c r="H1211" s="147">
        <v>-100</v>
      </c>
      <c r="I1211" s="729"/>
      <c r="J1211" s="729"/>
      <c r="K1211" s="729"/>
      <c r="L1211" s="729"/>
      <c r="M1211" s="147">
        <v>14.8</v>
      </c>
      <c r="N1211" s="147">
        <v>-14.8</v>
      </c>
      <c r="O1211" s="147">
        <v>-100</v>
      </c>
      <c r="P1211" s="729"/>
      <c r="Q1211" s="729"/>
      <c r="R1211" s="729"/>
    </row>
    <row r="1212" spans="2:18" ht="15.75" hidden="1" thickBot="1" x14ac:dyDescent="0.3">
      <c r="B1212" s="723" t="s">
        <v>726</v>
      </c>
      <c r="C1212" s="149" t="s">
        <v>85</v>
      </c>
      <c r="D1212" t="s">
        <v>86</v>
      </c>
      <c r="E1212" s="148">
        <v>-40.918289999999999</v>
      </c>
      <c r="F1212" s="148">
        <v>55.538029999999999</v>
      </c>
      <c r="G1212" s="148">
        <v>-96.456320000000005</v>
      </c>
      <c r="H1212" s="148">
        <v>-173.67616388265841</v>
      </c>
      <c r="I1212" s="728"/>
      <c r="J1212" s="148">
        <v>-40.918289999999999</v>
      </c>
      <c r="K1212" s="148">
        <v>0</v>
      </c>
      <c r="L1212" s="148">
        <v>1052.89201</v>
      </c>
      <c r="M1212" s="148">
        <v>695.28995999999995</v>
      </c>
      <c r="N1212" s="148">
        <v>357.60205000000002</v>
      </c>
      <c r="O1212" s="148">
        <v>51.432074468614502</v>
      </c>
      <c r="P1212" s="148">
        <v>906.76973999999996</v>
      </c>
      <c r="Q1212" s="148">
        <v>146.12226999999999</v>
      </c>
      <c r="R1212" s="148">
        <v>16.114594869475905</v>
      </c>
    </row>
    <row r="1213" spans="2:18" ht="15.75" hidden="1" thickBot="1" x14ac:dyDescent="0.3">
      <c r="B1213" s="723" t="s">
        <v>726</v>
      </c>
      <c r="C1213" s="144" t="s">
        <v>87</v>
      </c>
      <c r="D1213" t="s">
        <v>87</v>
      </c>
      <c r="E1213" s="147">
        <v>42.306429999999999</v>
      </c>
      <c r="F1213" s="147">
        <v>246.98452</v>
      </c>
      <c r="G1213" s="147">
        <v>-204.67809</v>
      </c>
      <c r="H1213" s="147">
        <v>-82.870817167003011</v>
      </c>
      <c r="I1213" s="729"/>
      <c r="J1213" s="147">
        <v>42.306429999999999</v>
      </c>
      <c r="K1213" s="147">
        <v>0</v>
      </c>
      <c r="L1213" s="147">
        <v>3753.9138699999999</v>
      </c>
      <c r="M1213" s="147">
        <v>3075.7605600000002</v>
      </c>
      <c r="N1213" s="147">
        <v>678.15331000000003</v>
      </c>
      <c r="O1213" s="147">
        <v>22.048312824454708</v>
      </c>
      <c r="P1213" s="147">
        <v>2320.43741</v>
      </c>
      <c r="Q1213" s="147">
        <v>1433.4764600000001</v>
      </c>
      <c r="R1213" s="147">
        <v>61.77613125104719</v>
      </c>
    </row>
    <row r="1214" spans="2:18" ht="15.75" hidden="1" thickBot="1" x14ac:dyDescent="0.3">
      <c r="B1214" s="724" t="s">
        <v>727</v>
      </c>
      <c r="C1214" s="722" t="s">
        <v>59</v>
      </c>
      <c r="D1214" t="s">
        <v>60</v>
      </c>
      <c r="E1214" s="148">
        <v>47.448590000000003</v>
      </c>
      <c r="F1214" s="148">
        <v>54.051819999999999</v>
      </c>
      <c r="G1214" s="148">
        <v>-6.6032299999999999</v>
      </c>
      <c r="H1214" s="148">
        <v>-12.216480407135228</v>
      </c>
      <c r="I1214" s="728"/>
      <c r="J1214" s="148">
        <v>47.448590000000003</v>
      </c>
      <c r="K1214" s="148">
        <v>0</v>
      </c>
      <c r="L1214" s="148">
        <v>740.20374000000004</v>
      </c>
      <c r="M1214" s="148">
        <v>688.96536000000003</v>
      </c>
      <c r="N1214" s="148">
        <v>51.238379999999999</v>
      </c>
      <c r="O1214" s="148">
        <v>7.4370037994363027</v>
      </c>
      <c r="P1214" s="148">
        <v>394.60890000000001</v>
      </c>
      <c r="Q1214" s="148">
        <v>345.59483999999998</v>
      </c>
      <c r="R1214" s="148">
        <v>87.579078931063137</v>
      </c>
    </row>
    <row r="1215" spans="2:18" ht="15.75" hidden="1" thickBot="1" x14ac:dyDescent="0.3">
      <c r="B1215" s="724" t="s">
        <v>727</v>
      </c>
      <c r="C1215" s="722" t="s">
        <v>134</v>
      </c>
      <c r="D1215" t="s">
        <v>135</v>
      </c>
      <c r="E1215" s="147">
        <v>2.74</v>
      </c>
      <c r="F1215" s="729"/>
      <c r="G1215" s="147">
        <v>2.74</v>
      </c>
      <c r="H1215" s="147">
        <v>0</v>
      </c>
      <c r="I1215" s="729"/>
      <c r="J1215" s="147">
        <v>2.74</v>
      </c>
      <c r="K1215" s="147">
        <v>0</v>
      </c>
      <c r="L1215" s="147">
        <v>37.62133</v>
      </c>
      <c r="M1215" s="147">
        <v>18.266999999999999</v>
      </c>
      <c r="N1215" s="147">
        <v>19.354330000000001</v>
      </c>
      <c r="O1215" s="147">
        <v>105.95242787540373</v>
      </c>
      <c r="P1215" s="147">
        <v>20.864999999999998</v>
      </c>
      <c r="Q1215" s="147">
        <v>16.756329999999998</v>
      </c>
      <c r="R1215" s="147">
        <v>80.308315360651804</v>
      </c>
    </row>
    <row r="1216" spans="2:18" ht="15.75" hidden="1" thickBot="1" x14ac:dyDescent="0.3">
      <c r="B1216" s="724" t="s">
        <v>727</v>
      </c>
      <c r="C1216" s="722" t="s">
        <v>61</v>
      </c>
      <c r="D1216" t="s">
        <v>62</v>
      </c>
      <c r="E1216" s="148">
        <v>8.3793900000000008</v>
      </c>
      <c r="F1216" s="148">
        <v>8.3780300000000008</v>
      </c>
      <c r="G1216" s="148">
        <v>1.3600000000000001E-3</v>
      </c>
      <c r="H1216" s="148">
        <v>1.6232933040344805E-2</v>
      </c>
      <c r="I1216" s="728"/>
      <c r="J1216" s="148">
        <v>8.3793900000000008</v>
      </c>
      <c r="K1216" s="148">
        <v>0</v>
      </c>
      <c r="L1216" s="148">
        <v>109.65204</v>
      </c>
      <c r="M1216" s="148">
        <v>106.78962</v>
      </c>
      <c r="N1216" s="148">
        <v>2.8624200000000002</v>
      </c>
      <c r="O1216" s="148">
        <v>2.6804290529360437</v>
      </c>
      <c r="P1216" s="148">
        <v>56.457920000000001</v>
      </c>
      <c r="Q1216" s="148">
        <v>53.194119999999998</v>
      </c>
      <c r="R1216" s="148">
        <v>94.219057308522878</v>
      </c>
    </row>
    <row r="1217" spans="2:18" ht="15.75" hidden="1" thickBot="1" x14ac:dyDescent="0.3">
      <c r="B1217" s="724" t="s">
        <v>727</v>
      </c>
      <c r="C1217" s="722" t="s">
        <v>63</v>
      </c>
      <c r="D1217" t="s">
        <v>64</v>
      </c>
      <c r="E1217" s="147">
        <v>32.827649999999998</v>
      </c>
      <c r="F1217" s="147">
        <v>32.593249999999998</v>
      </c>
      <c r="G1217" s="147">
        <v>0.2344</v>
      </c>
      <c r="H1217" s="147">
        <v>0.71916731225023589</v>
      </c>
      <c r="I1217" s="729"/>
      <c r="J1217" s="147">
        <v>32.827649999999998</v>
      </c>
      <c r="K1217" s="147">
        <v>0</v>
      </c>
      <c r="L1217" s="147">
        <v>429.69299999999998</v>
      </c>
      <c r="M1217" s="147">
        <v>415.44612000000001</v>
      </c>
      <c r="N1217" s="147">
        <v>14.246880000000001</v>
      </c>
      <c r="O1217" s="147">
        <v>3.429296679916038</v>
      </c>
      <c r="P1217" s="147">
        <v>221.39143999999999</v>
      </c>
      <c r="Q1217" s="147">
        <v>208.30155999999999</v>
      </c>
      <c r="R1217" s="147">
        <v>94.087449812874425</v>
      </c>
    </row>
    <row r="1218" spans="2:18" ht="15.75" hidden="1" thickBot="1" x14ac:dyDescent="0.3">
      <c r="B1218" s="724" t="s">
        <v>727</v>
      </c>
      <c r="C1218" s="722" t="s">
        <v>65</v>
      </c>
      <c r="D1218" t="s">
        <v>66</v>
      </c>
      <c r="E1218" s="728"/>
      <c r="F1218" s="728"/>
      <c r="G1218" s="728"/>
      <c r="H1218" s="728"/>
      <c r="I1218" s="728"/>
      <c r="J1218" s="728"/>
      <c r="K1218" s="728"/>
      <c r="L1218" s="148">
        <v>-6.6592000000000002</v>
      </c>
      <c r="M1218" s="728"/>
      <c r="N1218" s="148">
        <v>-6.6592000000000002</v>
      </c>
      <c r="O1218" s="148">
        <v>0</v>
      </c>
      <c r="P1218" s="148">
        <v>-2.1720000000000002</v>
      </c>
      <c r="Q1218" s="148">
        <v>-4.4871999999999996</v>
      </c>
      <c r="R1218" s="148">
        <v>-206.59300184162063</v>
      </c>
    </row>
    <row r="1219" spans="2:18" ht="15.75" hidden="1" thickBot="1" x14ac:dyDescent="0.3">
      <c r="B1219" s="724" t="s">
        <v>727</v>
      </c>
      <c r="C1219" s="149" t="s">
        <v>67</v>
      </c>
      <c r="D1219" t="s">
        <v>68</v>
      </c>
      <c r="E1219" s="147">
        <v>91.395629999999997</v>
      </c>
      <c r="F1219" s="147">
        <v>95.023099999999999</v>
      </c>
      <c r="G1219" s="147">
        <v>-3.6274700000000002</v>
      </c>
      <c r="H1219" s="147">
        <v>-3.8174612278488071</v>
      </c>
      <c r="I1219" s="729"/>
      <c r="J1219" s="147">
        <v>91.395629999999997</v>
      </c>
      <c r="K1219" s="147">
        <v>0</v>
      </c>
      <c r="L1219" s="147">
        <v>1310.51091</v>
      </c>
      <c r="M1219" s="147">
        <v>1229.4681</v>
      </c>
      <c r="N1219" s="147">
        <v>81.042810000000003</v>
      </c>
      <c r="O1219" s="147">
        <v>6.5916968484176204</v>
      </c>
      <c r="P1219" s="147">
        <v>691.15125999999998</v>
      </c>
      <c r="Q1219" s="147">
        <v>619.35964999999999</v>
      </c>
      <c r="R1219" s="147">
        <v>89.612749892114792</v>
      </c>
    </row>
    <row r="1220" spans="2:18" ht="15.75" hidden="1" thickBot="1" x14ac:dyDescent="0.3">
      <c r="B1220" s="724" t="s">
        <v>727</v>
      </c>
      <c r="C1220" s="722" t="s">
        <v>69</v>
      </c>
      <c r="D1220" t="s">
        <v>70</v>
      </c>
      <c r="E1220" s="728"/>
      <c r="F1220" s="728"/>
      <c r="G1220" s="728"/>
      <c r="H1220" s="728"/>
      <c r="I1220" s="728"/>
      <c r="J1220" s="728"/>
      <c r="K1220" s="728"/>
      <c r="L1220" s="148">
        <v>0.59499999999999997</v>
      </c>
      <c r="M1220" s="728"/>
      <c r="N1220" s="148">
        <v>0.59499999999999997</v>
      </c>
      <c r="O1220" s="148">
        <v>0</v>
      </c>
      <c r="P1220" s="728"/>
      <c r="Q1220" s="148">
        <v>0.59499999999999997</v>
      </c>
      <c r="R1220" s="148">
        <v>0</v>
      </c>
    </row>
    <row r="1221" spans="2:18" ht="15.75" hidden="1" thickBot="1" x14ac:dyDescent="0.3">
      <c r="B1221" s="724" t="s">
        <v>727</v>
      </c>
      <c r="C1221" s="722" t="s">
        <v>582</v>
      </c>
      <c r="D1221" t="s">
        <v>583</v>
      </c>
      <c r="E1221" s="147">
        <v>0.52500000000000002</v>
      </c>
      <c r="F1221" s="147">
        <v>0.52500000000000002</v>
      </c>
      <c r="G1221" s="147">
        <v>0</v>
      </c>
      <c r="H1221" s="147">
        <v>0</v>
      </c>
      <c r="I1221" s="729"/>
      <c r="J1221" s="147">
        <v>0.52500000000000002</v>
      </c>
      <c r="K1221" s="147">
        <v>0</v>
      </c>
      <c r="L1221" s="147">
        <v>6.31074</v>
      </c>
      <c r="M1221" s="147">
        <v>6.3</v>
      </c>
      <c r="N1221" s="147">
        <v>1.074E-2</v>
      </c>
      <c r="O1221" s="147">
        <v>0.17047619047619048</v>
      </c>
      <c r="P1221" s="147">
        <v>3.1607400000000001</v>
      </c>
      <c r="Q1221" s="147">
        <v>3.15</v>
      </c>
      <c r="R1221" s="147">
        <v>99.660206154255022</v>
      </c>
    </row>
    <row r="1222" spans="2:18" ht="15.75" hidden="1" thickBot="1" x14ac:dyDescent="0.3">
      <c r="B1222" s="724" t="s">
        <v>727</v>
      </c>
      <c r="C1222" s="722" t="s">
        <v>137</v>
      </c>
      <c r="D1222" t="s">
        <v>138</v>
      </c>
      <c r="E1222" s="148">
        <v>0.16525000000000001</v>
      </c>
      <c r="F1222" s="148">
        <v>0.125</v>
      </c>
      <c r="G1222" s="148">
        <v>4.0250000000000001E-2</v>
      </c>
      <c r="H1222" s="148">
        <v>32.200000000000003</v>
      </c>
      <c r="I1222" s="728"/>
      <c r="J1222" s="148">
        <v>0.16525000000000001</v>
      </c>
      <c r="K1222" s="148">
        <v>0</v>
      </c>
      <c r="L1222" s="148">
        <v>1.41164</v>
      </c>
      <c r="M1222" s="148">
        <v>0.5</v>
      </c>
      <c r="N1222" s="148">
        <v>0.91164000000000001</v>
      </c>
      <c r="O1222" s="148">
        <v>182.328</v>
      </c>
      <c r="P1222" s="148">
        <v>0.19292999999999999</v>
      </c>
      <c r="Q1222" s="148">
        <v>1.21871</v>
      </c>
      <c r="R1222" s="148">
        <v>631.68506712279066</v>
      </c>
    </row>
    <row r="1223" spans="2:18" ht="15.75" hidden="1" thickBot="1" x14ac:dyDescent="0.3">
      <c r="B1223" s="724" t="s">
        <v>727</v>
      </c>
      <c r="C1223" s="722" t="s">
        <v>190</v>
      </c>
      <c r="D1223" t="s">
        <v>191</v>
      </c>
      <c r="E1223" s="729"/>
      <c r="F1223" s="729"/>
      <c r="G1223" s="729"/>
      <c r="H1223" s="729"/>
      <c r="I1223" s="729"/>
      <c r="J1223" s="729"/>
      <c r="K1223" s="729"/>
      <c r="L1223" s="147">
        <v>0.37759999999999999</v>
      </c>
      <c r="M1223" s="729"/>
      <c r="N1223" s="147">
        <v>0.37759999999999999</v>
      </c>
      <c r="O1223" s="147">
        <v>0</v>
      </c>
      <c r="P1223" s="147">
        <v>0.29746</v>
      </c>
      <c r="Q1223" s="147">
        <v>8.0140000000000003E-2</v>
      </c>
      <c r="R1223" s="147">
        <v>26.941437504202245</v>
      </c>
    </row>
    <row r="1224" spans="2:18" ht="15.75" hidden="1" thickBot="1" x14ac:dyDescent="0.3">
      <c r="B1224" s="724" t="s">
        <v>727</v>
      </c>
      <c r="C1224" s="722" t="s">
        <v>139</v>
      </c>
      <c r="D1224" t="s">
        <v>140</v>
      </c>
      <c r="E1224" s="728"/>
      <c r="F1224" s="148">
        <v>1.125</v>
      </c>
      <c r="G1224" s="148">
        <v>-1.125</v>
      </c>
      <c r="H1224" s="148">
        <v>-100</v>
      </c>
      <c r="I1224" s="728"/>
      <c r="J1224" s="728"/>
      <c r="K1224" s="728"/>
      <c r="L1224" s="728"/>
      <c r="M1224" s="148">
        <v>4.5</v>
      </c>
      <c r="N1224" s="148">
        <v>-4.5</v>
      </c>
      <c r="O1224" s="148">
        <v>-100</v>
      </c>
      <c r="P1224" s="728"/>
      <c r="Q1224" s="728"/>
      <c r="R1224" s="728"/>
    </row>
    <row r="1225" spans="2:18" ht="15.75" hidden="1" thickBot="1" x14ac:dyDescent="0.3">
      <c r="B1225" s="724" t="s">
        <v>727</v>
      </c>
      <c r="C1225" s="722" t="s">
        <v>101</v>
      </c>
      <c r="D1225" t="s">
        <v>102</v>
      </c>
      <c r="E1225" s="147">
        <v>0.15187999999999999</v>
      </c>
      <c r="F1225" s="729"/>
      <c r="G1225" s="147">
        <v>0.15187999999999999</v>
      </c>
      <c r="H1225" s="147">
        <v>0</v>
      </c>
      <c r="I1225" s="729"/>
      <c r="J1225" s="147">
        <v>0.15187999999999999</v>
      </c>
      <c r="K1225" s="147">
        <v>0</v>
      </c>
      <c r="L1225" s="147">
        <v>0.88653000000000004</v>
      </c>
      <c r="M1225" s="729"/>
      <c r="N1225" s="147">
        <v>0.88653000000000004</v>
      </c>
      <c r="O1225" s="147">
        <v>0</v>
      </c>
      <c r="P1225" s="147">
        <v>0.65905000000000002</v>
      </c>
      <c r="Q1225" s="147">
        <v>0.22747999999999999</v>
      </c>
      <c r="R1225" s="147">
        <v>34.516349290645628</v>
      </c>
    </row>
    <row r="1226" spans="2:18" ht="15.75" hidden="1" thickBot="1" x14ac:dyDescent="0.3">
      <c r="B1226" s="724" t="s">
        <v>727</v>
      </c>
      <c r="C1226" s="722" t="s">
        <v>103</v>
      </c>
      <c r="D1226" t="s">
        <v>104</v>
      </c>
      <c r="E1226" s="148">
        <v>0.64090000000000003</v>
      </c>
      <c r="F1226" s="728"/>
      <c r="G1226" s="148">
        <v>0.64090000000000003</v>
      </c>
      <c r="H1226" s="148">
        <v>0</v>
      </c>
      <c r="I1226" s="728"/>
      <c r="J1226" s="148">
        <v>0.64090000000000003</v>
      </c>
      <c r="K1226" s="148">
        <v>0</v>
      </c>
      <c r="L1226" s="148">
        <v>2.3811200000000001</v>
      </c>
      <c r="M1226" s="728"/>
      <c r="N1226" s="148">
        <v>2.3811200000000001</v>
      </c>
      <c r="O1226" s="148">
        <v>0</v>
      </c>
      <c r="P1226" s="148">
        <v>0.28544000000000003</v>
      </c>
      <c r="Q1226" s="148">
        <v>2.0956800000000002</v>
      </c>
      <c r="R1226" s="148">
        <v>734.19282511210758</v>
      </c>
    </row>
    <row r="1227" spans="2:18" ht="15.75" hidden="1" thickBot="1" x14ac:dyDescent="0.3">
      <c r="B1227" s="724" t="s">
        <v>727</v>
      </c>
      <c r="C1227" s="722" t="s">
        <v>71</v>
      </c>
      <c r="D1227" t="s">
        <v>72</v>
      </c>
      <c r="E1227" s="147">
        <v>-4.4999999999999998E-2</v>
      </c>
      <c r="F1227" s="729"/>
      <c r="G1227" s="147">
        <v>-4.4999999999999998E-2</v>
      </c>
      <c r="H1227" s="147">
        <v>0</v>
      </c>
      <c r="I1227" s="729"/>
      <c r="J1227" s="147">
        <v>-4.4999999999999998E-2</v>
      </c>
      <c r="K1227" s="147">
        <v>0</v>
      </c>
      <c r="L1227" s="147">
        <v>0</v>
      </c>
      <c r="M1227" s="729"/>
      <c r="N1227" s="147">
        <v>0</v>
      </c>
      <c r="O1227" s="147">
        <v>0</v>
      </c>
      <c r="P1227" s="147">
        <v>3.2989999999999998E-2</v>
      </c>
      <c r="Q1227" s="147">
        <v>-3.2989999999999998E-2</v>
      </c>
      <c r="R1227" s="147">
        <v>-100</v>
      </c>
    </row>
    <row r="1228" spans="2:18" ht="15.75" hidden="1" thickBot="1" x14ac:dyDescent="0.3">
      <c r="B1228" s="724" t="s">
        <v>727</v>
      </c>
      <c r="C1228" s="722" t="s">
        <v>73</v>
      </c>
      <c r="D1228" t="s">
        <v>74</v>
      </c>
      <c r="E1228" s="148">
        <v>4.8180000000000001E-2</v>
      </c>
      <c r="F1228" s="728"/>
      <c r="G1228" s="148">
        <v>4.8180000000000001E-2</v>
      </c>
      <c r="H1228" s="148">
        <v>0</v>
      </c>
      <c r="I1228" s="728"/>
      <c r="J1228" s="148">
        <v>4.8180000000000001E-2</v>
      </c>
      <c r="K1228" s="148">
        <v>0</v>
      </c>
      <c r="L1228" s="148">
        <v>2.1917499999999999</v>
      </c>
      <c r="M1228" s="728"/>
      <c r="N1228" s="148">
        <v>2.1917499999999999</v>
      </c>
      <c r="O1228" s="148">
        <v>0</v>
      </c>
      <c r="P1228" s="148">
        <v>1.6651100000000001</v>
      </c>
      <c r="Q1228" s="148">
        <v>0.52664</v>
      </c>
      <c r="R1228" s="148">
        <v>31.627940496423658</v>
      </c>
    </row>
    <row r="1229" spans="2:18" ht="15.75" hidden="1" thickBot="1" x14ac:dyDescent="0.3">
      <c r="B1229" s="724" t="s">
        <v>727</v>
      </c>
      <c r="C1229" s="722" t="s">
        <v>111</v>
      </c>
      <c r="D1229" t="s">
        <v>112</v>
      </c>
      <c r="E1229" s="729"/>
      <c r="F1229" s="147">
        <v>0</v>
      </c>
      <c r="G1229" s="147">
        <v>0</v>
      </c>
      <c r="H1229" s="147">
        <v>0</v>
      </c>
      <c r="I1229" s="729"/>
      <c r="J1229" s="729"/>
      <c r="K1229" s="729"/>
      <c r="L1229" s="729"/>
      <c r="M1229" s="147">
        <v>3.45</v>
      </c>
      <c r="N1229" s="147">
        <v>-3.45</v>
      </c>
      <c r="O1229" s="147">
        <v>-100</v>
      </c>
      <c r="P1229" s="729"/>
      <c r="Q1229" s="729"/>
      <c r="R1229" s="729"/>
    </row>
    <row r="1230" spans="2:18" ht="15.75" hidden="1" thickBot="1" x14ac:dyDescent="0.3">
      <c r="B1230" s="724" t="s">
        <v>727</v>
      </c>
      <c r="C1230" s="722" t="s">
        <v>141</v>
      </c>
      <c r="D1230" t="s">
        <v>142</v>
      </c>
      <c r="E1230" s="148">
        <v>8.1989999999999993E-2</v>
      </c>
      <c r="F1230" s="148">
        <v>0.25</v>
      </c>
      <c r="G1230" s="148">
        <v>-0.16800999999999999</v>
      </c>
      <c r="H1230" s="148">
        <v>-67.203999999999994</v>
      </c>
      <c r="I1230" s="728"/>
      <c r="J1230" s="148">
        <v>8.1989999999999993E-2</v>
      </c>
      <c r="K1230" s="148">
        <v>0</v>
      </c>
      <c r="L1230" s="148">
        <v>1.5926499999999999</v>
      </c>
      <c r="M1230" s="148">
        <v>1</v>
      </c>
      <c r="N1230" s="148">
        <v>0.59265000000000001</v>
      </c>
      <c r="O1230" s="148">
        <v>59.265000000000001</v>
      </c>
      <c r="P1230" s="148">
        <v>1.2927200000000001</v>
      </c>
      <c r="Q1230" s="148">
        <v>0.29992999999999997</v>
      </c>
      <c r="R1230" s="148">
        <v>23.201466674918002</v>
      </c>
    </row>
    <row r="1231" spans="2:18" ht="15.75" hidden="1" thickBot="1" x14ac:dyDescent="0.3">
      <c r="B1231" s="724" t="s">
        <v>727</v>
      </c>
      <c r="C1231" s="722" t="s">
        <v>113</v>
      </c>
      <c r="D1231" t="s">
        <v>114</v>
      </c>
      <c r="E1231" s="729"/>
      <c r="F1231" s="729"/>
      <c r="G1231" s="729"/>
      <c r="H1231" s="729"/>
      <c r="I1231" s="729"/>
      <c r="J1231" s="729"/>
      <c r="K1231" s="729"/>
      <c r="L1231" s="147">
        <v>0.62819999999999998</v>
      </c>
      <c r="M1231" s="729"/>
      <c r="N1231" s="147">
        <v>0.62819999999999998</v>
      </c>
      <c r="O1231" s="147">
        <v>0</v>
      </c>
      <c r="P1231" s="147">
        <v>0.33234000000000002</v>
      </c>
      <c r="Q1231" s="147">
        <v>0.29586000000000001</v>
      </c>
      <c r="R1231" s="147">
        <v>89.023289402419209</v>
      </c>
    </row>
    <row r="1232" spans="2:18" ht="15.75" hidden="1" thickBot="1" x14ac:dyDescent="0.3">
      <c r="B1232" s="724" t="s">
        <v>727</v>
      </c>
      <c r="C1232" s="722" t="s">
        <v>145</v>
      </c>
      <c r="D1232" t="s">
        <v>146</v>
      </c>
      <c r="E1232" s="728"/>
      <c r="F1232" s="148">
        <v>0.1</v>
      </c>
      <c r="G1232" s="148">
        <v>-0.1</v>
      </c>
      <c r="H1232" s="148">
        <v>-100</v>
      </c>
      <c r="I1232" s="728"/>
      <c r="J1232" s="728"/>
      <c r="K1232" s="728"/>
      <c r="L1232" s="148">
        <v>0.12755</v>
      </c>
      <c r="M1232" s="148">
        <v>0.2</v>
      </c>
      <c r="N1232" s="148">
        <v>-7.2450000000000001E-2</v>
      </c>
      <c r="O1232" s="148">
        <v>-36.225000000000001</v>
      </c>
      <c r="P1232" s="148">
        <v>6.1550000000000001E-2</v>
      </c>
      <c r="Q1232" s="148">
        <v>6.6000000000000003E-2</v>
      </c>
      <c r="R1232" s="148">
        <v>107.22989439480098</v>
      </c>
    </row>
    <row r="1233" spans="2:18" ht="15.75" hidden="1" thickBot="1" x14ac:dyDescent="0.3">
      <c r="B1233" s="724" t="s">
        <v>727</v>
      </c>
      <c r="C1233" s="722" t="s">
        <v>147</v>
      </c>
      <c r="D1233" t="s">
        <v>148</v>
      </c>
      <c r="E1233" s="147">
        <v>1.9E-2</v>
      </c>
      <c r="F1233" s="729"/>
      <c r="G1233" s="147">
        <v>1.9E-2</v>
      </c>
      <c r="H1233" s="147">
        <v>0</v>
      </c>
      <c r="I1233" s="729"/>
      <c r="J1233" s="147">
        <v>1.9E-2</v>
      </c>
      <c r="K1233" s="147">
        <v>0</v>
      </c>
      <c r="L1233" s="147">
        <v>0.11194999999999999</v>
      </c>
      <c r="M1233" s="729"/>
      <c r="N1233" s="147">
        <v>0.11194999999999999</v>
      </c>
      <c r="O1233" s="147">
        <v>0</v>
      </c>
      <c r="P1233" s="147">
        <v>9.2950000000000005E-2</v>
      </c>
      <c r="Q1233" s="147">
        <v>1.9E-2</v>
      </c>
      <c r="R1233" s="147">
        <v>20.441097364174286</v>
      </c>
    </row>
    <row r="1234" spans="2:18" ht="15.75" hidden="1" thickBot="1" x14ac:dyDescent="0.3">
      <c r="B1234" s="724" t="s">
        <v>727</v>
      </c>
      <c r="C1234" s="722" t="s">
        <v>149</v>
      </c>
      <c r="D1234" t="s">
        <v>150</v>
      </c>
      <c r="E1234" s="148">
        <v>193.17346000000001</v>
      </c>
      <c r="F1234" s="148">
        <v>21.342829999999999</v>
      </c>
      <c r="G1234" s="148">
        <v>171.83063000000001</v>
      </c>
      <c r="H1234" s="148">
        <v>805.09768385916959</v>
      </c>
      <c r="I1234" s="728"/>
      <c r="J1234" s="148">
        <v>193.17346000000001</v>
      </c>
      <c r="K1234" s="148">
        <v>0</v>
      </c>
      <c r="L1234" s="148">
        <v>711.55921000000001</v>
      </c>
      <c r="M1234" s="148">
        <v>259.13995999999997</v>
      </c>
      <c r="N1234" s="148">
        <v>452.41924999999998</v>
      </c>
      <c r="O1234" s="148">
        <v>174.58490384886994</v>
      </c>
      <c r="P1234" s="148">
        <v>469.35246999999998</v>
      </c>
      <c r="Q1234" s="148">
        <v>242.20674</v>
      </c>
      <c r="R1234" s="148">
        <v>51.604445588621275</v>
      </c>
    </row>
    <row r="1235" spans="2:18" ht="15.75" hidden="1" thickBot="1" x14ac:dyDescent="0.3">
      <c r="B1235" s="724" t="s">
        <v>727</v>
      </c>
      <c r="C1235" s="722" t="s">
        <v>153</v>
      </c>
      <c r="D1235" t="s">
        <v>154</v>
      </c>
      <c r="E1235" s="729"/>
      <c r="F1235" s="729"/>
      <c r="G1235" s="729"/>
      <c r="H1235" s="729"/>
      <c r="I1235" s="729"/>
      <c r="J1235" s="729"/>
      <c r="K1235" s="729"/>
      <c r="L1235" s="147">
        <v>2.5</v>
      </c>
      <c r="M1235" s="729"/>
      <c r="N1235" s="147">
        <v>2.5</v>
      </c>
      <c r="O1235" s="147">
        <v>0</v>
      </c>
      <c r="P1235" s="147">
        <v>2.5</v>
      </c>
      <c r="Q1235" s="147">
        <v>0</v>
      </c>
      <c r="R1235" s="147">
        <v>0</v>
      </c>
    </row>
    <row r="1236" spans="2:18" ht="15.75" hidden="1" thickBot="1" x14ac:dyDescent="0.3">
      <c r="B1236" s="724" t="s">
        <v>727</v>
      </c>
      <c r="C1236" s="722" t="s">
        <v>75</v>
      </c>
      <c r="D1236" t="s">
        <v>76</v>
      </c>
      <c r="E1236" s="148">
        <v>0.71335999999999999</v>
      </c>
      <c r="F1236" s="148">
        <v>1.5</v>
      </c>
      <c r="G1236" s="148">
        <v>-0.78664000000000001</v>
      </c>
      <c r="H1236" s="148">
        <v>-52.442666666666668</v>
      </c>
      <c r="I1236" s="728"/>
      <c r="J1236" s="148">
        <v>0.71335999999999999</v>
      </c>
      <c r="K1236" s="148">
        <v>0</v>
      </c>
      <c r="L1236" s="148">
        <v>7.0634300000000003</v>
      </c>
      <c r="M1236" s="148">
        <v>5.6</v>
      </c>
      <c r="N1236" s="148">
        <v>1.46343</v>
      </c>
      <c r="O1236" s="148">
        <v>26.132678571428571</v>
      </c>
      <c r="P1236" s="148">
        <v>4.3933799999999996</v>
      </c>
      <c r="Q1236" s="148">
        <v>2.6700499999999998</v>
      </c>
      <c r="R1236" s="148">
        <v>60.774392381264541</v>
      </c>
    </row>
    <row r="1237" spans="2:18" ht="15.75" hidden="1" thickBot="1" x14ac:dyDescent="0.3">
      <c r="B1237" s="724" t="s">
        <v>727</v>
      </c>
      <c r="C1237" s="722" t="s">
        <v>77</v>
      </c>
      <c r="D1237" t="s">
        <v>78</v>
      </c>
      <c r="E1237" s="147">
        <v>-0.16153000000000001</v>
      </c>
      <c r="F1237" s="729"/>
      <c r="G1237" s="147">
        <v>-0.16153000000000001</v>
      </c>
      <c r="H1237" s="147">
        <v>0</v>
      </c>
      <c r="I1237" s="729"/>
      <c r="J1237" s="147">
        <v>-0.16153000000000001</v>
      </c>
      <c r="K1237" s="147">
        <v>0</v>
      </c>
      <c r="L1237" s="147">
        <v>13.578939999999999</v>
      </c>
      <c r="M1237" s="147">
        <v>23</v>
      </c>
      <c r="N1237" s="147">
        <v>-9.4210600000000007</v>
      </c>
      <c r="O1237" s="147">
        <v>-40.961130434782611</v>
      </c>
      <c r="P1237" s="147">
        <v>9.8438700000000008</v>
      </c>
      <c r="Q1237" s="147">
        <v>3.7350699999999999</v>
      </c>
      <c r="R1237" s="147">
        <v>37.943105709441511</v>
      </c>
    </row>
    <row r="1238" spans="2:18" ht="15.75" hidden="1" thickBot="1" x14ac:dyDescent="0.3">
      <c r="B1238" s="724" t="s">
        <v>727</v>
      </c>
      <c r="C1238" s="722" t="s">
        <v>79</v>
      </c>
      <c r="D1238" t="s">
        <v>80</v>
      </c>
      <c r="E1238" s="148">
        <v>1.4804900000000001</v>
      </c>
      <c r="F1238" s="728"/>
      <c r="G1238" s="148">
        <v>1.4804900000000001</v>
      </c>
      <c r="H1238" s="148">
        <v>0</v>
      </c>
      <c r="I1238" s="728"/>
      <c r="J1238" s="148">
        <v>1.4804900000000001</v>
      </c>
      <c r="K1238" s="148">
        <v>0</v>
      </c>
      <c r="L1238" s="148">
        <v>4.4112299999999998</v>
      </c>
      <c r="M1238" s="728"/>
      <c r="N1238" s="148">
        <v>4.4112299999999998</v>
      </c>
      <c r="O1238" s="148">
        <v>0</v>
      </c>
      <c r="P1238" s="148">
        <v>1.74495</v>
      </c>
      <c r="Q1238" s="148">
        <v>2.66628</v>
      </c>
      <c r="R1238" s="148">
        <v>152.79979369036363</v>
      </c>
    </row>
    <row r="1239" spans="2:18" ht="15.75" hidden="1" thickBot="1" x14ac:dyDescent="0.3">
      <c r="B1239" s="724" t="s">
        <v>727</v>
      </c>
      <c r="C1239" s="722" t="s">
        <v>81</v>
      </c>
      <c r="D1239" t="s">
        <v>82</v>
      </c>
      <c r="E1239" s="147">
        <v>0.56906999999999996</v>
      </c>
      <c r="F1239" s="147">
        <v>0.25</v>
      </c>
      <c r="G1239" s="147">
        <v>0.31907000000000002</v>
      </c>
      <c r="H1239" s="147">
        <v>127.628</v>
      </c>
      <c r="I1239" s="729"/>
      <c r="J1239" s="147">
        <v>0.56906999999999996</v>
      </c>
      <c r="K1239" s="147">
        <v>0</v>
      </c>
      <c r="L1239" s="147">
        <v>3.1250100000000001</v>
      </c>
      <c r="M1239" s="147">
        <v>0.75</v>
      </c>
      <c r="N1239" s="147">
        <v>2.3750100000000001</v>
      </c>
      <c r="O1239" s="147">
        <v>316.66800000000001</v>
      </c>
      <c r="P1239" s="147">
        <v>0.87434000000000001</v>
      </c>
      <c r="Q1239" s="147">
        <v>2.2506699999999999</v>
      </c>
      <c r="R1239" s="147">
        <v>257.41359196651189</v>
      </c>
    </row>
    <row r="1240" spans="2:18" ht="15.75" hidden="1" thickBot="1" x14ac:dyDescent="0.3">
      <c r="B1240" s="724" t="s">
        <v>727</v>
      </c>
      <c r="C1240" s="722" t="s">
        <v>123</v>
      </c>
      <c r="D1240" t="s">
        <v>124</v>
      </c>
      <c r="E1240" s="148">
        <v>0.21410999999999999</v>
      </c>
      <c r="F1240" s="728"/>
      <c r="G1240" s="148">
        <v>0.21410999999999999</v>
      </c>
      <c r="H1240" s="148">
        <v>0</v>
      </c>
      <c r="I1240" s="728"/>
      <c r="J1240" s="148">
        <v>0.21410999999999999</v>
      </c>
      <c r="K1240" s="148">
        <v>0</v>
      </c>
      <c r="L1240" s="148">
        <v>0.77461000000000002</v>
      </c>
      <c r="M1240" s="728"/>
      <c r="N1240" s="148">
        <v>0.77461000000000002</v>
      </c>
      <c r="O1240" s="148">
        <v>0</v>
      </c>
      <c r="P1240" s="148">
        <v>0.2984</v>
      </c>
      <c r="Q1240" s="148">
        <v>0.47621000000000002</v>
      </c>
      <c r="R1240" s="148">
        <v>159.5878016085791</v>
      </c>
    </row>
    <row r="1241" spans="2:18" ht="15.75" hidden="1" thickBot="1" x14ac:dyDescent="0.3">
      <c r="B1241" s="724" t="s">
        <v>727</v>
      </c>
      <c r="C1241" s="722" t="s">
        <v>125</v>
      </c>
      <c r="D1241" t="s">
        <v>126</v>
      </c>
      <c r="E1241" s="729"/>
      <c r="F1241" s="729"/>
      <c r="G1241" s="729"/>
      <c r="H1241" s="729"/>
      <c r="I1241" s="729"/>
      <c r="J1241" s="729"/>
      <c r="K1241" s="729"/>
      <c r="L1241" s="147">
        <v>1.7649999999999999E-2</v>
      </c>
      <c r="M1241" s="729"/>
      <c r="N1241" s="147">
        <v>1.7649999999999999E-2</v>
      </c>
      <c r="O1241" s="147">
        <v>0</v>
      </c>
      <c r="P1241" s="147">
        <v>1.7649999999999999E-2</v>
      </c>
      <c r="Q1241" s="147">
        <v>0</v>
      </c>
      <c r="R1241" s="147">
        <v>0</v>
      </c>
    </row>
    <row r="1242" spans="2:18" ht="15.75" hidden="1" thickBot="1" x14ac:dyDescent="0.3">
      <c r="B1242" s="724" t="s">
        <v>727</v>
      </c>
      <c r="C1242" s="722" t="s">
        <v>83</v>
      </c>
      <c r="D1242" t="s">
        <v>84</v>
      </c>
      <c r="E1242" s="728"/>
      <c r="F1242" s="148">
        <v>0.2</v>
      </c>
      <c r="G1242" s="148">
        <v>-0.2</v>
      </c>
      <c r="H1242" s="148">
        <v>-100</v>
      </c>
      <c r="I1242" s="728"/>
      <c r="J1242" s="728"/>
      <c r="K1242" s="728"/>
      <c r="L1242" s="728"/>
      <c r="M1242" s="148">
        <v>0.8</v>
      </c>
      <c r="N1242" s="148">
        <v>-0.8</v>
      </c>
      <c r="O1242" s="148">
        <v>-100</v>
      </c>
      <c r="P1242" s="728"/>
      <c r="Q1242" s="728"/>
      <c r="R1242" s="728"/>
    </row>
    <row r="1243" spans="2:18" ht="15.75" hidden="1" thickBot="1" x14ac:dyDescent="0.3">
      <c r="B1243" s="724" t="s">
        <v>727</v>
      </c>
      <c r="C1243" s="149" t="s">
        <v>85</v>
      </c>
      <c r="D1243" t="s">
        <v>86</v>
      </c>
      <c r="E1243" s="147">
        <v>197.57615999999999</v>
      </c>
      <c r="F1243" s="147">
        <v>25.417829999999999</v>
      </c>
      <c r="G1243" s="147">
        <v>172.15833000000001</v>
      </c>
      <c r="H1243" s="147">
        <v>677.31324821985197</v>
      </c>
      <c r="I1243" s="729"/>
      <c r="J1243" s="147">
        <v>197.57615999999999</v>
      </c>
      <c r="K1243" s="147">
        <v>0</v>
      </c>
      <c r="L1243" s="147">
        <v>759.64481000000001</v>
      </c>
      <c r="M1243" s="147">
        <v>305.23996</v>
      </c>
      <c r="N1243" s="147">
        <v>454.40485000000001</v>
      </c>
      <c r="O1243" s="147">
        <v>148.86807415385587</v>
      </c>
      <c r="P1243" s="147">
        <v>497.09834000000001</v>
      </c>
      <c r="Q1243" s="147">
        <v>262.54647</v>
      </c>
      <c r="R1243" s="147">
        <v>52.81580099422581</v>
      </c>
    </row>
    <row r="1244" spans="2:18" ht="15.75" hidden="1" thickBot="1" x14ac:dyDescent="0.3">
      <c r="B1244" s="724" t="s">
        <v>727</v>
      </c>
      <c r="C1244" s="144" t="s">
        <v>87</v>
      </c>
      <c r="D1244" t="s">
        <v>87</v>
      </c>
      <c r="E1244" s="148">
        <v>288.97179</v>
      </c>
      <c r="F1244" s="148">
        <v>120.44092999999999</v>
      </c>
      <c r="G1244" s="148">
        <v>168.53085999999999</v>
      </c>
      <c r="H1244" s="148">
        <v>139.92822871759626</v>
      </c>
      <c r="I1244" s="728"/>
      <c r="J1244" s="148">
        <v>288.97179</v>
      </c>
      <c r="K1244" s="148">
        <v>0</v>
      </c>
      <c r="L1244" s="148">
        <v>2070.1557200000002</v>
      </c>
      <c r="M1244" s="148">
        <v>1534.7080599999999</v>
      </c>
      <c r="N1244" s="148">
        <v>535.44766000000004</v>
      </c>
      <c r="O1244" s="148">
        <v>34.889219256462368</v>
      </c>
      <c r="P1244" s="148">
        <v>1188.2496000000001</v>
      </c>
      <c r="Q1244" s="148">
        <v>881.90611999999999</v>
      </c>
      <c r="R1244" s="148">
        <v>74.218928413693547</v>
      </c>
    </row>
    <row r="1245" spans="2:18" ht="15.75" hidden="1" thickBot="1" x14ac:dyDescent="0.3">
      <c r="B1245" s="725" t="s">
        <v>728</v>
      </c>
      <c r="C1245" s="722" t="s">
        <v>59</v>
      </c>
      <c r="D1245" t="s">
        <v>60</v>
      </c>
      <c r="E1245" s="147">
        <v>22.91348</v>
      </c>
      <c r="F1245" s="147">
        <v>21.469899999999999</v>
      </c>
      <c r="G1245" s="147">
        <v>1.4435800000000001</v>
      </c>
      <c r="H1245" s="147">
        <v>6.7237388157373807</v>
      </c>
      <c r="I1245" s="729"/>
      <c r="J1245" s="147">
        <v>22.91348</v>
      </c>
      <c r="K1245" s="147">
        <v>0</v>
      </c>
      <c r="L1245" s="147">
        <v>388.39913999999999</v>
      </c>
      <c r="M1245" s="147">
        <v>300.03348</v>
      </c>
      <c r="N1245" s="147">
        <v>88.365660000000005</v>
      </c>
      <c r="O1245" s="147">
        <v>29.451933164258868</v>
      </c>
      <c r="P1245" s="147">
        <v>215.99614</v>
      </c>
      <c r="Q1245" s="147">
        <v>172.40299999999999</v>
      </c>
      <c r="R1245" s="147">
        <v>79.817630074315218</v>
      </c>
    </row>
    <row r="1246" spans="2:18" ht="15.75" hidden="1" thickBot="1" x14ac:dyDescent="0.3">
      <c r="B1246" s="725" t="s">
        <v>728</v>
      </c>
      <c r="C1246" s="722" t="s">
        <v>134</v>
      </c>
      <c r="D1246" t="s">
        <v>135</v>
      </c>
      <c r="E1246" s="148">
        <v>2.74</v>
      </c>
      <c r="F1246" s="728"/>
      <c r="G1246" s="148">
        <v>2.74</v>
      </c>
      <c r="H1246" s="148">
        <v>0</v>
      </c>
      <c r="I1246" s="728"/>
      <c r="J1246" s="148">
        <v>2.74</v>
      </c>
      <c r="K1246" s="148">
        <v>0</v>
      </c>
      <c r="L1246" s="148">
        <v>37.306330000000003</v>
      </c>
      <c r="M1246" s="148">
        <v>18.266999999999999</v>
      </c>
      <c r="N1246" s="148">
        <v>19.03933</v>
      </c>
      <c r="O1246" s="148">
        <v>104.22800678819729</v>
      </c>
      <c r="P1246" s="148">
        <v>20.55</v>
      </c>
      <c r="Q1246" s="148">
        <v>16.756329999999998</v>
      </c>
      <c r="R1246" s="148">
        <v>81.539318734793184</v>
      </c>
    </row>
    <row r="1247" spans="2:18" ht="15.75" hidden="1" thickBot="1" x14ac:dyDescent="0.3">
      <c r="B1247" s="725" t="s">
        <v>728</v>
      </c>
      <c r="C1247" s="722" t="s">
        <v>61</v>
      </c>
      <c r="D1247" t="s">
        <v>62</v>
      </c>
      <c r="E1247" s="147">
        <v>4.0282099999999996</v>
      </c>
      <c r="F1247" s="147">
        <v>3.3278300000000001</v>
      </c>
      <c r="G1247" s="147">
        <v>0.70038</v>
      </c>
      <c r="H1247" s="147">
        <v>21.046147189009055</v>
      </c>
      <c r="I1247" s="729"/>
      <c r="J1247" s="147">
        <v>4.0282099999999996</v>
      </c>
      <c r="K1247" s="147">
        <v>0</v>
      </c>
      <c r="L1247" s="147">
        <v>57.751750000000001</v>
      </c>
      <c r="M1247" s="147">
        <v>46.505159999999997</v>
      </c>
      <c r="N1247" s="147">
        <v>11.246589999999999</v>
      </c>
      <c r="O1247" s="147">
        <v>24.183531461885089</v>
      </c>
      <c r="P1247" s="147">
        <v>30.664670000000001</v>
      </c>
      <c r="Q1247" s="147">
        <v>27.08708</v>
      </c>
      <c r="R1247" s="147">
        <v>88.333186041134638</v>
      </c>
    </row>
    <row r="1248" spans="2:18" ht="15.75" hidden="1" thickBot="1" x14ac:dyDescent="0.3">
      <c r="B1248" s="725" t="s">
        <v>728</v>
      </c>
      <c r="C1248" s="722" t="s">
        <v>63</v>
      </c>
      <c r="D1248" t="s">
        <v>64</v>
      </c>
      <c r="E1248" s="148">
        <v>15.92366</v>
      </c>
      <c r="F1248" s="148">
        <v>12.946350000000001</v>
      </c>
      <c r="G1248" s="148">
        <v>2.9773100000000001</v>
      </c>
      <c r="H1248" s="148">
        <v>22.9972926732245</v>
      </c>
      <c r="I1248" s="728"/>
      <c r="J1248" s="148">
        <v>15.92366</v>
      </c>
      <c r="K1248" s="148">
        <v>0</v>
      </c>
      <c r="L1248" s="148">
        <v>228.06414000000001</v>
      </c>
      <c r="M1248" s="148">
        <v>180.92017999999999</v>
      </c>
      <c r="N1248" s="148">
        <v>47.14396</v>
      </c>
      <c r="O1248" s="148">
        <v>26.057878120616508</v>
      </c>
      <c r="P1248" s="148">
        <v>121.18647</v>
      </c>
      <c r="Q1248" s="148">
        <v>106.87766999999999</v>
      </c>
      <c r="R1248" s="148">
        <v>88.192741318399655</v>
      </c>
    </row>
    <row r="1249" spans="2:18" ht="15.75" hidden="1" thickBot="1" x14ac:dyDescent="0.3">
      <c r="B1249" s="725" t="s">
        <v>728</v>
      </c>
      <c r="C1249" s="722" t="s">
        <v>65</v>
      </c>
      <c r="D1249" t="s">
        <v>66</v>
      </c>
      <c r="E1249" s="729"/>
      <c r="F1249" s="729"/>
      <c r="G1249" s="729"/>
      <c r="H1249" s="729"/>
      <c r="I1249" s="729"/>
      <c r="J1249" s="729"/>
      <c r="K1249" s="729"/>
      <c r="L1249" s="147">
        <v>-6.6592000000000002</v>
      </c>
      <c r="M1249" s="729"/>
      <c r="N1249" s="147">
        <v>-6.6592000000000002</v>
      </c>
      <c r="O1249" s="147">
        <v>0</v>
      </c>
      <c r="P1249" s="147">
        <v>-2.1720000000000002</v>
      </c>
      <c r="Q1249" s="147">
        <v>-4.4871999999999996</v>
      </c>
      <c r="R1249" s="147">
        <v>-206.59300184162063</v>
      </c>
    </row>
    <row r="1250" spans="2:18" ht="15.75" hidden="1" thickBot="1" x14ac:dyDescent="0.3">
      <c r="B1250" s="725" t="s">
        <v>728</v>
      </c>
      <c r="C1250" s="149" t="s">
        <v>67</v>
      </c>
      <c r="D1250" t="s">
        <v>68</v>
      </c>
      <c r="E1250" s="148">
        <v>45.605350000000001</v>
      </c>
      <c r="F1250" s="148">
        <v>37.744079999999997</v>
      </c>
      <c r="G1250" s="148">
        <v>7.8612700000000002</v>
      </c>
      <c r="H1250" s="148">
        <v>20.827822535348592</v>
      </c>
      <c r="I1250" s="728"/>
      <c r="J1250" s="148">
        <v>45.605350000000001</v>
      </c>
      <c r="K1250" s="148">
        <v>0</v>
      </c>
      <c r="L1250" s="148">
        <v>704.86216000000002</v>
      </c>
      <c r="M1250" s="148">
        <v>545.72582</v>
      </c>
      <c r="N1250" s="148">
        <v>159.13633999999999</v>
      </c>
      <c r="O1250" s="148">
        <v>29.160493084237796</v>
      </c>
      <c r="P1250" s="148">
        <v>386.22528</v>
      </c>
      <c r="Q1250" s="148">
        <v>318.63688000000002</v>
      </c>
      <c r="R1250" s="148">
        <v>82.50026513023694</v>
      </c>
    </row>
    <row r="1251" spans="2:18" ht="15.75" hidden="1" thickBot="1" x14ac:dyDescent="0.3">
      <c r="B1251" s="725" t="s">
        <v>728</v>
      </c>
      <c r="C1251" s="722" t="s">
        <v>137</v>
      </c>
      <c r="D1251" t="s">
        <v>138</v>
      </c>
      <c r="E1251" s="729"/>
      <c r="F1251" s="729"/>
      <c r="G1251" s="729"/>
      <c r="H1251" s="729"/>
      <c r="I1251" s="729"/>
      <c r="J1251" s="729"/>
      <c r="K1251" s="729"/>
      <c r="L1251" s="147">
        <v>1.2463900000000001</v>
      </c>
      <c r="M1251" s="729"/>
      <c r="N1251" s="147">
        <v>1.2463900000000001</v>
      </c>
      <c r="O1251" s="147">
        <v>0</v>
      </c>
      <c r="P1251" s="147">
        <v>0.19292999999999999</v>
      </c>
      <c r="Q1251" s="147">
        <v>1.0534600000000001</v>
      </c>
      <c r="R1251" s="147">
        <v>546.03223967242002</v>
      </c>
    </row>
    <row r="1252" spans="2:18" ht="15.75" hidden="1" thickBot="1" x14ac:dyDescent="0.3">
      <c r="B1252" s="725" t="s">
        <v>728</v>
      </c>
      <c r="C1252" s="722" t="s">
        <v>101</v>
      </c>
      <c r="D1252" t="s">
        <v>102</v>
      </c>
      <c r="E1252" s="148">
        <v>0.15187999999999999</v>
      </c>
      <c r="F1252" s="728"/>
      <c r="G1252" s="148">
        <v>0.15187999999999999</v>
      </c>
      <c r="H1252" s="148">
        <v>0</v>
      </c>
      <c r="I1252" s="728"/>
      <c r="J1252" s="148">
        <v>0.15187999999999999</v>
      </c>
      <c r="K1252" s="148">
        <v>0</v>
      </c>
      <c r="L1252" s="148">
        <v>0.88653000000000004</v>
      </c>
      <c r="M1252" s="728"/>
      <c r="N1252" s="148">
        <v>0.88653000000000004</v>
      </c>
      <c r="O1252" s="148">
        <v>0</v>
      </c>
      <c r="P1252" s="148">
        <v>0.65905000000000002</v>
      </c>
      <c r="Q1252" s="148">
        <v>0.22747999999999999</v>
      </c>
      <c r="R1252" s="148">
        <v>34.516349290645628</v>
      </c>
    </row>
    <row r="1253" spans="2:18" ht="15.75" hidden="1" thickBot="1" x14ac:dyDescent="0.3">
      <c r="B1253" s="725" t="s">
        <v>728</v>
      </c>
      <c r="C1253" s="722" t="s">
        <v>73</v>
      </c>
      <c r="D1253" t="s">
        <v>74</v>
      </c>
      <c r="E1253" s="147">
        <v>1.6060000000000001E-2</v>
      </c>
      <c r="F1253" s="729"/>
      <c r="G1253" s="147">
        <v>1.6060000000000001E-2</v>
      </c>
      <c r="H1253" s="147">
        <v>0</v>
      </c>
      <c r="I1253" s="729"/>
      <c r="J1253" s="147">
        <v>1.6060000000000001E-2</v>
      </c>
      <c r="K1253" s="147">
        <v>0</v>
      </c>
      <c r="L1253" s="147">
        <v>0.34356999999999999</v>
      </c>
      <c r="M1253" s="729"/>
      <c r="N1253" s="147">
        <v>0.34356999999999999</v>
      </c>
      <c r="O1253" s="147">
        <v>0</v>
      </c>
      <c r="P1253" s="147">
        <v>3.1980000000000001E-2</v>
      </c>
      <c r="Q1253" s="147">
        <v>0.31158999999999998</v>
      </c>
      <c r="R1253" s="147">
        <v>974.32770481550972</v>
      </c>
    </row>
    <row r="1254" spans="2:18" ht="15.75" hidden="1" thickBot="1" x14ac:dyDescent="0.3">
      <c r="B1254" s="725" t="s">
        <v>728</v>
      </c>
      <c r="C1254" s="722" t="s">
        <v>113</v>
      </c>
      <c r="D1254" t="s">
        <v>114</v>
      </c>
      <c r="E1254" s="728"/>
      <c r="F1254" s="728"/>
      <c r="G1254" s="728"/>
      <c r="H1254" s="728"/>
      <c r="I1254" s="728"/>
      <c r="J1254" s="728"/>
      <c r="K1254" s="728"/>
      <c r="L1254" s="148">
        <v>0.19070999999999999</v>
      </c>
      <c r="M1254" s="728"/>
      <c r="N1254" s="148">
        <v>0.19070999999999999</v>
      </c>
      <c r="O1254" s="148">
        <v>0</v>
      </c>
      <c r="P1254" s="148">
        <v>0.12073</v>
      </c>
      <c r="Q1254" s="148">
        <v>6.9980000000000001E-2</v>
      </c>
      <c r="R1254" s="148">
        <v>57.964052016897206</v>
      </c>
    </row>
    <row r="1255" spans="2:18" ht="15.75" hidden="1" thickBot="1" x14ac:dyDescent="0.3">
      <c r="B1255" s="725" t="s">
        <v>728</v>
      </c>
      <c r="C1255" s="722" t="s">
        <v>145</v>
      </c>
      <c r="D1255" t="s">
        <v>146</v>
      </c>
      <c r="E1255" s="729"/>
      <c r="F1255" s="729"/>
      <c r="G1255" s="729"/>
      <c r="H1255" s="729"/>
      <c r="I1255" s="729"/>
      <c r="J1255" s="729"/>
      <c r="K1255" s="729"/>
      <c r="L1255" s="147">
        <v>8.9999999999999993E-3</v>
      </c>
      <c r="M1255" s="729"/>
      <c r="N1255" s="147">
        <v>8.9999999999999993E-3</v>
      </c>
      <c r="O1255" s="147">
        <v>0</v>
      </c>
      <c r="P1255" s="147">
        <v>8.9999999999999993E-3</v>
      </c>
      <c r="Q1255" s="147">
        <v>0</v>
      </c>
      <c r="R1255" s="147">
        <v>0</v>
      </c>
    </row>
    <row r="1256" spans="2:18" ht="15.75" hidden="1" thickBot="1" x14ac:dyDescent="0.3">
      <c r="B1256" s="725" t="s">
        <v>728</v>
      </c>
      <c r="C1256" s="722" t="s">
        <v>147</v>
      </c>
      <c r="D1256" t="s">
        <v>148</v>
      </c>
      <c r="E1256" s="148">
        <v>1.9E-2</v>
      </c>
      <c r="F1256" s="728"/>
      <c r="G1256" s="148">
        <v>1.9E-2</v>
      </c>
      <c r="H1256" s="148">
        <v>0</v>
      </c>
      <c r="I1256" s="728"/>
      <c r="J1256" s="148">
        <v>1.9E-2</v>
      </c>
      <c r="K1256" s="148">
        <v>0</v>
      </c>
      <c r="L1256" s="148">
        <v>0.11194999999999999</v>
      </c>
      <c r="M1256" s="728"/>
      <c r="N1256" s="148">
        <v>0.11194999999999999</v>
      </c>
      <c r="O1256" s="148">
        <v>0</v>
      </c>
      <c r="P1256" s="148">
        <v>9.2950000000000005E-2</v>
      </c>
      <c r="Q1256" s="148">
        <v>1.9E-2</v>
      </c>
      <c r="R1256" s="148">
        <v>20.441097364174286</v>
      </c>
    </row>
    <row r="1257" spans="2:18" ht="15.75" hidden="1" thickBot="1" x14ac:dyDescent="0.3">
      <c r="B1257" s="725" t="s">
        <v>728</v>
      </c>
      <c r="C1257" s="722" t="s">
        <v>149</v>
      </c>
      <c r="D1257" t="s">
        <v>150</v>
      </c>
      <c r="E1257" s="729"/>
      <c r="F1257" s="729"/>
      <c r="G1257" s="729"/>
      <c r="H1257" s="729"/>
      <c r="I1257" s="729"/>
      <c r="J1257" s="729"/>
      <c r="K1257" s="729"/>
      <c r="L1257" s="147">
        <v>54.90025</v>
      </c>
      <c r="M1257" s="729"/>
      <c r="N1257" s="147">
        <v>54.90025</v>
      </c>
      <c r="O1257" s="147">
        <v>0</v>
      </c>
      <c r="P1257" s="147">
        <v>49.417749999999998</v>
      </c>
      <c r="Q1257" s="147">
        <v>5.4824999999999999</v>
      </c>
      <c r="R1257" s="147">
        <v>11.094191864259299</v>
      </c>
    </row>
    <row r="1258" spans="2:18" ht="15.75" hidden="1" thickBot="1" x14ac:dyDescent="0.3">
      <c r="B1258" s="725" t="s">
        <v>728</v>
      </c>
      <c r="C1258" s="722" t="s">
        <v>75</v>
      </c>
      <c r="D1258" t="s">
        <v>76</v>
      </c>
      <c r="E1258" s="148">
        <v>0.32671</v>
      </c>
      <c r="F1258" s="728"/>
      <c r="G1258" s="148">
        <v>0.32671</v>
      </c>
      <c r="H1258" s="148">
        <v>0</v>
      </c>
      <c r="I1258" s="728"/>
      <c r="J1258" s="148">
        <v>0.32671</v>
      </c>
      <c r="K1258" s="148">
        <v>0</v>
      </c>
      <c r="L1258" s="148">
        <v>4.1827199999999998</v>
      </c>
      <c r="M1258" s="728"/>
      <c r="N1258" s="148">
        <v>4.1827199999999998</v>
      </c>
      <c r="O1258" s="148">
        <v>0</v>
      </c>
      <c r="P1258" s="148">
        <v>2.8777300000000001</v>
      </c>
      <c r="Q1258" s="148">
        <v>1.3049900000000001</v>
      </c>
      <c r="R1258" s="148">
        <v>45.347895737265134</v>
      </c>
    </row>
    <row r="1259" spans="2:18" ht="15.75" hidden="1" thickBot="1" x14ac:dyDescent="0.3">
      <c r="B1259" s="725" t="s">
        <v>728</v>
      </c>
      <c r="C1259" s="722" t="s">
        <v>77</v>
      </c>
      <c r="D1259" t="s">
        <v>78</v>
      </c>
      <c r="E1259" s="729"/>
      <c r="F1259" s="729"/>
      <c r="G1259" s="729"/>
      <c r="H1259" s="729"/>
      <c r="I1259" s="729"/>
      <c r="J1259" s="729"/>
      <c r="K1259" s="729"/>
      <c r="L1259" s="147">
        <v>7.3614300000000004</v>
      </c>
      <c r="M1259" s="729"/>
      <c r="N1259" s="147">
        <v>7.3614300000000004</v>
      </c>
      <c r="O1259" s="147">
        <v>0</v>
      </c>
      <c r="P1259" s="147">
        <v>5.4889999999999999</v>
      </c>
      <c r="Q1259" s="147">
        <v>1.87243</v>
      </c>
      <c r="R1259" s="147">
        <v>34.112406631444706</v>
      </c>
    </row>
    <row r="1260" spans="2:18" ht="15.75" hidden="1" thickBot="1" x14ac:dyDescent="0.3">
      <c r="B1260" s="725" t="s">
        <v>728</v>
      </c>
      <c r="C1260" s="722" t="s">
        <v>79</v>
      </c>
      <c r="D1260" t="s">
        <v>80</v>
      </c>
      <c r="E1260" s="148">
        <v>0.90810000000000002</v>
      </c>
      <c r="F1260" s="728"/>
      <c r="G1260" s="148">
        <v>0.90810000000000002</v>
      </c>
      <c r="H1260" s="148">
        <v>0</v>
      </c>
      <c r="I1260" s="728"/>
      <c r="J1260" s="148">
        <v>0.90810000000000002</v>
      </c>
      <c r="K1260" s="148">
        <v>0</v>
      </c>
      <c r="L1260" s="148">
        <v>2.23522</v>
      </c>
      <c r="M1260" s="728"/>
      <c r="N1260" s="148">
        <v>2.23522</v>
      </c>
      <c r="O1260" s="148">
        <v>0</v>
      </c>
      <c r="P1260" s="148">
        <v>0.65900000000000003</v>
      </c>
      <c r="Q1260" s="148">
        <v>1.57622</v>
      </c>
      <c r="R1260" s="148">
        <v>239.18361153262518</v>
      </c>
    </row>
    <row r="1261" spans="2:18" ht="15.75" hidden="1" thickBot="1" x14ac:dyDescent="0.3">
      <c r="B1261" s="725" t="s">
        <v>728</v>
      </c>
      <c r="C1261" s="149" t="s">
        <v>85</v>
      </c>
      <c r="D1261" t="s">
        <v>86</v>
      </c>
      <c r="E1261" s="147">
        <v>1.4217500000000001</v>
      </c>
      <c r="F1261" s="729"/>
      <c r="G1261" s="147">
        <v>1.4217500000000001</v>
      </c>
      <c r="H1261" s="147">
        <v>0</v>
      </c>
      <c r="I1261" s="729"/>
      <c r="J1261" s="147">
        <v>1.4217500000000001</v>
      </c>
      <c r="K1261" s="147">
        <v>0</v>
      </c>
      <c r="L1261" s="147">
        <v>71.467770000000002</v>
      </c>
      <c r="M1261" s="729"/>
      <c r="N1261" s="147">
        <v>71.467770000000002</v>
      </c>
      <c r="O1261" s="147">
        <v>0</v>
      </c>
      <c r="P1261" s="147">
        <v>59.55012</v>
      </c>
      <c r="Q1261" s="147">
        <v>11.91765</v>
      </c>
      <c r="R1261" s="147">
        <v>20.012806019534469</v>
      </c>
    </row>
    <row r="1262" spans="2:18" ht="15.75" hidden="1" thickBot="1" x14ac:dyDescent="0.3">
      <c r="B1262" s="725" t="s">
        <v>728</v>
      </c>
      <c r="C1262" s="144" t="s">
        <v>87</v>
      </c>
      <c r="D1262" t="s">
        <v>87</v>
      </c>
      <c r="E1262" s="148">
        <v>47.027099999999997</v>
      </c>
      <c r="F1262" s="148">
        <v>37.744079999999997</v>
      </c>
      <c r="G1262" s="148">
        <v>9.2830200000000005</v>
      </c>
      <c r="H1262" s="148">
        <v>24.594638417468381</v>
      </c>
      <c r="I1262" s="728"/>
      <c r="J1262" s="148">
        <v>47.027099999999997</v>
      </c>
      <c r="K1262" s="148">
        <v>0</v>
      </c>
      <c r="L1262" s="148">
        <v>776.32992999999999</v>
      </c>
      <c r="M1262" s="148">
        <v>545.72582</v>
      </c>
      <c r="N1262" s="148">
        <v>230.60410999999999</v>
      </c>
      <c r="O1262" s="148">
        <v>42.256404507303685</v>
      </c>
      <c r="P1262" s="148">
        <v>445.77539999999999</v>
      </c>
      <c r="Q1262" s="148">
        <v>330.55453</v>
      </c>
      <c r="R1262" s="148">
        <v>74.152707843456596</v>
      </c>
    </row>
    <row r="1263" spans="2:18" ht="15.75" hidden="1" thickBot="1" x14ac:dyDescent="0.3">
      <c r="B1263" s="725" t="s">
        <v>727</v>
      </c>
      <c r="C1263" s="722" t="s">
        <v>59</v>
      </c>
      <c r="D1263" t="s">
        <v>60</v>
      </c>
      <c r="E1263" s="147">
        <v>24.53511</v>
      </c>
      <c r="F1263" s="147">
        <v>32.581919999999997</v>
      </c>
      <c r="G1263" s="147">
        <v>-8.0468100000000007</v>
      </c>
      <c r="H1263" s="147">
        <v>-24.697163334757438</v>
      </c>
      <c r="I1263" s="729"/>
      <c r="J1263" s="147">
        <v>24.53511</v>
      </c>
      <c r="K1263" s="147">
        <v>0</v>
      </c>
      <c r="L1263" s="147">
        <v>351.80459999999999</v>
      </c>
      <c r="M1263" s="147">
        <v>388.93187999999998</v>
      </c>
      <c r="N1263" s="147">
        <v>-37.127279999999999</v>
      </c>
      <c r="O1263" s="147">
        <v>-9.5459595649500368</v>
      </c>
      <c r="P1263" s="147">
        <v>178.61276000000001</v>
      </c>
      <c r="Q1263" s="147">
        <v>173.19184000000001</v>
      </c>
      <c r="R1263" s="147">
        <v>96.964987271905997</v>
      </c>
    </row>
    <row r="1264" spans="2:18" ht="15.75" hidden="1" thickBot="1" x14ac:dyDescent="0.3">
      <c r="B1264" s="725" t="s">
        <v>727</v>
      </c>
      <c r="C1264" s="722" t="s">
        <v>134</v>
      </c>
      <c r="D1264" t="s">
        <v>135</v>
      </c>
      <c r="E1264" s="728"/>
      <c r="F1264" s="728"/>
      <c r="G1264" s="728"/>
      <c r="H1264" s="728"/>
      <c r="I1264" s="728"/>
      <c r="J1264" s="728"/>
      <c r="K1264" s="728"/>
      <c r="L1264" s="148">
        <v>0.315</v>
      </c>
      <c r="M1264" s="728"/>
      <c r="N1264" s="148">
        <v>0.315</v>
      </c>
      <c r="O1264" s="148">
        <v>0</v>
      </c>
      <c r="P1264" s="148">
        <v>0.315</v>
      </c>
      <c r="Q1264" s="148">
        <v>0</v>
      </c>
      <c r="R1264" s="148">
        <v>0</v>
      </c>
    </row>
    <row r="1265" spans="2:18" ht="15.75" hidden="1" thickBot="1" x14ac:dyDescent="0.3">
      <c r="B1265" s="725" t="s">
        <v>727</v>
      </c>
      <c r="C1265" s="722" t="s">
        <v>61</v>
      </c>
      <c r="D1265" t="s">
        <v>62</v>
      </c>
      <c r="E1265" s="147">
        <v>4.3511800000000003</v>
      </c>
      <c r="F1265" s="147">
        <v>5.0502000000000002</v>
      </c>
      <c r="G1265" s="147">
        <v>-0.69901999999999997</v>
      </c>
      <c r="H1265" s="147">
        <v>-13.841432022494159</v>
      </c>
      <c r="I1265" s="729"/>
      <c r="J1265" s="147">
        <v>4.3511800000000003</v>
      </c>
      <c r="K1265" s="147">
        <v>0</v>
      </c>
      <c r="L1265" s="147">
        <v>51.900289999999998</v>
      </c>
      <c r="M1265" s="147">
        <v>60.284460000000003</v>
      </c>
      <c r="N1265" s="147">
        <v>-8.3841699999999992</v>
      </c>
      <c r="O1265" s="147">
        <v>-13.907680354107841</v>
      </c>
      <c r="P1265" s="147">
        <v>25.79325</v>
      </c>
      <c r="Q1265" s="147">
        <v>26.107040000000001</v>
      </c>
      <c r="R1265" s="147">
        <v>101.21655859575664</v>
      </c>
    </row>
    <row r="1266" spans="2:18" ht="15.75" hidden="1" thickBot="1" x14ac:dyDescent="0.3">
      <c r="B1266" s="725" t="s">
        <v>727</v>
      </c>
      <c r="C1266" s="722" t="s">
        <v>63</v>
      </c>
      <c r="D1266" t="s">
        <v>64</v>
      </c>
      <c r="E1266" s="148">
        <v>16.90399</v>
      </c>
      <c r="F1266" s="148">
        <v>19.646899999999999</v>
      </c>
      <c r="G1266" s="148">
        <v>-2.7429100000000002</v>
      </c>
      <c r="H1266" s="148">
        <v>-13.961032020318727</v>
      </c>
      <c r="I1266" s="728"/>
      <c r="J1266" s="148">
        <v>16.90399</v>
      </c>
      <c r="K1266" s="148">
        <v>0</v>
      </c>
      <c r="L1266" s="148">
        <v>201.62886</v>
      </c>
      <c r="M1266" s="148">
        <v>234.52593999999999</v>
      </c>
      <c r="N1266" s="148">
        <v>-32.897080000000003</v>
      </c>
      <c r="O1266" s="148">
        <v>-14.027053894336806</v>
      </c>
      <c r="P1266" s="148">
        <v>100.20497</v>
      </c>
      <c r="Q1266" s="148">
        <v>101.42389</v>
      </c>
      <c r="R1266" s="148">
        <v>101.21642669021307</v>
      </c>
    </row>
    <row r="1267" spans="2:18" ht="15.75" hidden="1" thickBot="1" x14ac:dyDescent="0.3">
      <c r="B1267" s="725" t="s">
        <v>727</v>
      </c>
      <c r="C1267" s="149" t="s">
        <v>67</v>
      </c>
      <c r="D1267" t="s">
        <v>68</v>
      </c>
      <c r="E1267" s="147">
        <v>45.790280000000003</v>
      </c>
      <c r="F1267" s="147">
        <v>57.279020000000003</v>
      </c>
      <c r="G1267" s="147">
        <v>-11.48874</v>
      </c>
      <c r="H1267" s="147">
        <v>-20.057500983780798</v>
      </c>
      <c r="I1267" s="729"/>
      <c r="J1267" s="147">
        <v>45.790280000000003</v>
      </c>
      <c r="K1267" s="147">
        <v>0</v>
      </c>
      <c r="L1267" s="147">
        <v>605.64874999999995</v>
      </c>
      <c r="M1267" s="147">
        <v>683.74228000000005</v>
      </c>
      <c r="N1267" s="147">
        <v>-78.093530000000001</v>
      </c>
      <c r="O1267" s="147">
        <v>-11.421486177511211</v>
      </c>
      <c r="P1267" s="147">
        <v>304.92597999999998</v>
      </c>
      <c r="Q1267" s="147">
        <v>300.72277000000003</v>
      </c>
      <c r="R1267" s="147">
        <v>98.621563830015404</v>
      </c>
    </row>
    <row r="1268" spans="2:18" ht="15.75" hidden="1" thickBot="1" x14ac:dyDescent="0.3">
      <c r="B1268" s="725" t="s">
        <v>727</v>
      </c>
      <c r="C1268" s="722" t="s">
        <v>69</v>
      </c>
      <c r="D1268" t="s">
        <v>70</v>
      </c>
      <c r="E1268" s="728"/>
      <c r="F1268" s="728"/>
      <c r="G1268" s="728"/>
      <c r="H1268" s="728"/>
      <c r="I1268" s="728"/>
      <c r="J1268" s="728"/>
      <c r="K1268" s="728"/>
      <c r="L1268" s="148">
        <v>0.59499999999999997</v>
      </c>
      <c r="M1268" s="728"/>
      <c r="N1268" s="148">
        <v>0.59499999999999997</v>
      </c>
      <c r="O1268" s="148">
        <v>0</v>
      </c>
      <c r="P1268" s="728"/>
      <c r="Q1268" s="148">
        <v>0.59499999999999997</v>
      </c>
      <c r="R1268" s="148">
        <v>0</v>
      </c>
    </row>
    <row r="1269" spans="2:18" ht="15.75" hidden="1" thickBot="1" x14ac:dyDescent="0.3">
      <c r="B1269" s="725" t="s">
        <v>727</v>
      </c>
      <c r="C1269" s="722" t="s">
        <v>582</v>
      </c>
      <c r="D1269" t="s">
        <v>583</v>
      </c>
      <c r="E1269" s="147">
        <v>0.52500000000000002</v>
      </c>
      <c r="F1269" s="147">
        <v>0.52500000000000002</v>
      </c>
      <c r="G1269" s="147">
        <v>0</v>
      </c>
      <c r="H1269" s="147">
        <v>0</v>
      </c>
      <c r="I1269" s="729"/>
      <c r="J1269" s="147">
        <v>0.52500000000000002</v>
      </c>
      <c r="K1269" s="147">
        <v>0</v>
      </c>
      <c r="L1269" s="147">
        <v>6.31074</v>
      </c>
      <c r="M1269" s="147">
        <v>6.3</v>
      </c>
      <c r="N1269" s="147">
        <v>1.074E-2</v>
      </c>
      <c r="O1269" s="147">
        <v>0.17047619047619048</v>
      </c>
      <c r="P1269" s="147">
        <v>3.1607400000000001</v>
      </c>
      <c r="Q1269" s="147">
        <v>3.15</v>
      </c>
      <c r="R1269" s="147">
        <v>99.660206154255022</v>
      </c>
    </row>
    <row r="1270" spans="2:18" ht="15.75" hidden="1" thickBot="1" x14ac:dyDescent="0.3">
      <c r="B1270" s="725" t="s">
        <v>727</v>
      </c>
      <c r="C1270" s="722" t="s">
        <v>137</v>
      </c>
      <c r="D1270" t="s">
        <v>138</v>
      </c>
      <c r="E1270" s="148">
        <v>0.16525000000000001</v>
      </c>
      <c r="F1270" s="148">
        <v>0.125</v>
      </c>
      <c r="G1270" s="148">
        <v>4.0250000000000001E-2</v>
      </c>
      <c r="H1270" s="148">
        <v>32.200000000000003</v>
      </c>
      <c r="I1270" s="728"/>
      <c r="J1270" s="148">
        <v>0.16525000000000001</v>
      </c>
      <c r="K1270" s="148">
        <v>0</v>
      </c>
      <c r="L1270" s="148">
        <v>0.16525000000000001</v>
      </c>
      <c r="M1270" s="148">
        <v>0.5</v>
      </c>
      <c r="N1270" s="148">
        <v>-0.33474999999999999</v>
      </c>
      <c r="O1270" s="148">
        <v>-66.95</v>
      </c>
      <c r="P1270" s="728"/>
      <c r="Q1270" s="148">
        <v>0.16525000000000001</v>
      </c>
      <c r="R1270" s="148">
        <v>0</v>
      </c>
    </row>
    <row r="1271" spans="2:18" ht="15.75" hidden="1" thickBot="1" x14ac:dyDescent="0.3">
      <c r="B1271" s="725" t="s">
        <v>727</v>
      </c>
      <c r="C1271" s="722" t="s">
        <v>190</v>
      </c>
      <c r="D1271" t="s">
        <v>191</v>
      </c>
      <c r="E1271" s="729"/>
      <c r="F1271" s="729"/>
      <c r="G1271" s="729"/>
      <c r="H1271" s="729"/>
      <c r="I1271" s="729"/>
      <c r="J1271" s="729"/>
      <c r="K1271" s="729"/>
      <c r="L1271" s="147">
        <v>0.37759999999999999</v>
      </c>
      <c r="M1271" s="729"/>
      <c r="N1271" s="147">
        <v>0.37759999999999999</v>
      </c>
      <c r="O1271" s="147">
        <v>0</v>
      </c>
      <c r="P1271" s="147">
        <v>0.29746</v>
      </c>
      <c r="Q1271" s="147">
        <v>8.0140000000000003E-2</v>
      </c>
      <c r="R1271" s="147">
        <v>26.941437504202245</v>
      </c>
    </row>
    <row r="1272" spans="2:18" ht="15.75" hidden="1" thickBot="1" x14ac:dyDescent="0.3">
      <c r="B1272" s="725" t="s">
        <v>727</v>
      </c>
      <c r="C1272" s="722" t="s">
        <v>139</v>
      </c>
      <c r="D1272" t="s">
        <v>140</v>
      </c>
      <c r="E1272" s="728"/>
      <c r="F1272" s="148">
        <v>1.125</v>
      </c>
      <c r="G1272" s="148">
        <v>-1.125</v>
      </c>
      <c r="H1272" s="148">
        <v>-100</v>
      </c>
      <c r="I1272" s="728"/>
      <c r="J1272" s="728"/>
      <c r="K1272" s="728"/>
      <c r="L1272" s="728"/>
      <c r="M1272" s="148">
        <v>4.5</v>
      </c>
      <c r="N1272" s="148">
        <v>-4.5</v>
      </c>
      <c r="O1272" s="148">
        <v>-100</v>
      </c>
      <c r="P1272" s="728"/>
      <c r="Q1272" s="728"/>
      <c r="R1272" s="728"/>
    </row>
    <row r="1273" spans="2:18" ht="15.75" hidden="1" thickBot="1" x14ac:dyDescent="0.3">
      <c r="B1273" s="725" t="s">
        <v>727</v>
      </c>
      <c r="C1273" s="722" t="s">
        <v>103</v>
      </c>
      <c r="D1273" t="s">
        <v>104</v>
      </c>
      <c r="E1273" s="147">
        <v>0.64090000000000003</v>
      </c>
      <c r="F1273" s="729"/>
      <c r="G1273" s="147">
        <v>0.64090000000000003</v>
      </c>
      <c r="H1273" s="147">
        <v>0</v>
      </c>
      <c r="I1273" s="729"/>
      <c r="J1273" s="147">
        <v>0.64090000000000003</v>
      </c>
      <c r="K1273" s="147">
        <v>0</v>
      </c>
      <c r="L1273" s="147">
        <v>2.3811200000000001</v>
      </c>
      <c r="M1273" s="729"/>
      <c r="N1273" s="147">
        <v>2.3811200000000001</v>
      </c>
      <c r="O1273" s="147">
        <v>0</v>
      </c>
      <c r="P1273" s="147">
        <v>0.28544000000000003</v>
      </c>
      <c r="Q1273" s="147">
        <v>2.0956800000000002</v>
      </c>
      <c r="R1273" s="147">
        <v>734.19282511210758</v>
      </c>
    </row>
    <row r="1274" spans="2:18" ht="15.75" hidden="1" thickBot="1" x14ac:dyDescent="0.3">
      <c r="B1274" s="725" t="s">
        <v>727</v>
      </c>
      <c r="C1274" s="722" t="s">
        <v>71</v>
      </c>
      <c r="D1274" t="s">
        <v>72</v>
      </c>
      <c r="E1274" s="148">
        <v>-4.4999999999999998E-2</v>
      </c>
      <c r="F1274" s="728"/>
      <c r="G1274" s="148">
        <v>-4.4999999999999998E-2</v>
      </c>
      <c r="H1274" s="148">
        <v>0</v>
      </c>
      <c r="I1274" s="728"/>
      <c r="J1274" s="148">
        <v>-4.4999999999999998E-2</v>
      </c>
      <c r="K1274" s="148">
        <v>0</v>
      </c>
      <c r="L1274" s="148">
        <v>0</v>
      </c>
      <c r="M1274" s="728"/>
      <c r="N1274" s="148">
        <v>0</v>
      </c>
      <c r="O1274" s="148">
        <v>0</v>
      </c>
      <c r="P1274" s="148">
        <v>3.2989999999999998E-2</v>
      </c>
      <c r="Q1274" s="148">
        <v>-3.2989999999999998E-2</v>
      </c>
      <c r="R1274" s="148">
        <v>-100</v>
      </c>
    </row>
    <row r="1275" spans="2:18" ht="15.75" hidden="1" thickBot="1" x14ac:dyDescent="0.3">
      <c r="B1275" s="725" t="s">
        <v>727</v>
      </c>
      <c r="C1275" s="722" t="s">
        <v>73</v>
      </c>
      <c r="D1275" t="s">
        <v>74</v>
      </c>
      <c r="E1275" s="147">
        <v>3.2120000000000003E-2</v>
      </c>
      <c r="F1275" s="729"/>
      <c r="G1275" s="147">
        <v>3.2120000000000003E-2</v>
      </c>
      <c r="H1275" s="147">
        <v>0</v>
      </c>
      <c r="I1275" s="729"/>
      <c r="J1275" s="147">
        <v>3.2120000000000003E-2</v>
      </c>
      <c r="K1275" s="147">
        <v>0</v>
      </c>
      <c r="L1275" s="147">
        <v>1.8481799999999999</v>
      </c>
      <c r="M1275" s="729"/>
      <c r="N1275" s="147">
        <v>1.8481799999999999</v>
      </c>
      <c r="O1275" s="147">
        <v>0</v>
      </c>
      <c r="P1275" s="147">
        <v>1.63313</v>
      </c>
      <c r="Q1275" s="147">
        <v>0.21504999999999999</v>
      </c>
      <c r="R1275" s="147">
        <v>13.167965807988342</v>
      </c>
    </row>
    <row r="1276" spans="2:18" ht="15.75" hidden="1" thickBot="1" x14ac:dyDescent="0.3">
      <c r="B1276" s="725" t="s">
        <v>727</v>
      </c>
      <c r="C1276" s="722" t="s">
        <v>111</v>
      </c>
      <c r="D1276" t="s">
        <v>112</v>
      </c>
      <c r="E1276" s="728"/>
      <c r="F1276" s="148">
        <v>0</v>
      </c>
      <c r="G1276" s="148">
        <v>0</v>
      </c>
      <c r="H1276" s="148">
        <v>0</v>
      </c>
      <c r="I1276" s="728"/>
      <c r="J1276" s="728"/>
      <c r="K1276" s="728"/>
      <c r="L1276" s="728"/>
      <c r="M1276" s="148">
        <v>3.45</v>
      </c>
      <c r="N1276" s="148">
        <v>-3.45</v>
      </c>
      <c r="O1276" s="148">
        <v>-100</v>
      </c>
      <c r="P1276" s="728"/>
      <c r="Q1276" s="728"/>
      <c r="R1276" s="728"/>
    </row>
    <row r="1277" spans="2:18" ht="15.75" hidden="1" thickBot="1" x14ac:dyDescent="0.3">
      <c r="B1277" s="725" t="s">
        <v>727</v>
      </c>
      <c r="C1277" s="722" t="s">
        <v>141</v>
      </c>
      <c r="D1277" t="s">
        <v>142</v>
      </c>
      <c r="E1277" s="147">
        <v>8.1989999999999993E-2</v>
      </c>
      <c r="F1277" s="147">
        <v>0.25</v>
      </c>
      <c r="G1277" s="147">
        <v>-0.16800999999999999</v>
      </c>
      <c r="H1277" s="147">
        <v>-67.203999999999994</v>
      </c>
      <c r="I1277" s="729"/>
      <c r="J1277" s="147">
        <v>8.1989999999999993E-2</v>
      </c>
      <c r="K1277" s="147">
        <v>0</v>
      </c>
      <c r="L1277" s="147">
        <v>1.5926499999999999</v>
      </c>
      <c r="M1277" s="147">
        <v>1</v>
      </c>
      <c r="N1277" s="147">
        <v>0.59265000000000001</v>
      </c>
      <c r="O1277" s="147">
        <v>59.265000000000001</v>
      </c>
      <c r="P1277" s="147">
        <v>1.2927200000000001</v>
      </c>
      <c r="Q1277" s="147">
        <v>0.29992999999999997</v>
      </c>
      <c r="R1277" s="147">
        <v>23.201466674918002</v>
      </c>
    </row>
    <row r="1278" spans="2:18" ht="15.75" hidden="1" thickBot="1" x14ac:dyDescent="0.3">
      <c r="B1278" s="725" t="s">
        <v>727</v>
      </c>
      <c r="C1278" s="722" t="s">
        <v>113</v>
      </c>
      <c r="D1278" t="s">
        <v>114</v>
      </c>
      <c r="E1278" s="728"/>
      <c r="F1278" s="728"/>
      <c r="G1278" s="728"/>
      <c r="H1278" s="728"/>
      <c r="I1278" s="728"/>
      <c r="J1278" s="728"/>
      <c r="K1278" s="728"/>
      <c r="L1278" s="148">
        <v>0.43748999999999999</v>
      </c>
      <c r="M1278" s="728"/>
      <c r="N1278" s="148">
        <v>0.43748999999999999</v>
      </c>
      <c r="O1278" s="148">
        <v>0</v>
      </c>
      <c r="P1278" s="148">
        <v>0.21160999999999999</v>
      </c>
      <c r="Q1278" s="148">
        <v>0.22588</v>
      </c>
      <c r="R1278" s="148">
        <v>106.74353763999811</v>
      </c>
    </row>
    <row r="1279" spans="2:18" ht="15.75" hidden="1" thickBot="1" x14ac:dyDescent="0.3">
      <c r="B1279" s="725" t="s">
        <v>727</v>
      </c>
      <c r="C1279" s="722" t="s">
        <v>145</v>
      </c>
      <c r="D1279" t="s">
        <v>146</v>
      </c>
      <c r="E1279" s="729"/>
      <c r="F1279" s="147">
        <v>0.1</v>
      </c>
      <c r="G1279" s="147">
        <v>-0.1</v>
      </c>
      <c r="H1279" s="147">
        <v>-100</v>
      </c>
      <c r="I1279" s="729"/>
      <c r="J1279" s="729"/>
      <c r="K1279" s="729"/>
      <c r="L1279" s="147">
        <v>0.11855</v>
      </c>
      <c r="M1279" s="147">
        <v>0.2</v>
      </c>
      <c r="N1279" s="147">
        <v>-8.1449999999999995E-2</v>
      </c>
      <c r="O1279" s="147">
        <v>-40.725000000000001</v>
      </c>
      <c r="P1279" s="147">
        <v>5.2549999999999999E-2</v>
      </c>
      <c r="Q1279" s="147">
        <v>6.6000000000000003E-2</v>
      </c>
      <c r="R1279" s="147">
        <v>125.59467174119885</v>
      </c>
    </row>
    <row r="1280" spans="2:18" ht="15.75" hidden="1" thickBot="1" x14ac:dyDescent="0.3">
      <c r="B1280" s="725" t="s">
        <v>727</v>
      </c>
      <c r="C1280" s="722" t="s">
        <v>149</v>
      </c>
      <c r="D1280" t="s">
        <v>150</v>
      </c>
      <c r="E1280" s="148">
        <v>193.17346000000001</v>
      </c>
      <c r="F1280" s="148">
        <v>21.342829999999999</v>
      </c>
      <c r="G1280" s="148">
        <v>171.83063000000001</v>
      </c>
      <c r="H1280" s="148">
        <v>805.09768385916959</v>
      </c>
      <c r="I1280" s="728"/>
      <c r="J1280" s="148">
        <v>193.17346000000001</v>
      </c>
      <c r="K1280" s="148">
        <v>0</v>
      </c>
      <c r="L1280" s="148">
        <v>656.65895999999998</v>
      </c>
      <c r="M1280" s="148">
        <v>259.13995999999997</v>
      </c>
      <c r="N1280" s="148">
        <v>397.51900000000001</v>
      </c>
      <c r="O1280" s="148">
        <v>153.39934450865857</v>
      </c>
      <c r="P1280" s="148">
        <v>419.93472000000003</v>
      </c>
      <c r="Q1280" s="148">
        <v>236.72424000000001</v>
      </c>
      <c r="R1280" s="148">
        <v>56.371676054792516</v>
      </c>
    </row>
    <row r="1281" spans="2:18" ht="15.75" hidden="1" thickBot="1" x14ac:dyDescent="0.3">
      <c r="B1281" s="725" t="s">
        <v>727</v>
      </c>
      <c r="C1281" s="722" t="s">
        <v>153</v>
      </c>
      <c r="D1281" t="s">
        <v>154</v>
      </c>
      <c r="E1281" s="729"/>
      <c r="F1281" s="729"/>
      <c r="G1281" s="729"/>
      <c r="H1281" s="729"/>
      <c r="I1281" s="729"/>
      <c r="J1281" s="729"/>
      <c r="K1281" s="729"/>
      <c r="L1281" s="147">
        <v>2.5</v>
      </c>
      <c r="M1281" s="729"/>
      <c r="N1281" s="147">
        <v>2.5</v>
      </c>
      <c r="O1281" s="147">
        <v>0</v>
      </c>
      <c r="P1281" s="147">
        <v>2.5</v>
      </c>
      <c r="Q1281" s="147">
        <v>0</v>
      </c>
      <c r="R1281" s="147">
        <v>0</v>
      </c>
    </row>
    <row r="1282" spans="2:18" ht="15.75" hidden="1" thickBot="1" x14ac:dyDescent="0.3">
      <c r="B1282" s="725" t="s">
        <v>727</v>
      </c>
      <c r="C1282" s="722" t="s">
        <v>75</v>
      </c>
      <c r="D1282" t="s">
        <v>76</v>
      </c>
      <c r="E1282" s="148">
        <v>0.38664999999999999</v>
      </c>
      <c r="F1282" s="148">
        <v>1.5</v>
      </c>
      <c r="G1282" s="148">
        <v>-1.1133500000000001</v>
      </c>
      <c r="H1282" s="148">
        <v>-74.223333333333329</v>
      </c>
      <c r="I1282" s="728"/>
      <c r="J1282" s="148">
        <v>0.38664999999999999</v>
      </c>
      <c r="K1282" s="148">
        <v>0</v>
      </c>
      <c r="L1282" s="148">
        <v>2.8807100000000001</v>
      </c>
      <c r="M1282" s="148">
        <v>5.6</v>
      </c>
      <c r="N1282" s="148">
        <v>-2.71929</v>
      </c>
      <c r="O1282" s="148">
        <v>-48.558750000000003</v>
      </c>
      <c r="P1282" s="148">
        <v>1.5156499999999999</v>
      </c>
      <c r="Q1282" s="148">
        <v>1.3650599999999999</v>
      </c>
      <c r="R1282" s="148">
        <v>90.064328835813015</v>
      </c>
    </row>
    <row r="1283" spans="2:18" ht="15.75" hidden="1" thickBot="1" x14ac:dyDescent="0.3">
      <c r="B1283" s="725" t="s">
        <v>727</v>
      </c>
      <c r="C1283" s="722" t="s">
        <v>77</v>
      </c>
      <c r="D1283" t="s">
        <v>78</v>
      </c>
      <c r="E1283" s="147">
        <v>-0.16153000000000001</v>
      </c>
      <c r="F1283" s="729"/>
      <c r="G1283" s="147">
        <v>-0.16153000000000001</v>
      </c>
      <c r="H1283" s="147">
        <v>0</v>
      </c>
      <c r="I1283" s="729"/>
      <c r="J1283" s="147">
        <v>-0.16153000000000001</v>
      </c>
      <c r="K1283" s="147">
        <v>0</v>
      </c>
      <c r="L1283" s="147">
        <v>6.2175099999999999</v>
      </c>
      <c r="M1283" s="147">
        <v>23</v>
      </c>
      <c r="N1283" s="147">
        <v>-16.782489999999999</v>
      </c>
      <c r="O1283" s="147">
        <v>-72.96734782608695</v>
      </c>
      <c r="P1283" s="147">
        <v>4.35487</v>
      </c>
      <c r="Q1283" s="147">
        <v>1.8626400000000001</v>
      </c>
      <c r="R1283" s="147">
        <v>42.771426012716795</v>
      </c>
    </row>
    <row r="1284" spans="2:18" ht="15.75" hidden="1" thickBot="1" x14ac:dyDescent="0.3">
      <c r="B1284" s="725" t="s">
        <v>727</v>
      </c>
      <c r="C1284" s="722" t="s">
        <v>79</v>
      </c>
      <c r="D1284" t="s">
        <v>80</v>
      </c>
      <c r="E1284" s="148">
        <v>0.57238999999999995</v>
      </c>
      <c r="F1284" s="728"/>
      <c r="G1284" s="148">
        <v>0.57238999999999995</v>
      </c>
      <c r="H1284" s="148">
        <v>0</v>
      </c>
      <c r="I1284" s="728"/>
      <c r="J1284" s="148">
        <v>0.57238999999999995</v>
      </c>
      <c r="K1284" s="148">
        <v>0</v>
      </c>
      <c r="L1284" s="148">
        <v>2.1760100000000002</v>
      </c>
      <c r="M1284" s="728"/>
      <c r="N1284" s="148">
        <v>2.1760100000000002</v>
      </c>
      <c r="O1284" s="148">
        <v>0</v>
      </c>
      <c r="P1284" s="148">
        <v>1.08595</v>
      </c>
      <c r="Q1284" s="148">
        <v>1.09006</v>
      </c>
      <c r="R1284" s="148">
        <v>100.37847046364934</v>
      </c>
    </row>
    <row r="1285" spans="2:18" ht="15.75" hidden="1" thickBot="1" x14ac:dyDescent="0.3">
      <c r="B1285" s="725" t="s">
        <v>727</v>
      </c>
      <c r="C1285" s="722" t="s">
        <v>81</v>
      </c>
      <c r="D1285" t="s">
        <v>82</v>
      </c>
      <c r="E1285" s="147">
        <v>0.56906999999999996</v>
      </c>
      <c r="F1285" s="147">
        <v>0.25</v>
      </c>
      <c r="G1285" s="147">
        <v>0.31907000000000002</v>
      </c>
      <c r="H1285" s="147">
        <v>127.628</v>
      </c>
      <c r="I1285" s="729"/>
      <c r="J1285" s="147">
        <v>0.56906999999999996</v>
      </c>
      <c r="K1285" s="147">
        <v>0</v>
      </c>
      <c r="L1285" s="147">
        <v>3.1250100000000001</v>
      </c>
      <c r="M1285" s="147">
        <v>0.75</v>
      </c>
      <c r="N1285" s="147">
        <v>2.3750100000000001</v>
      </c>
      <c r="O1285" s="147">
        <v>316.66800000000001</v>
      </c>
      <c r="P1285" s="147">
        <v>0.87434000000000001</v>
      </c>
      <c r="Q1285" s="147">
        <v>2.2506699999999999</v>
      </c>
      <c r="R1285" s="147">
        <v>257.41359196651189</v>
      </c>
    </row>
    <row r="1286" spans="2:18" ht="15.75" hidden="1" thickBot="1" x14ac:dyDescent="0.3">
      <c r="B1286" s="725" t="s">
        <v>727</v>
      </c>
      <c r="C1286" s="722" t="s">
        <v>123</v>
      </c>
      <c r="D1286" t="s">
        <v>124</v>
      </c>
      <c r="E1286" s="148">
        <v>0.21410999999999999</v>
      </c>
      <c r="F1286" s="728"/>
      <c r="G1286" s="148">
        <v>0.21410999999999999</v>
      </c>
      <c r="H1286" s="148">
        <v>0</v>
      </c>
      <c r="I1286" s="728"/>
      <c r="J1286" s="148">
        <v>0.21410999999999999</v>
      </c>
      <c r="K1286" s="148">
        <v>0</v>
      </c>
      <c r="L1286" s="148">
        <v>0.77461000000000002</v>
      </c>
      <c r="M1286" s="728"/>
      <c r="N1286" s="148">
        <v>0.77461000000000002</v>
      </c>
      <c r="O1286" s="148">
        <v>0</v>
      </c>
      <c r="P1286" s="148">
        <v>0.2984</v>
      </c>
      <c r="Q1286" s="148">
        <v>0.47621000000000002</v>
      </c>
      <c r="R1286" s="148">
        <v>159.5878016085791</v>
      </c>
    </row>
    <row r="1287" spans="2:18" ht="15.75" hidden="1" thickBot="1" x14ac:dyDescent="0.3">
      <c r="B1287" s="725" t="s">
        <v>727</v>
      </c>
      <c r="C1287" s="722" t="s">
        <v>125</v>
      </c>
      <c r="D1287" t="s">
        <v>126</v>
      </c>
      <c r="E1287" s="729"/>
      <c r="F1287" s="729"/>
      <c r="G1287" s="729"/>
      <c r="H1287" s="729"/>
      <c r="I1287" s="729"/>
      <c r="J1287" s="729"/>
      <c r="K1287" s="729"/>
      <c r="L1287" s="147">
        <v>1.7649999999999999E-2</v>
      </c>
      <c r="M1287" s="729"/>
      <c r="N1287" s="147">
        <v>1.7649999999999999E-2</v>
      </c>
      <c r="O1287" s="147">
        <v>0</v>
      </c>
      <c r="P1287" s="147">
        <v>1.7649999999999999E-2</v>
      </c>
      <c r="Q1287" s="147">
        <v>0</v>
      </c>
      <c r="R1287" s="147">
        <v>0</v>
      </c>
    </row>
    <row r="1288" spans="2:18" ht="15.75" hidden="1" thickBot="1" x14ac:dyDescent="0.3">
      <c r="B1288" s="725" t="s">
        <v>727</v>
      </c>
      <c r="C1288" s="722" t="s">
        <v>83</v>
      </c>
      <c r="D1288" t="s">
        <v>84</v>
      </c>
      <c r="E1288" s="728"/>
      <c r="F1288" s="148">
        <v>0.2</v>
      </c>
      <c r="G1288" s="148">
        <v>-0.2</v>
      </c>
      <c r="H1288" s="148">
        <v>-100</v>
      </c>
      <c r="I1288" s="728"/>
      <c r="J1288" s="728"/>
      <c r="K1288" s="728"/>
      <c r="L1288" s="728"/>
      <c r="M1288" s="148">
        <v>0.8</v>
      </c>
      <c r="N1288" s="148">
        <v>-0.8</v>
      </c>
      <c r="O1288" s="148">
        <v>-100</v>
      </c>
      <c r="P1288" s="728"/>
      <c r="Q1288" s="728"/>
      <c r="R1288" s="728"/>
    </row>
    <row r="1289" spans="2:18" ht="15.75" hidden="1" thickBot="1" x14ac:dyDescent="0.3">
      <c r="B1289" s="725" t="s">
        <v>727</v>
      </c>
      <c r="C1289" s="149" t="s">
        <v>85</v>
      </c>
      <c r="D1289" t="s">
        <v>86</v>
      </c>
      <c r="E1289" s="147">
        <v>196.15441000000001</v>
      </c>
      <c r="F1289" s="147">
        <v>25.417829999999999</v>
      </c>
      <c r="G1289" s="147">
        <v>170.73658</v>
      </c>
      <c r="H1289" s="147">
        <v>671.71973374595711</v>
      </c>
      <c r="I1289" s="729"/>
      <c r="J1289" s="147">
        <v>196.15441000000001</v>
      </c>
      <c r="K1289" s="147">
        <v>0</v>
      </c>
      <c r="L1289" s="147">
        <v>688.17704000000003</v>
      </c>
      <c r="M1289" s="147">
        <v>305.23996</v>
      </c>
      <c r="N1289" s="147">
        <v>382.93707999999998</v>
      </c>
      <c r="O1289" s="147">
        <v>125.45443918941675</v>
      </c>
      <c r="P1289" s="147">
        <v>437.54822000000001</v>
      </c>
      <c r="Q1289" s="147">
        <v>250.62881999999999</v>
      </c>
      <c r="R1289" s="147">
        <v>57.280274160411395</v>
      </c>
    </row>
    <row r="1290" spans="2:18" ht="15.75" hidden="1" thickBot="1" x14ac:dyDescent="0.3">
      <c r="B1290" s="725" t="s">
        <v>727</v>
      </c>
      <c r="C1290" s="144" t="s">
        <v>87</v>
      </c>
      <c r="D1290" t="s">
        <v>87</v>
      </c>
      <c r="E1290" s="148">
        <v>241.94469000000001</v>
      </c>
      <c r="F1290" s="148">
        <v>82.696849999999998</v>
      </c>
      <c r="G1290" s="148">
        <v>159.24784</v>
      </c>
      <c r="H1290" s="148">
        <v>192.56820543950585</v>
      </c>
      <c r="I1290" s="728"/>
      <c r="J1290" s="148">
        <v>241.94469000000001</v>
      </c>
      <c r="K1290" s="148">
        <v>0</v>
      </c>
      <c r="L1290" s="148">
        <v>1293.8257900000001</v>
      </c>
      <c r="M1290" s="148">
        <v>988.98224000000005</v>
      </c>
      <c r="N1290" s="148">
        <v>304.84354999999999</v>
      </c>
      <c r="O1290" s="148">
        <v>30.823966060300538</v>
      </c>
      <c r="P1290" s="148">
        <v>742.4742</v>
      </c>
      <c r="Q1290" s="148">
        <v>551.35158999999999</v>
      </c>
      <c r="R1290" s="148">
        <v>74.258686699147262</v>
      </c>
    </row>
    <row r="1291" spans="2:18" ht="15.75" hidden="1" thickBot="1" x14ac:dyDescent="0.3">
      <c r="B1291" s="724" t="s">
        <v>729</v>
      </c>
      <c r="C1291" s="722" t="s">
        <v>59</v>
      </c>
      <c r="D1291" t="s">
        <v>60</v>
      </c>
      <c r="E1291" s="147">
        <v>53.292059999999999</v>
      </c>
      <c r="F1291" s="147">
        <v>53.273769999999999</v>
      </c>
      <c r="G1291" s="147">
        <v>1.8290000000000001E-2</v>
      </c>
      <c r="H1291" s="147">
        <v>3.43320925100664E-2</v>
      </c>
      <c r="I1291" s="729"/>
      <c r="J1291" s="147">
        <v>53.292059999999999</v>
      </c>
      <c r="K1291" s="147">
        <v>0</v>
      </c>
      <c r="L1291" s="147">
        <v>659.63779</v>
      </c>
      <c r="M1291" s="147">
        <v>635.93143999999995</v>
      </c>
      <c r="N1291" s="147">
        <v>23.70635</v>
      </c>
      <c r="O1291" s="147">
        <v>3.7278153758210162</v>
      </c>
      <c r="P1291" s="147">
        <v>316.04415999999998</v>
      </c>
      <c r="Q1291" s="147">
        <v>343.59363000000002</v>
      </c>
      <c r="R1291" s="147">
        <v>108.71696854009262</v>
      </c>
    </row>
    <row r="1292" spans="2:18" ht="15.75" hidden="1" thickBot="1" x14ac:dyDescent="0.3">
      <c r="B1292" s="724" t="s">
        <v>729</v>
      </c>
      <c r="C1292" s="722" t="s">
        <v>134</v>
      </c>
      <c r="D1292" t="s">
        <v>135</v>
      </c>
      <c r="E1292" s="148">
        <v>5.2358399999999996</v>
      </c>
      <c r="F1292" s="148">
        <v>1.7965199999999999</v>
      </c>
      <c r="G1292" s="148">
        <v>3.4393199999999999</v>
      </c>
      <c r="H1292" s="148">
        <v>191.44345735087836</v>
      </c>
      <c r="I1292" s="728"/>
      <c r="J1292" s="148">
        <v>5.2358399999999996</v>
      </c>
      <c r="K1292" s="148">
        <v>0</v>
      </c>
      <c r="L1292" s="148">
        <v>75.883070000000004</v>
      </c>
      <c r="M1292" s="148">
        <v>21.437200000000001</v>
      </c>
      <c r="N1292" s="148">
        <v>54.445869999999999</v>
      </c>
      <c r="O1292" s="148">
        <v>253.97845800757563</v>
      </c>
      <c r="P1292" s="148">
        <v>44.226730000000003</v>
      </c>
      <c r="Q1292" s="148">
        <v>31.65634</v>
      </c>
      <c r="R1292" s="148">
        <v>71.577392224114234</v>
      </c>
    </row>
    <row r="1293" spans="2:18" ht="15.75" hidden="1" thickBot="1" x14ac:dyDescent="0.3">
      <c r="B1293" s="724" t="s">
        <v>729</v>
      </c>
      <c r="C1293" s="722" t="s">
        <v>61</v>
      </c>
      <c r="D1293" t="s">
        <v>62</v>
      </c>
      <c r="E1293" s="147">
        <v>8.4109099999999994</v>
      </c>
      <c r="F1293" s="147">
        <v>8.2574299999999994</v>
      </c>
      <c r="G1293" s="147">
        <v>0.15348000000000001</v>
      </c>
      <c r="H1293" s="147">
        <v>1.8586896891647886</v>
      </c>
      <c r="I1293" s="729"/>
      <c r="J1293" s="147">
        <v>8.4109099999999994</v>
      </c>
      <c r="K1293" s="147">
        <v>0</v>
      </c>
      <c r="L1293" s="147">
        <v>95.508150000000001</v>
      </c>
      <c r="M1293" s="147">
        <v>98.569320000000005</v>
      </c>
      <c r="N1293" s="147">
        <v>-3.0611700000000002</v>
      </c>
      <c r="O1293" s="147">
        <v>-3.1056012154694788</v>
      </c>
      <c r="P1293" s="147">
        <v>45.042749999999998</v>
      </c>
      <c r="Q1293" s="147">
        <v>50.465400000000002</v>
      </c>
      <c r="R1293" s="147">
        <v>112.03889638177066</v>
      </c>
    </row>
    <row r="1294" spans="2:18" ht="15.75" hidden="1" thickBot="1" x14ac:dyDescent="0.3">
      <c r="B1294" s="724" t="s">
        <v>729</v>
      </c>
      <c r="C1294" s="722" t="s">
        <v>63</v>
      </c>
      <c r="D1294" t="s">
        <v>64</v>
      </c>
      <c r="E1294" s="148">
        <v>33.19932</v>
      </c>
      <c r="F1294" s="148">
        <v>32.124079999999999</v>
      </c>
      <c r="G1294" s="148">
        <v>1.07524</v>
      </c>
      <c r="H1294" s="148">
        <v>3.3471464396801403</v>
      </c>
      <c r="I1294" s="728"/>
      <c r="J1294" s="148">
        <v>33.19932</v>
      </c>
      <c r="K1294" s="148">
        <v>0</v>
      </c>
      <c r="L1294" s="148">
        <v>378.60647</v>
      </c>
      <c r="M1294" s="148">
        <v>383.46661999999998</v>
      </c>
      <c r="N1294" s="148">
        <v>-4.86015</v>
      </c>
      <c r="O1294" s="148">
        <v>-1.2674245283722478</v>
      </c>
      <c r="P1294" s="148">
        <v>179.41045</v>
      </c>
      <c r="Q1294" s="148">
        <v>199.19602</v>
      </c>
      <c r="R1294" s="148">
        <v>111.02810343544648</v>
      </c>
    </row>
    <row r="1295" spans="2:18" ht="15.75" hidden="1" thickBot="1" x14ac:dyDescent="0.3">
      <c r="B1295" s="724" t="s">
        <v>729</v>
      </c>
      <c r="C1295" s="722" t="s">
        <v>156</v>
      </c>
      <c r="D1295" t="s">
        <v>157</v>
      </c>
      <c r="E1295" s="147">
        <v>5.72072</v>
      </c>
      <c r="F1295" s="147">
        <v>18.32996</v>
      </c>
      <c r="G1295" s="147">
        <v>-12.60924</v>
      </c>
      <c r="H1295" s="147">
        <v>-68.790330148019962</v>
      </c>
      <c r="I1295" s="729"/>
      <c r="J1295" s="147">
        <v>5.72072</v>
      </c>
      <c r="K1295" s="147">
        <v>0</v>
      </c>
      <c r="L1295" s="147">
        <v>444.01107000000002</v>
      </c>
      <c r="M1295" s="147">
        <v>218.80557999999999</v>
      </c>
      <c r="N1295" s="147">
        <v>225.20549</v>
      </c>
      <c r="O1295" s="147">
        <v>102.92492997664867</v>
      </c>
      <c r="P1295" s="147">
        <v>189.26432</v>
      </c>
      <c r="Q1295" s="147">
        <v>254.74674999999999</v>
      </c>
      <c r="R1295" s="147">
        <v>134.59840185408427</v>
      </c>
    </row>
    <row r="1296" spans="2:18" ht="15.75" hidden="1" thickBot="1" x14ac:dyDescent="0.3">
      <c r="B1296" s="724" t="s">
        <v>729</v>
      </c>
      <c r="C1296" s="722" t="s">
        <v>184</v>
      </c>
      <c r="D1296" t="s">
        <v>185</v>
      </c>
      <c r="E1296" s="728"/>
      <c r="F1296" s="728"/>
      <c r="G1296" s="728"/>
      <c r="H1296" s="728"/>
      <c r="I1296" s="728"/>
      <c r="J1296" s="728"/>
      <c r="K1296" s="728"/>
      <c r="L1296" s="148">
        <v>0.48359999999999997</v>
      </c>
      <c r="M1296" s="728"/>
      <c r="N1296" s="148">
        <v>0.48359999999999997</v>
      </c>
      <c r="O1296" s="148">
        <v>0</v>
      </c>
      <c r="P1296" s="728"/>
      <c r="Q1296" s="148">
        <v>0.48359999999999997</v>
      </c>
      <c r="R1296" s="148">
        <v>0</v>
      </c>
    </row>
    <row r="1297" spans="2:18" ht="15.75" hidden="1" thickBot="1" x14ac:dyDescent="0.3">
      <c r="B1297" s="724" t="s">
        <v>729</v>
      </c>
      <c r="C1297" s="722" t="s">
        <v>65</v>
      </c>
      <c r="D1297" t="s">
        <v>66</v>
      </c>
      <c r="E1297" s="147">
        <v>-114.02976</v>
      </c>
      <c r="F1297" s="147">
        <v>-17.358370000000001</v>
      </c>
      <c r="G1297" s="147">
        <v>-96.671390000000002</v>
      </c>
      <c r="H1297" s="147">
        <v>-556.91513661709018</v>
      </c>
      <c r="I1297" s="729"/>
      <c r="J1297" s="147">
        <v>-114.02976</v>
      </c>
      <c r="K1297" s="147">
        <v>0</v>
      </c>
      <c r="L1297" s="147">
        <v>-263.61919999999998</v>
      </c>
      <c r="M1297" s="147">
        <v>-207.20766</v>
      </c>
      <c r="N1297" s="147">
        <v>-56.411540000000002</v>
      </c>
      <c r="O1297" s="147">
        <v>-27.224640247373095</v>
      </c>
      <c r="P1297" s="147">
        <v>-51.472000000000001</v>
      </c>
      <c r="Q1297" s="147">
        <v>-212.1472</v>
      </c>
      <c r="R1297" s="147">
        <v>-412.16039788622942</v>
      </c>
    </row>
    <row r="1298" spans="2:18" ht="15.75" hidden="1" thickBot="1" x14ac:dyDescent="0.3">
      <c r="B1298" s="724" t="s">
        <v>729</v>
      </c>
      <c r="C1298" s="149" t="s">
        <v>67</v>
      </c>
      <c r="D1298" t="s">
        <v>68</v>
      </c>
      <c r="E1298" s="148">
        <v>-8.1709099999999992</v>
      </c>
      <c r="F1298" s="148">
        <v>96.423389999999998</v>
      </c>
      <c r="G1298" s="148">
        <v>-104.5943</v>
      </c>
      <c r="H1298" s="148">
        <v>-108.47399163211333</v>
      </c>
      <c r="I1298" s="728"/>
      <c r="J1298" s="148">
        <v>-8.1709099999999992</v>
      </c>
      <c r="K1298" s="148">
        <v>0</v>
      </c>
      <c r="L1298" s="148">
        <v>1390.5109500000001</v>
      </c>
      <c r="M1298" s="148">
        <v>1151.0025000000001</v>
      </c>
      <c r="N1298" s="148">
        <v>239.50845000000001</v>
      </c>
      <c r="O1298" s="148">
        <v>20.808681996781068</v>
      </c>
      <c r="P1298" s="148">
        <v>722.51640999999995</v>
      </c>
      <c r="Q1298" s="148">
        <v>667.99454000000003</v>
      </c>
      <c r="R1298" s="148">
        <v>92.453891808491932</v>
      </c>
    </row>
    <row r="1299" spans="2:18" ht="15.75" hidden="1" thickBot="1" x14ac:dyDescent="0.3">
      <c r="B1299" s="724" t="s">
        <v>729</v>
      </c>
      <c r="C1299" s="722" t="s">
        <v>69</v>
      </c>
      <c r="D1299" t="s">
        <v>70</v>
      </c>
      <c r="E1299" s="729"/>
      <c r="F1299" s="729"/>
      <c r="G1299" s="729"/>
      <c r="H1299" s="729"/>
      <c r="I1299" s="729"/>
      <c r="J1299" s="729"/>
      <c r="K1299" s="729"/>
      <c r="L1299" s="147">
        <v>1.5823400000000001</v>
      </c>
      <c r="M1299" s="729"/>
      <c r="N1299" s="147">
        <v>1.5823400000000001</v>
      </c>
      <c r="O1299" s="147">
        <v>0</v>
      </c>
      <c r="P1299" s="147">
        <v>0.86834</v>
      </c>
      <c r="Q1299" s="147">
        <v>0.71399999999999997</v>
      </c>
      <c r="R1299" s="147">
        <v>82.225856231430086</v>
      </c>
    </row>
    <row r="1300" spans="2:18" ht="15.75" hidden="1" thickBot="1" x14ac:dyDescent="0.3">
      <c r="B1300" s="724" t="s">
        <v>729</v>
      </c>
      <c r="C1300" s="722" t="s">
        <v>582</v>
      </c>
      <c r="D1300" t="s">
        <v>583</v>
      </c>
      <c r="E1300" s="148">
        <v>0.52500000000000002</v>
      </c>
      <c r="F1300" s="148">
        <v>1.05</v>
      </c>
      <c r="G1300" s="148">
        <v>-0.52500000000000002</v>
      </c>
      <c r="H1300" s="148">
        <v>-50</v>
      </c>
      <c r="I1300" s="728"/>
      <c r="J1300" s="148">
        <v>0.52500000000000002</v>
      </c>
      <c r="K1300" s="148">
        <v>0</v>
      </c>
      <c r="L1300" s="148">
        <v>6.3</v>
      </c>
      <c r="M1300" s="148">
        <v>12.6</v>
      </c>
      <c r="N1300" s="148">
        <v>-6.3</v>
      </c>
      <c r="O1300" s="148">
        <v>-50</v>
      </c>
      <c r="P1300" s="148">
        <v>3.15</v>
      </c>
      <c r="Q1300" s="148">
        <v>3.15</v>
      </c>
      <c r="R1300" s="148">
        <v>100</v>
      </c>
    </row>
    <row r="1301" spans="2:18" ht="15.75" hidden="1" thickBot="1" x14ac:dyDescent="0.3">
      <c r="B1301" s="724" t="s">
        <v>729</v>
      </c>
      <c r="C1301" s="722" t="s">
        <v>165</v>
      </c>
      <c r="D1301" t="s">
        <v>166</v>
      </c>
      <c r="E1301" s="147">
        <v>0.10272000000000001</v>
      </c>
      <c r="F1301" s="729"/>
      <c r="G1301" s="147">
        <v>0.10272000000000001</v>
      </c>
      <c r="H1301" s="147">
        <v>0</v>
      </c>
      <c r="I1301" s="729"/>
      <c r="J1301" s="147">
        <v>0.10272000000000001</v>
      </c>
      <c r="K1301" s="147">
        <v>0</v>
      </c>
      <c r="L1301" s="147">
        <v>0.10272000000000001</v>
      </c>
      <c r="M1301" s="729"/>
      <c r="N1301" s="147">
        <v>0.10272000000000001</v>
      </c>
      <c r="O1301" s="147">
        <v>0</v>
      </c>
      <c r="P1301" s="729"/>
      <c r="Q1301" s="147">
        <v>0.10272000000000001</v>
      </c>
      <c r="R1301" s="147">
        <v>0</v>
      </c>
    </row>
    <row r="1302" spans="2:18" ht="15.75" hidden="1" thickBot="1" x14ac:dyDescent="0.3">
      <c r="B1302" s="724" t="s">
        <v>729</v>
      </c>
      <c r="C1302" s="722" t="s">
        <v>137</v>
      </c>
      <c r="D1302" t="s">
        <v>138</v>
      </c>
      <c r="E1302" s="728"/>
      <c r="F1302" s="148">
        <v>0.25</v>
      </c>
      <c r="G1302" s="148">
        <v>-0.25</v>
      </c>
      <c r="H1302" s="148">
        <v>-100</v>
      </c>
      <c r="I1302" s="728"/>
      <c r="J1302" s="728"/>
      <c r="K1302" s="728"/>
      <c r="L1302" s="148">
        <v>2.0156399999999999</v>
      </c>
      <c r="M1302" s="148">
        <v>2</v>
      </c>
      <c r="N1302" s="148">
        <v>1.5640000000000001E-2</v>
      </c>
      <c r="O1302" s="148">
        <v>0.78200000000000003</v>
      </c>
      <c r="P1302" s="148">
        <v>1.33026</v>
      </c>
      <c r="Q1302" s="148">
        <v>0.68537999999999999</v>
      </c>
      <c r="R1302" s="148">
        <v>51.522258806549097</v>
      </c>
    </row>
    <row r="1303" spans="2:18" ht="15.75" hidden="1" thickBot="1" x14ac:dyDescent="0.3">
      <c r="B1303" s="724" t="s">
        <v>729</v>
      </c>
      <c r="C1303" s="722" t="s">
        <v>190</v>
      </c>
      <c r="D1303" t="s">
        <v>191</v>
      </c>
      <c r="E1303" s="147">
        <v>9.5820000000000002E-2</v>
      </c>
      <c r="F1303" s="729"/>
      <c r="G1303" s="147">
        <v>9.5820000000000002E-2</v>
      </c>
      <c r="H1303" s="147">
        <v>0</v>
      </c>
      <c r="I1303" s="729"/>
      <c r="J1303" s="147">
        <v>9.5820000000000002E-2</v>
      </c>
      <c r="K1303" s="147">
        <v>0</v>
      </c>
      <c r="L1303" s="147">
        <v>0.66566999999999998</v>
      </c>
      <c r="M1303" s="729"/>
      <c r="N1303" s="147">
        <v>0.66566999999999998</v>
      </c>
      <c r="O1303" s="147">
        <v>0</v>
      </c>
      <c r="P1303" s="729"/>
      <c r="Q1303" s="147">
        <v>0.66566999999999998</v>
      </c>
      <c r="R1303" s="147">
        <v>0</v>
      </c>
    </row>
    <row r="1304" spans="2:18" ht="15.75" hidden="1" thickBot="1" x14ac:dyDescent="0.3">
      <c r="B1304" s="724" t="s">
        <v>729</v>
      </c>
      <c r="C1304" s="722" t="s">
        <v>139</v>
      </c>
      <c r="D1304" t="s">
        <v>140</v>
      </c>
      <c r="E1304" s="728"/>
      <c r="F1304" s="728"/>
      <c r="G1304" s="728"/>
      <c r="H1304" s="728"/>
      <c r="I1304" s="728"/>
      <c r="J1304" s="728"/>
      <c r="K1304" s="728"/>
      <c r="L1304" s="148">
        <v>3.9729999999999999</v>
      </c>
      <c r="M1304" s="728"/>
      <c r="N1304" s="148">
        <v>3.9729999999999999</v>
      </c>
      <c r="O1304" s="148">
        <v>0</v>
      </c>
      <c r="P1304" s="148">
        <v>3.9729999999999999</v>
      </c>
      <c r="Q1304" s="148">
        <v>0</v>
      </c>
      <c r="R1304" s="148">
        <v>0</v>
      </c>
    </row>
    <row r="1305" spans="2:18" ht="15.75" hidden="1" thickBot="1" x14ac:dyDescent="0.3">
      <c r="B1305" s="724" t="s">
        <v>729</v>
      </c>
      <c r="C1305" s="722" t="s">
        <v>169</v>
      </c>
      <c r="D1305" t="s">
        <v>170</v>
      </c>
      <c r="E1305" s="729"/>
      <c r="F1305" s="147">
        <v>1.5</v>
      </c>
      <c r="G1305" s="147">
        <v>-1.5</v>
      </c>
      <c r="H1305" s="147">
        <v>-100</v>
      </c>
      <c r="I1305" s="729"/>
      <c r="J1305" s="729"/>
      <c r="K1305" s="729"/>
      <c r="L1305" s="147">
        <v>14.586</v>
      </c>
      <c r="M1305" s="147">
        <v>6</v>
      </c>
      <c r="N1305" s="147">
        <v>8.5860000000000003</v>
      </c>
      <c r="O1305" s="147">
        <v>143.1</v>
      </c>
      <c r="P1305" s="147">
        <v>14.0145</v>
      </c>
      <c r="Q1305" s="147">
        <v>0.57150000000000001</v>
      </c>
      <c r="R1305" s="147">
        <v>4.0779192978700634</v>
      </c>
    </row>
    <row r="1306" spans="2:18" ht="15.75" hidden="1" thickBot="1" x14ac:dyDescent="0.3">
      <c r="B1306" s="724" t="s">
        <v>729</v>
      </c>
      <c r="C1306" s="722" t="s">
        <v>101</v>
      </c>
      <c r="D1306" t="s">
        <v>102</v>
      </c>
      <c r="E1306" s="148">
        <v>1.0751999999999999</v>
      </c>
      <c r="F1306" s="148">
        <v>8.3330000000000002</v>
      </c>
      <c r="G1306" s="148">
        <v>-7.2577999999999996</v>
      </c>
      <c r="H1306" s="148">
        <v>-87.097083883355339</v>
      </c>
      <c r="I1306" s="728"/>
      <c r="J1306" s="148">
        <v>1.0751999999999999</v>
      </c>
      <c r="K1306" s="148">
        <v>0</v>
      </c>
      <c r="L1306" s="148">
        <v>20.968800000000002</v>
      </c>
      <c r="M1306" s="148">
        <v>100</v>
      </c>
      <c r="N1306" s="148">
        <v>-79.031199999999998</v>
      </c>
      <c r="O1306" s="148">
        <v>-79.031199999999998</v>
      </c>
      <c r="P1306" s="728"/>
      <c r="Q1306" s="148">
        <v>20.968800000000002</v>
      </c>
      <c r="R1306" s="148">
        <v>0</v>
      </c>
    </row>
    <row r="1307" spans="2:18" ht="15.75" hidden="1" thickBot="1" x14ac:dyDescent="0.3">
      <c r="B1307" s="724" t="s">
        <v>729</v>
      </c>
      <c r="C1307" s="722" t="s">
        <v>103</v>
      </c>
      <c r="D1307" t="s">
        <v>104</v>
      </c>
      <c r="E1307" s="147">
        <v>8.0000000000000002E-3</v>
      </c>
      <c r="F1307" s="729"/>
      <c r="G1307" s="147">
        <v>8.0000000000000002E-3</v>
      </c>
      <c r="H1307" s="147">
        <v>0</v>
      </c>
      <c r="I1307" s="729"/>
      <c r="J1307" s="147">
        <v>8.0000000000000002E-3</v>
      </c>
      <c r="K1307" s="147">
        <v>0</v>
      </c>
      <c r="L1307" s="147">
        <v>0.28563</v>
      </c>
      <c r="M1307" s="729"/>
      <c r="N1307" s="147">
        <v>0.28563</v>
      </c>
      <c r="O1307" s="147">
        <v>0</v>
      </c>
      <c r="P1307" s="147">
        <v>0.26867999999999997</v>
      </c>
      <c r="Q1307" s="147">
        <v>1.695E-2</v>
      </c>
      <c r="R1307" s="147">
        <v>6.3086199196069677</v>
      </c>
    </row>
    <row r="1308" spans="2:18" ht="15.75" hidden="1" thickBot="1" x14ac:dyDescent="0.3">
      <c r="B1308" s="724" t="s">
        <v>729</v>
      </c>
      <c r="C1308" s="722" t="s">
        <v>109</v>
      </c>
      <c r="D1308" t="s">
        <v>110</v>
      </c>
      <c r="E1308" s="148">
        <v>-1.8079999999999999E-2</v>
      </c>
      <c r="F1308" s="148">
        <v>0</v>
      </c>
      <c r="G1308" s="148">
        <v>-1.8079999999999999E-2</v>
      </c>
      <c r="H1308" s="148">
        <v>0</v>
      </c>
      <c r="I1308" s="728"/>
      <c r="J1308" s="148">
        <v>-1.8079999999999999E-2</v>
      </c>
      <c r="K1308" s="148">
        <v>0</v>
      </c>
      <c r="L1308" s="148">
        <v>0.29720000000000002</v>
      </c>
      <c r="M1308" s="148">
        <v>0</v>
      </c>
      <c r="N1308" s="148">
        <v>0.29720000000000002</v>
      </c>
      <c r="O1308" s="148">
        <v>0</v>
      </c>
      <c r="P1308" s="148">
        <v>0.29720000000000002</v>
      </c>
      <c r="Q1308" s="148">
        <v>0</v>
      </c>
      <c r="R1308" s="148">
        <v>0</v>
      </c>
    </row>
    <row r="1309" spans="2:18" ht="15.75" hidden="1" thickBot="1" x14ac:dyDescent="0.3">
      <c r="B1309" s="724" t="s">
        <v>729</v>
      </c>
      <c r="C1309" s="722" t="s">
        <v>73</v>
      </c>
      <c r="D1309" t="s">
        <v>74</v>
      </c>
      <c r="E1309" s="147">
        <v>9.1990000000000002E-2</v>
      </c>
      <c r="F1309" s="147">
        <v>0.25</v>
      </c>
      <c r="G1309" s="147">
        <v>-0.15801000000000001</v>
      </c>
      <c r="H1309" s="147">
        <v>-63.204000000000001</v>
      </c>
      <c r="I1309" s="729"/>
      <c r="J1309" s="147">
        <v>9.1990000000000002E-2</v>
      </c>
      <c r="K1309" s="147">
        <v>0</v>
      </c>
      <c r="L1309" s="147">
        <v>3.56027</v>
      </c>
      <c r="M1309" s="147">
        <v>3</v>
      </c>
      <c r="N1309" s="147">
        <v>0.56027000000000005</v>
      </c>
      <c r="O1309" s="147">
        <v>18.675666666666668</v>
      </c>
      <c r="P1309" s="147">
        <v>2.3272499999999998</v>
      </c>
      <c r="Q1309" s="147">
        <v>1.23302</v>
      </c>
      <c r="R1309" s="147">
        <v>52.981845525835212</v>
      </c>
    </row>
    <row r="1310" spans="2:18" ht="15.75" hidden="1" thickBot="1" x14ac:dyDescent="0.3">
      <c r="B1310" s="724" t="s">
        <v>729</v>
      </c>
      <c r="C1310" s="722" t="s">
        <v>111</v>
      </c>
      <c r="D1310" t="s">
        <v>112</v>
      </c>
      <c r="E1310" s="728"/>
      <c r="F1310" s="148">
        <v>0</v>
      </c>
      <c r="G1310" s="148">
        <v>0</v>
      </c>
      <c r="H1310" s="148">
        <v>0</v>
      </c>
      <c r="I1310" s="728"/>
      <c r="J1310" s="728"/>
      <c r="K1310" s="728"/>
      <c r="L1310" s="728"/>
      <c r="M1310" s="148">
        <v>0</v>
      </c>
      <c r="N1310" s="148">
        <v>0</v>
      </c>
      <c r="O1310" s="148">
        <v>0</v>
      </c>
      <c r="P1310" s="728"/>
      <c r="Q1310" s="728"/>
      <c r="R1310" s="728"/>
    </row>
    <row r="1311" spans="2:18" ht="15.75" hidden="1" thickBot="1" x14ac:dyDescent="0.3">
      <c r="B1311" s="724" t="s">
        <v>729</v>
      </c>
      <c r="C1311" s="722" t="s">
        <v>141</v>
      </c>
      <c r="D1311" t="s">
        <v>142</v>
      </c>
      <c r="E1311" s="729"/>
      <c r="F1311" s="147">
        <v>2.087E-2</v>
      </c>
      <c r="G1311" s="147">
        <v>-2.087E-2</v>
      </c>
      <c r="H1311" s="147">
        <v>-100</v>
      </c>
      <c r="I1311" s="729"/>
      <c r="J1311" s="729"/>
      <c r="K1311" s="729"/>
      <c r="L1311" s="147">
        <v>1.4478800000000001</v>
      </c>
      <c r="M1311" s="147">
        <v>0.25</v>
      </c>
      <c r="N1311" s="147">
        <v>1.1978800000000001</v>
      </c>
      <c r="O1311" s="147">
        <v>479.15199999999999</v>
      </c>
      <c r="P1311" s="147">
        <v>1.4166799999999999</v>
      </c>
      <c r="Q1311" s="147">
        <v>3.1199999999999999E-2</v>
      </c>
      <c r="R1311" s="147">
        <v>2.2023322133438743</v>
      </c>
    </row>
    <row r="1312" spans="2:18" ht="15.75" hidden="1" thickBot="1" x14ac:dyDescent="0.3">
      <c r="B1312" s="724" t="s">
        <v>729</v>
      </c>
      <c r="C1312" s="722" t="s">
        <v>113</v>
      </c>
      <c r="D1312" t="s">
        <v>114</v>
      </c>
      <c r="E1312" s="148">
        <v>0.15542</v>
      </c>
      <c r="F1312" s="728"/>
      <c r="G1312" s="148">
        <v>0.15542</v>
      </c>
      <c r="H1312" s="148">
        <v>0</v>
      </c>
      <c r="I1312" s="728"/>
      <c r="J1312" s="148">
        <v>0.15542</v>
      </c>
      <c r="K1312" s="148">
        <v>0</v>
      </c>
      <c r="L1312" s="148">
        <v>0.67686000000000002</v>
      </c>
      <c r="M1312" s="728"/>
      <c r="N1312" s="148">
        <v>0.67686000000000002</v>
      </c>
      <c r="O1312" s="148">
        <v>0</v>
      </c>
      <c r="P1312" s="148">
        <v>0.26089000000000001</v>
      </c>
      <c r="Q1312" s="148">
        <v>0.41597000000000001</v>
      </c>
      <c r="R1312" s="148">
        <v>159.44267699030243</v>
      </c>
    </row>
    <row r="1313" spans="2:18" ht="15.75" hidden="1" thickBot="1" x14ac:dyDescent="0.3">
      <c r="B1313" s="724" t="s">
        <v>729</v>
      </c>
      <c r="C1313" s="722" t="s">
        <v>145</v>
      </c>
      <c r="D1313" t="s">
        <v>146</v>
      </c>
      <c r="E1313" s="147">
        <v>3.2500000000000001E-2</v>
      </c>
      <c r="F1313" s="729"/>
      <c r="G1313" s="147">
        <v>3.2500000000000001E-2</v>
      </c>
      <c r="H1313" s="147">
        <v>0</v>
      </c>
      <c r="I1313" s="729"/>
      <c r="J1313" s="147">
        <v>3.2500000000000001E-2</v>
      </c>
      <c r="K1313" s="147">
        <v>0</v>
      </c>
      <c r="L1313" s="147">
        <v>0.26029999999999998</v>
      </c>
      <c r="M1313" s="729"/>
      <c r="N1313" s="147">
        <v>0.26029999999999998</v>
      </c>
      <c r="O1313" s="147">
        <v>0</v>
      </c>
      <c r="P1313" s="147">
        <v>0.17080000000000001</v>
      </c>
      <c r="Q1313" s="147">
        <v>8.9499999999999996E-2</v>
      </c>
      <c r="R1313" s="147">
        <v>52.400468384074941</v>
      </c>
    </row>
    <row r="1314" spans="2:18" ht="15.75" hidden="1" thickBot="1" x14ac:dyDescent="0.3">
      <c r="B1314" s="724" t="s">
        <v>729</v>
      </c>
      <c r="C1314" s="722" t="s">
        <v>147</v>
      </c>
      <c r="D1314" t="s">
        <v>148</v>
      </c>
      <c r="E1314" s="148">
        <v>-2.5999999999999999E-2</v>
      </c>
      <c r="F1314" s="728"/>
      <c r="G1314" s="148">
        <v>-2.5999999999999999E-2</v>
      </c>
      <c r="H1314" s="148">
        <v>0</v>
      </c>
      <c r="I1314" s="728"/>
      <c r="J1314" s="148">
        <v>-2.5999999999999999E-2</v>
      </c>
      <c r="K1314" s="148">
        <v>0</v>
      </c>
      <c r="L1314" s="148">
        <v>0</v>
      </c>
      <c r="M1314" s="728"/>
      <c r="N1314" s="148">
        <v>0</v>
      </c>
      <c r="O1314" s="148">
        <v>0</v>
      </c>
      <c r="P1314" s="728"/>
      <c r="Q1314" s="148">
        <v>0</v>
      </c>
      <c r="R1314" s="148">
        <v>0</v>
      </c>
    </row>
    <row r="1315" spans="2:18" ht="15.75" hidden="1" thickBot="1" x14ac:dyDescent="0.3">
      <c r="B1315" s="724" t="s">
        <v>729</v>
      </c>
      <c r="C1315" s="722" t="s">
        <v>203</v>
      </c>
      <c r="D1315" t="s">
        <v>204</v>
      </c>
      <c r="E1315" s="147">
        <v>0.17554</v>
      </c>
      <c r="F1315" s="729"/>
      <c r="G1315" s="147">
        <v>0.17554</v>
      </c>
      <c r="H1315" s="147">
        <v>0</v>
      </c>
      <c r="I1315" s="729"/>
      <c r="J1315" s="147">
        <v>0.17554</v>
      </c>
      <c r="K1315" s="147">
        <v>0</v>
      </c>
      <c r="L1315" s="147">
        <v>0.17554</v>
      </c>
      <c r="M1315" s="729"/>
      <c r="N1315" s="147">
        <v>0.17554</v>
      </c>
      <c r="O1315" s="147">
        <v>0</v>
      </c>
      <c r="P1315" s="729"/>
      <c r="Q1315" s="147">
        <v>0.17554</v>
      </c>
      <c r="R1315" s="147">
        <v>0</v>
      </c>
    </row>
    <row r="1316" spans="2:18" ht="15.75" hidden="1" thickBot="1" x14ac:dyDescent="0.3">
      <c r="B1316" s="724" t="s">
        <v>729</v>
      </c>
      <c r="C1316" s="722" t="s">
        <v>643</v>
      </c>
      <c r="D1316" t="s">
        <v>644</v>
      </c>
      <c r="E1316" s="728"/>
      <c r="F1316" s="148">
        <v>0</v>
      </c>
      <c r="G1316" s="148">
        <v>0</v>
      </c>
      <c r="H1316" s="148">
        <v>0</v>
      </c>
      <c r="I1316" s="728"/>
      <c r="J1316" s="728"/>
      <c r="K1316" s="728"/>
      <c r="L1316" s="148">
        <v>-7.6654999999999998</v>
      </c>
      <c r="M1316" s="148">
        <v>0</v>
      </c>
      <c r="N1316" s="148">
        <v>-7.6654999999999998</v>
      </c>
      <c r="O1316" s="148">
        <v>0</v>
      </c>
      <c r="P1316" s="148">
        <v>-7.6654999999999998</v>
      </c>
      <c r="Q1316" s="148">
        <v>0</v>
      </c>
      <c r="R1316" s="148">
        <v>0</v>
      </c>
    </row>
    <row r="1317" spans="2:18" ht="15.75" hidden="1" thickBot="1" x14ac:dyDescent="0.3">
      <c r="B1317" s="724" t="s">
        <v>729</v>
      </c>
      <c r="C1317" s="722" t="s">
        <v>149</v>
      </c>
      <c r="D1317" t="s">
        <v>150</v>
      </c>
      <c r="E1317" s="147">
        <v>-9.9373000000000005</v>
      </c>
      <c r="F1317" s="147">
        <v>12.5</v>
      </c>
      <c r="G1317" s="147">
        <v>-22.4373</v>
      </c>
      <c r="H1317" s="147">
        <v>-179.4984</v>
      </c>
      <c r="I1317" s="729"/>
      <c r="J1317" s="147">
        <v>-9.9373000000000005</v>
      </c>
      <c r="K1317" s="147">
        <v>0</v>
      </c>
      <c r="L1317" s="147">
        <v>238.87223</v>
      </c>
      <c r="M1317" s="147">
        <v>200</v>
      </c>
      <c r="N1317" s="147">
        <v>38.872230000000002</v>
      </c>
      <c r="O1317" s="147">
        <v>19.436115000000001</v>
      </c>
      <c r="P1317" s="147">
        <v>165.53465</v>
      </c>
      <c r="Q1317" s="147">
        <v>73.337580000000003</v>
      </c>
      <c r="R1317" s="147">
        <v>44.30346154113353</v>
      </c>
    </row>
    <row r="1318" spans="2:18" ht="15.75" hidden="1" thickBot="1" x14ac:dyDescent="0.3">
      <c r="B1318" s="724" t="s">
        <v>729</v>
      </c>
      <c r="C1318" s="722" t="s">
        <v>151</v>
      </c>
      <c r="D1318" t="s">
        <v>152</v>
      </c>
      <c r="E1318" s="148">
        <v>-195.34049999999999</v>
      </c>
      <c r="F1318" s="728"/>
      <c r="G1318" s="148">
        <v>-195.34049999999999</v>
      </c>
      <c r="H1318" s="148">
        <v>0</v>
      </c>
      <c r="I1318" s="728"/>
      <c r="J1318" s="148">
        <v>-195.34049999999999</v>
      </c>
      <c r="K1318" s="148">
        <v>0</v>
      </c>
      <c r="L1318" s="148">
        <v>3.6850000000000001</v>
      </c>
      <c r="M1318" s="728"/>
      <c r="N1318" s="148">
        <v>3.6850000000000001</v>
      </c>
      <c r="O1318" s="148">
        <v>0</v>
      </c>
      <c r="P1318" s="148">
        <v>199.02549999999999</v>
      </c>
      <c r="Q1318" s="148">
        <v>-195.34049999999999</v>
      </c>
      <c r="R1318" s="148">
        <v>-98.148478461302702</v>
      </c>
    </row>
    <row r="1319" spans="2:18" ht="15.75" hidden="1" thickBot="1" x14ac:dyDescent="0.3">
      <c r="B1319" s="724" t="s">
        <v>729</v>
      </c>
      <c r="C1319" s="722" t="s">
        <v>673</v>
      </c>
      <c r="D1319" t="s">
        <v>674</v>
      </c>
      <c r="E1319" s="147">
        <v>-37.234439999999999</v>
      </c>
      <c r="F1319" s="729"/>
      <c r="G1319" s="147">
        <v>-37.234439999999999</v>
      </c>
      <c r="H1319" s="147">
        <v>0</v>
      </c>
      <c r="I1319" s="729"/>
      <c r="J1319" s="147">
        <v>-37.234439999999999</v>
      </c>
      <c r="K1319" s="147">
        <v>0</v>
      </c>
      <c r="L1319" s="147">
        <v>-37.234439999999999</v>
      </c>
      <c r="M1319" s="729"/>
      <c r="N1319" s="147">
        <v>-37.234439999999999</v>
      </c>
      <c r="O1319" s="147">
        <v>0</v>
      </c>
      <c r="P1319" s="729"/>
      <c r="Q1319" s="147">
        <v>-37.234439999999999</v>
      </c>
      <c r="R1319" s="147">
        <v>0</v>
      </c>
    </row>
    <row r="1320" spans="2:18" ht="15.75" hidden="1" thickBot="1" x14ac:dyDescent="0.3">
      <c r="B1320" s="724" t="s">
        <v>729</v>
      </c>
      <c r="C1320" s="722" t="s">
        <v>75</v>
      </c>
      <c r="D1320" t="s">
        <v>76</v>
      </c>
      <c r="E1320" s="148">
        <v>0.13013</v>
      </c>
      <c r="F1320" s="148">
        <v>0.8</v>
      </c>
      <c r="G1320" s="148">
        <v>-0.66986999999999997</v>
      </c>
      <c r="H1320" s="148">
        <v>-83.733750000000001</v>
      </c>
      <c r="I1320" s="728"/>
      <c r="J1320" s="148">
        <v>0.13013</v>
      </c>
      <c r="K1320" s="148">
        <v>0</v>
      </c>
      <c r="L1320" s="148">
        <v>4.6275199999999996</v>
      </c>
      <c r="M1320" s="148">
        <v>7.2</v>
      </c>
      <c r="N1320" s="148">
        <v>-2.5724800000000001</v>
      </c>
      <c r="O1320" s="148">
        <v>-35.728888888888889</v>
      </c>
      <c r="P1320" s="148">
        <v>2.8538000000000001</v>
      </c>
      <c r="Q1320" s="148">
        <v>1.77372</v>
      </c>
      <c r="R1320" s="148">
        <v>62.152918915130705</v>
      </c>
    </row>
    <row r="1321" spans="2:18" ht="15.75" hidden="1" thickBot="1" x14ac:dyDescent="0.3">
      <c r="B1321" s="724" t="s">
        <v>729</v>
      </c>
      <c r="C1321" s="722" t="s">
        <v>121</v>
      </c>
      <c r="D1321" t="s">
        <v>122</v>
      </c>
      <c r="E1321" s="147">
        <v>0.13672000000000001</v>
      </c>
      <c r="F1321" s="147">
        <v>8.3330000000000001E-2</v>
      </c>
      <c r="G1321" s="147">
        <v>5.339E-2</v>
      </c>
      <c r="H1321" s="147">
        <v>64.070562822512898</v>
      </c>
      <c r="I1321" s="729"/>
      <c r="J1321" s="147">
        <v>0.13672000000000001</v>
      </c>
      <c r="K1321" s="147">
        <v>0</v>
      </c>
      <c r="L1321" s="147">
        <v>1.0896699999999999</v>
      </c>
      <c r="M1321" s="147">
        <v>1</v>
      </c>
      <c r="N1321" s="147">
        <v>8.967E-2</v>
      </c>
      <c r="O1321" s="147">
        <v>8.9670000000000005</v>
      </c>
      <c r="P1321" s="147">
        <v>0.71843999999999997</v>
      </c>
      <c r="Q1321" s="147">
        <v>0.37123</v>
      </c>
      <c r="R1321" s="147">
        <v>51.671677523523186</v>
      </c>
    </row>
    <row r="1322" spans="2:18" ht="15.75" hidden="1" thickBot="1" x14ac:dyDescent="0.3">
      <c r="B1322" s="724" t="s">
        <v>729</v>
      </c>
      <c r="C1322" s="722" t="s">
        <v>77</v>
      </c>
      <c r="D1322" t="s">
        <v>78</v>
      </c>
      <c r="E1322" s="148">
        <v>0.86919000000000002</v>
      </c>
      <c r="F1322" s="148">
        <v>1.5</v>
      </c>
      <c r="G1322" s="148">
        <v>-0.63080999999999998</v>
      </c>
      <c r="H1322" s="148">
        <v>-42.054000000000002</v>
      </c>
      <c r="I1322" s="728"/>
      <c r="J1322" s="148">
        <v>0.86919000000000002</v>
      </c>
      <c r="K1322" s="148">
        <v>0</v>
      </c>
      <c r="L1322" s="148">
        <v>10.966570000000001</v>
      </c>
      <c r="M1322" s="148">
        <v>18</v>
      </c>
      <c r="N1322" s="148">
        <v>-7.0334300000000001</v>
      </c>
      <c r="O1322" s="148">
        <v>-39.074611111111111</v>
      </c>
      <c r="P1322" s="148">
        <v>6.9234299999999998</v>
      </c>
      <c r="Q1322" s="148">
        <v>4.0431400000000002</v>
      </c>
      <c r="R1322" s="148">
        <v>58.39793281653747</v>
      </c>
    </row>
    <row r="1323" spans="2:18" ht="15.75" hidden="1" thickBot="1" x14ac:dyDescent="0.3">
      <c r="B1323" s="724" t="s">
        <v>729</v>
      </c>
      <c r="C1323" s="722" t="s">
        <v>79</v>
      </c>
      <c r="D1323" t="s">
        <v>80</v>
      </c>
      <c r="E1323" s="147">
        <v>0.66364000000000001</v>
      </c>
      <c r="F1323" s="147">
        <v>2.6669999999999998</v>
      </c>
      <c r="G1323" s="147">
        <v>-2.0033599999999998</v>
      </c>
      <c r="H1323" s="147">
        <v>-75.11661042369704</v>
      </c>
      <c r="I1323" s="729"/>
      <c r="J1323" s="147">
        <v>0.66364000000000001</v>
      </c>
      <c r="K1323" s="147">
        <v>0</v>
      </c>
      <c r="L1323" s="147">
        <v>21.850149999999999</v>
      </c>
      <c r="M1323" s="147">
        <v>24</v>
      </c>
      <c r="N1323" s="147">
        <v>-2.1498499999999998</v>
      </c>
      <c r="O1323" s="147">
        <v>-8.9577083333333327</v>
      </c>
      <c r="P1323" s="147">
        <v>14.10028</v>
      </c>
      <c r="Q1323" s="147">
        <v>7.7498699999999996</v>
      </c>
      <c r="R1323" s="147">
        <v>54.962525566868173</v>
      </c>
    </row>
    <row r="1324" spans="2:18" ht="15.75" hidden="1" thickBot="1" x14ac:dyDescent="0.3">
      <c r="B1324" s="724" t="s">
        <v>729</v>
      </c>
      <c r="C1324" s="722" t="s">
        <v>81</v>
      </c>
      <c r="D1324" t="s">
        <v>82</v>
      </c>
      <c r="E1324" s="728"/>
      <c r="F1324" s="728"/>
      <c r="G1324" s="728"/>
      <c r="H1324" s="728"/>
      <c r="I1324" s="728"/>
      <c r="J1324" s="728"/>
      <c r="K1324" s="728"/>
      <c r="L1324" s="148">
        <v>5.4949999999999999E-2</v>
      </c>
      <c r="M1324" s="148">
        <v>1</v>
      </c>
      <c r="N1324" s="148">
        <v>-0.94504999999999995</v>
      </c>
      <c r="O1324" s="148">
        <v>-94.504999999999995</v>
      </c>
      <c r="P1324" s="728"/>
      <c r="Q1324" s="148">
        <v>5.4949999999999999E-2</v>
      </c>
      <c r="R1324" s="148">
        <v>0</v>
      </c>
    </row>
    <row r="1325" spans="2:18" ht="15.75" hidden="1" thickBot="1" x14ac:dyDescent="0.3">
      <c r="B1325" s="724" t="s">
        <v>729</v>
      </c>
      <c r="C1325" s="722" t="s">
        <v>123</v>
      </c>
      <c r="D1325" t="s">
        <v>124</v>
      </c>
      <c r="E1325" s="729"/>
      <c r="F1325" s="729"/>
      <c r="G1325" s="729"/>
      <c r="H1325" s="729"/>
      <c r="I1325" s="729"/>
      <c r="J1325" s="729"/>
      <c r="K1325" s="729"/>
      <c r="L1325" s="729"/>
      <c r="M1325" s="147">
        <v>1</v>
      </c>
      <c r="N1325" s="147">
        <v>-1</v>
      </c>
      <c r="O1325" s="147">
        <v>-100</v>
      </c>
      <c r="P1325" s="729"/>
      <c r="Q1325" s="729"/>
      <c r="R1325" s="729"/>
    </row>
    <row r="1326" spans="2:18" ht="15.75" hidden="1" thickBot="1" x14ac:dyDescent="0.3">
      <c r="B1326" s="724" t="s">
        <v>729</v>
      </c>
      <c r="C1326" s="722" t="s">
        <v>125</v>
      </c>
      <c r="D1326" t="s">
        <v>126</v>
      </c>
      <c r="E1326" s="728"/>
      <c r="F1326" s="728"/>
      <c r="G1326" s="728"/>
      <c r="H1326" s="728"/>
      <c r="I1326" s="728"/>
      <c r="J1326" s="728"/>
      <c r="K1326" s="728"/>
      <c r="L1326" s="148">
        <v>0.1032</v>
      </c>
      <c r="M1326" s="728"/>
      <c r="N1326" s="148">
        <v>0.1032</v>
      </c>
      <c r="O1326" s="148">
        <v>0</v>
      </c>
      <c r="P1326" s="148">
        <v>0.1032</v>
      </c>
      <c r="Q1326" s="148">
        <v>0</v>
      </c>
      <c r="R1326" s="148">
        <v>0</v>
      </c>
    </row>
    <row r="1327" spans="2:18" ht="15.75" hidden="1" thickBot="1" x14ac:dyDescent="0.3">
      <c r="B1327" s="724" t="s">
        <v>729</v>
      </c>
      <c r="C1327" s="722" t="s">
        <v>83</v>
      </c>
      <c r="D1327" t="s">
        <v>84</v>
      </c>
      <c r="E1327" s="729"/>
      <c r="F1327" s="147">
        <v>1.1659999999999999</v>
      </c>
      <c r="G1327" s="147">
        <v>-1.1659999999999999</v>
      </c>
      <c r="H1327" s="147">
        <v>-100</v>
      </c>
      <c r="I1327" s="729"/>
      <c r="J1327" s="729"/>
      <c r="K1327" s="729"/>
      <c r="L1327" s="729"/>
      <c r="M1327" s="147">
        <v>14</v>
      </c>
      <c r="N1327" s="147">
        <v>-14</v>
      </c>
      <c r="O1327" s="147">
        <v>-100</v>
      </c>
      <c r="P1327" s="729"/>
      <c r="Q1327" s="729"/>
      <c r="R1327" s="729"/>
    </row>
    <row r="1328" spans="2:18" ht="15.75" hidden="1" thickBot="1" x14ac:dyDescent="0.3">
      <c r="B1328" s="724" t="s">
        <v>729</v>
      </c>
      <c r="C1328" s="149" t="s">
        <v>85</v>
      </c>
      <c r="D1328" t="s">
        <v>86</v>
      </c>
      <c r="E1328" s="148">
        <v>-238.49445</v>
      </c>
      <c r="F1328" s="148">
        <v>30.120200000000001</v>
      </c>
      <c r="G1328" s="148">
        <v>-268.61464999999998</v>
      </c>
      <c r="H1328" s="148">
        <v>-891.80898533210268</v>
      </c>
      <c r="I1328" s="728"/>
      <c r="J1328" s="148">
        <v>-238.49445</v>
      </c>
      <c r="K1328" s="148">
        <v>0</v>
      </c>
      <c r="L1328" s="148">
        <v>293.24720000000002</v>
      </c>
      <c r="M1328" s="148">
        <v>390.05</v>
      </c>
      <c r="N1328" s="148">
        <v>-96.802800000000005</v>
      </c>
      <c r="O1328" s="148">
        <v>-24.818048968081015</v>
      </c>
      <c r="P1328" s="148">
        <v>409.67140000000001</v>
      </c>
      <c r="Q1328" s="148">
        <v>-116.4242</v>
      </c>
      <c r="R1328" s="148">
        <v>-28.418923068586189</v>
      </c>
    </row>
    <row r="1329" spans="2:18" ht="15.75" hidden="1" thickBot="1" x14ac:dyDescent="0.3">
      <c r="B1329" s="724" t="s">
        <v>729</v>
      </c>
      <c r="C1329" s="144" t="s">
        <v>87</v>
      </c>
      <c r="D1329" t="s">
        <v>87</v>
      </c>
      <c r="E1329" s="147">
        <v>-246.66535999999999</v>
      </c>
      <c r="F1329" s="147">
        <v>126.54358999999999</v>
      </c>
      <c r="G1329" s="147">
        <v>-373.20895000000002</v>
      </c>
      <c r="H1329" s="147">
        <v>-294.92521114660963</v>
      </c>
      <c r="I1329" s="729"/>
      <c r="J1329" s="147">
        <v>-246.66535999999999</v>
      </c>
      <c r="K1329" s="147">
        <v>0</v>
      </c>
      <c r="L1329" s="147">
        <v>1683.7581499999999</v>
      </c>
      <c r="M1329" s="147">
        <v>1541.0525</v>
      </c>
      <c r="N1329" s="147">
        <v>142.70564999999999</v>
      </c>
      <c r="O1329" s="147">
        <v>9.2602717947636428</v>
      </c>
      <c r="P1329" s="147">
        <v>1132.1878099999999</v>
      </c>
      <c r="Q1329" s="147">
        <v>551.57033999999999</v>
      </c>
      <c r="R1329" s="147">
        <v>48.717212385461032</v>
      </c>
    </row>
    <row r="1330" spans="2:18" ht="15.75" hidden="1" thickBot="1" x14ac:dyDescent="0.3">
      <c r="B1330" s="725" t="s">
        <v>730</v>
      </c>
      <c r="C1330" s="722" t="s">
        <v>59</v>
      </c>
      <c r="D1330" t="s">
        <v>60</v>
      </c>
      <c r="E1330" s="148">
        <v>10.30378</v>
      </c>
      <c r="F1330" s="728"/>
      <c r="G1330" s="148">
        <v>10.30378</v>
      </c>
      <c r="H1330" s="148">
        <v>0</v>
      </c>
      <c r="I1330" s="728"/>
      <c r="J1330" s="148">
        <v>10.30378</v>
      </c>
      <c r="K1330" s="148">
        <v>0</v>
      </c>
      <c r="L1330" s="148">
        <v>198.99861000000001</v>
      </c>
      <c r="M1330" s="728"/>
      <c r="N1330" s="148">
        <v>198.99861000000001</v>
      </c>
      <c r="O1330" s="148">
        <v>0</v>
      </c>
      <c r="P1330" s="148">
        <v>134.66007999999999</v>
      </c>
      <c r="Q1330" s="148">
        <v>64.338530000000006</v>
      </c>
      <c r="R1330" s="148">
        <v>47.778473026304454</v>
      </c>
    </row>
    <row r="1331" spans="2:18" ht="15.75" hidden="1" thickBot="1" x14ac:dyDescent="0.3">
      <c r="B1331" s="725" t="s">
        <v>730</v>
      </c>
      <c r="C1331" s="722" t="s">
        <v>134</v>
      </c>
      <c r="D1331" t="s">
        <v>135</v>
      </c>
      <c r="E1331" s="147">
        <v>1.1334200000000001</v>
      </c>
      <c r="F1331" s="147">
        <v>1.25752</v>
      </c>
      <c r="G1331" s="147">
        <v>-0.1241</v>
      </c>
      <c r="H1331" s="147">
        <v>-9.8686303199949101</v>
      </c>
      <c r="I1331" s="729"/>
      <c r="J1331" s="147">
        <v>1.1334200000000001</v>
      </c>
      <c r="K1331" s="147">
        <v>0</v>
      </c>
      <c r="L1331" s="147">
        <v>20.228280000000002</v>
      </c>
      <c r="M1331" s="147">
        <v>15.0052</v>
      </c>
      <c r="N1331" s="147">
        <v>5.2230800000000004</v>
      </c>
      <c r="O1331" s="147">
        <v>34.808466398315254</v>
      </c>
      <c r="P1331" s="147">
        <v>13.427759999999999</v>
      </c>
      <c r="Q1331" s="147">
        <v>6.8005199999999997</v>
      </c>
      <c r="R1331" s="147">
        <v>50.645230477756527</v>
      </c>
    </row>
    <row r="1332" spans="2:18" ht="15.75" hidden="1" thickBot="1" x14ac:dyDescent="0.3">
      <c r="B1332" s="725" t="s">
        <v>730</v>
      </c>
      <c r="C1332" s="722" t="s">
        <v>61</v>
      </c>
      <c r="D1332" t="s">
        <v>62</v>
      </c>
      <c r="E1332" s="148">
        <v>1.5267200000000001</v>
      </c>
      <c r="F1332" s="728"/>
      <c r="G1332" s="148">
        <v>1.5267200000000001</v>
      </c>
      <c r="H1332" s="148">
        <v>0</v>
      </c>
      <c r="I1332" s="728"/>
      <c r="J1332" s="148">
        <v>1.5267200000000001</v>
      </c>
      <c r="K1332" s="148">
        <v>0</v>
      </c>
      <c r="L1332" s="148">
        <v>18.242809999999999</v>
      </c>
      <c r="M1332" s="728"/>
      <c r="N1332" s="148">
        <v>18.242809999999999</v>
      </c>
      <c r="O1332" s="148">
        <v>0</v>
      </c>
      <c r="P1332" s="148">
        <v>9.0825099999999992</v>
      </c>
      <c r="Q1332" s="148">
        <v>9.1602999999999994</v>
      </c>
      <c r="R1332" s="148">
        <v>100.85648130307591</v>
      </c>
    </row>
    <row r="1333" spans="2:18" ht="15.75" hidden="1" thickBot="1" x14ac:dyDescent="0.3">
      <c r="B1333" s="725" t="s">
        <v>730</v>
      </c>
      <c r="C1333" s="722" t="s">
        <v>63</v>
      </c>
      <c r="D1333" t="s">
        <v>64</v>
      </c>
      <c r="E1333" s="147">
        <v>6.0445099999999998</v>
      </c>
      <c r="F1333" s="729"/>
      <c r="G1333" s="147">
        <v>6.0445099999999998</v>
      </c>
      <c r="H1333" s="147">
        <v>0</v>
      </c>
      <c r="I1333" s="729"/>
      <c r="J1333" s="147">
        <v>6.0445099999999998</v>
      </c>
      <c r="K1333" s="147">
        <v>0</v>
      </c>
      <c r="L1333" s="147">
        <v>72.894540000000006</v>
      </c>
      <c r="M1333" s="729"/>
      <c r="N1333" s="147">
        <v>72.894540000000006</v>
      </c>
      <c r="O1333" s="147">
        <v>0</v>
      </c>
      <c r="P1333" s="147">
        <v>36.627519999999997</v>
      </c>
      <c r="Q1333" s="147">
        <v>36.267020000000002</v>
      </c>
      <c r="R1333" s="147">
        <v>99.015767379282025</v>
      </c>
    </row>
    <row r="1334" spans="2:18" ht="15.75" hidden="1" thickBot="1" x14ac:dyDescent="0.3">
      <c r="B1334" s="725" t="s">
        <v>730</v>
      </c>
      <c r="C1334" s="722" t="s">
        <v>156</v>
      </c>
      <c r="D1334" t="s">
        <v>157</v>
      </c>
      <c r="E1334" s="148">
        <v>5.72072</v>
      </c>
      <c r="F1334" s="148">
        <v>18.32996</v>
      </c>
      <c r="G1334" s="148">
        <v>-12.60924</v>
      </c>
      <c r="H1334" s="148">
        <v>-68.790330148019962</v>
      </c>
      <c r="I1334" s="728"/>
      <c r="J1334" s="148">
        <v>5.72072</v>
      </c>
      <c r="K1334" s="148">
        <v>0</v>
      </c>
      <c r="L1334" s="148">
        <v>437.35187000000002</v>
      </c>
      <c r="M1334" s="148">
        <v>218.80557999999999</v>
      </c>
      <c r="N1334" s="148">
        <v>218.54629</v>
      </c>
      <c r="O1334" s="148">
        <v>99.881497537677049</v>
      </c>
      <c r="P1334" s="148">
        <v>187.09232</v>
      </c>
      <c r="Q1334" s="148">
        <v>250.25954999999999</v>
      </c>
      <c r="R1334" s="148">
        <v>133.76259912753233</v>
      </c>
    </row>
    <row r="1335" spans="2:18" ht="15.75" hidden="1" thickBot="1" x14ac:dyDescent="0.3">
      <c r="B1335" s="725" t="s">
        <v>730</v>
      </c>
      <c r="C1335" s="722" t="s">
        <v>184</v>
      </c>
      <c r="D1335" t="s">
        <v>185</v>
      </c>
      <c r="E1335" s="729"/>
      <c r="F1335" s="729"/>
      <c r="G1335" s="729"/>
      <c r="H1335" s="729"/>
      <c r="I1335" s="729"/>
      <c r="J1335" s="729"/>
      <c r="K1335" s="729"/>
      <c r="L1335" s="147">
        <v>0.48359999999999997</v>
      </c>
      <c r="M1335" s="729"/>
      <c r="N1335" s="147">
        <v>0.48359999999999997</v>
      </c>
      <c r="O1335" s="147">
        <v>0</v>
      </c>
      <c r="P1335" s="729"/>
      <c r="Q1335" s="147">
        <v>0.48359999999999997</v>
      </c>
      <c r="R1335" s="147">
        <v>0</v>
      </c>
    </row>
    <row r="1336" spans="2:18" ht="15.75" hidden="1" thickBot="1" x14ac:dyDescent="0.3">
      <c r="B1336" s="725" t="s">
        <v>730</v>
      </c>
      <c r="C1336" s="149" t="s">
        <v>67</v>
      </c>
      <c r="D1336" t="s">
        <v>68</v>
      </c>
      <c r="E1336" s="148">
        <v>24.729150000000001</v>
      </c>
      <c r="F1336" s="148">
        <v>19.587479999999999</v>
      </c>
      <c r="G1336" s="148">
        <v>5.1416700000000004</v>
      </c>
      <c r="H1336" s="148">
        <v>26.249777919364817</v>
      </c>
      <c r="I1336" s="728"/>
      <c r="J1336" s="148">
        <v>24.729150000000001</v>
      </c>
      <c r="K1336" s="148">
        <v>0</v>
      </c>
      <c r="L1336" s="148">
        <v>748.19970999999998</v>
      </c>
      <c r="M1336" s="148">
        <v>233.81077999999999</v>
      </c>
      <c r="N1336" s="148">
        <v>514.38892999999996</v>
      </c>
      <c r="O1336" s="148">
        <v>220.00223000838542</v>
      </c>
      <c r="P1336" s="148">
        <v>380.89019000000002</v>
      </c>
      <c r="Q1336" s="148">
        <v>367.30952000000002</v>
      </c>
      <c r="R1336" s="148">
        <v>96.434492051370498</v>
      </c>
    </row>
    <row r="1337" spans="2:18" ht="15.75" hidden="1" thickBot="1" x14ac:dyDescent="0.3">
      <c r="B1337" s="725" t="s">
        <v>730</v>
      </c>
      <c r="C1337" s="722" t="s">
        <v>582</v>
      </c>
      <c r="D1337" t="s">
        <v>583</v>
      </c>
      <c r="E1337" s="147">
        <v>0.36749999999999999</v>
      </c>
      <c r="F1337" s="147">
        <v>0.52500000000000002</v>
      </c>
      <c r="G1337" s="147">
        <v>-0.1575</v>
      </c>
      <c r="H1337" s="147">
        <v>-30</v>
      </c>
      <c r="I1337" s="729"/>
      <c r="J1337" s="147">
        <v>0.36749999999999999</v>
      </c>
      <c r="K1337" s="147">
        <v>0</v>
      </c>
      <c r="L1337" s="147">
        <v>4.41</v>
      </c>
      <c r="M1337" s="147">
        <v>6.3</v>
      </c>
      <c r="N1337" s="147">
        <v>-1.89</v>
      </c>
      <c r="O1337" s="147">
        <v>-30</v>
      </c>
      <c r="P1337" s="147">
        <v>2.2050000000000001</v>
      </c>
      <c r="Q1337" s="147">
        <v>2.2050000000000001</v>
      </c>
      <c r="R1337" s="147">
        <v>100</v>
      </c>
    </row>
    <row r="1338" spans="2:18" ht="15.75" hidden="1" thickBot="1" x14ac:dyDescent="0.3">
      <c r="B1338" s="725" t="s">
        <v>730</v>
      </c>
      <c r="C1338" s="722" t="s">
        <v>137</v>
      </c>
      <c r="D1338" t="s">
        <v>138</v>
      </c>
      <c r="E1338" s="728"/>
      <c r="F1338" s="728"/>
      <c r="G1338" s="728"/>
      <c r="H1338" s="728"/>
      <c r="I1338" s="728"/>
      <c r="J1338" s="728"/>
      <c r="K1338" s="728"/>
      <c r="L1338" s="148">
        <v>0.49301</v>
      </c>
      <c r="M1338" s="148">
        <v>1</v>
      </c>
      <c r="N1338" s="148">
        <v>-0.50699000000000005</v>
      </c>
      <c r="O1338" s="148">
        <v>-50.698999999999998</v>
      </c>
      <c r="P1338" s="148">
        <v>0.24449000000000001</v>
      </c>
      <c r="Q1338" s="148">
        <v>0.24851999999999999</v>
      </c>
      <c r="R1338" s="148">
        <v>101.64832917501738</v>
      </c>
    </row>
    <row r="1339" spans="2:18" ht="15.75" hidden="1" thickBot="1" x14ac:dyDescent="0.3">
      <c r="B1339" s="725" t="s">
        <v>730</v>
      </c>
      <c r="C1339" s="722" t="s">
        <v>169</v>
      </c>
      <c r="D1339" t="s">
        <v>170</v>
      </c>
      <c r="E1339" s="729"/>
      <c r="F1339" s="147">
        <v>1.5</v>
      </c>
      <c r="G1339" s="147">
        <v>-1.5</v>
      </c>
      <c r="H1339" s="147">
        <v>-100</v>
      </c>
      <c r="I1339" s="729"/>
      <c r="J1339" s="729"/>
      <c r="K1339" s="729"/>
      <c r="L1339" s="147">
        <v>14.586</v>
      </c>
      <c r="M1339" s="147">
        <v>6</v>
      </c>
      <c r="N1339" s="147">
        <v>8.5860000000000003</v>
      </c>
      <c r="O1339" s="147">
        <v>143.1</v>
      </c>
      <c r="P1339" s="147">
        <v>14.0145</v>
      </c>
      <c r="Q1339" s="147">
        <v>0.57150000000000001</v>
      </c>
      <c r="R1339" s="147">
        <v>4.0779192978700634</v>
      </c>
    </row>
    <row r="1340" spans="2:18" ht="15.75" hidden="1" thickBot="1" x14ac:dyDescent="0.3">
      <c r="B1340" s="725" t="s">
        <v>730</v>
      </c>
      <c r="C1340" s="722" t="s">
        <v>101</v>
      </c>
      <c r="D1340" t="s">
        <v>102</v>
      </c>
      <c r="E1340" s="728"/>
      <c r="F1340" s="728"/>
      <c r="G1340" s="728"/>
      <c r="H1340" s="728"/>
      <c r="I1340" s="728"/>
      <c r="J1340" s="728"/>
      <c r="K1340" s="728"/>
      <c r="L1340" s="148">
        <v>4.4550000000000001</v>
      </c>
      <c r="M1340" s="728"/>
      <c r="N1340" s="148">
        <v>4.4550000000000001</v>
      </c>
      <c r="O1340" s="148">
        <v>0</v>
      </c>
      <c r="P1340" s="728"/>
      <c r="Q1340" s="148">
        <v>4.4550000000000001</v>
      </c>
      <c r="R1340" s="148">
        <v>0</v>
      </c>
    </row>
    <row r="1341" spans="2:18" ht="15.75" hidden="1" thickBot="1" x14ac:dyDescent="0.3">
      <c r="B1341" s="725" t="s">
        <v>730</v>
      </c>
      <c r="C1341" s="722" t="s">
        <v>103</v>
      </c>
      <c r="D1341" t="s">
        <v>104</v>
      </c>
      <c r="E1341" s="147">
        <v>6.0000000000000001E-3</v>
      </c>
      <c r="F1341" s="729"/>
      <c r="G1341" s="147">
        <v>6.0000000000000001E-3</v>
      </c>
      <c r="H1341" s="147">
        <v>0</v>
      </c>
      <c r="I1341" s="729"/>
      <c r="J1341" s="147">
        <v>6.0000000000000001E-3</v>
      </c>
      <c r="K1341" s="147">
        <v>0</v>
      </c>
      <c r="L1341" s="147">
        <v>0.26939999999999997</v>
      </c>
      <c r="M1341" s="729"/>
      <c r="N1341" s="147">
        <v>0.26939999999999997</v>
      </c>
      <c r="O1341" s="147">
        <v>0</v>
      </c>
      <c r="P1341" s="147">
        <v>0.25445000000000001</v>
      </c>
      <c r="Q1341" s="147">
        <v>1.495E-2</v>
      </c>
      <c r="R1341" s="147">
        <v>5.8754175673020237</v>
      </c>
    </row>
    <row r="1342" spans="2:18" ht="15.75" hidden="1" thickBot="1" x14ac:dyDescent="0.3">
      <c r="B1342" s="725" t="s">
        <v>730</v>
      </c>
      <c r="C1342" s="722" t="s">
        <v>109</v>
      </c>
      <c r="D1342" t="s">
        <v>110</v>
      </c>
      <c r="E1342" s="148">
        <v>-1.8079999999999999E-2</v>
      </c>
      <c r="F1342" s="148">
        <v>0</v>
      </c>
      <c r="G1342" s="148">
        <v>-1.8079999999999999E-2</v>
      </c>
      <c r="H1342" s="148">
        <v>0</v>
      </c>
      <c r="I1342" s="728"/>
      <c r="J1342" s="148">
        <v>-1.8079999999999999E-2</v>
      </c>
      <c r="K1342" s="148">
        <v>0</v>
      </c>
      <c r="L1342" s="148">
        <v>0.28116000000000002</v>
      </c>
      <c r="M1342" s="148">
        <v>0</v>
      </c>
      <c r="N1342" s="148">
        <v>0.28116000000000002</v>
      </c>
      <c r="O1342" s="148">
        <v>0</v>
      </c>
      <c r="P1342" s="148">
        <v>0.28116000000000002</v>
      </c>
      <c r="Q1342" s="148">
        <v>0</v>
      </c>
      <c r="R1342" s="148">
        <v>0</v>
      </c>
    </row>
    <row r="1343" spans="2:18" ht="15.75" hidden="1" thickBot="1" x14ac:dyDescent="0.3">
      <c r="B1343" s="725" t="s">
        <v>730</v>
      </c>
      <c r="C1343" s="722" t="s">
        <v>111</v>
      </c>
      <c r="D1343" t="s">
        <v>112</v>
      </c>
      <c r="E1343" s="729"/>
      <c r="F1343" s="147">
        <v>0</v>
      </c>
      <c r="G1343" s="147">
        <v>0</v>
      </c>
      <c r="H1343" s="147">
        <v>0</v>
      </c>
      <c r="I1343" s="729"/>
      <c r="J1343" s="729"/>
      <c r="K1343" s="729"/>
      <c r="L1343" s="729"/>
      <c r="M1343" s="147">
        <v>0</v>
      </c>
      <c r="N1343" s="147">
        <v>0</v>
      </c>
      <c r="O1343" s="147">
        <v>0</v>
      </c>
      <c r="P1343" s="729"/>
      <c r="Q1343" s="729"/>
      <c r="R1343" s="729"/>
    </row>
    <row r="1344" spans="2:18" ht="15.75" hidden="1" thickBot="1" x14ac:dyDescent="0.3">
      <c r="B1344" s="725" t="s">
        <v>730</v>
      </c>
      <c r="C1344" s="722" t="s">
        <v>141</v>
      </c>
      <c r="D1344" t="s">
        <v>142</v>
      </c>
      <c r="E1344" s="728"/>
      <c r="F1344" s="728"/>
      <c r="G1344" s="728"/>
      <c r="H1344" s="728"/>
      <c r="I1344" s="728"/>
      <c r="J1344" s="728"/>
      <c r="K1344" s="728"/>
      <c r="L1344" s="148">
        <v>1.5599999999999999E-2</v>
      </c>
      <c r="M1344" s="728"/>
      <c r="N1344" s="148">
        <v>1.5599999999999999E-2</v>
      </c>
      <c r="O1344" s="148">
        <v>0</v>
      </c>
      <c r="P1344" s="728"/>
      <c r="Q1344" s="148">
        <v>1.5599999999999999E-2</v>
      </c>
      <c r="R1344" s="148">
        <v>0</v>
      </c>
    </row>
    <row r="1345" spans="2:18" ht="15.75" hidden="1" thickBot="1" x14ac:dyDescent="0.3">
      <c r="B1345" s="725" t="s">
        <v>730</v>
      </c>
      <c r="C1345" s="722" t="s">
        <v>113</v>
      </c>
      <c r="D1345" t="s">
        <v>114</v>
      </c>
      <c r="E1345" s="729"/>
      <c r="F1345" s="729"/>
      <c r="G1345" s="729"/>
      <c r="H1345" s="729"/>
      <c r="I1345" s="729"/>
      <c r="J1345" s="729"/>
      <c r="K1345" s="729"/>
      <c r="L1345" s="147">
        <v>6.4930000000000002E-2</v>
      </c>
      <c r="M1345" s="729"/>
      <c r="N1345" s="147">
        <v>6.4930000000000002E-2</v>
      </c>
      <c r="O1345" s="147">
        <v>0</v>
      </c>
      <c r="P1345" s="147">
        <v>3.6420000000000001E-2</v>
      </c>
      <c r="Q1345" s="147">
        <v>2.8510000000000001E-2</v>
      </c>
      <c r="R1345" s="147">
        <v>78.281164195496984</v>
      </c>
    </row>
    <row r="1346" spans="2:18" ht="15.75" hidden="1" thickBot="1" x14ac:dyDescent="0.3">
      <c r="B1346" s="725" t="s">
        <v>730</v>
      </c>
      <c r="C1346" s="722" t="s">
        <v>145</v>
      </c>
      <c r="D1346" t="s">
        <v>146</v>
      </c>
      <c r="E1346" s="148">
        <v>2.4E-2</v>
      </c>
      <c r="F1346" s="728"/>
      <c r="G1346" s="148">
        <v>2.4E-2</v>
      </c>
      <c r="H1346" s="148">
        <v>0</v>
      </c>
      <c r="I1346" s="728"/>
      <c r="J1346" s="148">
        <v>2.4E-2</v>
      </c>
      <c r="K1346" s="148">
        <v>0</v>
      </c>
      <c r="L1346" s="148">
        <v>0.1605</v>
      </c>
      <c r="M1346" s="728"/>
      <c r="N1346" s="148">
        <v>0.1605</v>
      </c>
      <c r="O1346" s="148">
        <v>0</v>
      </c>
      <c r="P1346" s="148">
        <v>9.4500000000000001E-2</v>
      </c>
      <c r="Q1346" s="148">
        <v>6.6000000000000003E-2</v>
      </c>
      <c r="R1346" s="148">
        <v>69.841269841269835</v>
      </c>
    </row>
    <row r="1347" spans="2:18" ht="15.75" hidden="1" thickBot="1" x14ac:dyDescent="0.3">
      <c r="B1347" s="725" t="s">
        <v>730</v>
      </c>
      <c r="C1347" s="722" t="s">
        <v>147</v>
      </c>
      <c r="D1347" t="s">
        <v>148</v>
      </c>
      <c r="E1347" s="147">
        <v>-2.5999999999999999E-2</v>
      </c>
      <c r="F1347" s="729"/>
      <c r="G1347" s="147">
        <v>-2.5999999999999999E-2</v>
      </c>
      <c r="H1347" s="147">
        <v>0</v>
      </c>
      <c r="I1347" s="729"/>
      <c r="J1347" s="147">
        <v>-2.5999999999999999E-2</v>
      </c>
      <c r="K1347" s="147">
        <v>0</v>
      </c>
      <c r="L1347" s="147">
        <v>0</v>
      </c>
      <c r="M1347" s="729"/>
      <c r="N1347" s="147">
        <v>0</v>
      </c>
      <c r="O1347" s="147">
        <v>0</v>
      </c>
      <c r="P1347" s="729"/>
      <c r="Q1347" s="147">
        <v>0</v>
      </c>
      <c r="R1347" s="147">
        <v>0</v>
      </c>
    </row>
    <row r="1348" spans="2:18" ht="15.75" hidden="1" thickBot="1" x14ac:dyDescent="0.3">
      <c r="B1348" s="725" t="s">
        <v>730</v>
      </c>
      <c r="C1348" s="722" t="s">
        <v>643</v>
      </c>
      <c r="D1348" t="s">
        <v>644</v>
      </c>
      <c r="E1348" s="728"/>
      <c r="F1348" s="148">
        <v>0</v>
      </c>
      <c r="G1348" s="148">
        <v>0</v>
      </c>
      <c r="H1348" s="148">
        <v>0</v>
      </c>
      <c r="I1348" s="728"/>
      <c r="J1348" s="728"/>
      <c r="K1348" s="728"/>
      <c r="L1348" s="148">
        <v>-7.6654999999999998</v>
      </c>
      <c r="M1348" s="148">
        <v>0</v>
      </c>
      <c r="N1348" s="148">
        <v>-7.6654999999999998</v>
      </c>
      <c r="O1348" s="148">
        <v>0</v>
      </c>
      <c r="P1348" s="148">
        <v>-7.6654999999999998</v>
      </c>
      <c r="Q1348" s="148">
        <v>0</v>
      </c>
      <c r="R1348" s="148">
        <v>0</v>
      </c>
    </row>
    <row r="1349" spans="2:18" ht="15.75" hidden="1" thickBot="1" x14ac:dyDescent="0.3">
      <c r="B1349" s="725" t="s">
        <v>730</v>
      </c>
      <c r="C1349" s="722" t="s">
        <v>149</v>
      </c>
      <c r="D1349" t="s">
        <v>150</v>
      </c>
      <c r="E1349" s="147">
        <v>-9.9373000000000005</v>
      </c>
      <c r="F1349" s="147">
        <v>0</v>
      </c>
      <c r="G1349" s="147">
        <v>-9.9373000000000005</v>
      </c>
      <c r="H1349" s="147">
        <v>0</v>
      </c>
      <c r="I1349" s="729"/>
      <c r="J1349" s="147">
        <v>-9.9373000000000005</v>
      </c>
      <c r="K1349" s="147">
        <v>0</v>
      </c>
      <c r="L1349" s="147">
        <v>211.87577999999999</v>
      </c>
      <c r="M1349" s="147">
        <v>50</v>
      </c>
      <c r="N1349" s="147">
        <v>161.87577999999999</v>
      </c>
      <c r="O1349" s="147">
        <v>323.75155999999998</v>
      </c>
      <c r="P1349" s="147">
        <v>139.53465</v>
      </c>
      <c r="Q1349" s="147">
        <v>72.341130000000007</v>
      </c>
      <c r="R1349" s="147">
        <v>51.844563339643592</v>
      </c>
    </row>
    <row r="1350" spans="2:18" ht="15.75" hidden="1" thickBot="1" x14ac:dyDescent="0.3">
      <c r="B1350" s="725" t="s">
        <v>730</v>
      </c>
      <c r="C1350" s="722" t="s">
        <v>151</v>
      </c>
      <c r="D1350" t="s">
        <v>152</v>
      </c>
      <c r="E1350" s="148">
        <v>-195.34049999999999</v>
      </c>
      <c r="F1350" s="728"/>
      <c r="G1350" s="148">
        <v>-195.34049999999999</v>
      </c>
      <c r="H1350" s="148">
        <v>0</v>
      </c>
      <c r="I1350" s="728"/>
      <c r="J1350" s="148">
        <v>-195.34049999999999</v>
      </c>
      <c r="K1350" s="148">
        <v>0</v>
      </c>
      <c r="L1350" s="148">
        <v>0</v>
      </c>
      <c r="M1350" s="728"/>
      <c r="N1350" s="148">
        <v>0</v>
      </c>
      <c r="O1350" s="148">
        <v>0</v>
      </c>
      <c r="P1350" s="148">
        <v>195.34049999999999</v>
      </c>
      <c r="Q1350" s="148">
        <v>-195.34049999999999</v>
      </c>
      <c r="R1350" s="148">
        <v>-100</v>
      </c>
    </row>
    <row r="1351" spans="2:18" ht="15.75" hidden="1" thickBot="1" x14ac:dyDescent="0.3">
      <c r="B1351" s="725" t="s">
        <v>730</v>
      </c>
      <c r="C1351" s="722" t="s">
        <v>673</v>
      </c>
      <c r="D1351" t="s">
        <v>674</v>
      </c>
      <c r="E1351" s="147">
        <v>-37.234439999999999</v>
      </c>
      <c r="F1351" s="729"/>
      <c r="G1351" s="147">
        <v>-37.234439999999999</v>
      </c>
      <c r="H1351" s="147">
        <v>0</v>
      </c>
      <c r="I1351" s="729"/>
      <c r="J1351" s="147">
        <v>-37.234439999999999</v>
      </c>
      <c r="K1351" s="147">
        <v>0</v>
      </c>
      <c r="L1351" s="147">
        <v>-37.234439999999999</v>
      </c>
      <c r="M1351" s="729"/>
      <c r="N1351" s="147">
        <v>-37.234439999999999</v>
      </c>
      <c r="O1351" s="147">
        <v>0</v>
      </c>
      <c r="P1351" s="729"/>
      <c r="Q1351" s="147">
        <v>-37.234439999999999</v>
      </c>
      <c r="R1351" s="147">
        <v>0</v>
      </c>
    </row>
    <row r="1352" spans="2:18" ht="15.75" hidden="1" thickBot="1" x14ac:dyDescent="0.3">
      <c r="B1352" s="725" t="s">
        <v>730</v>
      </c>
      <c r="C1352" s="722" t="s">
        <v>75</v>
      </c>
      <c r="D1352" t="s">
        <v>76</v>
      </c>
      <c r="E1352" s="148">
        <v>-0.13911000000000001</v>
      </c>
      <c r="F1352" s="148">
        <v>0.3</v>
      </c>
      <c r="G1352" s="148">
        <v>-0.43911</v>
      </c>
      <c r="H1352" s="148">
        <v>-146.37</v>
      </c>
      <c r="I1352" s="728"/>
      <c r="J1352" s="148">
        <v>-0.13911000000000001</v>
      </c>
      <c r="K1352" s="148">
        <v>0</v>
      </c>
      <c r="L1352" s="148">
        <v>1.8816900000000001</v>
      </c>
      <c r="M1352" s="148">
        <v>1.2</v>
      </c>
      <c r="N1352" s="148">
        <v>0.68169000000000002</v>
      </c>
      <c r="O1352" s="148">
        <v>56.807499999999997</v>
      </c>
      <c r="P1352" s="148">
        <v>1.49133</v>
      </c>
      <c r="Q1352" s="148">
        <v>0.39035999999999998</v>
      </c>
      <c r="R1352" s="148">
        <v>26.175293194665166</v>
      </c>
    </row>
    <row r="1353" spans="2:18" ht="15.75" hidden="1" thickBot="1" x14ac:dyDescent="0.3">
      <c r="B1353" s="725" t="s">
        <v>730</v>
      </c>
      <c r="C1353" s="722" t="s">
        <v>121</v>
      </c>
      <c r="D1353" t="s">
        <v>122</v>
      </c>
      <c r="E1353" s="147">
        <v>0.10488</v>
      </c>
      <c r="F1353" s="729"/>
      <c r="G1353" s="147">
        <v>0.10488</v>
      </c>
      <c r="H1353" s="147">
        <v>0</v>
      </c>
      <c r="I1353" s="729"/>
      <c r="J1353" s="147">
        <v>0.10488</v>
      </c>
      <c r="K1353" s="147">
        <v>0</v>
      </c>
      <c r="L1353" s="147">
        <v>0.34051999999999999</v>
      </c>
      <c r="M1353" s="729"/>
      <c r="N1353" s="147">
        <v>0.34051999999999999</v>
      </c>
      <c r="O1353" s="147">
        <v>0</v>
      </c>
      <c r="P1353" s="147">
        <v>0.23563999999999999</v>
      </c>
      <c r="Q1353" s="147">
        <v>0.10488</v>
      </c>
      <c r="R1353" s="147">
        <v>44.508572398574096</v>
      </c>
    </row>
    <row r="1354" spans="2:18" ht="15.75" hidden="1" thickBot="1" x14ac:dyDescent="0.3">
      <c r="B1354" s="725" t="s">
        <v>730</v>
      </c>
      <c r="C1354" s="722" t="s">
        <v>77</v>
      </c>
      <c r="D1354" t="s">
        <v>78</v>
      </c>
      <c r="E1354" s="728"/>
      <c r="F1354" s="728"/>
      <c r="G1354" s="728"/>
      <c r="H1354" s="728"/>
      <c r="I1354" s="728"/>
      <c r="J1354" s="728"/>
      <c r="K1354" s="728"/>
      <c r="L1354" s="148">
        <v>3.9579999999999997E-2</v>
      </c>
      <c r="M1354" s="728"/>
      <c r="N1354" s="148">
        <v>3.9579999999999997E-2</v>
      </c>
      <c r="O1354" s="148">
        <v>0</v>
      </c>
      <c r="P1354" s="148">
        <v>3.9579999999999997E-2</v>
      </c>
      <c r="Q1354" s="148">
        <v>0</v>
      </c>
      <c r="R1354" s="148">
        <v>0</v>
      </c>
    </row>
    <row r="1355" spans="2:18" ht="15.75" hidden="1" thickBot="1" x14ac:dyDescent="0.3">
      <c r="B1355" s="725" t="s">
        <v>730</v>
      </c>
      <c r="C1355" s="722" t="s">
        <v>79</v>
      </c>
      <c r="D1355" t="s">
        <v>80</v>
      </c>
      <c r="E1355" s="147">
        <v>3.0790000000000001E-2</v>
      </c>
      <c r="F1355" s="147">
        <v>1</v>
      </c>
      <c r="G1355" s="147">
        <v>-0.96921000000000002</v>
      </c>
      <c r="H1355" s="147">
        <v>-96.921000000000006</v>
      </c>
      <c r="I1355" s="729"/>
      <c r="J1355" s="147">
        <v>3.0790000000000001E-2</v>
      </c>
      <c r="K1355" s="147">
        <v>0</v>
      </c>
      <c r="L1355" s="147">
        <v>10.55636</v>
      </c>
      <c r="M1355" s="147">
        <v>4</v>
      </c>
      <c r="N1355" s="147">
        <v>6.5563599999999997</v>
      </c>
      <c r="O1355" s="147">
        <v>163.90899999999999</v>
      </c>
      <c r="P1355" s="147">
        <v>7.5953999999999997</v>
      </c>
      <c r="Q1355" s="147">
        <v>2.96096</v>
      </c>
      <c r="R1355" s="147">
        <v>38.983595334017956</v>
      </c>
    </row>
    <row r="1356" spans="2:18" ht="15.75" hidden="1" thickBot="1" x14ac:dyDescent="0.3">
      <c r="B1356" s="725" t="s">
        <v>730</v>
      </c>
      <c r="C1356" s="722" t="s">
        <v>125</v>
      </c>
      <c r="D1356" t="s">
        <v>126</v>
      </c>
      <c r="E1356" s="728"/>
      <c r="F1356" s="728"/>
      <c r="G1356" s="728"/>
      <c r="H1356" s="728"/>
      <c r="I1356" s="728"/>
      <c r="J1356" s="728"/>
      <c r="K1356" s="728"/>
      <c r="L1356" s="148">
        <v>3.0200000000000001E-2</v>
      </c>
      <c r="M1356" s="728"/>
      <c r="N1356" s="148">
        <v>3.0200000000000001E-2</v>
      </c>
      <c r="O1356" s="148">
        <v>0</v>
      </c>
      <c r="P1356" s="148">
        <v>3.0200000000000001E-2</v>
      </c>
      <c r="Q1356" s="148">
        <v>0</v>
      </c>
      <c r="R1356" s="148">
        <v>0</v>
      </c>
    </row>
    <row r="1357" spans="2:18" ht="15.75" hidden="1" thickBot="1" x14ac:dyDescent="0.3">
      <c r="B1357" s="725" t="s">
        <v>730</v>
      </c>
      <c r="C1357" s="149" t="s">
        <v>85</v>
      </c>
      <c r="D1357" t="s">
        <v>86</v>
      </c>
      <c r="E1357" s="147">
        <v>-242.16226</v>
      </c>
      <c r="F1357" s="147">
        <v>3.3250000000000002</v>
      </c>
      <c r="G1357" s="147">
        <v>-245.48725999999999</v>
      </c>
      <c r="H1357" s="147">
        <v>-7383.0754887218045</v>
      </c>
      <c r="I1357" s="729"/>
      <c r="J1357" s="147">
        <v>-242.16226</v>
      </c>
      <c r="K1357" s="147">
        <v>0</v>
      </c>
      <c r="L1357" s="147">
        <v>204.55978999999999</v>
      </c>
      <c r="M1357" s="147">
        <v>68.5</v>
      </c>
      <c r="N1357" s="147">
        <v>136.05978999999999</v>
      </c>
      <c r="O1357" s="147">
        <v>198.62743065693431</v>
      </c>
      <c r="P1357" s="147">
        <v>353.73232000000002</v>
      </c>
      <c r="Q1357" s="147">
        <v>-149.17252999999999</v>
      </c>
      <c r="R1357" s="147">
        <v>-42.171020731156261</v>
      </c>
    </row>
    <row r="1358" spans="2:18" ht="15.75" hidden="1" thickBot="1" x14ac:dyDescent="0.3">
      <c r="B1358" s="725" t="s">
        <v>730</v>
      </c>
      <c r="C1358" s="144" t="s">
        <v>87</v>
      </c>
      <c r="D1358" t="s">
        <v>87</v>
      </c>
      <c r="E1358" s="148">
        <v>-217.43311</v>
      </c>
      <c r="F1358" s="148">
        <v>22.912479999999999</v>
      </c>
      <c r="G1358" s="148">
        <v>-240.34558999999999</v>
      </c>
      <c r="H1358" s="148">
        <v>-1048.9723940839228</v>
      </c>
      <c r="I1358" s="728"/>
      <c r="J1358" s="148">
        <v>-217.43311</v>
      </c>
      <c r="K1358" s="148">
        <v>0</v>
      </c>
      <c r="L1358" s="148">
        <v>952.7595</v>
      </c>
      <c r="M1358" s="148">
        <v>302.31078000000002</v>
      </c>
      <c r="N1358" s="148">
        <v>650.44871999999998</v>
      </c>
      <c r="O1358" s="148">
        <v>215.15895662073314</v>
      </c>
      <c r="P1358" s="148">
        <v>734.62251000000003</v>
      </c>
      <c r="Q1358" s="148">
        <v>218.13699</v>
      </c>
      <c r="R1358" s="148">
        <v>29.693752509707334</v>
      </c>
    </row>
    <row r="1359" spans="2:18" ht="15.75" hidden="1" thickBot="1" x14ac:dyDescent="0.3">
      <c r="B1359" s="725" t="s">
        <v>729</v>
      </c>
      <c r="C1359" s="722" t="s">
        <v>59</v>
      </c>
      <c r="D1359" t="s">
        <v>60</v>
      </c>
      <c r="E1359" s="147">
        <v>42.988280000000003</v>
      </c>
      <c r="F1359" s="147">
        <v>53.273769999999999</v>
      </c>
      <c r="G1359" s="147">
        <v>-10.285489999999999</v>
      </c>
      <c r="H1359" s="147">
        <v>-19.306855887991407</v>
      </c>
      <c r="I1359" s="729"/>
      <c r="J1359" s="147">
        <v>42.988280000000003</v>
      </c>
      <c r="K1359" s="147">
        <v>0</v>
      </c>
      <c r="L1359" s="147">
        <v>460.63918000000001</v>
      </c>
      <c r="M1359" s="147">
        <v>635.93143999999995</v>
      </c>
      <c r="N1359" s="147">
        <v>-175.29226</v>
      </c>
      <c r="O1359" s="147">
        <v>-27.564647534960688</v>
      </c>
      <c r="P1359" s="147">
        <v>181.38408000000001</v>
      </c>
      <c r="Q1359" s="147">
        <v>279.25510000000003</v>
      </c>
      <c r="R1359" s="147">
        <v>153.95788869673677</v>
      </c>
    </row>
    <row r="1360" spans="2:18" ht="15.75" hidden="1" thickBot="1" x14ac:dyDescent="0.3">
      <c r="B1360" s="725" t="s">
        <v>729</v>
      </c>
      <c r="C1360" s="722" t="s">
        <v>134</v>
      </c>
      <c r="D1360" t="s">
        <v>135</v>
      </c>
      <c r="E1360" s="148">
        <v>4.1024200000000004</v>
      </c>
      <c r="F1360" s="148">
        <v>0.53900000000000003</v>
      </c>
      <c r="G1360" s="148">
        <v>3.5634199999999998</v>
      </c>
      <c r="H1360" s="148">
        <v>661.11688311688317</v>
      </c>
      <c r="I1360" s="728"/>
      <c r="J1360" s="148">
        <v>4.1024200000000004</v>
      </c>
      <c r="K1360" s="148">
        <v>0</v>
      </c>
      <c r="L1360" s="148">
        <v>55.654789999999998</v>
      </c>
      <c r="M1360" s="148">
        <v>6.4320000000000004</v>
      </c>
      <c r="N1360" s="148">
        <v>49.222790000000003</v>
      </c>
      <c r="O1360" s="148">
        <v>765.27969527363189</v>
      </c>
      <c r="P1360" s="148">
        <v>30.798970000000001</v>
      </c>
      <c r="Q1360" s="148">
        <v>24.855820000000001</v>
      </c>
      <c r="R1360" s="148">
        <v>80.703413133621027</v>
      </c>
    </row>
    <row r="1361" spans="2:18" ht="15.75" hidden="1" thickBot="1" x14ac:dyDescent="0.3">
      <c r="B1361" s="725" t="s">
        <v>729</v>
      </c>
      <c r="C1361" s="722" t="s">
        <v>61</v>
      </c>
      <c r="D1361" t="s">
        <v>62</v>
      </c>
      <c r="E1361" s="147">
        <v>6.8841900000000003</v>
      </c>
      <c r="F1361" s="147">
        <v>8.2574299999999994</v>
      </c>
      <c r="G1361" s="147">
        <v>-1.37324</v>
      </c>
      <c r="H1361" s="147">
        <v>-16.630355933989147</v>
      </c>
      <c r="I1361" s="729"/>
      <c r="J1361" s="147">
        <v>6.8841900000000003</v>
      </c>
      <c r="K1361" s="147">
        <v>0</v>
      </c>
      <c r="L1361" s="147">
        <v>77.265339999999995</v>
      </c>
      <c r="M1361" s="147">
        <v>98.569320000000005</v>
      </c>
      <c r="N1361" s="147">
        <v>-21.303979999999999</v>
      </c>
      <c r="O1361" s="147">
        <v>-21.613195667779792</v>
      </c>
      <c r="P1361" s="147">
        <v>35.960239999999999</v>
      </c>
      <c r="Q1361" s="147">
        <v>41.305100000000003</v>
      </c>
      <c r="R1361" s="147">
        <v>114.86324896608032</v>
      </c>
    </row>
    <row r="1362" spans="2:18" ht="15.75" hidden="1" thickBot="1" x14ac:dyDescent="0.3">
      <c r="B1362" s="725" t="s">
        <v>729</v>
      </c>
      <c r="C1362" s="722" t="s">
        <v>63</v>
      </c>
      <c r="D1362" t="s">
        <v>64</v>
      </c>
      <c r="E1362" s="148">
        <v>27.154810000000001</v>
      </c>
      <c r="F1362" s="148">
        <v>32.124079999999999</v>
      </c>
      <c r="G1362" s="148">
        <v>-4.9692699999999999</v>
      </c>
      <c r="H1362" s="148">
        <v>-15.468987749999377</v>
      </c>
      <c r="I1362" s="728"/>
      <c r="J1362" s="148">
        <v>27.154810000000001</v>
      </c>
      <c r="K1362" s="148">
        <v>0</v>
      </c>
      <c r="L1362" s="148">
        <v>305.71193</v>
      </c>
      <c r="M1362" s="148">
        <v>383.46661999999998</v>
      </c>
      <c r="N1362" s="148">
        <v>-77.754689999999997</v>
      </c>
      <c r="O1362" s="148">
        <v>-20.276781848704328</v>
      </c>
      <c r="P1362" s="148">
        <v>142.78292999999999</v>
      </c>
      <c r="Q1362" s="148">
        <v>162.929</v>
      </c>
      <c r="R1362" s="148">
        <v>114.10957878508306</v>
      </c>
    </row>
    <row r="1363" spans="2:18" ht="15.75" hidden="1" thickBot="1" x14ac:dyDescent="0.3">
      <c r="B1363" s="725" t="s">
        <v>729</v>
      </c>
      <c r="C1363" s="722" t="s">
        <v>156</v>
      </c>
      <c r="D1363" t="s">
        <v>157</v>
      </c>
      <c r="E1363" s="729"/>
      <c r="F1363" s="729"/>
      <c r="G1363" s="729"/>
      <c r="H1363" s="729"/>
      <c r="I1363" s="729"/>
      <c r="J1363" s="729"/>
      <c r="K1363" s="729"/>
      <c r="L1363" s="147">
        <v>6.6592000000000002</v>
      </c>
      <c r="M1363" s="729"/>
      <c r="N1363" s="147">
        <v>6.6592000000000002</v>
      </c>
      <c r="O1363" s="147">
        <v>0</v>
      </c>
      <c r="P1363" s="147">
        <v>2.1720000000000002</v>
      </c>
      <c r="Q1363" s="147">
        <v>4.4871999999999996</v>
      </c>
      <c r="R1363" s="147">
        <v>206.59300184162063</v>
      </c>
    </row>
    <row r="1364" spans="2:18" ht="15.75" hidden="1" thickBot="1" x14ac:dyDescent="0.3">
      <c r="B1364" s="725" t="s">
        <v>729</v>
      </c>
      <c r="C1364" s="722" t="s">
        <v>65</v>
      </c>
      <c r="D1364" t="s">
        <v>66</v>
      </c>
      <c r="E1364" s="148">
        <v>-114.02976</v>
      </c>
      <c r="F1364" s="148">
        <v>-17.358370000000001</v>
      </c>
      <c r="G1364" s="148">
        <v>-96.671390000000002</v>
      </c>
      <c r="H1364" s="148">
        <v>-556.91513661709018</v>
      </c>
      <c r="I1364" s="728"/>
      <c r="J1364" s="148">
        <v>-114.02976</v>
      </c>
      <c r="K1364" s="148">
        <v>0</v>
      </c>
      <c r="L1364" s="148">
        <v>-263.61919999999998</v>
      </c>
      <c r="M1364" s="148">
        <v>-207.20766</v>
      </c>
      <c r="N1364" s="148">
        <v>-56.411540000000002</v>
      </c>
      <c r="O1364" s="148">
        <v>-27.224640247373095</v>
      </c>
      <c r="P1364" s="148">
        <v>-51.472000000000001</v>
      </c>
      <c r="Q1364" s="148">
        <v>-212.1472</v>
      </c>
      <c r="R1364" s="148">
        <v>-412.16039788622942</v>
      </c>
    </row>
    <row r="1365" spans="2:18" ht="15.75" hidden="1" thickBot="1" x14ac:dyDescent="0.3">
      <c r="B1365" s="725" t="s">
        <v>729</v>
      </c>
      <c r="C1365" s="149" t="s">
        <v>67</v>
      </c>
      <c r="D1365" t="s">
        <v>68</v>
      </c>
      <c r="E1365" s="147">
        <v>-32.900060000000003</v>
      </c>
      <c r="F1365" s="147">
        <v>76.835909999999998</v>
      </c>
      <c r="G1365" s="147">
        <v>-109.73596999999999</v>
      </c>
      <c r="H1365" s="147">
        <v>-142.81859875154728</v>
      </c>
      <c r="I1365" s="729"/>
      <c r="J1365" s="147">
        <v>-32.900060000000003</v>
      </c>
      <c r="K1365" s="147">
        <v>0</v>
      </c>
      <c r="L1365" s="147">
        <v>642.31124</v>
      </c>
      <c r="M1365" s="147">
        <v>917.19172000000003</v>
      </c>
      <c r="N1365" s="147">
        <v>-274.88047999999998</v>
      </c>
      <c r="O1365" s="147">
        <v>-29.969795191783895</v>
      </c>
      <c r="P1365" s="147">
        <v>341.62621999999999</v>
      </c>
      <c r="Q1365" s="147">
        <v>300.68502000000001</v>
      </c>
      <c r="R1365" s="147">
        <v>88.015791059597234</v>
      </c>
    </row>
    <row r="1366" spans="2:18" ht="15.75" hidden="1" thickBot="1" x14ac:dyDescent="0.3">
      <c r="B1366" s="725" t="s">
        <v>729</v>
      </c>
      <c r="C1366" s="722" t="s">
        <v>69</v>
      </c>
      <c r="D1366" t="s">
        <v>70</v>
      </c>
      <c r="E1366" s="728"/>
      <c r="F1366" s="728"/>
      <c r="G1366" s="728"/>
      <c r="H1366" s="728"/>
      <c r="I1366" s="728"/>
      <c r="J1366" s="728"/>
      <c r="K1366" s="728"/>
      <c r="L1366" s="148">
        <v>1.5823400000000001</v>
      </c>
      <c r="M1366" s="728"/>
      <c r="N1366" s="148">
        <v>1.5823400000000001</v>
      </c>
      <c r="O1366" s="148">
        <v>0</v>
      </c>
      <c r="P1366" s="148">
        <v>0.86834</v>
      </c>
      <c r="Q1366" s="148">
        <v>0.71399999999999997</v>
      </c>
      <c r="R1366" s="148">
        <v>82.225856231430086</v>
      </c>
    </row>
    <row r="1367" spans="2:18" ht="15.75" hidden="1" thickBot="1" x14ac:dyDescent="0.3">
      <c r="B1367" s="725" t="s">
        <v>729</v>
      </c>
      <c r="C1367" s="722" t="s">
        <v>582</v>
      </c>
      <c r="D1367" t="s">
        <v>583</v>
      </c>
      <c r="E1367" s="147">
        <v>0.1575</v>
      </c>
      <c r="F1367" s="147">
        <v>0.52500000000000002</v>
      </c>
      <c r="G1367" s="147">
        <v>-0.36749999999999999</v>
      </c>
      <c r="H1367" s="147">
        <v>-70</v>
      </c>
      <c r="I1367" s="729"/>
      <c r="J1367" s="147">
        <v>0.1575</v>
      </c>
      <c r="K1367" s="147">
        <v>0</v>
      </c>
      <c r="L1367" s="147">
        <v>1.89</v>
      </c>
      <c r="M1367" s="147">
        <v>6.3</v>
      </c>
      <c r="N1367" s="147">
        <v>-4.41</v>
      </c>
      <c r="O1367" s="147">
        <v>-70</v>
      </c>
      <c r="P1367" s="147">
        <v>0.94499999999999995</v>
      </c>
      <c r="Q1367" s="147">
        <v>0.94499999999999995</v>
      </c>
      <c r="R1367" s="147">
        <v>100</v>
      </c>
    </row>
    <row r="1368" spans="2:18" ht="15.75" hidden="1" thickBot="1" x14ac:dyDescent="0.3">
      <c r="B1368" s="725" t="s">
        <v>729</v>
      </c>
      <c r="C1368" s="722" t="s">
        <v>165</v>
      </c>
      <c r="D1368" t="s">
        <v>166</v>
      </c>
      <c r="E1368" s="148">
        <v>0.10272000000000001</v>
      </c>
      <c r="F1368" s="728"/>
      <c r="G1368" s="148">
        <v>0.10272000000000001</v>
      </c>
      <c r="H1368" s="148">
        <v>0</v>
      </c>
      <c r="I1368" s="728"/>
      <c r="J1368" s="148">
        <v>0.10272000000000001</v>
      </c>
      <c r="K1368" s="148">
        <v>0</v>
      </c>
      <c r="L1368" s="148">
        <v>0.10272000000000001</v>
      </c>
      <c r="M1368" s="728"/>
      <c r="N1368" s="148">
        <v>0.10272000000000001</v>
      </c>
      <c r="O1368" s="148">
        <v>0</v>
      </c>
      <c r="P1368" s="728"/>
      <c r="Q1368" s="148">
        <v>0.10272000000000001</v>
      </c>
      <c r="R1368" s="148">
        <v>0</v>
      </c>
    </row>
    <row r="1369" spans="2:18" ht="15.75" hidden="1" thickBot="1" x14ac:dyDescent="0.3">
      <c r="B1369" s="725" t="s">
        <v>729</v>
      </c>
      <c r="C1369" s="722" t="s">
        <v>137</v>
      </c>
      <c r="D1369" t="s">
        <v>138</v>
      </c>
      <c r="E1369" s="729"/>
      <c r="F1369" s="147">
        <v>0.25</v>
      </c>
      <c r="G1369" s="147">
        <v>-0.25</v>
      </c>
      <c r="H1369" s="147">
        <v>-100</v>
      </c>
      <c r="I1369" s="729"/>
      <c r="J1369" s="729"/>
      <c r="K1369" s="729"/>
      <c r="L1369" s="147">
        <v>1.5226299999999999</v>
      </c>
      <c r="M1369" s="147">
        <v>1</v>
      </c>
      <c r="N1369" s="147">
        <v>0.52263000000000004</v>
      </c>
      <c r="O1369" s="147">
        <v>52.262999999999998</v>
      </c>
      <c r="P1369" s="147">
        <v>1.0857699999999999</v>
      </c>
      <c r="Q1369" s="147">
        <v>0.43686000000000003</v>
      </c>
      <c r="R1369" s="147">
        <v>40.235040570286522</v>
      </c>
    </row>
    <row r="1370" spans="2:18" ht="15.75" hidden="1" thickBot="1" x14ac:dyDescent="0.3">
      <c r="B1370" s="725" t="s">
        <v>729</v>
      </c>
      <c r="C1370" s="722" t="s">
        <v>190</v>
      </c>
      <c r="D1370" t="s">
        <v>191</v>
      </c>
      <c r="E1370" s="148">
        <v>9.5820000000000002E-2</v>
      </c>
      <c r="F1370" s="728"/>
      <c r="G1370" s="148">
        <v>9.5820000000000002E-2</v>
      </c>
      <c r="H1370" s="148">
        <v>0</v>
      </c>
      <c r="I1370" s="728"/>
      <c r="J1370" s="148">
        <v>9.5820000000000002E-2</v>
      </c>
      <c r="K1370" s="148">
        <v>0</v>
      </c>
      <c r="L1370" s="148">
        <v>0.66566999999999998</v>
      </c>
      <c r="M1370" s="728"/>
      <c r="N1370" s="148">
        <v>0.66566999999999998</v>
      </c>
      <c r="O1370" s="148">
        <v>0</v>
      </c>
      <c r="P1370" s="728"/>
      <c r="Q1370" s="148">
        <v>0.66566999999999998</v>
      </c>
      <c r="R1370" s="148">
        <v>0</v>
      </c>
    </row>
    <row r="1371" spans="2:18" ht="15.75" hidden="1" thickBot="1" x14ac:dyDescent="0.3">
      <c r="B1371" s="725" t="s">
        <v>729</v>
      </c>
      <c r="C1371" s="722" t="s">
        <v>139</v>
      </c>
      <c r="D1371" t="s">
        <v>140</v>
      </c>
      <c r="E1371" s="729"/>
      <c r="F1371" s="729"/>
      <c r="G1371" s="729"/>
      <c r="H1371" s="729"/>
      <c r="I1371" s="729"/>
      <c r="J1371" s="729"/>
      <c r="K1371" s="729"/>
      <c r="L1371" s="147">
        <v>3.9729999999999999</v>
      </c>
      <c r="M1371" s="729"/>
      <c r="N1371" s="147">
        <v>3.9729999999999999</v>
      </c>
      <c r="O1371" s="147">
        <v>0</v>
      </c>
      <c r="P1371" s="147">
        <v>3.9729999999999999</v>
      </c>
      <c r="Q1371" s="147">
        <v>0</v>
      </c>
      <c r="R1371" s="147">
        <v>0</v>
      </c>
    </row>
    <row r="1372" spans="2:18" ht="15.75" hidden="1" thickBot="1" x14ac:dyDescent="0.3">
      <c r="B1372" s="725" t="s">
        <v>729</v>
      </c>
      <c r="C1372" s="722" t="s">
        <v>101</v>
      </c>
      <c r="D1372" t="s">
        <v>102</v>
      </c>
      <c r="E1372" s="148">
        <v>1.0751999999999999</v>
      </c>
      <c r="F1372" s="148">
        <v>8.3330000000000002</v>
      </c>
      <c r="G1372" s="148">
        <v>-7.2577999999999996</v>
      </c>
      <c r="H1372" s="148">
        <v>-87.097083883355339</v>
      </c>
      <c r="I1372" s="728"/>
      <c r="J1372" s="148">
        <v>1.0751999999999999</v>
      </c>
      <c r="K1372" s="148">
        <v>0</v>
      </c>
      <c r="L1372" s="148">
        <v>16.5138</v>
      </c>
      <c r="M1372" s="148">
        <v>100</v>
      </c>
      <c r="N1372" s="148">
        <v>-83.486199999999997</v>
      </c>
      <c r="O1372" s="148">
        <v>-83.486199999999997</v>
      </c>
      <c r="P1372" s="728"/>
      <c r="Q1372" s="148">
        <v>16.5138</v>
      </c>
      <c r="R1372" s="148">
        <v>0</v>
      </c>
    </row>
    <row r="1373" spans="2:18" ht="15.75" hidden="1" thickBot="1" x14ac:dyDescent="0.3">
      <c r="B1373" s="725" t="s">
        <v>729</v>
      </c>
      <c r="C1373" s="722" t="s">
        <v>103</v>
      </c>
      <c r="D1373" t="s">
        <v>104</v>
      </c>
      <c r="E1373" s="147">
        <v>2E-3</v>
      </c>
      <c r="F1373" s="729"/>
      <c r="G1373" s="147">
        <v>2E-3</v>
      </c>
      <c r="H1373" s="147">
        <v>0</v>
      </c>
      <c r="I1373" s="729"/>
      <c r="J1373" s="147">
        <v>2E-3</v>
      </c>
      <c r="K1373" s="147">
        <v>0</v>
      </c>
      <c r="L1373" s="147">
        <v>1.6230000000000001E-2</v>
      </c>
      <c r="M1373" s="729"/>
      <c r="N1373" s="147">
        <v>1.6230000000000001E-2</v>
      </c>
      <c r="O1373" s="147">
        <v>0</v>
      </c>
      <c r="P1373" s="147">
        <v>1.423E-2</v>
      </c>
      <c r="Q1373" s="147">
        <v>2E-3</v>
      </c>
      <c r="R1373" s="147">
        <v>14.054813773717498</v>
      </c>
    </row>
    <row r="1374" spans="2:18" ht="15.75" hidden="1" thickBot="1" x14ac:dyDescent="0.3">
      <c r="B1374" s="725" t="s">
        <v>729</v>
      </c>
      <c r="C1374" s="722" t="s">
        <v>109</v>
      </c>
      <c r="D1374" t="s">
        <v>110</v>
      </c>
      <c r="E1374" s="728"/>
      <c r="F1374" s="728"/>
      <c r="G1374" s="728"/>
      <c r="H1374" s="728"/>
      <c r="I1374" s="728"/>
      <c r="J1374" s="728"/>
      <c r="K1374" s="728"/>
      <c r="L1374" s="148">
        <v>1.6039999999999999E-2</v>
      </c>
      <c r="M1374" s="728"/>
      <c r="N1374" s="148">
        <v>1.6039999999999999E-2</v>
      </c>
      <c r="O1374" s="148">
        <v>0</v>
      </c>
      <c r="P1374" s="148">
        <v>1.6039999999999999E-2</v>
      </c>
      <c r="Q1374" s="148">
        <v>0</v>
      </c>
      <c r="R1374" s="148">
        <v>0</v>
      </c>
    </row>
    <row r="1375" spans="2:18" ht="15.75" hidden="1" thickBot="1" x14ac:dyDescent="0.3">
      <c r="B1375" s="725" t="s">
        <v>729</v>
      </c>
      <c r="C1375" s="722" t="s">
        <v>73</v>
      </c>
      <c r="D1375" t="s">
        <v>74</v>
      </c>
      <c r="E1375" s="147">
        <v>9.1990000000000002E-2</v>
      </c>
      <c r="F1375" s="147">
        <v>0.25</v>
      </c>
      <c r="G1375" s="147">
        <v>-0.15801000000000001</v>
      </c>
      <c r="H1375" s="147">
        <v>-63.204000000000001</v>
      </c>
      <c r="I1375" s="729"/>
      <c r="J1375" s="147">
        <v>9.1990000000000002E-2</v>
      </c>
      <c r="K1375" s="147">
        <v>0</v>
      </c>
      <c r="L1375" s="147">
        <v>3.56027</v>
      </c>
      <c r="M1375" s="147">
        <v>3</v>
      </c>
      <c r="N1375" s="147">
        <v>0.56027000000000005</v>
      </c>
      <c r="O1375" s="147">
        <v>18.675666666666668</v>
      </c>
      <c r="P1375" s="147">
        <v>2.3272499999999998</v>
      </c>
      <c r="Q1375" s="147">
        <v>1.23302</v>
      </c>
      <c r="R1375" s="147">
        <v>52.981845525835212</v>
      </c>
    </row>
    <row r="1376" spans="2:18" ht="15.75" hidden="1" thickBot="1" x14ac:dyDescent="0.3">
      <c r="B1376" s="725" t="s">
        <v>729</v>
      </c>
      <c r="C1376" s="722" t="s">
        <v>141</v>
      </c>
      <c r="D1376" t="s">
        <v>142</v>
      </c>
      <c r="E1376" s="728"/>
      <c r="F1376" s="148">
        <v>2.087E-2</v>
      </c>
      <c r="G1376" s="148">
        <v>-2.087E-2</v>
      </c>
      <c r="H1376" s="148">
        <v>-100</v>
      </c>
      <c r="I1376" s="728"/>
      <c r="J1376" s="728"/>
      <c r="K1376" s="728"/>
      <c r="L1376" s="148">
        <v>1.43228</v>
      </c>
      <c r="M1376" s="148">
        <v>0.25</v>
      </c>
      <c r="N1376" s="148">
        <v>1.18228</v>
      </c>
      <c r="O1376" s="148">
        <v>472.91199999999998</v>
      </c>
      <c r="P1376" s="148">
        <v>1.4166799999999999</v>
      </c>
      <c r="Q1376" s="148">
        <v>1.5599999999999999E-2</v>
      </c>
      <c r="R1376" s="148">
        <v>1.1011661066719372</v>
      </c>
    </row>
    <row r="1377" spans="2:18" ht="15.75" hidden="1" thickBot="1" x14ac:dyDescent="0.3">
      <c r="B1377" s="725" t="s">
        <v>729</v>
      </c>
      <c r="C1377" s="722" t="s">
        <v>113</v>
      </c>
      <c r="D1377" t="s">
        <v>114</v>
      </c>
      <c r="E1377" s="147">
        <v>0.15542</v>
      </c>
      <c r="F1377" s="729"/>
      <c r="G1377" s="147">
        <v>0.15542</v>
      </c>
      <c r="H1377" s="147">
        <v>0</v>
      </c>
      <c r="I1377" s="729"/>
      <c r="J1377" s="147">
        <v>0.15542</v>
      </c>
      <c r="K1377" s="147">
        <v>0</v>
      </c>
      <c r="L1377" s="147">
        <v>0.61192999999999997</v>
      </c>
      <c r="M1377" s="729"/>
      <c r="N1377" s="147">
        <v>0.61192999999999997</v>
      </c>
      <c r="O1377" s="147">
        <v>0</v>
      </c>
      <c r="P1377" s="147">
        <v>0.22447</v>
      </c>
      <c r="Q1377" s="147">
        <v>0.38746000000000003</v>
      </c>
      <c r="R1377" s="147">
        <v>172.61103933710518</v>
      </c>
    </row>
    <row r="1378" spans="2:18" ht="15.75" hidden="1" thickBot="1" x14ac:dyDescent="0.3">
      <c r="B1378" s="725" t="s">
        <v>729</v>
      </c>
      <c r="C1378" s="722" t="s">
        <v>145</v>
      </c>
      <c r="D1378" t="s">
        <v>146</v>
      </c>
      <c r="E1378" s="148">
        <v>8.5000000000000006E-3</v>
      </c>
      <c r="F1378" s="728"/>
      <c r="G1378" s="148">
        <v>8.5000000000000006E-3</v>
      </c>
      <c r="H1378" s="148">
        <v>0</v>
      </c>
      <c r="I1378" s="728"/>
      <c r="J1378" s="148">
        <v>8.5000000000000006E-3</v>
      </c>
      <c r="K1378" s="148">
        <v>0</v>
      </c>
      <c r="L1378" s="148">
        <v>9.98E-2</v>
      </c>
      <c r="M1378" s="728"/>
      <c r="N1378" s="148">
        <v>9.98E-2</v>
      </c>
      <c r="O1378" s="148">
        <v>0</v>
      </c>
      <c r="P1378" s="148">
        <v>7.6300000000000007E-2</v>
      </c>
      <c r="Q1378" s="148">
        <v>2.35E-2</v>
      </c>
      <c r="R1378" s="148">
        <v>30.799475753604195</v>
      </c>
    </row>
    <row r="1379" spans="2:18" ht="15.75" hidden="1" thickBot="1" x14ac:dyDescent="0.3">
      <c r="B1379" s="725" t="s">
        <v>729</v>
      </c>
      <c r="C1379" s="722" t="s">
        <v>203</v>
      </c>
      <c r="D1379" t="s">
        <v>204</v>
      </c>
      <c r="E1379" s="147">
        <v>0.17554</v>
      </c>
      <c r="F1379" s="729"/>
      <c r="G1379" s="147">
        <v>0.17554</v>
      </c>
      <c r="H1379" s="147">
        <v>0</v>
      </c>
      <c r="I1379" s="729"/>
      <c r="J1379" s="147">
        <v>0.17554</v>
      </c>
      <c r="K1379" s="147">
        <v>0</v>
      </c>
      <c r="L1379" s="147">
        <v>0.17554</v>
      </c>
      <c r="M1379" s="729"/>
      <c r="N1379" s="147">
        <v>0.17554</v>
      </c>
      <c r="O1379" s="147">
        <v>0</v>
      </c>
      <c r="P1379" s="729"/>
      <c r="Q1379" s="147">
        <v>0.17554</v>
      </c>
      <c r="R1379" s="147">
        <v>0</v>
      </c>
    </row>
    <row r="1380" spans="2:18" ht="15.75" hidden="1" thickBot="1" x14ac:dyDescent="0.3">
      <c r="B1380" s="725" t="s">
        <v>729</v>
      </c>
      <c r="C1380" s="722" t="s">
        <v>149</v>
      </c>
      <c r="D1380" t="s">
        <v>150</v>
      </c>
      <c r="E1380" s="728"/>
      <c r="F1380" s="148">
        <v>12.5</v>
      </c>
      <c r="G1380" s="148">
        <v>-12.5</v>
      </c>
      <c r="H1380" s="148">
        <v>-100</v>
      </c>
      <c r="I1380" s="728"/>
      <c r="J1380" s="728"/>
      <c r="K1380" s="728"/>
      <c r="L1380" s="148">
        <v>26.996449999999999</v>
      </c>
      <c r="M1380" s="148">
        <v>150</v>
      </c>
      <c r="N1380" s="148">
        <v>-123.00355</v>
      </c>
      <c r="O1380" s="148">
        <v>-82.00236666666666</v>
      </c>
      <c r="P1380" s="148">
        <v>26</v>
      </c>
      <c r="Q1380" s="148">
        <v>0.99644999999999995</v>
      </c>
      <c r="R1380" s="148">
        <v>3.8325</v>
      </c>
    </row>
    <row r="1381" spans="2:18" ht="15.75" hidden="1" thickBot="1" x14ac:dyDescent="0.3">
      <c r="B1381" s="725" t="s">
        <v>729</v>
      </c>
      <c r="C1381" s="722" t="s">
        <v>151</v>
      </c>
      <c r="D1381" t="s">
        <v>152</v>
      </c>
      <c r="E1381" s="729"/>
      <c r="F1381" s="729"/>
      <c r="G1381" s="729"/>
      <c r="H1381" s="729"/>
      <c r="I1381" s="729"/>
      <c r="J1381" s="729"/>
      <c r="K1381" s="729"/>
      <c r="L1381" s="147">
        <v>3.6850000000000001</v>
      </c>
      <c r="M1381" s="729"/>
      <c r="N1381" s="147">
        <v>3.6850000000000001</v>
      </c>
      <c r="O1381" s="147">
        <v>0</v>
      </c>
      <c r="P1381" s="147">
        <v>3.6850000000000001</v>
      </c>
      <c r="Q1381" s="147">
        <v>0</v>
      </c>
      <c r="R1381" s="147">
        <v>0</v>
      </c>
    </row>
    <row r="1382" spans="2:18" ht="15.75" hidden="1" thickBot="1" x14ac:dyDescent="0.3">
      <c r="B1382" s="725" t="s">
        <v>729</v>
      </c>
      <c r="C1382" s="722" t="s">
        <v>75</v>
      </c>
      <c r="D1382" t="s">
        <v>76</v>
      </c>
      <c r="E1382" s="148">
        <v>0.26923999999999998</v>
      </c>
      <c r="F1382" s="148">
        <v>0.5</v>
      </c>
      <c r="G1382" s="148">
        <v>-0.23075999999999999</v>
      </c>
      <c r="H1382" s="148">
        <v>-46.152000000000001</v>
      </c>
      <c r="I1382" s="728"/>
      <c r="J1382" s="148">
        <v>0.26923999999999998</v>
      </c>
      <c r="K1382" s="148">
        <v>0</v>
      </c>
      <c r="L1382" s="148">
        <v>2.7458300000000002</v>
      </c>
      <c r="M1382" s="148">
        <v>6</v>
      </c>
      <c r="N1382" s="148">
        <v>-3.2541699999999998</v>
      </c>
      <c r="O1382" s="148">
        <v>-54.236166666666669</v>
      </c>
      <c r="P1382" s="148">
        <v>1.3624700000000001</v>
      </c>
      <c r="Q1382" s="148">
        <v>1.3833599999999999</v>
      </c>
      <c r="R1382" s="148">
        <v>101.53324476869216</v>
      </c>
    </row>
    <row r="1383" spans="2:18" ht="15.75" hidden="1" thickBot="1" x14ac:dyDescent="0.3">
      <c r="B1383" s="725" t="s">
        <v>729</v>
      </c>
      <c r="C1383" s="722" t="s">
        <v>121</v>
      </c>
      <c r="D1383" t="s">
        <v>122</v>
      </c>
      <c r="E1383" s="147">
        <v>3.184E-2</v>
      </c>
      <c r="F1383" s="147">
        <v>8.3330000000000001E-2</v>
      </c>
      <c r="G1383" s="147">
        <v>-5.1490000000000001E-2</v>
      </c>
      <c r="H1383" s="147">
        <v>-61.790471618864757</v>
      </c>
      <c r="I1383" s="729"/>
      <c r="J1383" s="147">
        <v>3.184E-2</v>
      </c>
      <c r="K1383" s="147">
        <v>0</v>
      </c>
      <c r="L1383" s="147">
        <v>0.74914999999999998</v>
      </c>
      <c r="M1383" s="147">
        <v>1</v>
      </c>
      <c r="N1383" s="147">
        <v>-0.25085000000000002</v>
      </c>
      <c r="O1383" s="147">
        <v>-25.085000000000001</v>
      </c>
      <c r="P1383" s="147">
        <v>0.48280000000000001</v>
      </c>
      <c r="Q1383" s="147">
        <v>0.26634999999999998</v>
      </c>
      <c r="R1383" s="147">
        <v>55.167771333885668</v>
      </c>
    </row>
    <row r="1384" spans="2:18" ht="15.75" hidden="1" thickBot="1" x14ac:dyDescent="0.3">
      <c r="B1384" s="725" t="s">
        <v>729</v>
      </c>
      <c r="C1384" s="722" t="s">
        <v>77</v>
      </c>
      <c r="D1384" t="s">
        <v>78</v>
      </c>
      <c r="E1384" s="148">
        <v>0.86919000000000002</v>
      </c>
      <c r="F1384" s="148">
        <v>1.5</v>
      </c>
      <c r="G1384" s="148">
        <v>-0.63080999999999998</v>
      </c>
      <c r="H1384" s="148">
        <v>-42.054000000000002</v>
      </c>
      <c r="I1384" s="728"/>
      <c r="J1384" s="148">
        <v>0.86919000000000002</v>
      </c>
      <c r="K1384" s="148">
        <v>0</v>
      </c>
      <c r="L1384" s="148">
        <v>10.92699</v>
      </c>
      <c r="M1384" s="148">
        <v>18</v>
      </c>
      <c r="N1384" s="148">
        <v>-7.07301</v>
      </c>
      <c r="O1384" s="148">
        <v>-39.294499999999999</v>
      </c>
      <c r="P1384" s="148">
        <v>6.8838499999999998</v>
      </c>
      <c r="Q1384" s="148">
        <v>4.0431400000000002</v>
      </c>
      <c r="R1384" s="148">
        <v>58.733702797126611</v>
      </c>
    </row>
    <row r="1385" spans="2:18" ht="15.75" hidden="1" thickBot="1" x14ac:dyDescent="0.3">
      <c r="B1385" s="725" t="s">
        <v>729</v>
      </c>
      <c r="C1385" s="722" t="s">
        <v>79</v>
      </c>
      <c r="D1385" t="s">
        <v>80</v>
      </c>
      <c r="E1385" s="147">
        <v>0.63285000000000002</v>
      </c>
      <c r="F1385" s="147">
        <v>1.667</v>
      </c>
      <c r="G1385" s="147">
        <v>-1.0341499999999999</v>
      </c>
      <c r="H1385" s="147">
        <v>-62.036592681463709</v>
      </c>
      <c r="I1385" s="729"/>
      <c r="J1385" s="147">
        <v>0.63285000000000002</v>
      </c>
      <c r="K1385" s="147">
        <v>0</v>
      </c>
      <c r="L1385" s="147">
        <v>11.29379</v>
      </c>
      <c r="M1385" s="147">
        <v>20</v>
      </c>
      <c r="N1385" s="147">
        <v>-8.7062100000000004</v>
      </c>
      <c r="O1385" s="147">
        <v>-43.53105</v>
      </c>
      <c r="P1385" s="147">
        <v>6.50488</v>
      </c>
      <c r="Q1385" s="147">
        <v>4.7889099999999996</v>
      </c>
      <c r="R1385" s="147">
        <v>73.620266630591189</v>
      </c>
    </row>
    <row r="1386" spans="2:18" ht="15.75" hidden="1" thickBot="1" x14ac:dyDescent="0.3">
      <c r="B1386" s="725" t="s">
        <v>729</v>
      </c>
      <c r="C1386" s="722" t="s">
        <v>81</v>
      </c>
      <c r="D1386" t="s">
        <v>82</v>
      </c>
      <c r="E1386" s="728"/>
      <c r="F1386" s="728"/>
      <c r="G1386" s="728"/>
      <c r="H1386" s="728"/>
      <c r="I1386" s="728"/>
      <c r="J1386" s="728"/>
      <c r="K1386" s="728"/>
      <c r="L1386" s="148">
        <v>5.4949999999999999E-2</v>
      </c>
      <c r="M1386" s="148">
        <v>1</v>
      </c>
      <c r="N1386" s="148">
        <v>-0.94504999999999995</v>
      </c>
      <c r="O1386" s="148">
        <v>-94.504999999999995</v>
      </c>
      <c r="P1386" s="728"/>
      <c r="Q1386" s="148">
        <v>5.4949999999999999E-2</v>
      </c>
      <c r="R1386" s="148">
        <v>0</v>
      </c>
    </row>
    <row r="1387" spans="2:18" ht="15.75" hidden="1" thickBot="1" x14ac:dyDescent="0.3">
      <c r="B1387" s="725" t="s">
        <v>729</v>
      </c>
      <c r="C1387" s="722" t="s">
        <v>123</v>
      </c>
      <c r="D1387" t="s">
        <v>124</v>
      </c>
      <c r="E1387" s="729"/>
      <c r="F1387" s="729"/>
      <c r="G1387" s="729"/>
      <c r="H1387" s="729"/>
      <c r="I1387" s="729"/>
      <c r="J1387" s="729"/>
      <c r="K1387" s="729"/>
      <c r="L1387" s="729"/>
      <c r="M1387" s="147">
        <v>1</v>
      </c>
      <c r="N1387" s="147">
        <v>-1</v>
      </c>
      <c r="O1387" s="147">
        <v>-100</v>
      </c>
      <c r="P1387" s="729"/>
      <c r="Q1387" s="729"/>
      <c r="R1387" s="729"/>
    </row>
    <row r="1388" spans="2:18" ht="15.75" hidden="1" thickBot="1" x14ac:dyDescent="0.3">
      <c r="B1388" s="725" t="s">
        <v>729</v>
      </c>
      <c r="C1388" s="722" t="s">
        <v>125</v>
      </c>
      <c r="D1388" t="s">
        <v>126</v>
      </c>
      <c r="E1388" s="728"/>
      <c r="F1388" s="728"/>
      <c r="G1388" s="728"/>
      <c r="H1388" s="728"/>
      <c r="I1388" s="728"/>
      <c r="J1388" s="728"/>
      <c r="K1388" s="728"/>
      <c r="L1388" s="148">
        <v>7.2999999999999995E-2</v>
      </c>
      <c r="M1388" s="728"/>
      <c r="N1388" s="148">
        <v>7.2999999999999995E-2</v>
      </c>
      <c r="O1388" s="148">
        <v>0</v>
      </c>
      <c r="P1388" s="148">
        <v>7.2999999999999995E-2</v>
      </c>
      <c r="Q1388" s="148">
        <v>0</v>
      </c>
      <c r="R1388" s="148">
        <v>0</v>
      </c>
    </row>
    <row r="1389" spans="2:18" ht="15.75" hidden="1" thickBot="1" x14ac:dyDescent="0.3">
      <c r="B1389" s="725" t="s">
        <v>729</v>
      </c>
      <c r="C1389" s="722" t="s">
        <v>83</v>
      </c>
      <c r="D1389" t="s">
        <v>84</v>
      </c>
      <c r="E1389" s="729"/>
      <c r="F1389" s="147">
        <v>1.1659999999999999</v>
      </c>
      <c r="G1389" s="147">
        <v>-1.1659999999999999</v>
      </c>
      <c r="H1389" s="147">
        <v>-100</v>
      </c>
      <c r="I1389" s="729"/>
      <c r="J1389" s="729"/>
      <c r="K1389" s="729"/>
      <c r="L1389" s="729"/>
      <c r="M1389" s="147">
        <v>14</v>
      </c>
      <c r="N1389" s="147">
        <v>-14</v>
      </c>
      <c r="O1389" s="147">
        <v>-100</v>
      </c>
      <c r="P1389" s="729"/>
      <c r="Q1389" s="729"/>
      <c r="R1389" s="729"/>
    </row>
    <row r="1390" spans="2:18" ht="15.75" hidden="1" thickBot="1" x14ac:dyDescent="0.3">
      <c r="B1390" s="725" t="s">
        <v>729</v>
      </c>
      <c r="C1390" s="149" t="s">
        <v>85</v>
      </c>
      <c r="D1390" t="s">
        <v>86</v>
      </c>
      <c r="E1390" s="148">
        <v>3.6678099999999998</v>
      </c>
      <c r="F1390" s="148">
        <v>26.795200000000001</v>
      </c>
      <c r="G1390" s="148">
        <v>-23.127389999999998</v>
      </c>
      <c r="H1390" s="148">
        <v>-86.311690153460319</v>
      </c>
      <c r="I1390" s="728"/>
      <c r="J1390" s="148">
        <v>3.6678099999999998</v>
      </c>
      <c r="K1390" s="148">
        <v>0</v>
      </c>
      <c r="L1390" s="148">
        <v>88.68741</v>
      </c>
      <c r="M1390" s="148">
        <v>321.55</v>
      </c>
      <c r="N1390" s="148">
        <v>-232.86259000000001</v>
      </c>
      <c r="O1390" s="148">
        <v>-72.418780904991451</v>
      </c>
      <c r="P1390" s="148">
        <v>55.939079999999997</v>
      </c>
      <c r="Q1390" s="148">
        <v>32.748330000000003</v>
      </c>
      <c r="R1390" s="148">
        <v>58.542846968523612</v>
      </c>
    </row>
    <row r="1391" spans="2:18" ht="15.75" hidden="1" thickBot="1" x14ac:dyDescent="0.3">
      <c r="B1391" s="725" t="s">
        <v>729</v>
      </c>
      <c r="C1391" s="144" t="s">
        <v>87</v>
      </c>
      <c r="D1391" t="s">
        <v>87</v>
      </c>
      <c r="E1391" s="147">
        <v>-29.232250000000001</v>
      </c>
      <c r="F1391" s="147">
        <v>103.63111000000001</v>
      </c>
      <c r="G1391" s="147">
        <v>-132.86336</v>
      </c>
      <c r="H1391" s="147">
        <v>-128.20798696453218</v>
      </c>
      <c r="I1391" s="729"/>
      <c r="J1391" s="147">
        <v>-29.232250000000001</v>
      </c>
      <c r="K1391" s="147">
        <v>0</v>
      </c>
      <c r="L1391" s="147">
        <v>730.99865</v>
      </c>
      <c r="M1391" s="147">
        <v>1238.74172</v>
      </c>
      <c r="N1391" s="147">
        <v>-507.74306999999999</v>
      </c>
      <c r="O1391" s="147">
        <v>-40.988614640346498</v>
      </c>
      <c r="P1391" s="147">
        <v>397.56529999999998</v>
      </c>
      <c r="Q1391" s="147">
        <v>333.43335000000002</v>
      </c>
      <c r="R1391" s="147">
        <v>83.868826077124936</v>
      </c>
    </row>
    <row r="1392" spans="2:18" ht="15.75" hidden="1" thickBot="1" x14ac:dyDescent="0.3">
      <c r="B1392" s="723" t="s">
        <v>731</v>
      </c>
      <c r="C1392" s="722" t="s">
        <v>59</v>
      </c>
      <c r="D1392" t="s">
        <v>60</v>
      </c>
      <c r="E1392" s="148">
        <v>540.61800000000005</v>
      </c>
      <c r="F1392" s="148">
        <v>615.44898000000001</v>
      </c>
      <c r="G1392" s="148">
        <v>-74.830979999999997</v>
      </c>
      <c r="H1392" s="148">
        <v>-12.158762534629597</v>
      </c>
      <c r="I1392" s="728"/>
      <c r="J1392" s="148">
        <v>540.61800000000005</v>
      </c>
      <c r="K1392" s="148">
        <v>0</v>
      </c>
      <c r="L1392" s="148">
        <v>6844.95244</v>
      </c>
      <c r="M1392" s="148">
        <v>7341.3023300000004</v>
      </c>
      <c r="N1392" s="148">
        <v>-496.34989000000002</v>
      </c>
      <c r="O1392" s="148">
        <v>-6.7610604724952115</v>
      </c>
      <c r="P1392" s="148">
        <v>3448.1275099999998</v>
      </c>
      <c r="Q1392" s="148">
        <v>3396.8249300000002</v>
      </c>
      <c r="R1392" s="148">
        <v>98.512161170049069</v>
      </c>
    </row>
    <row r="1393" spans="2:18" ht="15.75" hidden="1" thickBot="1" x14ac:dyDescent="0.3">
      <c r="B1393" s="723" t="s">
        <v>731</v>
      </c>
      <c r="C1393" s="722" t="s">
        <v>566</v>
      </c>
      <c r="D1393" t="s">
        <v>567</v>
      </c>
      <c r="E1393" s="729"/>
      <c r="F1393" s="729"/>
      <c r="G1393" s="729"/>
      <c r="H1393" s="729"/>
      <c r="I1393" s="729"/>
      <c r="J1393" s="729"/>
      <c r="K1393" s="729"/>
      <c r="L1393" s="147">
        <v>1.1508499999999999</v>
      </c>
      <c r="M1393" s="729"/>
      <c r="N1393" s="147">
        <v>1.1508499999999999</v>
      </c>
      <c r="O1393" s="147">
        <v>0</v>
      </c>
      <c r="P1393" s="147">
        <v>1.1508499999999999</v>
      </c>
      <c r="Q1393" s="147">
        <v>0</v>
      </c>
      <c r="R1393" s="147">
        <v>0</v>
      </c>
    </row>
    <row r="1394" spans="2:18" ht="15.75" hidden="1" thickBot="1" x14ac:dyDescent="0.3">
      <c r="B1394" s="723" t="s">
        <v>731</v>
      </c>
      <c r="C1394" s="722" t="s">
        <v>89</v>
      </c>
      <c r="D1394" t="s">
        <v>90</v>
      </c>
      <c r="E1394" s="148">
        <v>2.6227999999999998</v>
      </c>
      <c r="F1394" s="728"/>
      <c r="G1394" s="148">
        <v>2.6227999999999998</v>
      </c>
      <c r="H1394" s="148">
        <v>0</v>
      </c>
      <c r="I1394" s="728"/>
      <c r="J1394" s="148">
        <v>2.6227999999999998</v>
      </c>
      <c r="K1394" s="148">
        <v>0</v>
      </c>
      <c r="L1394" s="148">
        <v>17.847359999999998</v>
      </c>
      <c r="M1394" s="728"/>
      <c r="N1394" s="148">
        <v>17.847359999999998</v>
      </c>
      <c r="O1394" s="148">
        <v>0</v>
      </c>
      <c r="P1394" s="148">
        <v>13.02093</v>
      </c>
      <c r="Q1394" s="148">
        <v>4.8264300000000002</v>
      </c>
      <c r="R1394" s="148">
        <v>37.066707216765622</v>
      </c>
    </row>
    <row r="1395" spans="2:18" ht="15.75" hidden="1" thickBot="1" x14ac:dyDescent="0.3">
      <c r="B1395" s="723" t="s">
        <v>731</v>
      </c>
      <c r="C1395" s="722" t="s">
        <v>91</v>
      </c>
      <c r="D1395" t="s">
        <v>92</v>
      </c>
      <c r="E1395" s="147">
        <v>76.028199999999998</v>
      </c>
      <c r="F1395" s="147">
        <v>91.053079999999994</v>
      </c>
      <c r="G1395" s="147">
        <v>-15.02488</v>
      </c>
      <c r="H1395" s="147">
        <v>-16.501232028614517</v>
      </c>
      <c r="I1395" s="729"/>
      <c r="J1395" s="147">
        <v>76.028199999999998</v>
      </c>
      <c r="K1395" s="147">
        <v>0</v>
      </c>
      <c r="L1395" s="147">
        <v>1003.25793</v>
      </c>
      <c r="M1395" s="147">
        <v>1063.46441</v>
      </c>
      <c r="N1395" s="147">
        <v>-60.206479999999999</v>
      </c>
      <c r="O1395" s="147">
        <v>-5.661353537914823</v>
      </c>
      <c r="P1395" s="147">
        <v>544.54792999999995</v>
      </c>
      <c r="Q1395" s="147">
        <v>458.71</v>
      </c>
      <c r="R1395" s="147">
        <v>84.236845781417259</v>
      </c>
    </row>
    <row r="1396" spans="2:18" ht="15.75" hidden="1" thickBot="1" x14ac:dyDescent="0.3">
      <c r="B1396" s="723" t="s">
        <v>731</v>
      </c>
      <c r="C1396" s="722" t="s">
        <v>93</v>
      </c>
      <c r="D1396" t="s">
        <v>94</v>
      </c>
      <c r="E1396" s="148">
        <v>5.9181499999999998</v>
      </c>
      <c r="F1396" s="148">
        <v>5.6450500000000003</v>
      </c>
      <c r="G1396" s="148">
        <v>0.27310000000000001</v>
      </c>
      <c r="H1396" s="148">
        <v>4.8378668036598436</v>
      </c>
      <c r="I1396" s="728"/>
      <c r="J1396" s="148">
        <v>5.9181499999999998</v>
      </c>
      <c r="K1396" s="148">
        <v>0</v>
      </c>
      <c r="L1396" s="148">
        <v>132.17115000000001</v>
      </c>
      <c r="M1396" s="148">
        <v>65.931979999999996</v>
      </c>
      <c r="N1396" s="148">
        <v>66.239170000000001</v>
      </c>
      <c r="O1396" s="148">
        <v>100.46591957347557</v>
      </c>
      <c r="P1396" s="148">
        <v>74.12106</v>
      </c>
      <c r="Q1396" s="148">
        <v>58.050089999999997</v>
      </c>
      <c r="R1396" s="148">
        <v>78.317943645166437</v>
      </c>
    </row>
    <row r="1397" spans="2:18" ht="15.75" hidden="1" thickBot="1" x14ac:dyDescent="0.3">
      <c r="B1397" s="723" t="s">
        <v>731</v>
      </c>
      <c r="C1397" s="722" t="s">
        <v>159</v>
      </c>
      <c r="D1397" t="s">
        <v>160</v>
      </c>
      <c r="E1397" s="147">
        <v>1.45414</v>
      </c>
      <c r="F1397" s="147">
        <v>1.32623</v>
      </c>
      <c r="G1397" s="147">
        <v>0.12791</v>
      </c>
      <c r="H1397" s="147">
        <v>9.6446317757854967</v>
      </c>
      <c r="I1397" s="729"/>
      <c r="J1397" s="147">
        <v>1.45414</v>
      </c>
      <c r="K1397" s="147">
        <v>0</v>
      </c>
      <c r="L1397" s="147">
        <v>20.831189999999999</v>
      </c>
      <c r="M1397" s="147">
        <v>15.48983</v>
      </c>
      <c r="N1397" s="147">
        <v>5.3413599999999999</v>
      </c>
      <c r="O1397" s="147">
        <v>34.483012402331077</v>
      </c>
      <c r="P1397" s="147">
        <v>11.86232</v>
      </c>
      <c r="Q1397" s="147">
        <v>8.9688700000000008</v>
      </c>
      <c r="R1397" s="147">
        <v>75.6080598061762</v>
      </c>
    </row>
    <row r="1398" spans="2:18" ht="15.75" hidden="1" thickBot="1" x14ac:dyDescent="0.3">
      <c r="B1398" s="723" t="s">
        <v>731</v>
      </c>
      <c r="C1398" s="722" t="s">
        <v>134</v>
      </c>
      <c r="D1398" t="s">
        <v>135</v>
      </c>
      <c r="E1398" s="148">
        <v>4.4543999999999997</v>
      </c>
      <c r="F1398" s="728"/>
      <c r="G1398" s="148">
        <v>4.4543999999999997</v>
      </c>
      <c r="H1398" s="148">
        <v>0</v>
      </c>
      <c r="I1398" s="728"/>
      <c r="J1398" s="148">
        <v>4.4543999999999997</v>
      </c>
      <c r="K1398" s="148">
        <v>0</v>
      </c>
      <c r="L1398" s="148">
        <v>54.012270000000001</v>
      </c>
      <c r="M1398" s="728"/>
      <c r="N1398" s="148">
        <v>54.012270000000001</v>
      </c>
      <c r="O1398" s="148">
        <v>0</v>
      </c>
      <c r="P1398" s="148">
        <v>15.90662</v>
      </c>
      <c r="Q1398" s="148">
        <v>38.105649999999997</v>
      </c>
      <c r="R1398" s="148">
        <v>239.55843541871246</v>
      </c>
    </row>
    <row r="1399" spans="2:18" ht="15.75" hidden="1" thickBot="1" x14ac:dyDescent="0.3">
      <c r="B1399" s="723" t="s">
        <v>731</v>
      </c>
      <c r="C1399" s="722" t="s">
        <v>568</v>
      </c>
      <c r="D1399" t="s">
        <v>569</v>
      </c>
      <c r="E1399" s="147">
        <v>0.67725000000000002</v>
      </c>
      <c r="F1399" s="147">
        <v>1.7653000000000001</v>
      </c>
      <c r="G1399" s="147">
        <v>-1.08805</v>
      </c>
      <c r="H1399" s="147">
        <v>-61.635416076587546</v>
      </c>
      <c r="I1399" s="729"/>
      <c r="J1399" s="147">
        <v>0.67725000000000002</v>
      </c>
      <c r="K1399" s="147">
        <v>0</v>
      </c>
      <c r="L1399" s="147">
        <v>21.623529999999999</v>
      </c>
      <c r="M1399" s="147">
        <v>21.07246</v>
      </c>
      <c r="N1399" s="147">
        <v>0.55106999999999995</v>
      </c>
      <c r="O1399" s="147">
        <v>2.6151194497462567</v>
      </c>
      <c r="P1399" s="147">
        <v>11.65828</v>
      </c>
      <c r="Q1399" s="147">
        <v>9.9652499999999993</v>
      </c>
      <c r="R1399" s="147">
        <v>85.477874952394345</v>
      </c>
    </row>
    <row r="1400" spans="2:18" ht="15.75" hidden="1" thickBot="1" x14ac:dyDescent="0.3">
      <c r="B1400" s="723" t="s">
        <v>731</v>
      </c>
      <c r="C1400" s="722" t="s">
        <v>61</v>
      </c>
      <c r="D1400" t="s">
        <v>62</v>
      </c>
      <c r="E1400" s="148">
        <v>105.87390000000001</v>
      </c>
      <c r="F1400" s="148">
        <v>109.98699000000001</v>
      </c>
      <c r="G1400" s="148">
        <v>-4.1130899999999997</v>
      </c>
      <c r="H1400" s="148">
        <v>-3.7396150217402986</v>
      </c>
      <c r="I1400" s="728"/>
      <c r="J1400" s="148">
        <v>105.87390000000001</v>
      </c>
      <c r="K1400" s="148">
        <v>0</v>
      </c>
      <c r="L1400" s="148">
        <v>1210.7533900000001</v>
      </c>
      <c r="M1400" s="148">
        <v>1308.40589</v>
      </c>
      <c r="N1400" s="148">
        <v>-97.652500000000003</v>
      </c>
      <c r="O1400" s="148">
        <v>-7.4634714461580423</v>
      </c>
      <c r="P1400" s="148">
        <v>599.34334000000001</v>
      </c>
      <c r="Q1400" s="148">
        <v>611.41004999999996</v>
      </c>
      <c r="R1400" s="148">
        <v>102.01332177979987</v>
      </c>
    </row>
    <row r="1401" spans="2:18" ht="15.75" hidden="1" thickBot="1" x14ac:dyDescent="0.3">
      <c r="B1401" s="723" t="s">
        <v>731</v>
      </c>
      <c r="C1401" s="722" t="s">
        <v>63</v>
      </c>
      <c r="D1401" t="s">
        <v>64</v>
      </c>
      <c r="E1401" s="147">
        <v>411.71625</v>
      </c>
      <c r="F1401" s="147">
        <v>427.88492000000002</v>
      </c>
      <c r="G1401" s="147">
        <v>-16.168669999999999</v>
      </c>
      <c r="H1401" s="147">
        <v>-3.7787426581894965</v>
      </c>
      <c r="I1401" s="729"/>
      <c r="J1401" s="147">
        <v>411.71625</v>
      </c>
      <c r="K1401" s="147">
        <v>0</v>
      </c>
      <c r="L1401" s="147">
        <v>4720.6261100000002</v>
      </c>
      <c r="M1401" s="147">
        <v>5090.1213600000001</v>
      </c>
      <c r="N1401" s="147">
        <v>-369.49525</v>
      </c>
      <c r="O1401" s="147">
        <v>-7.2590656266788889</v>
      </c>
      <c r="P1401" s="147">
        <v>2341.1015499999999</v>
      </c>
      <c r="Q1401" s="147">
        <v>2379.5245599999998</v>
      </c>
      <c r="R1401" s="147">
        <v>101.64123636584667</v>
      </c>
    </row>
    <row r="1402" spans="2:18" ht="15.75" hidden="1" thickBot="1" x14ac:dyDescent="0.3">
      <c r="B1402" s="723" t="s">
        <v>731</v>
      </c>
      <c r="C1402" s="722" t="s">
        <v>156</v>
      </c>
      <c r="D1402" t="s">
        <v>157</v>
      </c>
      <c r="E1402" s="728"/>
      <c r="F1402" s="728"/>
      <c r="G1402" s="728"/>
      <c r="H1402" s="728"/>
      <c r="I1402" s="728"/>
      <c r="J1402" s="728"/>
      <c r="K1402" s="728"/>
      <c r="L1402" s="148">
        <v>41.236159999999998</v>
      </c>
      <c r="M1402" s="728"/>
      <c r="N1402" s="148">
        <v>41.236159999999998</v>
      </c>
      <c r="O1402" s="148">
        <v>0</v>
      </c>
      <c r="P1402" s="148">
        <v>32.393230000000003</v>
      </c>
      <c r="Q1402" s="148">
        <v>8.8429300000000008</v>
      </c>
      <c r="R1402" s="148">
        <v>27.298697906939196</v>
      </c>
    </row>
    <row r="1403" spans="2:18" ht="15.75" hidden="1" thickBot="1" x14ac:dyDescent="0.3">
      <c r="B1403" s="723" t="s">
        <v>731</v>
      </c>
      <c r="C1403" s="722" t="s">
        <v>182</v>
      </c>
      <c r="D1403" t="s">
        <v>183</v>
      </c>
      <c r="E1403" s="729"/>
      <c r="F1403" s="729"/>
      <c r="G1403" s="729"/>
      <c r="H1403" s="729"/>
      <c r="I1403" s="729"/>
      <c r="J1403" s="729"/>
      <c r="K1403" s="729"/>
      <c r="L1403" s="147">
        <v>7.1791200000000002</v>
      </c>
      <c r="M1403" s="729"/>
      <c r="N1403" s="147">
        <v>7.1791200000000002</v>
      </c>
      <c r="O1403" s="147">
        <v>0</v>
      </c>
      <c r="P1403" s="147">
        <v>5.1624299999999996</v>
      </c>
      <c r="Q1403" s="147">
        <v>2.0166900000000001</v>
      </c>
      <c r="R1403" s="147">
        <v>39.064742766487875</v>
      </c>
    </row>
    <row r="1404" spans="2:18" ht="15.75" hidden="1" thickBot="1" x14ac:dyDescent="0.3">
      <c r="B1404" s="723" t="s">
        <v>731</v>
      </c>
      <c r="C1404" s="722" t="s">
        <v>184</v>
      </c>
      <c r="D1404" t="s">
        <v>185</v>
      </c>
      <c r="E1404" s="148">
        <v>58.314230000000002</v>
      </c>
      <c r="F1404" s="148">
        <v>1.1750100000000001</v>
      </c>
      <c r="G1404" s="148">
        <v>57.139220000000002</v>
      </c>
      <c r="H1404" s="148">
        <v>4862.8709542897504</v>
      </c>
      <c r="I1404" s="728"/>
      <c r="J1404" s="148">
        <v>58.314230000000002</v>
      </c>
      <c r="K1404" s="148">
        <v>0</v>
      </c>
      <c r="L1404" s="148">
        <v>715.93068000000005</v>
      </c>
      <c r="M1404" s="148">
        <v>13.723699999999999</v>
      </c>
      <c r="N1404" s="148">
        <v>702.20698000000004</v>
      </c>
      <c r="O1404" s="148">
        <v>5116.7467956892087</v>
      </c>
      <c r="P1404" s="148">
        <v>434.18238000000002</v>
      </c>
      <c r="Q1404" s="148">
        <v>281.74829999999997</v>
      </c>
      <c r="R1404" s="148">
        <v>64.891693670295879</v>
      </c>
    </row>
    <row r="1405" spans="2:18" ht="15.75" hidden="1" thickBot="1" x14ac:dyDescent="0.3">
      <c r="B1405" s="723" t="s">
        <v>731</v>
      </c>
      <c r="C1405" s="722" t="s">
        <v>161</v>
      </c>
      <c r="D1405" t="s">
        <v>162</v>
      </c>
      <c r="E1405" s="147">
        <v>5.5963900000000004</v>
      </c>
      <c r="F1405" s="729"/>
      <c r="G1405" s="147">
        <v>5.5963900000000004</v>
      </c>
      <c r="H1405" s="147">
        <v>0</v>
      </c>
      <c r="I1405" s="729"/>
      <c r="J1405" s="147">
        <v>5.5963900000000004</v>
      </c>
      <c r="K1405" s="147">
        <v>0</v>
      </c>
      <c r="L1405" s="147">
        <v>87.774370000000005</v>
      </c>
      <c r="M1405" s="729"/>
      <c r="N1405" s="147">
        <v>87.774370000000005</v>
      </c>
      <c r="O1405" s="147">
        <v>0</v>
      </c>
      <c r="P1405" s="147">
        <v>53.936300000000003</v>
      </c>
      <c r="Q1405" s="147">
        <v>33.838070000000002</v>
      </c>
      <c r="R1405" s="147">
        <v>62.737099133607607</v>
      </c>
    </row>
    <row r="1406" spans="2:18" ht="15.75" hidden="1" thickBot="1" x14ac:dyDescent="0.3">
      <c r="B1406" s="723" t="s">
        <v>731</v>
      </c>
      <c r="C1406" s="722" t="s">
        <v>65</v>
      </c>
      <c r="D1406" t="s">
        <v>66</v>
      </c>
      <c r="E1406" s="148">
        <v>-136.47653</v>
      </c>
      <c r="F1406" s="148">
        <v>-115.60046</v>
      </c>
      <c r="G1406" s="148">
        <v>-20.876069999999999</v>
      </c>
      <c r="H1406" s="148">
        <v>-18.058812222719528</v>
      </c>
      <c r="I1406" s="728"/>
      <c r="J1406" s="148">
        <v>-136.47653</v>
      </c>
      <c r="K1406" s="148">
        <v>0</v>
      </c>
      <c r="L1406" s="148">
        <v>-1524.7581299999999</v>
      </c>
      <c r="M1406" s="148">
        <v>-1376.21426</v>
      </c>
      <c r="N1406" s="148">
        <v>-148.54387</v>
      </c>
      <c r="O1406" s="148">
        <v>-10.793658685094572</v>
      </c>
      <c r="P1406" s="148">
        <v>-622.79002000000003</v>
      </c>
      <c r="Q1406" s="148">
        <v>-901.96811000000002</v>
      </c>
      <c r="R1406" s="148">
        <v>-144.82700124192741</v>
      </c>
    </row>
    <row r="1407" spans="2:18" ht="15.75" hidden="1" thickBot="1" x14ac:dyDescent="0.3">
      <c r="B1407" s="723" t="s">
        <v>731</v>
      </c>
      <c r="C1407" s="722" t="s">
        <v>186</v>
      </c>
      <c r="D1407" t="s">
        <v>187</v>
      </c>
      <c r="E1407" s="729"/>
      <c r="F1407" s="729"/>
      <c r="G1407" s="729"/>
      <c r="H1407" s="729"/>
      <c r="I1407" s="729"/>
      <c r="J1407" s="729"/>
      <c r="K1407" s="729"/>
      <c r="L1407" s="147">
        <v>-18.275020000000001</v>
      </c>
      <c r="M1407" s="729"/>
      <c r="N1407" s="147">
        <v>-18.275020000000001</v>
      </c>
      <c r="O1407" s="147">
        <v>0</v>
      </c>
      <c r="P1407" s="147">
        <v>-13.986330000000001</v>
      </c>
      <c r="Q1407" s="147">
        <v>-4.2886899999999999</v>
      </c>
      <c r="R1407" s="147">
        <v>-30.663440659558297</v>
      </c>
    </row>
    <row r="1408" spans="2:18" ht="15.75" hidden="1" thickBot="1" x14ac:dyDescent="0.3">
      <c r="B1408" s="723" t="s">
        <v>731</v>
      </c>
      <c r="C1408" s="722" t="s">
        <v>163</v>
      </c>
      <c r="D1408" t="s">
        <v>164</v>
      </c>
      <c r="E1408" s="148">
        <v>-72.553460000000001</v>
      </c>
      <c r="F1408" s="148">
        <v>-19.084720000000001</v>
      </c>
      <c r="G1408" s="148">
        <v>-53.468739999999997</v>
      </c>
      <c r="H1408" s="148">
        <v>-280.16517926382988</v>
      </c>
      <c r="I1408" s="728"/>
      <c r="J1408" s="148">
        <v>-72.553460000000001</v>
      </c>
      <c r="K1408" s="148">
        <v>0</v>
      </c>
      <c r="L1408" s="148">
        <v>-1065.3758700000001</v>
      </c>
      <c r="M1408" s="148">
        <v>-222.90217999999999</v>
      </c>
      <c r="N1408" s="148">
        <v>-842.47369000000003</v>
      </c>
      <c r="O1408" s="148">
        <v>-377.95668485611043</v>
      </c>
      <c r="P1408" s="148">
        <v>-595.71907999999996</v>
      </c>
      <c r="Q1408" s="148">
        <v>-469.65679</v>
      </c>
      <c r="R1408" s="148">
        <v>-78.838634814248351</v>
      </c>
    </row>
    <row r="1409" spans="2:18" ht="15.75" hidden="1" thickBot="1" x14ac:dyDescent="0.3">
      <c r="B1409" s="723" t="s">
        <v>731</v>
      </c>
      <c r="C1409" s="722" t="s">
        <v>97</v>
      </c>
      <c r="D1409" t="s">
        <v>98</v>
      </c>
      <c r="E1409" s="147">
        <v>-7.2136500000000003</v>
      </c>
      <c r="F1409" s="729"/>
      <c r="G1409" s="147">
        <v>-7.2136500000000003</v>
      </c>
      <c r="H1409" s="147">
        <v>0</v>
      </c>
      <c r="I1409" s="729"/>
      <c r="J1409" s="147">
        <v>-7.2136500000000003</v>
      </c>
      <c r="K1409" s="147">
        <v>0</v>
      </c>
      <c r="L1409" s="147">
        <v>-149.05700999999999</v>
      </c>
      <c r="M1409" s="729"/>
      <c r="N1409" s="147">
        <v>-149.05700999999999</v>
      </c>
      <c r="O1409" s="147">
        <v>0</v>
      </c>
      <c r="P1409" s="147">
        <v>-82.448059999999998</v>
      </c>
      <c r="Q1409" s="147">
        <v>-66.608949999999993</v>
      </c>
      <c r="R1409" s="147">
        <v>-80.788983997925484</v>
      </c>
    </row>
    <row r="1410" spans="2:18" ht="15.75" hidden="1" thickBot="1" x14ac:dyDescent="0.3">
      <c r="B1410" s="723" t="s">
        <v>731</v>
      </c>
      <c r="C1410" s="149" t="s">
        <v>67</v>
      </c>
      <c r="D1410" t="s">
        <v>68</v>
      </c>
      <c r="E1410" s="148">
        <v>997.03007000000002</v>
      </c>
      <c r="F1410" s="148">
        <v>1119.6003800000001</v>
      </c>
      <c r="G1410" s="148">
        <v>-122.57031000000001</v>
      </c>
      <c r="H1410" s="148">
        <v>-10.947683851268431</v>
      </c>
      <c r="I1410" s="728"/>
      <c r="J1410" s="148">
        <v>997.03007000000002</v>
      </c>
      <c r="K1410" s="148">
        <v>0</v>
      </c>
      <c r="L1410" s="148">
        <v>12121.880520000001</v>
      </c>
      <c r="M1410" s="148">
        <v>13320.39552</v>
      </c>
      <c r="N1410" s="148">
        <v>-1198.5150000000001</v>
      </c>
      <c r="O1410" s="148">
        <v>-8.9975931885842382</v>
      </c>
      <c r="P1410" s="148">
        <v>6271.5712400000002</v>
      </c>
      <c r="Q1410" s="148">
        <v>5850.3092800000004</v>
      </c>
      <c r="R1410" s="148">
        <v>93.282991711659164</v>
      </c>
    </row>
    <row r="1411" spans="2:18" ht="15.75" hidden="1" thickBot="1" x14ac:dyDescent="0.3">
      <c r="B1411" s="723" t="s">
        <v>731</v>
      </c>
      <c r="C1411" s="722" t="s">
        <v>69</v>
      </c>
      <c r="D1411" t="s">
        <v>70</v>
      </c>
      <c r="E1411" s="147">
        <v>7.65</v>
      </c>
      <c r="F1411" s="147">
        <v>11.22803</v>
      </c>
      <c r="G1411" s="147">
        <v>-3.57803</v>
      </c>
      <c r="H1411" s="147">
        <v>-31.866943711407966</v>
      </c>
      <c r="I1411" s="729"/>
      <c r="J1411" s="147">
        <v>7.65</v>
      </c>
      <c r="K1411" s="147">
        <v>0</v>
      </c>
      <c r="L1411" s="147">
        <v>197.47268</v>
      </c>
      <c r="M1411" s="147">
        <v>137.4</v>
      </c>
      <c r="N1411" s="147">
        <v>60.072679999999998</v>
      </c>
      <c r="O1411" s="147">
        <v>43.721018922852984</v>
      </c>
      <c r="P1411" s="147">
        <v>105.08732000000001</v>
      </c>
      <c r="Q1411" s="147">
        <v>92.385360000000006</v>
      </c>
      <c r="R1411" s="147">
        <v>87.912947061548437</v>
      </c>
    </row>
    <row r="1412" spans="2:18" ht="15.75" hidden="1" thickBot="1" x14ac:dyDescent="0.3">
      <c r="B1412" s="723" t="s">
        <v>731</v>
      </c>
      <c r="C1412" s="722" t="s">
        <v>99</v>
      </c>
      <c r="D1412" t="s">
        <v>100</v>
      </c>
      <c r="E1412" s="148">
        <v>6.9827599999999999</v>
      </c>
      <c r="F1412" s="148">
        <v>7.774</v>
      </c>
      <c r="G1412" s="148">
        <v>-0.79124000000000005</v>
      </c>
      <c r="H1412" s="148">
        <v>-10.178029328531</v>
      </c>
      <c r="I1412" s="728"/>
      <c r="J1412" s="148">
        <v>6.9827599999999999</v>
      </c>
      <c r="K1412" s="148">
        <v>0</v>
      </c>
      <c r="L1412" s="148">
        <v>70.571789999999993</v>
      </c>
      <c r="M1412" s="148">
        <v>94.54</v>
      </c>
      <c r="N1412" s="148">
        <v>-23.968209999999999</v>
      </c>
      <c r="O1412" s="148">
        <v>-25.352453987730062</v>
      </c>
      <c r="P1412" s="148">
        <v>31.678719999999998</v>
      </c>
      <c r="Q1412" s="148">
        <v>38.893070000000002</v>
      </c>
      <c r="R1412" s="148">
        <v>122.7734895854378</v>
      </c>
    </row>
    <row r="1413" spans="2:18" ht="15.75" hidden="1" thickBot="1" x14ac:dyDescent="0.3">
      <c r="B1413" s="723" t="s">
        <v>731</v>
      </c>
      <c r="C1413" s="722" t="s">
        <v>165</v>
      </c>
      <c r="D1413" t="s">
        <v>166</v>
      </c>
      <c r="E1413" s="147">
        <v>0.29333999999999999</v>
      </c>
      <c r="F1413" s="729"/>
      <c r="G1413" s="147">
        <v>0.29333999999999999</v>
      </c>
      <c r="H1413" s="147">
        <v>0</v>
      </c>
      <c r="I1413" s="729"/>
      <c r="J1413" s="147">
        <v>0.29333999999999999</v>
      </c>
      <c r="K1413" s="147">
        <v>0</v>
      </c>
      <c r="L1413" s="147">
        <v>6.6735499999999996</v>
      </c>
      <c r="M1413" s="729"/>
      <c r="N1413" s="147">
        <v>6.6735499999999996</v>
      </c>
      <c r="O1413" s="147">
        <v>0</v>
      </c>
      <c r="P1413" s="147">
        <v>3.2955199999999998</v>
      </c>
      <c r="Q1413" s="147">
        <v>3.3780299999999999</v>
      </c>
      <c r="R1413" s="147">
        <v>102.50370199543623</v>
      </c>
    </row>
    <row r="1414" spans="2:18" ht="15.75" hidden="1" thickBot="1" x14ac:dyDescent="0.3">
      <c r="B1414" s="723" t="s">
        <v>731</v>
      </c>
      <c r="C1414" s="722" t="s">
        <v>137</v>
      </c>
      <c r="D1414" t="s">
        <v>138</v>
      </c>
      <c r="E1414" s="148">
        <v>0.28895999999999999</v>
      </c>
      <c r="F1414" s="148">
        <v>0.12</v>
      </c>
      <c r="G1414" s="148">
        <v>0.16896</v>
      </c>
      <c r="H1414" s="148">
        <v>140.80000000000001</v>
      </c>
      <c r="I1414" s="728"/>
      <c r="J1414" s="148">
        <v>0.28895999999999999</v>
      </c>
      <c r="K1414" s="148">
        <v>0</v>
      </c>
      <c r="L1414" s="148">
        <v>2.81792</v>
      </c>
      <c r="M1414" s="148">
        <v>1.44</v>
      </c>
      <c r="N1414" s="148">
        <v>1.37792</v>
      </c>
      <c r="O1414" s="148">
        <v>95.688888888888883</v>
      </c>
      <c r="P1414" s="148">
        <v>1.3774200000000001</v>
      </c>
      <c r="Q1414" s="148">
        <v>1.4404999999999999</v>
      </c>
      <c r="R1414" s="148">
        <v>104.57957630933194</v>
      </c>
    </row>
    <row r="1415" spans="2:18" ht="15.75" hidden="1" thickBot="1" x14ac:dyDescent="0.3">
      <c r="B1415" s="723" t="s">
        <v>731</v>
      </c>
      <c r="C1415" s="722" t="s">
        <v>190</v>
      </c>
      <c r="D1415" t="s">
        <v>191</v>
      </c>
      <c r="E1415" s="147">
        <v>0.79496999999999995</v>
      </c>
      <c r="F1415" s="147">
        <v>0.78400000000000003</v>
      </c>
      <c r="G1415" s="147">
        <v>1.0970000000000001E-2</v>
      </c>
      <c r="H1415" s="147">
        <v>1.3992346938775511</v>
      </c>
      <c r="I1415" s="729"/>
      <c r="J1415" s="147">
        <v>0.79496999999999995</v>
      </c>
      <c r="K1415" s="147">
        <v>0</v>
      </c>
      <c r="L1415" s="147">
        <v>10.23814</v>
      </c>
      <c r="M1415" s="147">
        <v>9.4079999999999995</v>
      </c>
      <c r="N1415" s="147">
        <v>0.83013999999999999</v>
      </c>
      <c r="O1415" s="147">
        <v>8.8237670068027203</v>
      </c>
      <c r="P1415" s="147">
        <v>5.0949</v>
      </c>
      <c r="Q1415" s="147">
        <v>5.1432399999999996</v>
      </c>
      <c r="R1415" s="147">
        <v>100.94879192918408</v>
      </c>
    </row>
    <row r="1416" spans="2:18" ht="15.75" hidden="1" thickBot="1" x14ac:dyDescent="0.3">
      <c r="B1416" s="723" t="s">
        <v>731</v>
      </c>
      <c r="C1416" s="722" t="s">
        <v>36</v>
      </c>
      <c r="D1416" t="s">
        <v>192</v>
      </c>
      <c r="E1416" s="148">
        <v>4.1965000000000003</v>
      </c>
      <c r="F1416" s="148">
        <v>4.3659999999999997</v>
      </c>
      <c r="G1416" s="148">
        <v>-0.16950000000000001</v>
      </c>
      <c r="H1416" s="148">
        <v>-3.8822721026110858</v>
      </c>
      <c r="I1416" s="728"/>
      <c r="J1416" s="148">
        <v>4.1965000000000003</v>
      </c>
      <c r="K1416" s="148">
        <v>0</v>
      </c>
      <c r="L1416" s="148">
        <v>65.362899999999996</v>
      </c>
      <c r="M1416" s="148">
        <v>52.392000000000003</v>
      </c>
      <c r="N1416" s="148">
        <v>12.9709</v>
      </c>
      <c r="O1416" s="148">
        <v>24.757405710795542</v>
      </c>
      <c r="P1416" s="148">
        <v>35.403260000000003</v>
      </c>
      <c r="Q1416" s="148">
        <v>29.95964</v>
      </c>
      <c r="R1416" s="148">
        <v>84.623958358637026</v>
      </c>
    </row>
    <row r="1417" spans="2:18" ht="15.75" hidden="1" thickBot="1" x14ac:dyDescent="0.3">
      <c r="B1417" s="723" t="s">
        <v>731</v>
      </c>
      <c r="C1417" s="722" t="s">
        <v>598</v>
      </c>
      <c r="D1417" t="s">
        <v>168</v>
      </c>
      <c r="E1417" s="147">
        <v>0.11508</v>
      </c>
      <c r="F1417" s="729"/>
      <c r="G1417" s="147">
        <v>0.11508</v>
      </c>
      <c r="H1417" s="147">
        <v>0</v>
      </c>
      <c r="I1417" s="729"/>
      <c r="J1417" s="147">
        <v>0.11508</v>
      </c>
      <c r="K1417" s="147">
        <v>0</v>
      </c>
      <c r="L1417" s="147">
        <v>0.23321</v>
      </c>
      <c r="M1417" s="729"/>
      <c r="N1417" s="147">
        <v>0.23321</v>
      </c>
      <c r="O1417" s="147">
        <v>0</v>
      </c>
      <c r="P1417" s="147">
        <v>0.10814</v>
      </c>
      <c r="Q1417" s="147">
        <v>0.12506999999999999</v>
      </c>
      <c r="R1417" s="147">
        <v>115.65563158868135</v>
      </c>
    </row>
    <row r="1418" spans="2:18" ht="15.75" hidden="1" thickBot="1" x14ac:dyDescent="0.3">
      <c r="B1418" s="723" t="s">
        <v>731</v>
      </c>
      <c r="C1418" s="722" t="s">
        <v>139</v>
      </c>
      <c r="D1418" t="s">
        <v>140</v>
      </c>
      <c r="E1418" s="148">
        <v>2.4249999999999998</v>
      </c>
      <c r="F1418" s="728"/>
      <c r="G1418" s="148">
        <v>2.4249999999999998</v>
      </c>
      <c r="H1418" s="148">
        <v>0</v>
      </c>
      <c r="I1418" s="728"/>
      <c r="J1418" s="148">
        <v>2.4249999999999998</v>
      </c>
      <c r="K1418" s="148">
        <v>0</v>
      </c>
      <c r="L1418" s="148">
        <v>7.0529999999999999</v>
      </c>
      <c r="M1418" s="148">
        <v>12</v>
      </c>
      <c r="N1418" s="148">
        <v>-4.9470000000000001</v>
      </c>
      <c r="O1418" s="148">
        <v>-41.225000000000001</v>
      </c>
      <c r="P1418" s="148">
        <v>2.774</v>
      </c>
      <c r="Q1418" s="148">
        <v>4.2789999999999999</v>
      </c>
      <c r="R1418" s="148">
        <v>154.25378514780101</v>
      </c>
    </row>
    <row r="1419" spans="2:18" ht="15.75" hidden="1" thickBot="1" x14ac:dyDescent="0.3">
      <c r="B1419" s="723" t="s">
        <v>731</v>
      </c>
      <c r="C1419" s="722" t="s">
        <v>169</v>
      </c>
      <c r="D1419" t="s">
        <v>170</v>
      </c>
      <c r="E1419" s="729"/>
      <c r="F1419" s="147">
        <v>0</v>
      </c>
      <c r="G1419" s="147">
        <v>0</v>
      </c>
      <c r="H1419" s="147">
        <v>0</v>
      </c>
      <c r="I1419" s="729"/>
      <c r="J1419" s="729"/>
      <c r="K1419" s="729"/>
      <c r="L1419" s="147">
        <v>33.195590000000003</v>
      </c>
      <c r="M1419" s="147">
        <v>18</v>
      </c>
      <c r="N1419" s="147">
        <v>15.195589999999999</v>
      </c>
      <c r="O1419" s="147">
        <v>84.41994444444444</v>
      </c>
      <c r="P1419" s="147">
        <v>17.915949999999999</v>
      </c>
      <c r="Q1419" s="147">
        <v>15.279640000000001</v>
      </c>
      <c r="R1419" s="147">
        <v>85.285123032828295</v>
      </c>
    </row>
    <row r="1420" spans="2:18" ht="15.75" hidden="1" thickBot="1" x14ac:dyDescent="0.3">
      <c r="B1420" s="723" t="s">
        <v>731</v>
      </c>
      <c r="C1420" s="722" t="s">
        <v>101</v>
      </c>
      <c r="D1420" t="s">
        <v>102</v>
      </c>
      <c r="E1420" s="148">
        <v>129.18351999999999</v>
      </c>
      <c r="F1420" s="148">
        <v>45.474629999999998</v>
      </c>
      <c r="G1420" s="148">
        <v>83.708889999999997</v>
      </c>
      <c r="H1420" s="148">
        <v>184.07822119718182</v>
      </c>
      <c r="I1420" s="728"/>
      <c r="J1420" s="148">
        <v>129.18351999999999</v>
      </c>
      <c r="K1420" s="148">
        <v>0</v>
      </c>
      <c r="L1420" s="148">
        <v>1309.36717</v>
      </c>
      <c r="M1420" s="148">
        <v>565.69600000000003</v>
      </c>
      <c r="N1420" s="148">
        <v>743.67116999999996</v>
      </c>
      <c r="O1420" s="148">
        <v>131.4612742533092</v>
      </c>
      <c r="P1420" s="148">
        <v>550.15774999999996</v>
      </c>
      <c r="Q1420" s="148">
        <v>759.20942000000002</v>
      </c>
      <c r="R1420" s="148">
        <v>137.99849588595271</v>
      </c>
    </row>
    <row r="1421" spans="2:18" ht="15.75" hidden="1" thickBot="1" x14ac:dyDescent="0.3">
      <c r="B1421" s="723" t="s">
        <v>731</v>
      </c>
      <c r="C1421" s="722" t="s">
        <v>464</v>
      </c>
      <c r="D1421" t="s">
        <v>465</v>
      </c>
      <c r="E1421" s="147">
        <v>16.59271</v>
      </c>
      <c r="F1421" s="147">
        <v>8.7200000000000006</v>
      </c>
      <c r="G1421" s="147">
        <v>7.8727099999999997</v>
      </c>
      <c r="H1421" s="147">
        <v>90.283371559633025</v>
      </c>
      <c r="I1421" s="729"/>
      <c r="J1421" s="147">
        <v>16.59271</v>
      </c>
      <c r="K1421" s="147">
        <v>0</v>
      </c>
      <c r="L1421" s="147">
        <v>109.69781</v>
      </c>
      <c r="M1421" s="147">
        <v>100.5</v>
      </c>
      <c r="N1421" s="147">
        <v>9.1978100000000005</v>
      </c>
      <c r="O1421" s="147">
        <v>9.1520497512437817</v>
      </c>
      <c r="P1421" s="147">
        <v>60.987520000000004</v>
      </c>
      <c r="Q1421" s="147">
        <v>48.710290000000001</v>
      </c>
      <c r="R1421" s="147">
        <v>79.869274894273445</v>
      </c>
    </row>
    <row r="1422" spans="2:18" ht="15.75" hidden="1" thickBot="1" x14ac:dyDescent="0.3">
      <c r="B1422" s="723" t="s">
        <v>731</v>
      </c>
      <c r="C1422" s="722" t="s">
        <v>103</v>
      </c>
      <c r="D1422" t="s">
        <v>104</v>
      </c>
      <c r="E1422" s="148">
        <v>0.54322999999999999</v>
      </c>
      <c r="F1422" s="728"/>
      <c r="G1422" s="148">
        <v>0.54322999999999999</v>
      </c>
      <c r="H1422" s="148">
        <v>0</v>
      </c>
      <c r="I1422" s="728"/>
      <c r="J1422" s="148">
        <v>0.54322999999999999</v>
      </c>
      <c r="K1422" s="148">
        <v>0</v>
      </c>
      <c r="L1422" s="148">
        <v>5.2740099999999996</v>
      </c>
      <c r="M1422" s="728"/>
      <c r="N1422" s="148">
        <v>5.2740099999999996</v>
      </c>
      <c r="O1422" s="148">
        <v>0</v>
      </c>
      <c r="P1422" s="148">
        <v>3.69021</v>
      </c>
      <c r="Q1422" s="148">
        <v>1.5838000000000001</v>
      </c>
      <c r="R1422" s="148">
        <v>42.918966671273452</v>
      </c>
    </row>
    <row r="1423" spans="2:18" ht="15.75" hidden="1" thickBot="1" x14ac:dyDescent="0.3">
      <c r="B1423" s="723" t="s">
        <v>731</v>
      </c>
      <c r="C1423" s="722" t="s">
        <v>71</v>
      </c>
      <c r="D1423" t="s">
        <v>72</v>
      </c>
      <c r="E1423" s="147">
        <v>4.0000000000000001E-3</v>
      </c>
      <c r="F1423" s="729"/>
      <c r="G1423" s="147">
        <v>4.0000000000000001E-3</v>
      </c>
      <c r="H1423" s="147">
        <v>0</v>
      </c>
      <c r="I1423" s="729"/>
      <c r="J1423" s="147">
        <v>4.0000000000000001E-3</v>
      </c>
      <c r="K1423" s="147">
        <v>0</v>
      </c>
      <c r="L1423" s="147">
        <v>2.03037</v>
      </c>
      <c r="M1423" s="729"/>
      <c r="N1423" s="147">
        <v>2.03037</v>
      </c>
      <c r="O1423" s="147">
        <v>0</v>
      </c>
      <c r="P1423" s="147">
        <v>0.64126000000000005</v>
      </c>
      <c r="Q1423" s="147">
        <v>1.3891100000000001</v>
      </c>
      <c r="R1423" s="147">
        <v>216.62196301032341</v>
      </c>
    </row>
    <row r="1424" spans="2:18" ht="15.75" hidden="1" thickBot="1" x14ac:dyDescent="0.3">
      <c r="B1424" s="723" t="s">
        <v>731</v>
      </c>
      <c r="C1424" s="722" t="s">
        <v>627</v>
      </c>
      <c r="D1424" t="s">
        <v>628</v>
      </c>
      <c r="E1424" s="148">
        <v>6.6140000000000004E-2</v>
      </c>
      <c r="F1424" s="728"/>
      <c r="G1424" s="148">
        <v>6.6140000000000004E-2</v>
      </c>
      <c r="H1424" s="148">
        <v>0</v>
      </c>
      <c r="I1424" s="728"/>
      <c r="J1424" s="148">
        <v>6.6140000000000004E-2</v>
      </c>
      <c r="K1424" s="148">
        <v>0</v>
      </c>
      <c r="L1424" s="148">
        <v>1.12216</v>
      </c>
      <c r="M1424" s="728"/>
      <c r="N1424" s="148">
        <v>1.12216</v>
      </c>
      <c r="O1424" s="148">
        <v>0</v>
      </c>
      <c r="P1424" s="148">
        <v>0.89746000000000004</v>
      </c>
      <c r="Q1424" s="148">
        <v>0.22470000000000001</v>
      </c>
      <c r="R1424" s="148">
        <v>25.037327568916719</v>
      </c>
    </row>
    <row r="1425" spans="2:18" ht="15.75" hidden="1" thickBot="1" x14ac:dyDescent="0.3">
      <c r="B1425" s="723" t="s">
        <v>731</v>
      </c>
      <c r="C1425" s="722" t="s">
        <v>107</v>
      </c>
      <c r="D1425" t="s">
        <v>108</v>
      </c>
      <c r="E1425" s="147">
        <v>67.500929999999997</v>
      </c>
      <c r="F1425" s="147">
        <v>75.105000000000004</v>
      </c>
      <c r="G1425" s="147">
        <v>-7.6040700000000001</v>
      </c>
      <c r="H1425" s="147">
        <v>-10.124585580187738</v>
      </c>
      <c r="I1425" s="729"/>
      <c r="J1425" s="147">
        <v>67.500929999999997</v>
      </c>
      <c r="K1425" s="147">
        <v>0</v>
      </c>
      <c r="L1425" s="147">
        <v>834.97284999999999</v>
      </c>
      <c r="M1425" s="147">
        <v>901.26</v>
      </c>
      <c r="N1425" s="147">
        <v>-66.287149999999997</v>
      </c>
      <c r="O1425" s="147">
        <v>-7.3549419701307057</v>
      </c>
      <c r="P1425" s="147">
        <v>415.90487999999999</v>
      </c>
      <c r="Q1425" s="147">
        <v>419.06797</v>
      </c>
      <c r="R1425" s="147">
        <v>100.76053207166024</v>
      </c>
    </row>
    <row r="1426" spans="2:18" ht="15.75" hidden="1" thickBot="1" x14ac:dyDescent="0.3">
      <c r="B1426" s="723" t="s">
        <v>731</v>
      </c>
      <c r="C1426" s="722" t="s">
        <v>109</v>
      </c>
      <c r="D1426" t="s">
        <v>110</v>
      </c>
      <c r="E1426" s="148">
        <v>2.3167599999999999</v>
      </c>
      <c r="F1426" s="148">
        <v>5.0149999999999997</v>
      </c>
      <c r="G1426" s="148">
        <v>-2.6982400000000002</v>
      </c>
      <c r="H1426" s="148">
        <v>-53.803389830508472</v>
      </c>
      <c r="I1426" s="728"/>
      <c r="J1426" s="148">
        <v>2.3167599999999999</v>
      </c>
      <c r="K1426" s="148">
        <v>0</v>
      </c>
      <c r="L1426" s="148">
        <v>52.423380000000002</v>
      </c>
      <c r="M1426" s="148">
        <v>60.18</v>
      </c>
      <c r="N1426" s="148">
        <v>-7.7566199999999998</v>
      </c>
      <c r="O1426" s="148">
        <v>-12.889032901296112</v>
      </c>
      <c r="P1426" s="148">
        <v>23.619910000000001</v>
      </c>
      <c r="Q1426" s="148">
        <v>28.803470000000001</v>
      </c>
      <c r="R1426" s="148">
        <v>121.94572290918974</v>
      </c>
    </row>
    <row r="1427" spans="2:18" ht="15.75" hidden="1" thickBot="1" x14ac:dyDescent="0.3">
      <c r="B1427" s="723" t="s">
        <v>731</v>
      </c>
      <c r="C1427" s="722" t="s">
        <v>73</v>
      </c>
      <c r="D1427" t="s">
        <v>74</v>
      </c>
      <c r="E1427" s="147">
        <v>1.52146</v>
      </c>
      <c r="F1427" s="147">
        <v>5.8949999999999996</v>
      </c>
      <c r="G1427" s="147">
        <v>-4.3735400000000002</v>
      </c>
      <c r="H1427" s="147">
        <v>-74.190670059372351</v>
      </c>
      <c r="I1427" s="729"/>
      <c r="J1427" s="147">
        <v>1.52146</v>
      </c>
      <c r="K1427" s="147">
        <v>0</v>
      </c>
      <c r="L1427" s="147">
        <v>73.291120000000006</v>
      </c>
      <c r="M1427" s="147">
        <v>70.739999999999995</v>
      </c>
      <c r="N1427" s="147">
        <v>2.5511200000000001</v>
      </c>
      <c r="O1427" s="147">
        <v>3.6063330506078599</v>
      </c>
      <c r="P1427" s="147">
        <v>43.294519999999999</v>
      </c>
      <c r="Q1427" s="147">
        <v>29.996600000000001</v>
      </c>
      <c r="R1427" s="147">
        <v>69.284981101534328</v>
      </c>
    </row>
    <row r="1428" spans="2:18" ht="15.75" hidden="1" thickBot="1" x14ac:dyDescent="0.3">
      <c r="B1428" s="723" t="s">
        <v>731</v>
      </c>
      <c r="C1428" s="722" t="s">
        <v>111</v>
      </c>
      <c r="D1428" t="s">
        <v>112</v>
      </c>
      <c r="E1428" s="148">
        <v>-0.17175000000000001</v>
      </c>
      <c r="F1428" s="148">
        <v>1.27</v>
      </c>
      <c r="G1428" s="148">
        <v>-1.4417500000000001</v>
      </c>
      <c r="H1428" s="148">
        <v>-113.52362204724409</v>
      </c>
      <c r="I1428" s="728"/>
      <c r="J1428" s="148">
        <v>-0.17175000000000001</v>
      </c>
      <c r="K1428" s="148">
        <v>0</v>
      </c>
      <c r="L1428" s="148">
        <v>10.42923</v>
      </c>
      <c r="M1428" s="148">
        <v>13.97</v>
      </c>
      <c r="N1428" s="148">
        <v>-3.5407700000000002</v>
      </c>
      <c r="O1428" s="148">
        <v>-25.345526127415891</v>
      </c>
      <c r="P1428" s="148">
        <v>2.4472</v>
      </c>
      <c r="Q1428" s="148">
        <v>7.98203</v>
      </c>
      <c r="R1428" s="148">
        <v>326.16990846681921</v>
      </c>
    </row>
    <row r="1429" spans="2:18" ht="15.75" hidden="1" thickBot="1" x14ac:dyDescent="0.3">
      <c r="B1429" s="723" t="s">
        <v>731</v>
      </c>
      <c r="C1429" s="722" t="s">
        <v>141</v>
      </c>
      <c r="D1429" t="s">
        <v>142</v>
      </c>
      <c r="E1429" s="147">
        <v>0.26504</v>
      </c>
      <c r="F1429" s="147">
        <v>0.20832999999999999</v>
      </c>
      <c r="G1429" s="147">
        <v>5.6710000000000003E-2</v>
      </c>
      <c r="H1429" s="147">
        <v>27.221235539768635</v>
      </c>
      <c r="I1429" s="729"/>
      <c r="J1429" s="147">
        <v>0.26504</v>
      </c>
      <c r="K1429" s="147">
        <v>0</v>
      </c>
      <c r="L1429" s="147">
        <v>2.48889</v>
      </c>
      <c r="M1429" s="147">
        <v>2.4999600000000002</v>
      </c>
      <c r="N1429" s="147">
        <v>-1.107E-2</v>
      </c>
      <c r="O1429" s="147">
        <v>-0.44280708491335863</v>
      </c>
      <c r="P1429" s="147">
        <v>1.66465</v>
      </c>
      <c r="Q1429" s="147">
        <v>0.82423999999999997</v>
      </c>
      <c r="R1429" s="147">
        <v>49.514312317904661</v>
      </c>
    </row>
    <row r="1430" spans="2:18" ht="15.75" hidden="1" thickBot="1" x14ac:dyDescent="0.3">
      <c r="B1430" s="723" t="s">
        <v>731</v>
      </c>
      <c r="C1430" s="722" t="s">
        <v>113</v>
      </c>
      <c r="D1430" t="s">
        <v>114</v>
      </c>
      <c r="E1430" s="148">
        <v>1.0991599999999999</v>
      </c>
      <c r="F1430" s="148">
        <v>0.79800000000000004</v>
      </c>
      <c r="G1430" s="148">
        <v>0.30115999999999998</v>
      </c>
      <c r="H1430" s="148">
        <v>37.739348370927317</v>
      </c>
      <c r="I1430" s="728"/>
      <c r="J1430" s="148">
        <v>1.0991599999999999</v>
      </c>
      <c r="K1430" s="148">
        <v>0</v>
      </c>
      <c r="L1430" s="148">
        <v>9.0353300000000001</v>
      </c>
      <c r="M1430" s="148">
        <v>9.5760000000000005</v>
      </c>
      <c r="N1430" s="148">
        <v>-0.54066999999999998</v>
      </c>
      <c r="O1430" s="148">
        <v>-5.6460944026733504</v>
      </c>
      <c r="P1430" s="148">
        <v>5.0795399999999997</v>
      </c>
      <c r="Q1430" s="148">
        <v>3.9557899999999999</v>
      </c>
      <c r="R1430" s="148">
        <v>77.876933738094394</v>
      </c>
    </row>
    <row r="1431" spans="2:18" ht="15.75" hidden="1" thickBot="1" x14ac:dyDescent="0.3">
      <c r="B1431" s="723" t="s">
        <v>731</v>
      </c>
      <c r="C1431" s="722" t="s">
        <v>201</v>
      </c>
      <c r="D1431" t="s">
        <v>202</v>
      </c>
      <c r="E1431" s="147">
        <v>1.16405</v>
      </c>
      <c r="F1431" s="147">
        <v>1.6659999999999999</v>
      </c>
      <c r="G1431" s="147">
        <v>-0.50195000000000001</v>
      </c>
      <c r="H1431" s="147">
        <v>-30.129051620648259</v>
      </c>
      <c r="I1431" s="729"/>
      <c r="J1431" s="147">
        <v>1.16405</v>
      </c>
      <c r="K1431" s="147">
        <v>0</v>
      </c>
      <c r="L1431" s="147">
        <v>18.955829999999999</v>
      </c>
      <c r="M1431" s="147">
        <v>20</v>
      </c>
      <c r="N1431" s="147">
        <v>-1.04417</v>
      </c>
      <c r="O1431" s="147">
        <v>-5.2208500000000004</v>
      </c>
      <c r="P1431" s="147">
        <v>12.40535</v>
      </c>
      <c r="Q1431" s="147">
        <v>6.5504800000000003</v>
      </c>
      <c r="R1431" s="147">
        <v>52.80366938458004</v>
      </c>
    </row>
    <row r="1432" spans="2:18" ht="15.75" hidden="1" thickBot="1" x14ac:dyDescent="0.3">
      <c r="B1432" s="723" t="s">
        <v>731</v>
      </c>
      <c r="C1432" s="722" t="s">
        <v>466</v>
      </c>
      <c r="D1432" t="s">
        <v>467</v>
      </c>
      <c r="E1432" s="148">
        <v>9.7571700000000003</v>
      </c>
      <c r="F1432" s="148">
        <v>9.5269999999999992</v>
      </c>
      <c r="G1432" s="148">
        <v>0.23017000000000001</v>
      </c>
      <c r="H1432" s="148">
        <v>2.4159756481578669</v>
      </c>
      <c r="I1432" s="728"/>
      <c r="J1432" s="148">
        <v>9.7571700000000003</v>
      </c>
      <c r="K1432" s="148">
        <v>0</v>
      </c>
      <c r="L1432" s="148">
        <v>114.39706</v>
      </c>
      <c r="M1432" s="148">
        <v>114.324</v>
      </c>
      <c r="N1432" s="148">
        <v>7.306E-2</v>
      </c>
      <c r="O1432" s="148">
        <v>6.3906091459361117E-2</v>
      </c>
      <c r="P1432" s="148">
        <v>57.254620000000003</v>
      </c>
      <c r="Q1432" s="148">
        <v>57.142440000000001</v>
      </c>
      <c r="R1432" s="148">
        <v>99.804068213185246</v>
      </c>
    </row>
    <row r="1433" spans="2:18" ht="15.75" hidden="1" thickBot="1" x14ac:dyDescent="0.3">
      <c r="B1433" s="723" t="s">
        <v>731</v>
      </c>
      <c r="C1433" s="722" t="s">
        <v>145</v>
      </c>
      <c r="D1433" t="s">
        <v>146</v>
      </c>
      <c r="E1433" s="147">
        <v>0.92649999999999999</v>
      </c>
      <c r="F1433" s="147">
        <v>0.78</v>
      </c>
      <c r="G1433" s="147">
        <v>0.14649999999999999</v>
      </c>
      <c r="H1433" s="147">
        <v>18.782051282051281</v>
      </c>
      <c r="I1433" s="729"/>
      <c r="J1433" s="147">
        <v>0.92649999999999999</v>
      </c>
      <c r="K1433" s="147">
        <v>0</v>
      </c>
      <c r="L1433" s="147">
        <v>9.8097499999999993</v>
      </c>
      <c r="M1433" s="147">
        <v>9.36</v>
      </c>
      <c r="N1433" s="147">
        <v>0.44974999999999998</v>
      </c>
      <c r="O1433" s="147">
        <v>4.8050213675213671</v>
      </c>
      <c r="P1433" s="147">
        <v>4.4428000000000001</v>
      </c>
      <c r="Q1433" s="147">
        <v>5.3669500000000001</v>
      </c>
      <c r="R1433" s="147">
        <v>120.80107139641667</v>
      </c>
    </row>
    <row r="1434" spans="2:18" ht="15.75" hidden="1" thickBot="1" x14ac:dyDescent="0.3">
      <c r="B1434" s="723" t="s">
        <v>731</v>
      </c>
      <c r="C1434" s="722" t="s">
        <v>147</v>
      </c>
      <c r="D1434" t="s">
        <v>148</v>
      </c>
      <c r="E1434" s="148">
        <v>1.9E-2</v>
      </c>
      <c r="F1434" s="728"/>
      <c r="G1434" s="148">
        <v>1.9E-2</v>
      </c>
      <c r="H1434" s="148">
        <v>0</v>
      </c>
      <c r="I1434" s="728"/>
      <c r="J1434" s="148">
        <v>1.9E-2</v>
      </c>
      <c r="K1434" s="148">
        <v>0</v>
      </c>
      <c r="L1434" s="148">
        <v>7.2679999999999995E-2</v>
      </c>
      <c r="M1434" s="728"/>
      <c r="N1434" s="148">
        <v>7.2679999999999995E-2</v>
      </c>
      <c r="O1434" s="148">
        <v>0</v>
      </c>
      <c r="P1434" s="728"/>
      <c r="Q1434" s="148">
        <v>7.2679999999999995E-2</v>
      </c>
      <c r="R1434" s="148">
        <v>0</v>
      </c>
    </row>
    <row r="1435" spans="2:18" ht="15.75" hidden="1" thickBot="1" x14ac:dyDescent="0.3">
      <c r="B1435" s="723" t="s">
        <v>731</v>
      </c>
      <c r="C1435" s="722" t="s">
        <v>203</v>
      </c>
      <c r="D1435" t="s">
        <v>204</v>
      </c>
      <c r="E1435" s="729"/>
      <c r="F1435" s="147">
        <v>0.02</v>
      </c>
      <c r="G1435" s="147">
        <v>-0.02</v>
      </c>
      <c r="H1435" s="147">
        <v>-100</v>
      </c>
      <c r="I1435" s="729"/>
      <c r="J1435" s="729"/>
      <c r="K1435" s="729"/>
      <c r="L1435" s="147">
        <v>0.69298999999999999</v>
      </c>
      <c r="M1435" s="147">
        <v>0.24</v>
      </c>
      <c r="N1435" s="147">
        <v>0.45299</v>
      </c>
      <c r="O1435" s="147">
        <v>188.74583333333334</v>
      </c>
      <c r="P1435" s="147">
        <v>0.69298999999999999</v>
      </c>
      <c r="Q1435" s="147">
        <v>0</v>
      </c>
      <c r="R1435" s="147">
        <v>0</v>
      </c>
    </row>
    <row r="1436" spans="2:18" ht="15.75" hidden="1" thickBot="1" x14ac:dyDescent="0.3">
      <c r="B1436" s="723" t="s">
        <v>731</v>
      </c>
      <c r="C1436" s="722" t="s">
        <v>641</v>
      </c>
      <c r="D1436" t="s">
        <v>642</v>
      </c>
      <c r="E1436" s="728"/>
      <c r="F1436" s="728"/>
      <c r="G1436" s="728"/>
      <c r="H1436" s="728"/>
      <c r="I1436" s="728"/>
      <c r="J1436" s="728"/>
      <c r="K1436" s="728"/>
      <c r="L1436" s="148">
        <v>0.38496000000000002</v>
      </c>
      <c r="M1436" s="728"/>
      <c r="N1436" s="148">
        <v>0.38496000000000002</v>
      </c>
      <c r="O1436" s="148">
        <v>0</v>
      </c>
      <c r="P1436" s="728"/>
      <c r="Q1436" s="148">
        <v>0.38496000000000002</v>
      </c>
      <c r="R1436" s="148">
        <v>0</v>
      </c>
    </row>
    <row r="1437" spans="2:18" ht="15.75" hidden="1" thickBot="1" x14ac:dyDescent="0.3">
      <c r="B1437" s="723" t="s">
        <v>731</v>
      </c>
      <c r="C1437" s="722" t="s">
        <v>149</v>
      </c>
      <c r="D1437" t="s">
        <v>150</v>
      </c>
      <c r="E1437" s="147">
        <v>19.048729999999999</v>
      </c>
      <c r="F1437" s="147">
        <v>7.1029999999999998</v>
      </c>
      <c r="G1437" s="147">
        <v>11.945729999999999</v>
      </c>
      <c r="H1437" s="147">
        <v>168.17865690553288</v>
      </c>
      <c r="I1437" s="729"/>
      <c r="J1437" s="147">
        <v>19.048729999999999</v>
      </c>
      <c r="K1437" s="147">
        <v>0</v>
      </c>
      <c r="L1437" s="147">
        <v>441.84046999999998</v>
      </c>
      <c r="M1437" s="147">
        <v>281.93599999999998</v>
      </c>
      <c r="N1437" s="147">
        <v>159.90447</v>
      </c>
      <c r="O1437" s="147">
        <v>56.716584614948076</v>
      </c>
      <c r="P1437" s="147">
        <v>227.25668999999999</v>
      </c>
      <c r="Q1437" s="147">
        <v>214.58377999999999</v>
      </c>
      <c r="R1437" s="147">
        <v>94.423526101695842</v>
      </c>
    </row>
    <row r="1438" spans="2:18" ht="15.75" hidden="1" thickBot="1" x14ac:dyDescent="0.3">
      <c r="B1438" s="723" t="s">
        <v>731</v>
      </c>
      <c r="C1438" s="722" t="s">
        <v>205</v>
      </c>
      <c r="D1438" t="s">
        <v>206</v>
      </c>
      <c r="E1438" s="148">
        <v>4.0653300000000003</v>
      </c>
      <c r="F1438" s="148">
        <v>0.2</v>
      </c>
      <c r="G1438" s="148">
        <v>3.8653300000000002</v>
      </c>
      <c r="H1438" s="148">
        <v>1932.665</v>
      </c>
      <c r="I1438" s="728"/>
      <c r="J1438" s="148">
        <v>4.0653300000000003</v>
      </c>
      <c r="K1438" s="148">
        <v>0</v>
      </c>
      <c r="L1438" s="148">
        <v>14.50094</v>
      </c>
      <c r="M1438" s="148">
        <v>2.4</v>
      </c>
      <c r="N1438" s="148">
        <v>12.10094</v>
      </c>
      <c r="O1438" s="148">
        <v>504.20583333333332</v>
      </c>
      <c r="P1438" s="148">
        <v>4.6786099999999999</v>
      </c>
      <c r="Q1438" s="148">
        <v>9.8223299999999991</v>
      </c>
      <c r="R1438" s="148">
        <v>209.94120048475935</v>
      </c>
    </row>
    <row r="1439" spans="2:18" ht="15.75" hidden="1" thickBot="1" x14ac:dyDescent="0.3">
      <c r="B1439" s="723" t="s">
        <v>731</v>
      </c>
      <c r="C1439" s="722" t="s">
        <v>649</v>
      </c>
      <c r="D1439" t="s">
        <v>650</v>
      </c>
      <c r="E1439" s="147">
        <v>299.78473000000002</v>
      </c>
      <c r="F1439" s="147">
        <v>293.67057</v>
      </c>
      <c r="G1439" s="147">
        <v>6.11416</v>
      </c>
      <c r="H1439" s="147">
        <v>2.0819791373715111</v>
      </c>
      <c r="I1439" s="729"/>
      <c r="J1439" s="147">
        <v>299.78473000000002</v>
      </c>
      <c r="K1439" s="147">
        <v>0</v>
      </c>
      <c r="L1439" s="147">
        <v>3717.5785700000001</v>
      </c>
      <c r="M1439" s="147">
        <v>3551.9383800000001</v>
      </c>
      <c r="N1439" s="147">
        <v>165.64018999999999</v>
      </c>
      <c r="O1439" s="147">
        <v>4.6633745374828264</v>
      </c>
      <c r="P1439" s="147">
        <v>1723.38158</v>
      </c>
      <c r="Q1439" s="147">
        <v>1994.1969899999999</v>
      </c>
      <c r="R1439" s="147">
        <v>115.71418733627175</v>
      </c>
    </row>
    <row r="1440" spans="2:18" ht="15.75" hidden="1" thickBot="1" x14ac:dyDescent="0.3">
      <c r="B1440" s="723" t="s">
        <v>731</v>
      </c>
      <c r="C1440" s="722" t="s">
        <v>119</v>
      </c>
      <c r="D1440" t="s">
        <v>120</v>
      </c>
      <c r="E1440" s="728"/>
      <c r="F1440" s="728"/>
      <c r="G1440" s="728"/>
      <c r="H1440" s="728"/>
      <c r="I1440" s="728"/>
      <c r="J1440" s="728"/>
      <c r="K1440" s="728"/>
      <c r="L1440" s="148">
        <v>0</v>
      </c>
      <c r="M1440" s="728"/>
      <c r="N1440" s="148">
        <v>0</v>
      </c>
      <c r="O1440" s="148">
        <v>0</v>
      </c>
      <c r="P1440" s="148">
        <v>0</v>
      </c>
      <c r="Q1440" s="148">
        <v>0</v>
      </c>
      <c r="R1440" s="148">
        <v>0</v>
      </c>
    </row>
    <row r="1441" spans="2:18" ht="15.75" hidden="1" thickBot="1" x14ac:dyDescent="0.3">
      <c r="B1441" s="723" t="s">
        <v>731</v>
      </c>
      <c r="C1441" s="722" t="s">
        <v>173</v>
      </c>
      <c r="D1441" t="s">
        <v>174</v>
      </c>
      <c r="E1441" s="147">
        <v>0.36</v>
      </c>
      <c r="F1441" s="147">
        <v>0.376</v>
      </c>
      <c r="G1441" s="147">
        <v>-1.6E-2</v>
      </c>
      <c r="H1441" s="147">
        <v>-4.2553191489361701</v>
      </c>
      <c r="I1441" s="729"/>
      <c r="J1441" s="147">
        <v>0.36</v>
      </c>
      <c r="K1441" s="147">
        <v>0</v>
      </c>
      <c r="L1441" s="147">
        <v>6.4964000000000004</v>
      </c>
      <c r="M1441" s="147">
        <v>4.5119999999999996</v>
      </c>
      <c r="N1441" s="147">
        <v>1.9843999999999999</v>
      </c>
      <c r="O1441" s="147">
        <v>43.980496453900706</v>
      </c>
      <c r="P1441" s="147">
        <v>3.4844900000000001</v>
      </c>
      <c r="Q1441" s="147">
        <v>3.0119099999999999</v>
      </c>
      <c r="R1441" s="147">
        <v>86.437613538853611</v>
      </c>
    </row>
    <row r="1442" spans="2:18" ht="15.75" hidden="1" thickBot="1" x14ac:dyDescent="0.3">
      <c r="B1442" s="723" t="s">
        <v>731</v>
      </c>
      <c r="C1442" s="722" t="s">
        <v>479</v>
      </c>
      <c r="D1442" t="s">
        <v>480</v>
      </c>
      <c r="E1442" s="148">
        <v>57.436320000000002</v>
      </c>
      <c r="F1442" s="148">
        <v>47.807279999999999</v>
      </c>
      <c r="G1442" s="148">
        <v>9.6290399999999998</v>
      </c>
      <c r="H1442" s="148">
        <v>20.141367590877373</v>
      </c>
      <c r="I1442" s="728"/>
      <c r="J1442" s="148">
        <v>57.436320000000002</v>
      </c>
      <c r="K1442" s="148">
        <v>0</v>
      </c>
      <c r="L1442" s="148">
        <v>605.82209</v>
      </c>
      <c r="M1442" s="148">
        <v>564.96960000000001</v>
      </c>
      <c r="N1442" s="148">
        <v>40.852490000000003</v>
      </c>
      <c r="O1442" s="148">
        <v>7.2309182653367543</v>
      </c>
      <c r="P1442" s="148">
        <v>292.15688999999998</v>
      </c>
      <c r="Q1442" s="148">
        <v>313.66520000000003</v>
      </c>
      <c r="R1442" s="148">
        <v>107.36190407831901</v>
      </c>
    </row>
    <row r="1443" spans="2:18" ht="15.75" hidden="1" thickBot="1" x14ac:dyDescent="0.3">
      <c r="B1443" s="723" t="s">
        <v>731</v>
      </c>
      <c r="C1443" s="722" t="s">
        <v>151</v>
      </c>
      <c r="D1443" t="s">
        <v>152</v>
      </c>
      <c r="E1443" s="729"/>
      <c r="F1443" s="147">
        <v>0.15</v>
      </c>
      <c r="G1443" s="147">
        <v>-0.15</v>
      </c>
      <c r="H1443" s="147">
        <v>-100</v>
      </c>
      <c r="I1443" s="729"/>
      <c r="J1443" s="729"/>
      <c r="K1443" s="729"/>
      <c r="L1443" s="147">
        <v>3.3050000000000002</v>
      </c>
      <c r="M1443" s="147">
        <v>1.8</v>
      </c>
      <c r="N1443" s="147">
        <v>1.5049999999999999</v>
      </c>
      <c r="O1443" s="147">
        <v>83.611111111111114</v>
      </c>
      <c r="P1443" s="147">
        <v>2.69</v>
      </c>
      <c r="Q1443" s="147">
        <v>0.61499999999999999</v>
      </c>
      <c r="R1443" s="147">
        <v>22.862453531598511</v>
      </c>
    </row>
    <row r="1444" spans="2:18" ht="15.75" hidden="1" thickBot="1" x14ac:dyDescent="0.3">
      <c r="B1444" s="723" t="s">
        <v>731</v>
      </c>
      <c r="C1444" s="722" t="s">
        <v>481</v>
      </c>
      <c r="D1444" t="s">
        <v>482</v>
      </c>
      <c r="E1444" s="148">
        <v>72.037769999999995</v>
      </c>
      <c r="F1444" s="148">
        <v>50</v>
      </c>
      <c r="G1444" s="148">
        <v>22.037769999999998</v>
      </c>
      <c r="H1444" s="148">
        <v>44.075539999999997</v>
      </c>
      <c r="I1444" s="728"/>
      <c r="J1444" s="148">
        <v>72.037769999999995</v>
      </c>
      <c r="K1444" s="148">
        <v>0</v>
      </c>
      <c r="L1444" s="148">
        <v>761.83429000000001</v>
      </c>
      <c r="M1444" s="148">
        <v>600</v>
      </c>
      <c r="N1444" s="148">
        <v>161.83429000000001</v>
      </c>
      <c r="O1444" s="148">
        <v>26.972381666666667</v>
      </c>
      <c r="P1444" s="148">
        <v>347.29989</v>
      </c>
      <c r="Q1444" s="148">
        <v>414.53440000000001</v>
      </c>
      <c r="R1444" s="148">
        <v>119.35920855028201</v>
      </c>
    </row>
    <row r="1445" spans="2:18" ht="15.75" hidden="1" thickBot="1" x14ac:dyDescent="0.3">
      <c r="B1445" s="723" t="s">
        <v>731</v>
      </c>
      <c r="C1445" s="722" t="s">
        <v>483</v>
      </c>
      <c r="D1445" t="s">
        <v>484</v>
      </c>
      <c r="E1445" s="729"/>
      <c r="F1445" s="729"/>
      <c r="G1445" s="729"/>
      <c r="H1445" s="729"/>
      <c r="I1445" s="729"/>
      <c r="J1445" s="729"/>
      <c r="K1445" s="729"/>
      <c r="L1445" s="147">
        <v>5.3940000000000002E-2</v>
      </c>
      <c r="M1445" s="729"/>
      <c r="N1445" s="147">
        <v>5.3940000000000002E-2</v>
      </c>
      <c r="O1445" s="147">
        <v>0</v>
      </c>
      <c r="P1445" s="729"/>
      <c r="Q1445" s="147">
        <v>5.3940000000000002E-2</v>
      </c>
      <c r="R1445" s="147">
        <v>0</v>
      </c>
    </row>
    <row r="1446" spans="2:18" ht="15.75" hidden="1" thickBot="1" x14ac:dyDescent="0.3">
      <c r="B1446" s="723" t="s">
        <v>731</v>
      </c>
      <c r="C1446" s="722" t="s">
        <v>661</v>
      </c>
      <c r="D1446" t="s">
        <v>662</v>
      </c>
      <c r="E1446" s="148">
        <v>1.5129300000000001</v>
      </c>
      <c r="F1446" s="728"/>
      <c r="G1446" s="148">
        <v>1.5129300000000001</v>
      </c>
      <c r="H1446" s="148">
        <v>0</v>
      </c>
      <c r="I1446" s="728"/>
      <c r="J1446" s="148">
        <v>1.5129300000000001</v>
      </c>
      <c r="K1446" s="148">
        <v>0</v>
      </c>
      <c r="L1446" s="148">
        <v>585.08721000000003</v>
      </c>
      <c r="M1446" s="728"/>
      <c r="N1446" s="148">
        <v>585.08721000000003</v>
      </c>
      <c r="O1446" s="148">
        <v>0</v>
      </c>
      <c r="P1446" s="148">
        <v>45.404020000000003</v>
      </c>
      <c r="Q1446" s="148">
        <v>539.68318999999997</v>
      </c>
      <c r="R1446" s="148">
        <v>1188.6242451659566</v>
      </c>
    </row>
    <row r="1447" spans="2:18" ht="15.75" hidden="1" thickBot="1" x14ac:dyDescent="0.3">
      <c r="B1447" s="723" t="s">
        <v>731</v>
      </c>
      <c r="C1447" s="722" t="s">
        <v>207</v>
      </c>
      <c r="D1447" t="s">
        <v>208</v>
      </c>
      <c r="E1447" s="147">
        <v>7.9969999999999999E-2</v>
      </c>
      <c r="F1447" s="729"/>
      <c r="G1447" s="147">
        <v>7.9969999999999999E-2</v>
      </c>
      <c r="H1447" s="147">
        <v>0</v>
      </c>
      <c r="I1447" s="729"/>
      <c r="J1447" s="147">
        <v>7.9969999999999999E-2</v>
      </c>
      <c r="K1447" s="147">
        <v>0</v>
      </c>
      <c r="L1447" s="147">
        <v>2.91662</v>
      </c>
      <c r="M1447" s="729"/>
      <c r="N1447" s="147">
        <v>2.91662</v>
      </c>
      <c r="O1447" s="147">
        <v>0</v>
      </c>
      <c r="P1447" s="147">
        <v>1.4760899999999999</v>
      </c>
      <c r="Q1447" s="147">
        <v>1.4405300000000001</v>
      </c>
      <c r="R1447" s="147">
        <v>97.590932802200413</v>
      </c>
    </row>
    <row r="1448" spans="2:18" ht="15.75" hidden="1" thickBot="1" x14ac:dyDescent="0.3">
      <c r="B1448" s="723" t="s">
        <v>731</v>
      </c>
      <c r="C1448" s="722" t="s">
        <v>75</v>
      </c>
      <c r="D1448" t="s">
        <v>76</v>
      </c>
      <c r="E1448" s="148">
        <v>3.4293200000000001</v>
      </c>
      <c r="F1448" s="148">
        <v>2.8</v>
      </c>
      <c r="G1448" s="148">
        <v>0.62931999999999999</v>
      </c>
      <c r="H1448" s="148">
        <v>22.475714285714286</v>
      </c>
      <c r="I1448" s="728"/>
      <c r="J1448" s="148">
        <v>3.4293200000000001</v>
      </c>
      <c r="K1448" s="148">
        <v>0</v>
      </c>
      <c r="L1448" s="148">
        <v>36.304499999999997</v>
      </c>
      <c r="M1448" s="148">
        <v>33.4</v>
      </c>
      <c r="N1448" s="148">
        <v>2.9045000000000001</v>
      </c>
      <c r="O1448" s="148">
        <v>8.6961077844311383</v>
      </c>
      <c r="P1448" s="148">
        <v>17.702960000000001</v>
      </c>
      <c r="Q1448" s="148">
        <v>18.60154</v>
      </c>
      <c r="R1448" s="148">
        <v>105.07587431706337</v>
      </c>
    </row>
    <row r="1449" spans="2:18" ht="15.75" hidden="1" thickBot="1" x14ac:dyDescent="0.3">
      <c r="B1449" s="723" t="s">
        <v>731</v>
      </c>
      <c r="C1449" s="722" t="s">
        <v>121</v>
      </c>
      <c r="D1449" t="s">
        <v>122</v>
      </c>
      <c r="E1449" s="147">
        <v>9.7999999999999997E-3</v>
      </c>
      <c r="F1449" s="147">
        <v>0.1</v>
      </c>
      <c r="G1449" s="147">
        <v>-9.0200000000000002E-2</v>
      </c>
      <c r="H1449" s="147">
        <v>-90.2</v>
      </c>
      <c r="I1449" s="729"/>
      <c r="J1449" s="147">
        <v>9.7999999999999997E-3</v>
      </c>
      <c r="K1449" s="147">
        <v>0</v>
      </c>
      <c r="L1449" s="147">
        <v>11.25385</v>
      </c>
      <c r="M1449" s="147">
        <v>1</v>
      </c>
      <c r="N1449" s="147">
        <v>10.25385</v>
      </c>
      <c r="O1449" s="147">
        <v>1025.385</v>
      </c>
      <c r="P1449" s="147">
        <v>4.6781100000000002</v>
      </c>
      <c r="Q1449" s="147">
        <v>6.5757399999999997</v>
      </c>
      <c r="R1449" s="147">
        <v>140.56403120063445</v>
      </c>
    </row>
    <row r="1450" spans="2:18" ht="15.75" hidden="1" thickBot="1" x14ac:dyDescent="0.3">
      <c r="B1450" s="723" t="s">
        <v>731</v>
      </c>
      <c r="C1450" s="722" t="s">
        <v>77</v>
      </c>
      <c r="D1450" t="s">
        <v>78</v>
      </c>
      <c r="E1450" s="148">
        <v>0.74624999999999997</v>
      </c>
      <c r="F1450" s="148">
        <v>8.8181799999999999</v>
      </c>
      <c r="G1450" s="148">
        <v>-8.07193</v>
      </c>
      <c r="H1450" s="148">
        <v>-91.537369389148324</v>
      </c>
      <c r="I1450" s="728"/>
      <c r="J1450" s="148">
        <v>0.74624999999999997</v>
      </c>
      <c r="K1450" s="148">
        <v>0</v>
      </c>
      <c r="L1450" s="148">
        <v>76.22784</v>
      </c>
      <c r="M1450" s="148">
        <v>116.39997</v>
      </c>
      <c r="N1450" s="148">
        <v>-40.172130000000003</v>
      </c>
      <c r="O1450" s="148">
        <v>-34.512148070141258</v>
      </c>
      <c r="P1450" s="148">
        <v>41.595460000000003</v>
      </c>
      <c r="Q1450" s="148">
        <v>34.632379999999998</v>
      </c>
      <c r="R1450" s="148">
        <v>83.260000009616434</v>
      </c>
    </row>
    <row r="1451" spans="2:18" ht="15.75" hidden="1" thickBot="1" x14ac:dyDescent="0.3">
      <c r="B1451" s="723" t="s">
        <v>731</v>
      </c>
      <c r="C1451" s="722" t="s">
        <v>79</v>
      </c>
      <c r="D1451" t="s">
        <v>80</v>
      </c>
      <c r="E1451" s="147">
        <v>4.1549999999999997E-2</v>
      </c>
      <c r="F1451" s="729"/>
      <c r="G1451" s="147">
        <v>4.1549999999999997E-2</v>
      </c>
      <c r="H1451" s="147">
        <v>0</v>
      </c>
      <c r="I1451" s="729"/>
      <c r="J1451" s="147">
        <v>4.1549999999999997E-2</v>
      </c>
      <c r="K1451" s="147">
        <v>0</v>
      </c>
      <c r="L1451" s="147">
        <v>14.72625</v>
      </c>
      <c r="M1451" s="729"/>
      <c r="N1451" s="147">
        <v>14.72625</v>
      </c>
      <c r="O1451" s="147">
        <v>0</v>
      </c>
      <c r="P1451" s="147">
        <v>7.3508800000000001</v>
      </c>
      <c r="Q1451" s="147">
        <v>7.3753700000000002</v>
      </c>
      <c r="R1451" s="147">
        <v>100.33315739067976</v>
      </c>
    </row>
    <row r="1452" spans="2:18" ht="15.75" hidden="1" thickBot="1" x14ac:dyDescent="0.3">
      <c r="B1452" s="723" t="s">
        <v>731</v>
      </c>
      <c r="C1452" s="722" t="s">
        <v>81</v>
      </c>
      <c r="D1452" t="s">
        <v>82</v>
      </c>
      <c r="E1452" s="148">
        <v>0.69120000000000004</v>
      </c>
      <c r="F1452" s="148">
        <v>0.6</v>
      </c>
      <c r="G1452" s="148">
        <v>9.1200000000000003E-2</v>
      </c>
      <c r="H1452" s="148">
        <v>15.2</v>
      </c>
      <c r="I1452" s="728"/>
      <c r="J1452" s="148">
        <v>0.69120000000000004</v>
      </c>
      <c r="K1452" s="148">
        <v>0</v>
      </c>
      <c r="L1452" s="148">
        <v>1.2406900000000001</v>
      </c>
      <c r="M1452" s="148">
        <v>7.2</v>
      </c>
      <c r="N1452" s="148">
        <v>-5.9593100000000003</v>
      </c>
      <c r="O1452" s="148">
        <v>-82.768194444444447</v>
      </c>
      <c r="P1452" s="148">
        <v>0.48298999999999997</v>
      </c>
      <c r="Q1452" s="148">
        <v>0.75770000000000004</v>
      </c>
      <c r="R1452" s="148">
        <v>156.87695397420237</v>
      </c>
    </row>
    <row r="1453" spans="2:18" ht="15.75" hidden="1" thickBot="1" x14ac:dyDescent="0.3">
      <c r="B1453" s="723" t="s">
        <v>731</v>
      </c>
      <c r="C1453" s="722" t="s">
        <v>123</v>
      </c>
      <c r="D1453" t="s">
        <v>124</v>
      </c>
      <c r="E1453" s="147">
        <v>5.1832099999999999</v>
      </c>
      <c r="F1453" s="147">
        <v>5</v>
      </c>
      <c r="G1453" s="147">
        <v>0.18321000000000001</v>
      </c>
      <c r="H1453" s="147">
        <v>3.6642000000000001</v>
      </c>
      <c r="I1453" s="729"/>
      <c r="J1453" s="147">
        <v>5.1832099999999999</v>
      </c>
      <c r="K1453" s="147">
        <v>0</v>
      </c>
      <c r="L1453" s="147">
        <v>8.7568999999999999</v>
      </c>
      <c r="M1453" s="147">
        <v>9</v>
      </c>
      <c r="N1453" s="147">
        <v>-0.24310000000000001</v>
      </c>
      <c r="O1453" s="147">
        <v>-2.701111111111111</v>
      </c>
      <c r="P1453" s="147">
        <v>1.0353600000000001</v>
      </c>
      <c r="Q1453" s="147">
        <v>7.7215400000000001</v>
      </c>
      <c r="R1453" s="147">
        <v>745.7831092566837</v>
      </c>
    </row>
    <row r="1454" spans="2:18" ht="15.75" hidden="1" thickBot="1" x14ac:dyDescent="0.3">
      <c r="B1454" s="723" t="s">
        <v>731</v>
      </c>
      <c r="C1454" s="722" t="s">
        <v>125</v>
      </c>
      <c r="D1454" t="s">
        <v>126</v>
      </c>
      <c r="E1454" s="148">
        <v>7.4999999999999997E-2</v>
      </c>
      <c r="F1454" s="728"/>
      <c r="G1454" s="148">
        <v>7.4999999999999997E-2</v>
      </c>
      <c r="H1454" s="148">
        <v>0</v>
      </c>
      <c r="I1454" s="728"/>
      <c r="J1454" s="148">
        <v>7.4999999999999997E-2</v>
      </c>
      <c r="K1454" s="148">
        <v>0</v>
      </c>
      <c r="L1454" s="148">
        <v>7.4999999999999997E-2</v>
      </c>
      <c r="M1454" s="728"/>
      <c r="N1454" s="148">
        <v>7.4999999999999997E-2</v>
      </c>
      <c r="O1454" s="148">
        <v>0</v>
      </c>
      <c r="P1454" s="728"/>
      <c r="Q1454" s="148">
        <v>7.4999999999999997E-2</v>
      </c>
      <c r="R1454" s="148">
        <v>0</v>
      </c>
    </row>
    <row r="1455" spans="2:18" ht="15.75" hidden="1" thickBot="1" x14ac:dyDescent="0.3">
      <c r="B1455" s="723" t="s">
        <v>731</v>
      </c>
      <c r="C1455" s="149" t="s">
        <v>85</v>
      </c>
      <c r="D1455" t="s">
        <v>86</v>
      </c>
      <c r="E1455" s="147">
        <v>718.03664000000003</v>
      </c>
      <c r="F1455" s="147">
        <v>595.37602000000004</v>
      </c>
      <c r="G1455" s="147">
        <v>122.66061999999999</v>
      </c>
      <c r="H1455" s="147">
        <v>20.602210347672383</v>
      </c>
      <c r="I1455" s="729"/>
      <c r="J1455" s="147">
        <v>718.03664000000003</v>
      </c>
      <c r="K1455" s="147">
        <v>0</v>
      </c>
      <c r="L1455" s="147">
        <v>9236.0849300000009</v>
      </c>
      <c r="M1455" s="147">
        <v>7368.0819099999999</v>
      </c>
      <c r="N1455" s="147">
        <v>1868.0030200000001</v>
      </c>
      <c r="O1455" s="147">
        <v>25.352636450264434</v>
      </c>
      <c r="P1455" s="147">
        <v>4106.5899099999997</v>
      </c>
      <c r="Q1455" s="147">
        <v>5129.4950200000003</v>
      </c>
      <c r="R1455" s="147">
        <v>124.90886921796387</v>
      </c>
    </row>
    <row r="1456" spans="2:18" ht="15.75" hidden="1" thickBot="1" x14ac:dyDescent="0.3">
      <c r="B1456" s="723" t="s">
        <v>731</v>
      </c>
      <c r="C1456" s="144" t="s">
        <v>87</v>
      </c>
      <c r="D1456" t="s">
        <v>87</v>
      </c>
      <c r="E1456" s="148">
        <v>1715.0667100000001</v>
      </c>
      <c r="F1456" s="148">
        <v>1714.9764</v>
      </c>
      <c r="G1456" s="148">
        <v>9.0310000000000001E-2</v>
      </c>
      <c r="H1456" s="148">
        <v>5.2659616773735197E-3</v>
      </c>
      <c r="I1456" s="728"/>
      <c r="J1456" s="148">
        <v>1715.0667100000001</v>
      </c>
      <c r="K1456" s="148">
        <v>0</v>
      </c>
      <c r="L1456" s="148">
        <v>21357.96545</v>
      </c>
      <c r="M1456" s="148">
        <v>20688.477429999999</v>
      </c>
      <c r="N1456" s="148">
        <v>669.48802000000001</v>
      </c>
      <c r="O1456" s="148">
        <v>3.2360429725446451</v>
      </c>
      <c r="P1456" s="148">
        <v>10378.16115</v>
      </c>
      <c r="Q1456" s="148">
        <v>10979.8043</v>
      </c>
      <c r="R1456" s="148">
        <v>105.79720377535283</v>
      </c>
    </row>
    <row r="1457" spans="2:18" ht="15.75" hidden="1" thickBot="1" x14ac:dyDescent="0.3">
      <c r="B1457" s="724" t="s">
        <v>732</v>
      </c>
      <c r="C1457" s="722" t="s">
        <v>59</v>
      </c>
      <c r="D1457" t="s">
        <v>60</v>
      </c>
      <c r="E1457" s="147">
        <v>540.61800000000005</v>
      </c>
      <c r="F1457" s="147">
        <v>615.44898000000001</v>
      </c>
      <c r="G1457" s="147">
        <v>-74.830979999999997</v>
      </c>
      <c r="H1457" s="147">
        <v>-12.158762534629597</v>
      </c>
      <c r="I1457" s="729"/>
      <c r="J1457" s="147">
        <v>540.61800000000005</v>
      </c>
      <c r="K1457" s="147">
        <v>0</v>
      </c>
      <c r="L1457" s="147">
        <v>6844.95244</v>
      </c>
      <c r="M1457" s="147">
        <v>7341.3023300000004</v>
      </c>
      <c r="N1457" s="147">
        <v>-496.34989000000002</v>
      </c>
      <c r="O1457" s="147">
        <v>-6.7610604724952115</v>
      </c>
      <c r="P1457" s="147">
        <v>3448.1275099999998</v>
      </c>
      <c r="Q1457" s="147">
        <v>3396.8249300000002</v>
      </c>
      <c r="R1457" s="147">
        <v>98.512161170049069</v>
      </c>
    </row>
    <row r="1458" spans="2:18" ht="15.75" hidden="1" thickBot="1" x14ac:dyDescent="0.3">
      <c r="B1458" s="724" t="s">
        <v>732</v>
      </c>
      <c r="C1458" s="722" t="s">
        <v>566</v>
      </c>
      <c r="D1458" t="s">
        <v>567</v>
      </c>
      <c r="E1458" s="728"/>
      <c r="F1458" s="728"/>
      <c r="G1458" s="728"/>
      <c r="H1458" s="728"/>
      <c r="I1458" s="728"/>
      <c r="J1458" s="728"/>
      <c r="K1458" s="728"/>
      <c r="L1458" s="148">
        <v>1.1508499999999999</v>
      </c>
      <c r="M1458" s="728"/>
      <c r="N1458" s="148">
        <v>1.1508499999999999</v>
      </c>
      <c r="O1458" s="148">
        <v>0</v>
      </c>
      <c r="P1458" s="148">
        <v>1.1508499999999999</v>
      </c>
      <c r="Q1458" s="148">
        <v>0</v>
      </c>
      <c r="R1458" s="148">
        <v>0</v>
      </c>
    </row>
    <row r="1459" spans="2:18" ht="15.75" hidden="1" thickBot="1" x14ac:dyDescent="0.3">
      <c r="B1459" s="724" t="s">
        <v>732</v>
      </c>
      <c r="C1459" s="722" t="s">
        <v>89</v>
      </c>
      <c r="D1459" t="s">
        <v>90</v>
      </c>
      <c r="E1459" s="147">
        <v>2.6227999999999998</v>
      </c>
      <c r="F1459" s="729"/>
      <c r="G1459" s="147">
        <v>2.6227999999999998</v>
      </c>
      <c r="H1459" s="147">
        <v>0</v>
      </c>
      <c r="I1459" s="729"/>
      <c r="J1459" s="147">
        <v>2.6227999999999998</v>
      </c>
      <c r="K1459" s="147">
        <v>0</v>
      </c>
      <c r="L1459" s="147">
        <v>17.847359999999998</v>
      </c>
      <c r="M1459" s="729"/>
      <c r="N1459" s="147">
        <v>17.847359999999998</v>
      </c>
      <c r="O1459" s="147">
        <v>0</v>
      </c>
      <c r="P1459" s="147">
        <v>13.02093</v>
      </c>
      <c r="Q1459" s="147">
        <v>4.8264300000000002</v>
      </c>
      <c r="R1459" s="147">
        <v>37.066707216765622</v>
      </c>
    </row>
    <row r="1460" spans="2:18" ht="15.75" hidden="1" thickBot="1" x14ac:dyDescent="0.3">
      <c r="B1460" s="724" t="s">
        <v>732</v>
      </c>
      <c r="C1460" s="722" t="s">
        <v>91</v>
      </c>
      <c r="D1460" t="s">
        <v>92</v>
      </c>
      <c r="E1460" s="148">
        <v>76.028199999999998</v>
      </c>
      <c r="F1460" s="148">
        <v>91.053079999999994</v>
      </c>
      <c r="G1460" s="148">
        <v>-15.02488</v>
      </c>
      <c r="H1460" s="148">
        <v>-16.501232028614517</v>
      </c>
      <c r="I1460" s="728"/>
      <c r="J1460" s="148">
        <v>76.028199999999998</v>
      </c>
      <c r="K1460" s="148">
        <v>0</v>
      </c>
      <c r="L1460" s="148">
        <v>1003.25793</v>
      </c>
      <c r="M1460" s="148">
        <v>1063.46441</v>
      </c>
      <c r="N1460" s="148">
        <v>-60.206479999999999</v>
      </c>
      <c r="O1460" s="148">
        <v>-5.661353537914823</v>
      </c>
      <c r="P1460" s="148">
        <v>544.54792999999995</v>
      </c>
      <c r="Q1460" s="148">
        <v>458.71</v>
      </c>
      <c r="R1460" s="148">
        <v>84.236845781417259</v>
      </c>
    </row>
    <row r="1461" spans="2:18" ht="15.75" hidden="1" thickBot="1" x14ac:dyDescent="0.3">
      <c r="B1461" s="724" t="s">
        <v>732</v>
      </c>
      <c r="C1461" s="722" t="s">
        <v>93</v>
      </c>
      <c r="D1461" t="s">
        <v>94</v>
      </c>
      <c r="E1461" s="147">
        <v>5.9181499999999998</v>
      </c>
      <c r="F1461" s="147">
        <v>5.6450500000000003</v>
      </c>
      <c r="G1461" s="147">
        <v>0.27310000000000001</v>
      </c>
      <c r="H1461" s="147">
        <v>4.8378668036598436</v>
      </c>
      <c r="I1461" s="729"/>
      <c r="J1461" s="147">
        <v>5.9181499999999998</v>
      </c>
      <c r="K1461" s="147">
        <v>0</v>
      </c>
      <c r="L1461" s="147">
        <v>132.17115000000001</v>
      </c>
      <c r="M1461" s="147">
        <v>65.931979999999996</v>
      </c>
      <c r="N1461" s="147">
        <v>66.239170000000001</v>
      </c>
      <c r="O1461" s="147">
        <v>100.46591957347557</v>
      </c>
      <c r="P1461" s="147">
        <v>74.12106</v>
      </c>
      <c r="Q1461" s="147">
        <v>58.050089999999997</v>
      </c>
      <c r="R1461" s="147">
        <v>78.317943645166437</v>
      </c>
    </row>
    <row r="1462" spans="2:18" ht="15.75" hidden="1" thickBot="1" x14ac:dyDescent="0.3">
      <c r="B1462" s="724" t="s">
        <v>732</v>
      </c>
      <c r="C1462" s="722" t="s">
        <v>159</v>
      </c>
      <c r="D1462" t="s">
        <v>160</v>
      </c>
      <c r="E1462" s="148">
        <v>1.45414</v>
      </c>
      <c r="F1462" s="148">
        <v>1.32623</v>
      </c>
      <c r="G1462" s="148">
        <v>0.12791</v>
      </c>
      <c r="H1462" s="148">
        <v>9.6446317757854967</v>
      </c>
      <c r="I1462" s="728"/>
      <c r="J1462" s="148">
        <v>1.45414</v>
      </c>
      <c r="K1462" s="148">
        <v>0</v>
      </c>
      <c r="L1462" s="148">
        <v>20.831189999999999</v>
      </c>
      <c r="M1462" s="148">
        <v>15.48983</v>
      </c>
      <c r="N1462" s="148">
        <v>5.3413599999999999</v>
      </c>
      <c r="O1462" s="148">
        <v>34.483012402331077</v>
      </c>
      <c r="P1462" s="148">
        <v>11.86232</v>
      </c>
      <c r="Q1462" s="148">
        <v>8.9688700000000008</v>
      </c>
      <c r="R1462" s="148">
        <v>75.6080598061762</v>
      </c>
    </row>
    <row r="1463" spans="2:18" ht="15.75" hidden="1" thickBot="1" x14ac:dyDescent="0.3">
      <c r="B1463" s="724" t="s">
        <v>732</v>
      </c>
      <c r="C1463" s="722" t="s">
        <v>134</v>
      </c>
      <c r="D1463" t="s">
        <v>135</v>
      </c>
      <c r="E1463" s="147">
        <v>4.4543999999999997</v>
      </c>
      <c r="F1463" s="729"/>
      <c r="G1463" s="147">
        <v>4.4543999999999997</v>
      </c>
      <c r="H1463" s="147">
        <v>0</v>
      </c>
      <c r="I1463" s="729"/>
      <c r="J1463" s="147">
        <v>4.4543999999999997</v>
      </c>
      <c r="K1463" s="147">
        <v>0</v>
      </c>
      <c r="L1463" s="147">
        <v>54.012270000000001</v>
      </c>
      <c r="M1463" s="729"/>
      <c r="N1463" s="147">
        <v>54.012270000000001</v>
      </c>
      <c r="O1463" s="147">
        <v>0</v>
      </c>
      <c r="P1463" s="147">
        <v>15.90662</v>
      </c>
      <c r="Q1463" s="147">
        <v>38.105649999999997</v>
      </c>
      <c r="R1463" s="147">
        <v>239.55843541871246</v>
      </c>
    </row>
    <row r="1464" spans="2:18" ht="15.75" hidden="1" thickBot="1" x14ac:dyDescent="0.3">
      <c r="B1464" s="724" t="s">
        <v>732</v>
      </c>
      <c r="C1464" s="722" t="s">
        <v>568</v>
      </c>
      <c r="D1464" t="s">
        <v>569</v>
      </c>
      <c r="E1464" s="148">
        <v>0.67725000000000002</v>
      </c>
      <c r="F1464" s="148">
        <v>1.7653000000000001</v>
      </c>
      <c r="G1464" s="148">
        <v>-1.08805</v>
      </c>
      <c r="H1464" s="148">
        <v>-61.635416076587546</v>
      </c>
      <c r="I1464" s="728"/>
      <c r="J1464" s="148">
        <v>0.67725000000000002</v>
      </c>
      <c r="K1464" s="148">
        <v>0</v>
      </c>
      <c r="L1464" s="148">
        <v>21.623529999999999</v>
      </c>
      <c r="M1464" s="148">
        <v>21.07246</v>
      </c>
      <c r="N1464" s="148">
        <v>0.55106999999999995</v>
      </c>
      <c r="O1464" s="148">
        <v>2.6151194497462567</v>
      </c>
      <c r="P1464" s="148">
        <v>11.65828</v>
      </c>
      <c r="Q1464" s="148">
        <v>9.9652499999999993</v>
      </c>
      <c r="R1464" s="148">
        <v>85.477874952394345</v>
      </c>
    </row>
    <row r="1465" spans="2:18" ht="15.75" hidden="1" thickBot="1" x14ac:dyDescent="0.3">
      <c r="B1465" s="724" t="s">
        <v>732</v>
      </c>
      <c r="C1465" s="722" t="s">
        <v>61</v>
      </c>
      <c r="D1465" t="s">
        <v>62</v>
      </c>
      <c r="E1465" s="147">
        <v>105.87390000000001</v>
      </c>
      <c r="F1465" s="147">
        <v>109.98699000000001</v>
      </c>
      <c r="G1465" s="147">
        <v>-4.1130899999999997</v>
      </c>
      <c r="H1465" s="147">
        <v>-3.7396150217402986</v>
      </c>
      <c r="I1465" s="729"/>
      <c r="J1465" s="147">
        <v>105.87390000000001</v>
      </c>
      <c r="K1465" s="147">
        <v>0</v>
      </c>
      <c r="L1465" s="147">
        <v>1210.7533900000001</v>
      </c>
      <c r="M1465" s="147">
        <v>1308.40589</v>
      </c>
      <c r="N1465" s="147">
        <v>-97.652500000000003</v>
      </c>
      <c r="O1465" s="147">
        <v>-7.4634714461580423</v>
      </c>
      <c r="P1465" s="147">
        <v>599.34334000000001</v>
      </c>
      <c r="Q1465" s="147">
        <v>611.41004999999996</v>
      </c>
      <c r="R1465" s="147">
        <v>102.01332177979987</v>
      </c>
    </row>
    <row r="1466" spans="2:18" ht="15.75" hidden="1" thickBot="1" x14ac:dyDescent="0.3">
      <c r="B1466" s="724" t="s">
        <v>732</v>
      </c>
      <c r="C1466" s="722" t="s">
        <v>63</v>
      </c>
      <c r="D1466" t="s">
        <v>64</v>
      </c>
      <c r="E1466" s="148">
        <v>411.71625</v>
      </c>
      <c r="F1466" s="148">
        <v>427.88492000000002</v>
      </c>
      <c r="G1466" s="148">
        <v>-16.168669999999999</v>
      </c>
      <c r="H1466" s="148">
        <v>-3.7787426581894965</v>
      </c>
      <c r="I1466" s="728"/>
      <c r="J1466" s="148">
        <v>411.71625</v>
      </c>
      <c r="K1466" s="148">
        <v>0</v>
      </c>
      <c r="L1466" s="148">
        <v>4720.6261100000002</v>
      </c>
      <c r="M1466" s="148">
        <v>5090.1213600000001</v>
      </c>
      <c r="N1466" s="148">
        <v>-369.49525</v>
      </c>
      <c r="O1466" s="148">
        <v>-7.2590656266788889</v>
      </c>
      <c r="P1466" s="148">
        <v>2341.1015499999999</v>
      </c>
      <c r="Q1466" s="148">
        <v>2379.5245599999998</v>
      </c>
      <c r="R1466" s="148">
        <v>101.64123636584667</v>
      </c>
    </row>
    <row r="1467" spans="2:18" ht="15.75" hidden="1" thickBot="1" x14ac:dyDescent="0.3">
      <c r="B1467" s="724" t="s">
        <v>732</v>
      </c>
      <c r="C1467" s="722" t="s">
        <v>156</v>
      </c>
      <c r="D1467" t="s">
        <v>157</v>
      </c>
      <c r="E1467" s="729"/>
      <c r="F1467" s="729"/>
      <c r="G1467" s="729"/>
      <c r="H1467" s="729"/>
      <c r="I1467" s="729"/>
      <c r="J1467" s="729"/>
      <c r="K1467" s="729"/>
      <c r="L1467" s="147">
        <v>41.236159999999998</v>
      </c>
      <c r="M1467" s="729"/>
      <c r="N1467" s="147">
        <v>41.236159999999998</v>
      </c>
      <c r="O1467" s="147">
        <v>0</v>
      </c>
      <c r="P1467" s="147">
        <v>32.393230000000003</v>
      </c>
      <c r="Q1467" s="147">
        <v>8.8429300000000008</v>
      </c>
      <c r="R1467" s="147">
        <v>27.298697906939196</v>
      </c>
    </row>
    <row r="1468" spans="2:18" ht="15.75" hidden="1" thickBot="1" x14ac:dyDescent="0.3">
      <c r="B1468" s="724" t="s">
        <v>732</v>
      </c>
      <c r="C1468" s="722" t="s">
        <v>182</v>
      </c>
      <c r="D1468" t="s">
        <v>183</v>
      </c>
      <c r="E1468" s="728"/>
      <c r="F1468" s="728"/>
      <c r="G1468" s="728"/>
      <c r="H1468" s="728"/>
      <c r="I1468" s="728"/>
      <c r="J1468" s="728"/>
      <c r="K1468" s="728"/>
      <c r="L1468" s="148">
        <v>7.1791200000000002</v>
      </c>
      <c r="M1468" s="728"/>
      <c r="N1468" s="148">
        <v>7.1791200000000002</v>
      </c>
      <c r="O1468" s="148">
        <v>0</v>
      </c>
      <c r="P1468" s="148">
        <v>5.1624299999999996</v>
      </c>
      <c r="Q1468" s="148">
        <v>2.0166900000000001</v>
      </c>
      <c r="R1468" s="148">
        <v>39.064742766487875</v>
      </c>
    </row>
    <row r="1469" spans="2:18" ht="15.75" hidden="1" thickBot="1" x14ac:dyDescent="0.3">
      <c r="B1469" s="724" t="s">
        <v>732</v>
      </c>
      <c r="C1469" s="722" t="s">
        <v>184</v>
      </c>
      <c r="D1469" t="s">
        <v>185</v>
      </c>
      <c r="E1469" s="147">
        <v>58.314230000000002</v>
      </c>
      <c r="F1469" s="147">
        <v>1.1750100000000001</v>
      </c>
      <c r="G1469" s="147">
        <v>57.139220000000002</v>
      </c>
      <c r="H1469" s="147">
        <v>4862.8709542897504</v>
      </c>
      <c r="I1469" s="729"/>
      <c r="J1469" s="147">
        <v>58.314230000000002</v>
      </c>
      <c r="K1469" s="147">
        <v>0</v>
      </c>
      <c r="L1469" s="147">
        <v>715.93068000000005</v>
      </c>
      <c r="M1469" s="147">
        <v>13.723699999999999</v>
      </c>
      <c r="N1469" s="147">
        <v>702.20698000000004</v>
      </c>
      <c r="O1469" s="147">
        <v>5116.7467956892087</v>
      </c>
      <c r="P1469" s="147">
        <v>434.18238000000002</v>
      </c>
      <c r="Q1469" s="147">
        <v>281.74829999999997</v>
      </c>
      <c r="R1469" s="147">
        <v>64.891693670295879</v>
      </c>
    </row>
    <row r="1470" spans="2:18" ht="15.75" hidden="1" thickBot="1" x14ac:dyDescent="0.3">
      <c r="B1470" s="724" t="s">
        <v>732</v>
      </c>
      <c r="C1470" s="722" t="s">
        <v>161</v>
      </c>
      <c r="D1470" t="s">
        <v>162</v>
      </c>
      <c r="E1470" s="148">
        <v>5.5963900000000004</v>
      </c>
      <c r="F1470" s="728"/>
      <c r="G1470" s="148">
        <v>5.5963900000000004</v>
      </c>
      <c r="H1470" s="148">
        <v>0</v>
      </c>
      <c r="I1470" s="728"/>
      <c r="J1470" s="148">
        <v>5.5963900000000004</v>
      </c>
      <c r="K1470" s="148">
        <v>0</v>
      </c>
      <c r="L1470" s="148">
        <v>87.774370000000005</v>
      </c>
      <c r="M1470" s="728"/>
      <c r="N1470" s="148">
        <v>87.774370000000005</v>
      </c>
      <c r="O1470" s="148">
        <v>0</v>
      </c>
      <c r="P1470" s="148">
        <v>53.936300000000003</v>
      </c>
      <c r="Q1470" s="148">
        <v>33.838070000000002</v>
      </c>
      <c r="R1470" s="148">
        <v>62.737099133607607</v>
      </c>
    </row>
    <row r="1471" spans="2:18" ht="15.75" hidden="1" thickBot="1" x14ac:dyDescent="0.3">
      <c r="B1471" s="724" t="s">
        <v>732</v>
      </c>
      <c r="C1471" s="722" t="s">
        <v>65</v>
      </c>
      <c r="D1471" t="s">
        <v>66</v>
      </c>
      <c r="E1471" s="147">
        <v>-136.47653</v>
      </c>
      <c r="F1471" s="147">
        <v>-115.60046</v>
      </c>
      <c r="G1471" s="147">
        <v>-20.876069999999999</v>
      </c>
      <c r="H1471" s="147">
        <v>-18.058812222719528</v>
      </c>
      <c r="I1471" s="729"/>
      <c r="J1471" s="147">
        <v>-136.47653</v>
      </c>
      <c r="K1471" s="147">
        <v>0</v>
      </c>
      <c r="L1471" s="147">
        <v>-1524.7581299999999</v>
      </c>
      <c r="M1471" s="147">
        <v>-1376.21426</v>
      </c>
      <c r="N1471" s="147">
        <v>-148.54387</v>
      </c>
      <c r="O1471" s="147">
        <v>-10.793658685094572</v>
      </c>
      <c r="P1471" s="147">
        <v>-622.79002000000003</v>
      </c>
      <c r="Q1471" s="147">
        <v>-901.96811000000002</v>
      </c>
      <c r="R1471" s="147">
        <v>-144.82700124192741</v>
      </c>
    </row>
    <row r="1472" spans="2:18" ht="15.75" hidden="1" thickBot="1" x14ac:dyDescent="0.3">
      <c r="B1472" s="724" t="s">
        <v>732</v>
      </c>
      <c r="C1472" s="722" t="s">
        <v>186</v>
      </c>
      <c r="D1472" t="s">
        <v>187</v>
      </c>
      <c r="E1472" s="728"/>
      <c r="F1472" s="728"/>
      <c r="G1472" s="728"/>
      <c r="H1472" s="728"/>
      <c r="I1472" s="728"/>
      <c r="J1472" s="728"/>
      <c r="K1472" s="728"/>
      <c r="L1472" s="148">
        <v>-18.275020000000001</v>
      </c>
      <c r="M1472" s="728"/>
      <c r="N1472" s="148">
        <v>-18.275020000000001</v>
      </c>
      <c r="O1472" s="148">
        <v>0</v>
      </c>
      <c r="P1472" s="148">
        <v>-13.986330000000001</v>
      </c>
      <c r="Q1472" s="148">
        <v>-4.2886899999999999</v>
      </c>
      <c r="R1472" s="148">
        <v>-30.663440659558297</v>
      </c>
    </row>
    <row r="1473" spans="2:18" ht="15.75" hidden="1" thickBot="1" x14ac:dyDescent="0.3">
      <c r="B1473" s="724" t="s">
        <v>732</v>
      </c>
      <c r="C1473" s="722" t="s">
        <v>163</v>
      </c>
      <c r="D1473" t="s">
        <v>164</v>
      </c>
      <c r="E1473" s="147">
        <v>-72.553460000000001</v>
      </c>
      <c r="F1473" s="147">
        <v>-19.084720000000001</v>
      </c>
      <c r="G1473" s="147">
        <v>-53.468739999999997</v>
      </c>
      <c r="H1473" s="147">
        <v>-280.16517926382988</v>
      </c>
      <c r="I1473" s="729"/>
      <c r="J1473" s="147">
        <v>-72.553460000000001</v>
      </c>
      <c r="K1473" s="147">
        <v>0</v>
      </c>
      <c r="L1473" s="147">
        <v>-1065.3758700000001</v>
      </c>
      <c r="M1473" s="147">
        <v>-222.90217999999999</v>
      </c>
      <c r="N1473" s="147">
        <v>-842.47369000000003</v>
      </c>
      <c r="O1473" s="147">
        <v>-377.95668485611043</v>
      </c>
      <c r="P1473" s="147">
        <v>-595.71907999999996</v>
      </c>
      <c r="Q1473" s="147">
        <v>-469.65679</v>
      </c>
      <c r="R1473" s="147">
        <v>-78.838634814248351</v>
      </c>
    </row>
    <row r="1474" spans="2:18" ht="15.75" hidden="1" thickBot="1" x14ac:dyDescent="0.3">
      <c r="B1474" s="724" t="s">
        <v>732</v>
      </c>
      <c r="C1474" s="722" t="s">
        <v>97</v>
      </c>
      <c r="D1474" t="s">
        <v>98</v>
      </c>
      <c r="E1474" s="148">
        <v>-7.2136500000000003</v>
      </c>
      <c r="F1474" s="728"/>
      <c r="G1474" s="148">
        <v>-7.2136500000000003</v>
      </c>
      <c r="H1474" s="148">
        <v>0</v>
      </c>
      <c r="I1474" s="728"/>
      <c r="J1474" s="148">
        <v>-7.2136500000000003</v>
      </c>
      <c r="K1474" s="148">
        <v>0</v>
      </c>
      <c r="L1474" s="148">
        <v>-149.05700999999999</v>
      </c>
      <c r="M1474" s="728"/>
      <c r="N1474" s="148">
        <v>-149.05700999999999</v>
      </c>
      <c r="O1474" s="148">
        <v>0</v>
      </c>
      <c r="P1474" s="148">
        <v>-82.448059999999998</v>
      </c>
      <c r="Q1474" s="148">
        <v>-66.608949999999993</v>
      </c>
      <c r="R1474" s="148">
        <v>-80.788983997925484</v>
      </c>
    </row>
    <row r="1475" spans="2:18" ht="15.75" hidden="1" thickBot="1" x14ac:dyDescent="0.3">
      <c r="B1475" s="724" t="s">
        <v>732</v>
      </c>
      <c r="C1475" s="149" t="s">
        <v>67</v>
      </c>
      <c r="D1475" t="s">
        <v>68</v>
      </c>
      <c r="E1475" s="147">
        <v>997.03007000000002</v>
      </c>
      <c r="F1475" s="147">
        <v>1119.6003800000001</v>
      </c>
      <c r="G1475" s="147">
        <v>-122.57031000000001</v>
      </c>
      <c r="H1475" s="147">
        <v>-10.947683851268431</v>
      </c>
      <c r="I1475" s="729"/>
      <c r="J1475" s="147">
        <v>997.03007000000002</v>
      </c>
      <c r="K1475" s="147">
        <v>0</v>
      </c>
      <c r="L1475" s="147">
        <v>12121.880520000001</v>
      </c>
      <c r="M1475" s="147">
        <v>13320.39552</v>
      </c>
      <c r="N1475" s="147">
        <v>-1198.5150000000001</v>
      </c>
      <c r="O1475" s="147">
        <v>-8.9975931885842382</v>
      </c>
      <c r="P1475" s="147">
        <v>6271.5712400000002</v>
      </c>
      <c r="Q1475" s="147">
        <v>5850.3092800000004</v>
      </c>
      <c r="R1475" s="147">
        <v>93.282991711659164</v>
      </c>
    </row>
    <row r="1476" spans="2:18" ht="15.75" hidden="1" thickBot="1" x14ac:dyDescent="0.3">
      <c r="B1476" s="724" t="s">
        <v>732</v>
      </c>
      <c r="C1476" s="722" t="s">
        <v>69</v>
      </c>
      <c r="D1476" t="s">
        <v>70</v>
      </c>
      <c r="E1476" s="148">
        <v>7.65</v>
      </c>
      <c r="F1476" s="148">
        <v>11.22803</v>
      </c>
      <c r="G1476" s="148">
        <v>-3.57803</v>
      </c>
      <c r="H1476" s="148">
        <v>-31.866943711407966</v>
      </c>
      <c r="I1476" s="728"/>
      <c r="J1476" s="148">
        <v>7.65</v>
      </c>
      <c r="K1476" s="148">
        <v>0</v>
      </c>
      <c r="L1476" s="148">
        <v>197.47268</v>
      </c>
      <c r="M1476" s="148">
        <v>137.4</v>
      </c>
      <c r="N1476" s="148">
        <v>60.072679999999998</v>
      </c>
      <c r="O1476" s="148">
        <v>43.721018922852984</v>
      </c>
      <c r="P1476" s="148">
        <v>105.08732000000001</v>
      </c>
      <c r="Q1476" s="148">
        <v>92.385360000000006</v>
      </c>
      <c r="R1476" s="148">
        <v>87.912947061548437</v>
      </c>
    </row>
    <row r="1477" spans="2:18" ht="15.75" hidden="1" thickBot="1" x14ac:dyDescent="0.3">
      <c r="B1477" s="724" t="s">
        <v>732</v>
      </c>
      <c r="C1477" s="722" t="s">
        <v>99</v>
      </c>
      <c r="D1477" t="s">
        <v>100</v>
      </c>
      <c r="E1477" s="147">
        <v>6.9827599999999999</v>
      </c>
      <c r="F1477" s="147">
        <v>7.774</v>
      </c>
      <c r="G1477" s="147">
        <v>-0.79124000000000005</v>
      </c>
      <c r="H1477" s="147">
        <v>-10.178029328531</v>
      </c>
      <c r="I1477" s="729"/>
      <c r="J1477" s="147">
        <v>6.9827599999999999</v>
      </c>
      <c r="K1477" s="147">
        <v>0</v>
      </c>
      <c r="L1477" s="147">
        <v>70.571789999999993</v>
      </c>
      <c r="M1477" s="147">
        <v>94.54</v>
      </c>
      <c r="N1477" s="147">
        <v>-23.968209999999999</v>
      </c>
      <c r="O1477" s="147">
        <v>-25.352453987730062</v>
      </c>
      <c r="P1477" s="147">
        <v>31.678719999999998</v>
      </c>
      <c r="Q1477" s="147">
        <v>38.893070000000002</v>
      </c>
      <c r="R1477" s="147">
        <v>122.7734895854378</v>
      </c>
    </row>
    <row r="1478" spans="2:18" ht="15.75" hidden="1" thickBot="1" x14ac:dyDescent="0.3">
      <c r="B1478" s="724" t="s">
        <v>732</v>
      </c>
      <c r="C1478" s="722" t="s">
        <v>165</v>
      </c>
      <c r="D1478" t="s">
        <v>166</v>
      </c>
      <c r="E1478" s="148">
        <v>0.29333999999999999</v>
      </c>
      <c r="F1478" s="728"/>
      <c r="G1478" s="148">
        <v>0.29333999999999999</v>
      </c>
      <c r="H1478" s="148">
        <v>0</v>
      </c>
      <c r="I1478" s="728"/>
      <c r="J1478" s="148">
        <v>0.29333999999999999</v>
      </c>
      <c r="K1478" s="148">
        <v>0</v>
      </c>
      <c r="L1478" s="148">
        <v>6.6735499999999996</v>
      </c>
      <c r="M1478" s="728"/>
      <c r="N1478" s="148">
        <v>6.6735499999999996</v>
      </c>
      <c r="O1478" s="148">
        <v>0</v>
      </c>
      <c r="P1478" s="148">
        <v>3.2955199999999998</v>
      </c>
      <c r="Q1478" s="148">
        <v>3.3780299999999999</v>
      </c>
      <c r="R1478" s="148">
        <v>102.50370199543623</v>
      </c>
    </row>
    <row r="1479" spans="2:18" ht="15.75" hidden="1" thickBot="1" x14ac:dyDescent="0.3">
      <c r="B1479" s="724" t="s">
        <v>732</v>
      </c>
      <c r="C1479" s="722" t="s">
        <v>137</v>
      </c>
      <c r="D1479" t="s">
        <v>138</v>
      </c>
      <c r="E1479" s="147">
        <v>0.28895999999999999</v>
      </c>
      <c r="F1479" s="147">
        <v>0.12</v>
      </c>
      <c r="G1479" s="147">
        <v>0.16896</v>
      </c>
      <c r="H1479" s="147">
        <v>140.80000000000001</v>
      </c>
      <c r="I1479" s="729"/>
      <c r="J1479" s="147">
        <v>0.28895999999999999</v>
      </c>
      <c r="K1479" s="147">
        <v>0</v>
      </c>
      <c r="L1479" s="147">
        <v>2.81792</v>
      </c>
      <c r="M1479" s="147">
        <v>1.44</v>
      </c>
      <c r="N1479" s="147">
        <v>1.37792</v>
      </c>
      <c r="O1479" s="147">
        <v>95.688888888888883</v>
      </c>
      <c r="P1479" s="147">
        <v>1.3774200000000001</v>
      </c>
      <c r="Q1479" s="147">
        <v>1.4404999999999999</v>
      </c>
      <c r="R1479" s="147">
        <v>104.57957630933194</v>
      </c>
    </row>
    <row r="1480" spans="2:18" ht="15.75" hidden="1" thickBot="1" x14ac:dyDescent="0.3">
      <c r="B1480" s="724" t="s">
        <v>732</v>
      </c>
      <c r="C1480" s="722" t="s">
        <v>190</v>
      </c>
      <c r="D1480" t="s">
        <v>191</v>
      </c>
      <c r="E1480" s="148">
        <v>0.79496999999999995</v>
      </c>
      <c r="F1480" s="148">
        <v>0.78400000000000003</v>
      </c>
      <c r="G1480" s="148">
        <v>1.0970000000000001E-2</v>
      </c>
      <c r="H1480" s="148">
        <v>1.3992346938775511</v>
      </c>
      <c r="I1480" s="728"/>
      <c r="J1480" s="148">
        <v>0.79496999999999995</v>
      </c>
      <c r="K1480" s="148">
        <v>0</v>
      </c>
      <c r="L1480" s="148">
        <v>10.23814</v>
      </c>
      <c r="M1480" s="148">
        <v>9.4079999999999995</v>
      </c>
      <c r="N1480" s="148">
        <v>0.83013999999999999</v>
      </c>
      <c r="O1480" s="148">
        <v>8.8237670068027203</v>
      </c>
      <c r="P1480" s="148">
        <v>5.0949</v>
      </c>
      <c r="Q1480" s="148">
        <v>5.1432399999999996</v>
      </c>
      <c r="R1480" s="148">
        <v>100.94879192918408</v>
      </c>
    </row>
    <row r="1481" spans="2:18" ht="15.75" hidden="1" thickBot="1" x14ac:dyDescent="0.3">
      <c r="B1481" s="724" t="s">
        <v>732</v>
      </c>
      <c r="C1481" s="722" t="s">
        <v>36</v>
      </c>
      <c r="D1481" t="s">
        <v>192</v>
      </c>
      <c r="E1481" s="147">
        <v>4.1965000000000003</v>
      </c>
      <c r="F1481" s="147">
        <v>4.3659999999999997</v>
      </c>
      <c r="G1481" s="147">
        <v>-0.16950000000000001</v>
      </c>
      <c r="H1481" s="147">
        <v>-3.8822721026110858</v>
      </c>
      <c r="I1481" s="729"/>
      <c r="J1481" s="147">
        <v>4.1965000000000003</v>
      </c>
      <c r="K1481" s="147">
        <v>0</v>
      </c>
      <c r="L1481" s="147">
        <v>65.362899999999996</v>
      </c>
      <c r="M1481" s="147">
        <v>52.392000000000003</v>
      </c>
      <c r="N1481" s="147">
        <v>12.9709</v>
      </c>
      <c r="O1481" s="147">
        <v>24.757405710795542</v>
      </c>
      <c r="P1481" s="147">
        <v>35.403260000000003</v>
      </c>
      <c r="Q1481" s="147">
        <v>29.95964</v>
      </c>
      <c r="R1481" s="147">
        <v>84.623958358637026</v>
      </c>
    </row>
    <row r="1482" spans="2:18" ht="15.75" hidden="1" thickBot="1" x14ac:dyDescent="0.3">
      <c r="B1482" s="724" t="s">
        <v>732</v>
      </c>
      <c r="C1482" s="722" t="s">
        <v>598</v>
      </c>
      <c r="D1482" t="s">
        <v>168</v>
      </c>
      <c r="E1482" s="148">
        <v>0.11508</v>
      </c>
      <c r="F1482" s="728"/>
      <c r="G1482" s="148">
        <v>0.11508</v>
      </c>
      <c r="H1482" s="148">
        <v>0</v>
      </c>
      <c r="I1482" s="728"/>
      <c r="J1482" s="148">
        <v>0.11508</v>
      </c>
      <c r="K1482" s="148">
        <v>0</v>
      </c>
      <c r="L1482" s="148">
        <v>0.23321</v>
      </c>
      <c r="M1482" s="728"/>
      <c r="N1482" s="148">
        <v>0.23321</v>
      </c>
      <c r="O1482" s="148">
        <v>0</v>
      </c>
      <c r="P1482" s="148">
        <v>0.10814</v>
      </c>
      <c r="Q1482" s="148">
        <v>0.12506999999999999</v>
      </c>
      <c r="R1482" s="148">
        <v>115.65563158868135</v>
      </c>
    </row>
    <row r="1483" spans="2:18" ht="15.75" hidden="1" thickBot="1" x14ac:dyDescent="0.3">
      <c r="B1483" s="724" t="s">
        <v>732</v>
      </c>
      <c r="C1483" s="722" t="s">
        <v>139</v>
      </c>
      <c r="D1483" t="s">
        <v>140</v>
      </c>
      <c r="E1483" s="147">
        <v>2.4249999999999998</v>
      </c>
      <c r="F1483" s="729"/>
      <c r="G1483" s="147">
        <v>2.4249999999999998</v>
      </c>
      <c r="H1483" s="147">
        <v>0</v>
      </c>
      <c r="I1483" s="729"/>
      <c r="J1483" s="147">
        <v>2.4249999999999998</v>
      </c>
      <c r="K1483" s="147">
        <v>0</v>
      </c>
      <c r="L1483" s="147">
        <v>7.0529999999999999</v>
      </c>
      <c r="M1483" s="147">
        <v>12</v>
      </c>
      <c r="N1483" s="147">
        <v>-4.9470000000000001</v>
      </c>
      <c r="O1483" s="147">
        <v>-41.225000000000001</v>
      </c>
      <c r="P1483" s="147">
        <v>2.774</v>
      </c>
      <c r="Q1483" s="147">
        <v>4.2789999999999999</v>
      </c>
      <c r="R1483" s="147">
        <v>154.25378514780101</v>
      </c>
    </row>
    <row r="1484" spans="2:18" ht="15.75" hidden="1" thickBot="1" x14ac:dyDescent="0.3">
      <c r="B1484" s="724" t="s">
        <v>732</v>
      </c>
      <c r="C1484" s="722" t="s">
        <v>169</v>
      </c>
      <c r="D1484" t="s">
        <v>170</v>
      </c>
      <c r="E1484" s="728"/>
      <c r="F1484" s="148">
        <v>0</v>
      </c>
      <c r="G1484" s="148">
        <v>0</v>
      </c>
      <c r="H1484" s="148">
        <v>0</v>
      </c>
      <c r="I1484" s="728"/>
      <c r="J1484" s="728"/>
      <c r="K1484" s="728"/>
      <c r="L1484" s="148">
        <v>33.195590000000003</v>
      </c>
      <c r="M1484" s="148">
        <v>18</v>
      </c>
      <c r="N1484" s="148">
        <v>15.195589999999999</v>
      </c>
      <c r="O1484" s="148">
        <v>84.41994444444444</v>
      </c>
      <c r="P1484" s="148">
        <v>17.915949999999999</v>
      </c>
      <c r="Q1484" s="148">
        <v>15.279640000000001</v>
      </c>
      <c r="R1484" s="148">
        <v>85.285123032828295</v>
      </c>
    </row>
    <row r="1485" spans="2:18" ht="15.75" hidden="1" thickBot="1" x14ac:dyDescent="0.3">
      <c r="B1485" s="724" t="s">
        <v>732</v>
      </c>
      <c r="C1485" s="722" t="s">
        <v>101</v>
      </c>
      <c r="D1485" t="s">
        <v>102</v>
      </c>
      <c r="E1485" s="147">
        <v>129.18351999999999</v>
      </c>
      <c r="F1485" s="147">
        <v>45.474629999999998</v>
      </c>
      <c r="G1485" s="147">
        <v>83.708889999999997</v>
      </c>
      <c r="H1485" s="147">
        <v>184.07822119718182</v>
      </c>
      <c r="I1485" s="729"/>
      <c r="J1485" s="147">
        <v>129.18351999999999</v>
      </c>
      <c r="K1485" s="147">
        <v>0</v>
      </c>
      <c r="L1485" s="147">
        <v>1309.36717</v>
      </c>
      <c r="M1485" s="147">
        <v>565.69600000000003</v>
      </c>
      <c r="N1485" s="147">
        <v>743.67116999999996</v>
      </c>
      <c r="O1485" s="147">
        <v>131.4612742533092</v>
      </c>
      <c r="P1485" s="147">
        <v>550.15774999999996</v>
      </c>
      <c r="Q1485" s="147">
        <v>759.20942000000002</v>
      </c>
      <c r="R1485" s="147">
        <v>137.99849588595271</v>
      </c>
    </row>
    <row r="1486" spans="2:18" ht="15.75" hidden="1" thickBot="1" x14ac:dyDescent="0.3">
      <c r="B1486" s="724" t="s">
        <v>732</v>
      </c>
      <c r="C1486" s="722" t="s">
        <v>464</v>
      </c>
      <c r="D1486" t="s">
        <v>465</v>
      </c>
      <c r="E1486" s="148">
        <v>16.59271</v>
      </c>
      <c r="F1486" s="148">
        <v>8.7200000000000006</v>
      </c>
      <c r="G1486" s="148">
        <v>7.8727099999999997</v>
      </c>
      <c r="H1486" s="148">
        <v>90.283371559633025</v>
      </c>
      <c r="I1486" s="728"/>
      <c r="J1486" s="148">
        <v>16.59271</v>
      </c>
      <c r="K1486" s="148">
        <v>0</v>
      </c>
      <c r="L1486" s="148">
        <v>109.69781</v>
      </c>
      <c r="M1486" s="148">
        <v>100.5</v>
      </c>
      <c r="N1486" s="148">
        <v>9.1978100000000005</v>
      </c>
      <c r="O1486" s="148">
        <v>9.1520497512437817</v>
      </c>
      <c r="P1486" s="148">
        <v>60.987520000000004</v>
      </c>
      <c r="Q1486" s="148">
        <v>48.710290000000001</v>
      </c>
      <c r="R1486" s="148">
        <v>79.869274894273445</v>
      </c>
    </row>
    <row r="1487" spans="2:18" ht="15.75" hidden="1" thickBot="1" x14ac:dyDescent="0.3">
      <c r="B1487" s="724" t="s">
        <v>732</v>
      </c>
      <c r="C1487" s="722" t="s">
        <v>103</v>
      </c>
      <c r="D1487" t="s">
        <v>104</v>
      </c>
      <c r="E1487" s="147">
        <v>0.54322999999999999</v>
      </c>
      <c r="F1487" s="729"/>
      <c r="G1487" s="147">
        <v>0.54322999999999999</v>
      </c>
      <c r="H1487" s="147">
        <v>0</v>
      </c>
      <c r="I1487" s="729"/>
      <c r="J1487" s="147">
        <v>0.54322999999999999</v>
      </c>
      <c r="K1487" s="147">
        <v>0</v>
      </c>
      <c r="L1487" s="147">
        <v>5.2740099999999996</v>
      </c>
      <c r="M1487" s="729"/>
      <c r="N1487" s="147">
        <v>5.2740099999999996</v>
      </c>
      <c r="O1487" s="147">
        <v>0</v>
      </c>
      <c r="P1487" s="147">
        <v>3.69021</v>
      </c>
      <c r="Q1487" s="147">
        <v>1.5838000000000001</v>
      </c>
      <c r="R1487" s="147">
        <v>42.918966671273452</v>
      </c>
    </row>
    <row r="1488" spans="2:18" ht="15.75" hidden="1" thickBot="1" x14ac:dyDescent="0.3">
      <c r="B1488" s="724" t="s">
        <v>732</v>
      </c>
      <c r="C1488" s="722" t="s">
        <v>71</v>
      </c>
      <c r="D1488" t="s">
        <v>72</v>
      </c>
      <c r="E1488" s="148">
        <v>4.0000000000000001E-3</v>
      </c>
      <c r="F1488" s="728"/>
      <c r="G1488" s="148">
        <v>4.0000000000000001E-3</v>
      </c>
      <c r="H1488" s="148">
        <v>0</v>
      </c>
      <c r="I1488" s="728"/>
      <c r="J1488" s="148">
        <v>4.0000000000000001E-3</v>
      </c>
      <c r="K1488" s="148">
        <v>0</v>
      </c>
      <c r="L1488" s="148">
        <v>2.03037</v>
      </c>
      <c r="M1488" s="728"/>
      <c r="N1488" s="148">
        <v>2.03037</v>
      </c>
      <c r="O1488" s="148">
        <v>0</v>
      </c>
      <c r="P1488" s="148">
        <v>0.64126000000000005</v>
      </c>
      <c r="Q1488" s="148">
        <v>1.3891100000000001</v>
      </c>
      <c r="R1488" s="148">
        <v>216.62196301032341</v>
      </c>
    </row>
    <row r="1489" spans="2:18" ht="15.75" hidden="1" thickBot="1" x14ac:dyDescent="0.3">
      <c r="B1489" s="724" t="s">
        <v>732</v>
      </c>
      <c r="C1489" s="722" t="s">
        <v>627</v>
      </c>
      <c r="D1489" t="s">
        <v>628</v>
      </c>
      <c r="E1489" s="147">
        <v>6.6140000000000004E-2</v>
      </c>
      <c r="F1489" s="729"/>
      <c r="G1489" s="147">
        <v>6.6140000000000004E-2</v>
      </c>
      <c r="H1489" s="147">
        <v>0</v>
      </c>
      <c r="I1489" s="729"/>
      <c r="J1489" s="147">
        <v>6.6140000000000004E-2</v>
      </c>
      <c r="K1489" s="147">
        <v>0</v>
      </c>
      <c r="L1489" s="147">
        <v>1.12216</v>
      </c>
      <c r="M1489" s="729"/>
      <c r="N1489" s="147">
        <v>1.12216</v>
      </c>
      <c r="O1489" s="147">
        <v>0</v>
      </c>
      <c r="P1489" s="147">
        <v>0.89746000000000004</v>
      </c>
      <c r="Q1489" s="147">
        <v>0.22470000000000001</v>
      </c>
      <c r="R1489" s="147">
        <v>25.037327568916719</v>
      </c>
    </row>
    <row r="1490" spans="2:18" ht="15.75" hidden="1" thickBot="1" x14ac:dyDescent="0.3">
      <c r="B1490" s="724" t="s">
        <v>732</v>
      </c>
      <c r="C1490" s="722" t="s">
        <v>107</v>
      </c>
      <c r="D1490" t="s">
        <v>108</v>
      </c>
      <c r="E1490" s="148">
        <v>67.500929999999997</v>
      </c>
      <c r="F1490" s="148">
        <v>75.105000000000004</v>
      </c>
      <c r="G1490" s="148">
        <v>-7.6040700000000001</v>
      </c>
      <c r="H1490" s="148">
        <v>-10.124585580187738</v>
      </c>
      <c r="I1490" s="728"/>
      <c r="J1490" s="148">
        <v>67.500929999999997</v>
      </c>
      <c r="K1490" s="148">
        <v>0</v>
      </c>
      <c r="L1490" s="148">
        <v>834.97284999999999</v>
      </c>
      <c r="M1490" s="148">
        <v>901.26</v>
      </c>
      <c r="N1490" s="148">
        <v>-66.287149999999997</v>
      </c>
      <c r="O1490" s="148">
        <v>-7.3549419701307057</v>
      </c>
      <c r="P1490" s="148">
        <v>415.90487999999999</v>
      </c>
      <c r="Q1490" s="148">
        <v>419.06797</v>
      </c>
      <c r="R1490" s="148">
        <v>100.76053207166024</v>
      </c>
    </row>
    <row r="1491" spans="2:18" ht="15.75" hidden="1" thickBot="1" x14ac:dyDescent="0.3">
      <c r="B1491" s="724" t="s">
        <v>732</v>
      </c>
      <c r="C1491" s="722" t="s">
        <v>109</v>
      </c>
      <c r="D1491" t="s">
        <v>110</v>
      </c>
      <c r="E1491" s="147">
        <v>2.3167599999999999</v>
      </c>
      <c r="F1491" s="147">
        <v>5.0149999999999997</v>
      </c>
      <c r="G1491" s="147">
        <v>-2.6982400000000002</v>
      </c>
      <c r="H1491" s="147">
        <v>-53.803389830508472</v>
      </c>
      <c r="I1491" s="729"/>
      <c r="J1491" s="147">
        <v>2.3167599999999999</v>
      </c>
      <c r="K1491" s="147">
        <v>0</v>
      </c>
      <c r="L1491" s="147">
        <v>52.423380000000002</v>
      </c>
      <c r="M1491" s="147">
        <v>60.18</v>
      </c>
      <c r="N1491" s="147">
        <v>-7.7566199999999998</v>
      </c>
      <c r="O1491" s="147">
        <v>-12.889032901296112</v>
      </c>
      <c r="P1491" s="147">
        <v>23.619910000000001</v>
      </c>
      <c r="Q1491" s="147">
        <v>28.803470000000001</v>
      </c>
      <c r="R1491" s="147">
        <v>121.94572290918974</v>
      </c>
    </row>
    <row r="1492" spans="2:18" ht="15.75" hidden="1" thickBot="1" x14ac:dyDescent="0.3">
      <c r="B1492" s="724" t="s">
        <v>732</v>
      </c>
      <c r="C1492" s="722" t="s">
        <v>73</v>
      </c>
      <c r="D1492" t="s">
        <v>74</v>
      </c>
      <c r="E1492" s="148">
        <v>1.52146</v>
      </c>
      <c r="F1492" s="148">
        <v>5.8949999999999996</v>
      </c>
      <c r="G1492" s="148">
        <v>-4.3735400000000002</v>
      </c>
      <c r="H1492" s="148">
        <v>-74.190670059372351</v>
      </c>
      <c r="I1492" s="728"/>
      <c r="J1492" s="148">
        <v>1.52146</v>
      </c>
      <c r="K1492" s="148">
        <v>0</v>
      </c>
      <c r="L1492" s="148">
        <v>73.291120000000006</v>
      </c>
      <c r="M1492" s="148">
        <v>70.739999999999995</v>
      </c>
      <c r="N1492" s="148">
        <v>2.5511200000000001</v>
      </c>
      <c r="O1492" s="148">
        <v>3.6063330506078599</v>
      </c>
      <c r="P1492" s="148">
        <v>43.294519999999999</v>
      </c>
      <c r="Q1492" s="148">
        <v>29.996600000000001</v>
      </c>
      <c r="R1492" s="148">
        <v>69.284981101534328</v>
      </c>
    </row>
    <row r="1493" spans="2:18" ht="15.75" hidden="1" thickBot="1" x14ac:dyDescent="0.3">
      <c r="B1493" s="724" t="s">
        <v>732</v>
      </c>
      <c r="C1493" s="722" t="s">
        <v>111</v>
      </c>
      <c r="D1493" t="s">
        <v>112</v>
      </c>
      <c r="E1493" s="147">
        <v>-0.17175000000000001</v>
      </c>
      <c r="F1493" s="147">
        <v>1.27</v>
      </c>
      <c r="G1493" s="147">
        <v>-1.4417500000000001</v>
      </c>
      <c r="H1493" s="147">
        <v>-113.52362204724409</v>
      </c>
      <c r="I1493" s="729"/>
      <c r="J1493" s="147">
        <v>-0.17175000000000001</v>
      </c>
      <c r="K1493" s="147">
        <v>0</v>
      </c>
      <c r="L1493" s="147">
        <v>10.42923</v>
      </c>
      <c r="M1493" s="147">
        <v>13.97</v>
      </c>
      <c r="N1493" s="147">
        <v>-3.5407700000000002</v>
      </c>
      <c r="O1493" s="147">
        <v>-25.345526127415891</v>
      </c>
      <c r="P1493" s="147">
        <v>2.4472</v>
      </c>
      <c r="Q1493" s="147">
        <v>7.98203</v>
      </c>
      <c r="R1493" s="147">
        <v>326.16990846681921</v>
      </c>
    </row>
    <row r="1494" spans="2:18" ht="15.75" hidden="1" thickBot="1" x14ac:dyDescent="0.3">
      <c r="B1494" s="724" t="s">
        <v>732</v>
      </c>
      <c r="C1494" s="722" t="s">
        <v>141</v>
      </c>
      <c r="D1494" t="s">
        <v>142</v>
      </c>
      <c r="E1494" s="148">
        <v>0.26504</v>
      </c>
      <c r="F1494" s="148">
        <v>0.20832999999999999</v>
      </c>
      <c r="G1494" s="148">
        <v>5.6710000000000003E-2</v>
      </c>
      <c r="H1494" s="148">
        <v>27.221235539768635</v>
      </c>
      <c r="I1494" s="728"/>
      <c r="J1494" s="148">
        <v>0.26504</v>
      </c>
      <c r="K1494" s="148">
        <v>0</v>
      </c>
      <c r="L1494" s="148">
        <v>2.48889</v>
      </c>
      <c r="M1494" s="148">
        <v>2.4999600000000002</v>
      </c>
      <c r="N1494" s="148">
        <v>-1.107E-2</v>
      </c>
      <c r="O1494" s="148">
        <v>-0.44280708491335863</v>
      </c>
      <c r="P1494" s="148">
        <v>1.66465</v>
      </c>
      <c r="Q1494" s="148">
        <v>0.82423999999999997</v>
      </c>
      <c r="R1494" s="148">
        <v>49.514312317904661</v>
      </c>
    </row>
    <row r="1495" spans="2:18" ht="15.75" hidden="1" thickBot="1" x14ac:dyDescent="0.3">
      <c r="B1495" s="724" t="s">
        <v>732</v>
      </c>
      <c r="C1495" s="722" t="s">
        <v>113</v>
      </c>
      <c r="D1495" t="s">
        <v>114</v>
      </c>
      <c r="E1495" s="147">
        <v>1.0991599999999999</v>
      </c>
      <c r="F1495" s="147">
        <v>0.79800000000000004</v>
      </c>
      <c r="G1495" s="147">
        <v>0.30115999999999998</v>
      </c>
      <c r="H1495" s="147">
        <v>37.739348370927317</v>
      </c>
      <c r="I1495" s="729"/>
      <c r="J1495" s="147">
        <v>1.0991599999999999</v>
      </c>
      <c r="K1495" s="147">
        <v>0</v>
      </c>
      <c r="L1495" s="147">
        <v>9.0353300000000001</v>
      </c>
      <c r="M1495" s="147">
        <v>9.5760000000000005</v>
      </c>
      <c r="N1495" s="147">
        <v>-0.54066999999999998</v>
      </c>
      <c r="O1495" s="147">
        <v>-5.6460944026733504</v>
      </c>
      <c r="P1495" s="147">
        <v>5.0795399999999997</v>
      </c>
      <c r="Q1495" s="147">
        <v>3.9557899999999999</v>
      </c>
      <c r="R1495" s="147">
        <v>77.876933738094394</v>
      </c>
    </row>
    <row r="1496" spans="2:18" ht="15.75" hidden="1" thickBot="1" x14ac:dyDescent="0.3">
      <c r="B1496" s="724" t="s">
        <v>732</v>
      </c>
      <c r="C1496" s="722" t="s">
        <v>201</v>
      </c>
      <c r="D1496" t="s">
        <v>202</v>
      </c>
      <c r="E1496" s="148">
        <v>1.16405</v>
      </c>
      <c r="F1496" s="148">
        <v>1.6659999999999999</v>
      </c>
      <c r="G1496" s="148">
        <v>-0.50195000000000001</v>
      </c>
      <c r="H1496" s="148">
        <v>-30.129051620648259</v>
      </c>
      <c r="I1496" s="728"/>
      <c r="J1496" s="148">
        <v>1.16405</v>
      </c>
      <c r="K1496" s="148">
        <v>0</v>
      </c>
      <c r="L1496" s="148">
        <v>18.955829999999999</v>
      </c>
      <c r="M1496" s="148">
        <v>20</v>
      </c>
      <c r="N1496" s="148">
        <v>-1.04417</v>
      </c>
      <c r="O1496" s="148">
        <v>-5.2208500000000004</v>
      </c>
      <c r="P1496" s="148">
        <v>12.40535</v>
      </c>
      <c r="Q1496" s="148">
        <v>6.5504800000000003</v>
      </c>
      <c r="R1496" s="148">
        <v>52.80366938458004</v>
      </c>
    </row>
    <row r="1497" spans="2:18" ht="15.75" hidden="1" thickBot="1" x14ac:dyDescent="0.3">
      <c r="B1497" s="724" t="s">
        <v>732</v>
      </c>
      <c r="C1497" s="722" t="s">
        <v>466</v>
      </c>
      <c r="D1497" t="s">
        <v>467</v>
      </c>
      <c r="E1497" s="147">
        <v>9.7571700000000003</v>
      </c>
      <c r="F1497" s="147">
        <v>9.5269999999999992</v>
      </c>
      <c r="G1497" s="147">
        <v>0.23017000000000001</v>
      </c>
      <c r="H1497" s="147">
        <v>2.4159756481578669</v>
      </c>
      <c r="I1497" s="729"/>
      <c r="J1497" s="147">
        <v>9.7571700000000003</v>
      </c>
      <c r="K1497" s="147">
        <v>0</v>
      </c>
      <c r="L1497" s="147">
        <v>114.39706</v>
      </c>
      <c r="M1497" s="147">
        <v>114.324</v>
      </c>
      <c r="N1497" s="147">
        <v>7.306E-2</v>
      </c>
      <c r="O1497" s="147">
        <v>6.3906091459361117E-2</v>
      </c>
      <c r="P1497" s="147">
        <v>57.254620000000003</v>
      </c>
      <c r="Q1497" s="147">
        <v>57.142440000000001</v>
      </c>
      <c r="R1497" s="147">
        <v>99.804068213185246</v>
      </c>
    </row>
    <row r="1498" spans="2:18" ht="15.75" hidden="1" thickBot="1" x14ac:dyDescent="0.3">
      <c r="B1498" s="724" t="s">
        <v>732</v>
      </c>
      <c r="C1498" s="722" t="s">
        <v>145</v>
      </c>
      <c r="D1498" t="s">
        <v>146</v>
      </c>
      <c r="E1498" s="148">
        <v>0.92649999999999999</v>
      </c>
      <c r="F1498" s="148">
        <v>0.78</v>
      </c>
      <c r="G1498" s="148">
        <v>0.14649999999999999</v>
      </c>
      <c r="H1498" s="148">
        <v>18.782051282051281</v>
      </c>
      <c r="I1498" s="728"/>
      <c r="J1498" s="148">
        <v>0.92649999999999999</v>
      </c>
      <c r="K1498" s="148">
        <v>0</v>
      </c>
      <c r="L1498" s="148">
        <v>9.8097499999999993</v>
      </c>
      <c r="M1498" s="148">
        <v>9.36</v>
      </c>
      <c r="N1498" s="148">
        <v>0.44974999999999998</v>
      </c>
      <c r="O1498" s="148">
        <v>4.8050213675213671</v>
      </c>
      <c r="P1498" s="148">
        <v>4.4428000000000001</v>
      </c>
      <c r="Q1498" s="148">
        <v>5.3669500000000001</v>
      </c>
      <c r="R1498" s="148">
        <v>120.80107139641667</v>
      </c>
    </row>
    <row r="1499" spans="2:18" ht="15.75" hidden="1" thickBot="1" x14ac:dyDescent="0.3">
      <c r="B1499" s="724" t="s">
        <v>732</v>
      </c>
      <c r="C1499" s="722" t="s">
        <v>147</v>
      </c>
      <c r="D1499" t="s">
        <v>148</v>
      </c>
      <c r="E1499" s="147">
        <v>1.9E-2</v>
      </c>
      <c r="F1499" s="729"/>
      <c r="G1499" s="147">
        <v>1.9E-2</v>
      </c>
      <c r="H1499" s="147">
        <v>0</v>
      </c>
      <c r="I1499" s="729"/>
      <c r="J1499" s="147">
        <v>1.9E-2</v>
      </c>
      <c r="K1499" s="147">
        <v>0</v>
      </c>
      <c r="L1499" s="147">
        <v>7.2679999999999995E-2</v>
      </c>
      <c r="M1499" s="729"/>
      <c r="N1499" s="147">
        <v>7.2679999999999995E-2</v>
      </c>
      <c r="O1499" s="147">
        <v>0</v>
      </c>
      <c r="P1499" s="729"/>
      <c r="Q1499" s="147">
        <v>7.2679999999999995E-2</v>
      </c>
      <c r="R1499" s="147">
        <v>0</v>
      </c>
    </row>
    <row r="1500" spans="2:18" ht="15.75" hidden="1" thickBot="1" x14ac:dyDescent="0.3">
      <c r="B1500" s="724" t="s">
        <v>732</v>
      </c>
      <c r="C1500" s="722" t="s">
        <v>203</v>
      </c>
      <c r="D1500" t="s">
        <v>204</v>
      </c>
      <c r="E1500" s="728"/>
      <c r="F1500" s="148">
        <v>0.02</v>
      </c>
      <c r="G1500" s="148">
        <v>-0.02</v>
      </c>
      <c r="H1500" s="148">
        <v>-100</v>
      </c>
      <c r="I1500" s="728"/>
      <c r="J1500" s="728"/>
      <c r="K1500" s="728"/>
      <c r="L1500" s="148">
        <v>0.69298999999999999</v>
      </c>
      <c r="M1500" s="148">
        <v>0.24</v>
      </c>
      <c r="N1500" s="148">
        <v>0.45299</v>
      </c>
      <c r="O1500" s="148">
        <v>188.74583333333334</v>
      </c>
      <c r="P1500" s="148">
        <v>0.69298999999999999</v>
      </c>
      <c r="Q1500" s="148">
        <v>0</v>
      </c>
      <c r="R1500" s="148">
        <v>0</v>
      </c>
    </row>
    <row r="1501" spans="2:18" ht="15.75" hidden="1" thickBot="1" x14ac:dyDescent="0.3">
      <c r="B1501" s="724" t="s">
        <v>732</v>
      </c>
      <c r="C1501" s="722" t="s">
        <v>641</v>
      </c>
      <c r="D1501" t="s">
        <v>642</v>
      </c>
      <c r="E1501" s="729"/>
      <c r="F1501" s="729"/>
      <c r="G1501" s="729"/>
      <c r="H1501" s="729"/>
      <c r="I1501" s="729"/>
      <c r="J1501" s="729"/>
      <c r="K1501" s="729"/>
      <c r="L1501" s="147">
        <v>0.38496000000000002</v>
      </c>
      <c r="M1501" s="729"/>
      <c r="N1501" s="147">
        <v>0.38496000000000002</v>
      </c>
      <c r="O1501" s="147">
        <v>0</v>
      </c>
      <c r="P1501" s="729"/>
      <c r="Q1501" s="147">
        <v>0.38496000000000002</v>
      </c>
      <c r="R1501" s="147">
        <v>0</v>
      </c>
    </row>
    <row r="1502" spans="2:18" ht="15.75" hidden="1" thickBot="1" x14ac:dyDescent="0.3">
      <c r="B1502" s="724" t="s">
        <v>732</v>
      </c>
      <c r="C1502" s="722" t="s">
        <v>149</v>
      </c>
      <c r="D1502" t="s">
        <v>150</v>
      </c>
      <c r="E1502" s="148">
        <v>19.048729999999999</v>
      </c>
      <c r="F1502" s="148">
        <v>7.1029999999999998</v>
      </c>
      <c r="G1502" s="148">
        <v>11.945729999999999</v>
      </c>
      <c r="H1502" s="148">
        <v>168.17865690553288</v>
      </c>
      <c r="I1502" s="728"/>
      <c r="J1502" s="148">
        <v>19.048729999999999</v>
      </c>
      <c r="K1502" s="148">
        <v>0</v>
      </c>
      <c r="L1502" s="148">
        <v>441.84046999999998</v>
      </c>
      <c r="M1502" s="148">
        <v>281.93599999999998</v>
      </c>
      <c r="N1502" s="148">
        <v>159.90447</v>
      </c>
      <c r="O1502" s="148">
        <v>56.716584614948076</v>
      </c>
      <c r="P1502" s="148">
        <v>227.25668999999999</v>
      </c>
      <c r="Q1502" s="148">
        <v>214.58377999999999</v>
      </c>
      <c r="R1502" s="148">
        <v>94.423526101695842</v>
      </c>
    </row>
    <row r="1503" spans="2:18" ht="15.75" hidden="1" thickBot="1" x14ac:dyDescent="0.3">
      <c r="B1503" s="724" t="s">
        <v>732</v>
      </c>
      <c r="C1503" s="722" t="s">
        <v>205</v>
      </c>
      <c r="D1503" t="s">
        <v>206</v>
      </c>
      <c r="E1503" s="147">
        <v>4.0653300000000003</v>
      </c>
      <c r="F1503" s="147">
        <v>0.2</v>
      </c>
      <c r="G1503" s="147">
        <v>3.8653300000000002</v>
      </c>
      <c r="H1503" s="147">
        <v>1932.665</v>
      </c>
      <c r="I1503" s="729"/>
      <c r="J1503" s="147">
        <v>4.0653300000000003</v>
      </c>
      <c r="K1503" s="147">
        <v>0</v>
      </c>
      <c r="L1503" s="147">
        <v>14.50094</v>
      </c>
      <c r="M1503" s="147">
        <v>2.4</v>
      </c>
      <c r="N1503" s="147">
        <v>12.10094</v>
      </c>
      <c r="O1503" s="147">
        <v>504.20583333333332</v>
      </c>
      <c r="P1503" s="147">
        <v>4.6786099999999999</v>
      </c>
      <c r="Q1503" s="147">
        <v>9.8223299999999991</v>
      </c>
      <c r="R1503" s="147">
        <v>209.94120048475935</v>
      </c>
    </row>
    <row r="1504" spans="2:18" ht="15.75" hidden="1" thickBot="1" x14ac:dyDescent="0.3">
      <c r="B1504" s="724" t="s">
        <v>732</v>
      </c>
      <c r="C1504" s="722" t="s">
        <v>649</v>
      </c>
      <c r="D1504" t="s">
        <v>650</v>
      </c>
      <c r="E1504" s="148">
        <v>299.78473000000002</v>
      </c>
      <c r="F1504" s="148">
        <v>293.67057</v>
      </c>
      <c r="G1504" s="148">
        <v>6.11416</v>
      </c>
      <c r="H1504" s="148">
        <v>2.0819791373715111</v>
      </c>
      <c r="I1504" s="728"/>
      <c r="J1504" s="148">
        <v>299.78473000000002</v>
      </c>
      <c r="K1504" s="148">
        <v>0</v>
      </c>
      <c r="L1504" s="148">
        <v>3717.5785700000001</v>
      </c>
      <c r="M1504" s="148">
        <v>3551.9383800000001</v>
      </c>
      <c r="N1504" s="148">
        <v>165.64018999999999</v>
      </c>
      <c r="O1504" s="148">
        <v>4.6633745374828264</v>
      </c>
      <c r="P1504" s="148">
        <v>1723.38158</v>
      </c>
      <c r="Q1504" s="148">
        <v>1994.1969899999999</v>
      </c>
      <c r="R1504" s="148">
        <v>115.71418733627175</v>
      </c>
    </row>
    <row r="1505" spans="2:18" ht="15.75" hidden="1" thickBot="1" x14ac:dyDescent="0.3">
      <c r="B1505" s="724" t="s">
        <v>732</v>
      </c>
      <c r="C1505" s="722" t="s">
        <v>119</v>
      </c>
      <c r="D1505" t="s">
        <v>120</v>
      </c>
      <c r="E1505" s="729"/>
      <c r="F1505" s="729"/>
      <c r="G1505" s="729"/>
      <c r="H1505" s="729"/>
      <c r="I1505" s="729"/>
      <c r="J1505" s="729"/>
      <c r="K1505" s="729"/>
      <c r="L1505" s="147">
        <v>0</v>
      </c>
      <c r="M1505" s="729"/>
      <c r="N1505" s="147">
        <v>0</v>
      </c>
      <c r="O1505" s="147">
        <v>0</v>
      </c>
      <c r="P1505" s="147">
        <v>0</v>
      </c>
      <c r="Q1505" s="147">
        <v>0</v>
      </c>
      <c r="R1505" s="147">
        <v>0</v>
      </c>
    </row>
    <row r="1506" spans="2:18" ht="15.75" hidden="1" thickBot="1" x14ac:dyDescent="0.3">
      <c r="B1506" s="724" t="s">
        <v>732</v>
      </c>
      <c r="C1506" s="722" t="s">
        <v>173</v>
      </c>
      <c r="D1506" t="s">
        <v>174</v>
      </c>
      <c r="E1506" s="148">
        <v>0.36</v>
      </c>
      <c r="F1506" s="148">
        <v>0.376</v>
      </c>
      <c r="G1506" s="148">
        <v>-1.6E-2</v>
      </c>
      <c r="H1506" s="148">
        <v>-4.2553191489361701</v>
      </c>
      <c r="I1506" s="728"/>
      <c r="J1506" s="148">
        <v>0.36</v>
      </c>
      <c r="K1506" s="148">
        <v>0</v>
      </c>
      <c r="L1506" s="148">
        <v>6.4964000000000004</v>
      </c>
      <c r="M1506" s="148">
        <v>4.5119999999999996</v>
      </c>
      <c r="N1506" s="148">
        <v>1.9843999999999999</v>
      </c>
      <c r="O1506" s="148">
        <v>43.980496453900706</v>
      </c>
      <c r="P1506" s="148">
        <v>3.4844900000000001</v>
      </c>
      <c r="Q1506" s="148">
        <v>3.0119099999999999</v>
      </c>
      <c r="R1506" s="148">
        <v>86.437613538853611</v>
      </c>
    </row>
    <row r="1507" spans="2:18" ht="15.75" hidden="1" thickBot="1" x14ac:dyDescent="0.3">
      <c r="B1507" s="724" t="s">
        <v>732</v>
      </c>
      <c r="C1507" s="722" t="s">
        <v>479</v>
      </c>
      <c r="D1507" t="s">
        <v>480</v>
      </c>
      <c r="E1507" s="147">
        <v>57.436320000000002</v>
      </c>
      <c r="F1507" s="147">
        <v>47.807279999999999</v>
      </c>
      <c r="G1507" s="147">
        <v>9.6290399999999998</v>
      </c>
      <c r="H1507" s="147">
        <v>20.141367590877373</v>
      </c>
      <c r="I1507" s="729"/>
      <c r="J1507" s="147">
        <v>57.436320000000002</v>
      </c>
      <c r="K1507" s="147">
        <v>0</v>
      </c>
      <c r="L1507" s="147">
        <v>605.82209</v>
      </c>
      <c r="M1507" s="147">
        <v>564.96960000000001</v>
      </c>
      <c r="N1507" s="147">
        <v>40.852490000000003</v>
      </c>
      <c r="O1507" s="147">
        <v>7.2309182653367543</v>
      </c>
      <c r="P1507" s="147">
        <v>292.15688999999998</v>
      </c>
      <c r="Q1507" s="147">
        <v>313.66520000000003</v>
      </c>
      <c r="R1507" s="147">
        <v>107.36190407831901</v>
      </c>
    </row>
    <row r="1508" spans="2:18" ht="15.75" hidden="1" thickBot="1" x14ac:dyDescent="0.3">
      <c r="B1508" s="724" t="s">
        <v>732</v>
      </c>
      <c r="C1508" s="722" t="s">
        <v>151</v>
      </c>
      <c r="D1508" t="s">
        <v>152</v>
      </c>
      <c r="E1508" s="728"/>
      <c r="F1508" s="148">
        <v>0.15</v>
      </c>
      <c r="G1508" s="148">
        <v>-0.15</v>
      </c>
      <c r="H1508" s="148">
        <v>-100</v>
      </c>
      <c r="I1508" s="728"/>
      <c r="J1508" s="728"/>
      <c r="K1508" s="728"/>
      <c r="L1508" s="148">
        <v>3.3050000000000002</v>
      </c>
      <c r="M1508" s="148">
        <v>1.8</v>
      </c>
      <c r="N1508" s="148">
        <v>1.5049999999999999</v>
      </c>
      <c r="O1508" s="148">
        <v>83.611111111111114</v>
      </c>
      <c r="P1508" s="148">
        <v>2.69</v>
      </c>
      <c r="Q1508" s="148">
        <v>0.61499999999999999</v>
      </c>
      <c r="R1508" s="148">
        <v>22.862453531598511</v>
      </c>
    </row>
    <row r="1509" spans="2:18" ht="15.75" hidden="1" thickBot="1" x14ac:dyDescent="0.3">
      <c r="B1509" s="724" t="s">
        <v>732</v>
      </c>
      <c r="C1509" s="722" t="s">
        <v>481</v>
      </c>
      <c r="D1509" t="s">
        <v>482</v>
      </c>
      <c r="E1509" s="147">
        <v>72.037769999999995</v>
      </c>
      <c r="F1509" s="147">
        <v>50</v>
      </c>
      <c r="G1509" s="147">
        <v>22.037769999999998</v>
      </c>
      <c r="H1509" s="147">
        <v>44.075539999999997</v>
      </c>
      <c r="I1509" s="729"/>
      <c r="J1509" s="147">
        <v>72.037769999999995</v>
      </c>
      <c r="K1509" s="147">
        <v>0</v>
      </c>
      <c r="L1509" s="147">
        <v>761.83429000000001</v>
      </c>
      <c r="M1509" s="147">
        <v>600</v>
      </c>
      <c r="N1509" s="147">
        <v>161.83429000000001</v>
      </c>
      <c r="O1509" s="147">
        <v>26.972381666666667</v>
      </c>
      <c r="P1509" s="147">
        <v>347.29989</v>
      </c>
      <c r="Q1509" s="147">
        <v>414.53440000000001</v>
      </c>
      <c r="R1509" s="147">
        <v>119.35920855028201</v>
      </c>
    </row>
    <row r="1510" spans="2:18" ht="15.75" hidden="1" thickBot="1" x14ac:dyDescent="0.3">
      <c r="B1510" s="724" t="s">
        <v>732</v>
      </c>
      <c r="C1510" s="722" t="s">
        <v>483</v>
      </c>
      <c r="D1510" t="s">
        <v>484</v>
      </c>
      <c r="E1510" s="728"/>
      <c r="F1510" s="728"/>
      <c r="G1510" s="728"/>
      <c r="H1510" s="728"/>
      <c r="I1510" s="728"/>
      <c r="J1510" s="728"/>
      <c r="K1510" s="728"/>
      <c r="L1510" s="148">
        <v>5.3940000000000002E-2</v>
      </c>
      <c r="M1510" s="728"/>
      <c r="N1510" s="148">
        <v>5.3940000000000002E-2</v>
      </c>
      <c r="O1510" s="148">
        <v>0</v>
      </c>
      <c r="P1510" s="728"/>
      <c r="Q1510" s="148">
        <v>5.3940000000000002E-2</v>
      </c>
      <c r="R1510" s="148">
        <v>0</v>
      </c>
    </row>
    <row r="1511" spans="2:18" ht="15.75" hidden="1" thickBot="1" x14ac:dyDescent="0.3">
      <c r="B1511" s="724" t="s">
        <v>732</v>
      </c>
      <c r="C1511" s="722" t="s">
        <v>661</v>
      </c>
      <c r="D1511" t="s">
        <v>662</v>
      </c>
      <c r="E1511" s="147">
        <v>1.5129300000000001</v>
      </c>
      <c r="F1511" s="729"/>
      <c r="G1511" s="147">
        <v>1.5129300000000001</v>
      </c>
      <c r="H1511" s="147">
        <v>0</v>
      </c>
      <c r="I1511" s="729"/>
      <c r="J1511" s="147">
        <v>1.5129300000000001</v>
      </c>
      <c r="K1511" s="147">
        <v>0</v>
      </c>
      <c r="L1511" s="147">
        <v>585.08721000000003</v>
      </c>
      <c r="M1511" s="729"/>
      <c r="N1511" s="147">
        <v>585.08721000000003</v>
      </c>
      <c r="O1511" s="147">
        <v>0</v>
      </c>
      <c r="P1511" s="147">
        <v>45.404020000000003</v>
      </c>
      <c r="Q1511" s="147">
        <v>539.68318999999997</v>
      </c>
      <c r="R1511" s="147">
        <v>1188.6242451659566</v>
      </c>
    </row>
    <row r="1512" spans="2:18" ht="15.75" hidden="1" thickBot="1" x14ac:dyDescent="0.3">
      <c r="B1512" s="724" t="s">
        <v>732</v>
      </c>
      <c r="C1512" s="722" t="s">
        <v>207</v>
      </c>
      <c r="D1512" t="s">
        <v>208</v>
      </c>
      <c r="E1512" s="148">
        <v>7.9969999999999999E-2</v>
      </c>
      <c r="F1512" s="728"/>
      <c r="G1512" s="148">
        <v>7.9969999999999999E-2</v>
      </c>
      <c r="H1512" s="148">
        <v>0</v>
      </c>
      <c r="I1512" s="728"/>
      <c r="J1512" s="148">
        <v>7.9969999999999999E-2</v>
      </c>
      <c r="K1512" s="148">
        <v>0</v>
      </c>
      <c r="L1512" s="148">
        <v>2.91662</v>
      </c>
      <c r="M1512" s="728"/>
      <c r="N1512" s="148">
        <v>2.91662</v>
      </c>
      <c r="O1512" s="148">
        <v>0</v>
      </c>
      <c r="P1512" s="148">
        <v>1.4760899999999999</v>
      </c>
      <c r="Q1512" s="148">
        <v>1.4405300000000001</v>
      </c>
      <c r="R1512" s="148">
        <v>97.590932802200413</v>
      </c>
    </row>
    <row r="1513" spans="2:18" ht="15.75" hidden="1" thickBot="1" x14ac:dyDescent="0.3">
      <c r="B1513" s="724" t="s">
        <v>732</v>
      </c>
      <c r="C1513" s="722" t="s">
        <v>75</v>
      </c>
      <c r="D1513" t="s">
        <v>76</v>
      </c>
      <c r="E1513" s="147">
        <v>3.4293200000000001</v>
      </c>
      <c r="F1513" s="147">
        <v>2.8</v>
      </c>
      <c r="G1513" s="147">
        <v>0.62931999999999999</v>
      </c>
      <c r="H1513" s="147">
        <v>22.475714285714286</v>
      </c>
      <c r="I1513" s="729"/>
      <c r="J1513" s="147">
        <v>3.4293200000000001</v>
      </c>
      <c r="K1513" s="147">
        <v>0</v>
      </c>
      <c r="L1513" s="147">
        <v>36.304499999999997</v>
      </c>
      <c r="M1513" s="147">
        <v>33.4</v>
      </c>
      <c r="N1513" s="147">
        <v>2.9045000000000001</v>
      </c>
      <c r="O1513" s="147">
        <v>8.6961077844311383</v>
      </c>
      <c r="P1513" s="147">
        <v>17.702960000000001</v>
      </c>
      <c r="Q1513" s="147">
        <v>18.60154</v>
      </c>
      <c r="R1513" s="147">
        <v>105.07587431706337</v>
      </c>
    </row>
    <row r="1514" spans="2:18" ht="15.75" hidden="1" thickBot="1" x14ac:dyDescent="0.3">
      <c r="B1514" s="724" t="s">
        <v>732</v>
      </c>
      <c r="C1514" s="722" t="s">
        <v>121</v>
      </c>
      <c r="D1514" t="s">
        <v>122</v>
      </c>
      <c r="E1514" s="148">
        <v>9.7999999999999997E-3</v>
      </c>
      <c r="F1514" s="148">
        <v>0.1</v>
      </c>
      <c r="G1514" s="148">
        <v>-9.0200000000000002E-2</v>
      </c>
      <c r="H1514" s="148">
        <v>-90.2</v>
      </c>
      <c r="I1514" s="728"/>
      <c r="J1514" s="148">
        <v>9.7999999999999997E-3</v>
      </c>
      <c r="K1514" s="148">
        <v>0</v>
      </c>
      <c r="L1514" s="148">
        <v>11.25385</v>
      </c>
      <c r="M1514" s="148">
        <v>1</v>
      </c>
      <c r="N1514" s="148">
        <v>10.25385</v>
      </c>
      <c r="O1514" s="148">
        <v>1025.385</v>
      </c>
      <c r="P1514" s="148">
        <v>4.6781100000000002</v>
      </c>
      <c r="Q1514" s="148">
        <v>6.5757399999999997</v>
      </c>
      <c r="R1514" s="148">
        <v>140.56403120063445</v>
      </c>
    </row>
    <row r="1515" spans="2:18" ht="15.75" hidden="1" thickBot="1" x14ac:dyDescent="0.3">
      <c r="B1515" s="724" t="s">
        <v>732</v>
      </c>
      <c r="C1515" s="722" t="s">
        <v>77</v>
      </c>
      <c r="D1515" t="s">
        <v>78</v>
      </c>
      <c r="E1515" s="147">
        <v>0.74624999999999997</v>
      </c>
      <c r="F1515" s="147">
        <v>8.8181799999999999</v>
      </c>
      <c r="G1515" s="147">
        <v>-8.07193</v>
      </c>
      <c r="H1515" s="147">
        <v>-91.537369389148324</v>
      </c>
      <c r="I1515" s="729"/>
      <c r="J1515" s="147">
        <v>0.74624999999999997</v>
      </c>
      <c r="K1515" s="147">
        <v>0</v>
      </c>
      <c r="L1515" s="147">
        <v>76.22784</v>
      </c>
      <c r="M1515" s="147">
        <v>116.39997</v>
      </c>
      <c r="N1515" s="147">
        <v>-40.172130000000003</v>
      </c>
      <c r="O1515" s="147">
        <v>-34.512148070141258</v>
      </c>
      <c r="P1515" s="147">
        <v>41.595460000000003</v>
      </c>
      <c r="Q1515" s="147">
        <v>34.632379999999998</v>
      </c>
      <c r="R1515" s="147">
        <v>83.260000009616434</v>
      </c>
    </row>
    <row r="1516" spans="2:18" ht="15.75" hidden="1" thickBot="1" x14ac:dyDescent="0.3">
      <c r="B1516" s="724" t="s">
        <v>732</v>
      </c>
      <c r="C1516" s="722" t="s">
        <v>79</v>
      </c>
      <c r="D1516" t="s">
        <v>80</v>
      </c>
      <c r="E1516" s="148">
        <v>4.1549999999999997E-2</v>
      </c>
      <c r="F1516" s="728"/>
      <c r="G1516" s="148">
        <v>4.1549999999999997E-2</v>
      </c>
      <c r="H1516" s="148">
        <v>0</v>
      </c>
      <c r="I1516" s="728"/>
      <c r="J1516" s="148">
        <v>4.1549999999999997E-2</v>
      </c>
      <c r="K1516" s="148">
        <v>0</v>
      </c>
      <c r="L1516" s="148">
        <v>14.72625</v>
      </c>
      <c r="M1516" s="728"/>
      <c r="N1516" s="148">
        <v>14.72625</v>
      </c>
      <c r="O1516" s="148">
        <v>0</v>
      </c>
      <c r="P1516" s="148">
        <v>7.3508800000000001</v>
      </c>
      <c r="Q1516" s="148">
        <v>7.3753700000000002</v>
      </c>
      <c r="R1516" s="148">
        <v>100.33315739067976</v>
      </c>
    </row>
    <row r="1517" spans="2:18" ht="15.75" hidden="1" thickBot="1" x14ac:dyDescent="0.3">
      <c r="B1517" s="724" t="s">
        <v>732</v>
      </c>
      <c r="C1517" s="722" t="s">
        <v>81</v>
      </c>
      <c r="D1517" t="s">
        <v>82</v>
      </c>
      <c r="E1517" s="147">
        <v>0.69120000000000004</v>
      </c>
      <c r="F1517" s="147">
        <v>0.6</v>
      </c>
      <c r="G1517" s="147">
        <v>9.1200000000000003E-2</v>
      </c>
      <c r="H1517" s="147">
        <v>15.2</v>
      </c>
      <c r="I1517" s="729"/>
      <c r="J1517" s="147">
        <v>0.69120000000000004</v>
      </c>
      <c r="K1517" s="147">
        <v>0</v>
      </c>
      <c r="L1517" s="147">
        <v>1.2406900000000001</v>
      </c>
      <c r="M1517" s="147">
        <v>7.2</v>
      </c>
      <c r="N1517" s="147">
        <v>-5.9593100000000003</v>
      </c>
      <c r="O1517" s="147">
        <v>-82.768194444444447</v>
      </c>
      <c r="P1517" s="147">
        <v>0.48298999999999997</v>
      </c>
      <c r="Q1517" s="147">
        <v>0.75770000000000004</v>
      </c>
      <c r="R1517" s="147">
        <v>156.87695397420237</v>
      </c>
    </row>
    <row r="1518" spans="2:18" ht="15.75" hidden="1" thickBot="1" x14ac:dyDescent="0.3">
      <c r="B1518" s="724" t="s">
        <v>732</v>
      </c>
      <c r="C1518" s="722" t="s">
        <v>123</v>
      </c>
      <c r="D1518" t="s">
        <v>124</v>
      </c>
      <c r="E1518" s="148">
        <v>5.1832099999999999</v>
      </c>
      <c r="F1518" s="148">
        <v>5</v>
      </c>
      <c r="G1518" s="148">
        <v>0.18321000000000001</v>
      </c>
      <c r="H1518" s="148">
        <v>3.6642000000000001</v>
      </c>
      <c r="I1518" s="728"/>
      <c r="J1518" s="148">
        <v>5.1832099999999999</v>
      </c>
      <c r="K1518" s="148">
        <v>0</v>
      </c>
      <c r="L1518" s="148">
        <v>8.7568999999999999</v>
      </c>
      <c r="M1518" s="148">
        <v>9</v>
      </c>
      <c r="N1518" s="148">
        <v>-0.24310000000000001</v>
      </c>
      <c r="O1518" s="148">
        <v>-2.701111111111111</v>
      </c>
      <c r="P1518" s="148">
        <v>1.0353600000000001</v>
      </c>
      <c r="Q1518" s="148">
        <v>7.7215400000000001</v>
      </c>
      <c r="R1518" s="148">
        <v>745.7831092566837</v>
      </c>
    </row>
    <row r="1519" spans="2:18" ht="15.75" hidden="1" thickBot="1" x14ac:dyDescent="0.3">
      <c r="B1519" s="724" t="s">
        <v>732</v>
      </c>
      <c r="C1519" s="722" t="s">
        <v>125</v>
      </c>
      <c r="D1519" t="s">
        <v>126</v>
      </c>
      <c r="E1519" s="147">
        <v>7.4999999999999997E-2</v>
      </c>
      <c r="F1519" s="729"/>
      <c r="G1519" s="147">
        <v>7.4999999999999997E-2</v>
      </c>
      <c r="H1519" s="147">
        <v>0</v>
      </c>
      <c r="I1519" s="729"/>
      <c r="J1519" s="147">
        <v>7.4999999999999997E-2</v>
      </c>
      <c r="K1519" s="147">
        <v>0</v>
      </c>
      <c r="L1519" s="147">
        <v>7.4999999999999997E-2</v>
      </c>
      <c r="M1519" s="729"/>
      <c r="N1519" s="147">
        <v>7.4999999999999997E-2</v>
      </c>
      <c r="O1519" s="147">
        <v>0</v>
      </c>
      <c r="P1519" s="729"/>
      <c r="Q1519" s="147">
        <v>7.4999999999999997E-2</v>
      </c>
      <c r="R1519" s="147">
        <v>0</v>
      </c>
    </row>
    <row r="1520" spans="2:18" ht="15.75" hidden="1" thickBot="1" x14ac:dyDescent="0.3">
      <c r="B1520" s="724" t="s">
        <v>732</v>
      </c>
      <c r="C1520" s="149" t="s">
        <v>85</v>
      </c>
      <c r="D1520" t="s">
        <v>86</v>
      </c>
      <c r="E1520" s="148">
        <v>718.03664000000003</v>
      </c>
      <c r="F1520" s="148">
        <v>595.37602000000004</v>
      </c>
      <c r="G1520" s="148">
        <v>122.66061999999999</v>
      </c>
      <c r="H1520" s="148">
        <v>20.602210347672383</v>
      </c>
      <c r="I1520" s="728"/>
      <c r="J1520" s="148">
        <v>718.03664000000003</v>
      </c>
      <c r="K1520" s="148">
        <v>0</v>
      </c>
      <c r="L1520" s="148">
        <v>9236.0849300000009</v>
      </c>
      <c r="M1520" s="148">
        <v>7368.0819099999999</v>
      </c>
      <c r="N1520" s="148">
        <v>1868.0030200000001</v>
      </c>
      <c r="O1520" s="148">
        <v>25.352636450264434</v>
      </c>
      <c r="P1520" s="148">
        <v>4106.5899099999997</v>
      </c>
      <c r="Q1520" s="148">
        <v>5129.4950200000003</v>
      </c>
      <c r="R1520" s="148">
        <v>124.90886921796387</v>
      </c>
    </row>
    <row r="1521" spans="2:18" ht="15.75" hidden="1" thickBot="1" x14ac:dyDescent="0.3">
      <c r="B1521" s="724" t="s">
        <v>732</v>
      </c>
      <c r="C1521" s="144" t="s">
        <v>87</v>
      </c>
      <c r="D1521" t="s">
        <v>87</v>
      </c>
      <c r="E1521" s="147">
        <v>1715.0667100000001</v>
      </c>
      <c r="F1521" s="147">
        <v>1714.9764</v>
      </c>
      <c r="G1521" s="147">
        <v>9.0310000000000001E-2</v>
      </c>
      <c r="H1521" s="147">
        <v>5.2659616773735197E-3</v>
      </c>
      <c r="I1521" s="729"/>
      <c r="J1521" s="147">
        <v>1715.0667100000001</v>
      </c>
      <c r="K1521" s="147">
        <v>0</v>
      </c>
      <c r="L1521" s="147">
        <v>21357.96545</v>
      </c>
      <c r="M1521" s="147">
        <v>20688.477429999999</v>
      </c>
      <c r="N1521" s="147">
        <v>669.48802000000001</v>
      </c>
      <c r="O1521" s="147">
        <v>3.2360429725446451</v>
      </c>
      <c r="P1521" s="147">
        <v>10378.16115</v>
      </c>
      <c r="Q1521" s="147">
        <v>10979.8043</v>
      </c>
      <c r="R1521" s="147">
        <v>105.79720377535283</v>
      </c>
    </row>
    <row r="1522" spans="2:18" ht="15.75" hidden="1" thickBot="1" x14ac:dyDescent="0.3">
      <c r="B1522" s="725" t="s">
        <v>733</v>
      </c>
      <c r="C1522" s="722" t="s">
        <v>59</v>
      </c>
      <c r="D1522" t="s">
        <v>60</v>
      </c>
      <c r="E1522" s="148">
        <v>54.39922</v>
      </c>
      <c r="F1522" s="148">
        <v>57.32403</v>
      </c>
      <c r="G1522" s="148">
        <v>-2.9248099999999999</v>
      </c>
      <c r="H1522" s="148">
        <v>-5.1022407182467804</v>
      </c>
      <c r="I1522" s="728"/>
      <c r="J1522" s="148">
        <v>54.39922</v>
      </c>
      <c r="K1522" s="148">
        <v>0</v>
      </c>
      <c r="L1522" s="148">
        <v>641.96432000000004</v>
      </c>
      <c r="M1522" s="148">
        <v>684.27958000000001</v>
      </c>
      <c r="N1522" s="148">
        <v>-42.315260000000002</v>
      </c>
      <c r="O1522" s="148">
        <v>-6.1839138908689923</v>
      </c>
      <c r="P1522" s="148">
        <v>302.85838000000001</v>
      </c>
      <c r="Q1522" s="148">
        <v>339.10593999999998</v>
      </c>
      <c r="R1522" s="148">
        <v>111.96848507213173</v>
      </c>
    </row>
    <row r="1523" spans="2:18" ht="15.75" hidden="1" thickBot="1" x14ac:dyDescent="0.3">
      <c r="B1523" s="725" t="s">
        <v>733</v>
      </c>
      <c r="C1523" s="722" t="s">
        <v>89</v>
      </c>
      <c r="D1523" t="s">
        <v>90</v>
      </c>
      <c r="E1523" s="147">
        <v>2.27624</v>
      </c>
      <c r="F1523" s="729"/>
      <c r="G1523" s="147">
        <v>2.27624</v>
      </c>
      <c r="H1523" s="147">
        <v>0</v>
      </c>
      <c r="I1523" s="729"/>
      <c r="J1523" s="147">
        <v>2.27624</v>
      </c>
      <c r="K1523" s="147">
        <v>0</v>
      </c>
      <c r="L1523" s="147">
        <v>17.09648</v>
      </c>
      <c r="M1523" s="729"/>
      <c r="N1523" s="147">
        <v>17.09648</v>
      </c>
      <c r="O1523" s="147">
        <v>0</v>
      </c>
      <c r="P1523" s="147">
        <v>12.212289999999999</v>
      </c>
      <c r="Q1523" s="147">
        <v>4.8841900000000003</v>
      </c>
      <c r="R1523" s="147">
        <v>39.994055169014167</v>
      </c>
    </row>
    <row r="1524" spans="2:18" ht="15.75" hidden="1" thickBot="1" x14ac:dyDescent="0.3">
      <c r="B1524" s="725" t="s">
        <v>733</v>
      </c>
      <c r="C1524" s="722" t="s">
        <v>91</v>
      </c>
      <c r="D1524" t="s">
        <v>92</v>
      </c>
      <c r="E1524" s="148">
        <v>37.32931</v>
      </c>
      <c r="F1524" s="148">
        <v>53.444130000000001</v>
      </c>
      <c r="G1524" s="148">
        <v>-16.114820000000002</v>
      </c>
      <c r="H1524" s="148">
        <v>-30.152647259858099</v>
      </c>
      <c r="I1524" s="728"/>
      <c r="J1524" s="148">
        <v>37.32931</v>
      </c>
      <c r="K1524" s="148">
        <v>0</v>
      </c>
      <c r="L1524" s="148">
        <v>567.91375000000005</v>
      </c>
      <c r="M1524" s="148">
        <v>624.20651999999995</v>
      </c>
      <c r="N1524" s="148">
        <v>-56.292769999999997</v>
      </c>
      <c r="O1524" s="148">
        <v>-9.01829253561786</v>
      </c>
      <c r="P1524" s="148">
        <v>309.96935000000002</v>
      </c>
      <c r="Q1524" s="148">
        <v>257.94439999999997</v>
      </c>
      <c r="R1524" s="148">
        <v>83.216098623944589</v>
      </c>
    </row>
    <row r="1525" spans="2:18" ht="15.75" hidden="1" thickBot="1" x14ac:dyDescent="0.3">
      <c r="B1525" s="725" t="s">
        <v>733</v>
      </c>
      <c r="C1525" s="722" t="s">
        <v>93</v>
      </c>
      <c r="D1525" t="s">
        <v>94</v>
      </c>
      <c r="E1525" s="147">
        <v>5.2363299999999997</v>
      </c>
      <c r="F1525" s="147">
        <v>5.6450500000000003</v>
      </c>
      <c r="G1525" s="147">
        <v>-0.40872000000000003</v>
      </c>
      <c r="H1525" s="147">
        <v>-7.2403255949903009</v>
      </c>
      <c r="I1525" s="729"/>
      <c r="J1525" s="147">
        <v>5.2363299999999997</v>
      </c>
      <c r="K1525" s="147">
        <v>0</v>
      </c>
      <c r="L1525" s="147">
        <v>127.14973000000001</v>
      </c>
      <c r="M1525" s="147">
        <v>65.931979999999996</v>
      </c>
      <c r="N1525" s="147">
        <v>61.217750000000002</v>
      </c>
      <c r="O1525" s="147">
        <v>92.849858293350209</v>
      </c>
      <c r="P1525" s="147">
        <v>70.518249999999995</v>
      </c>
      <c r="Q1525" s="147">
        <v>56.631480000000003</v>
      </c>
      <c r="R1525" s="147">
        <v>80.30755159125475</v>
      </c>
    </row>
    <row r="1526" spans="2:18" ht="15.75" hidden="1" thickBot="1" x14ac:dyDescent="0.3">
      <c r="B1526" s="725" t="s">
        <v>733</v>
      </c>
      <c r="C1526" s="722" t="s">
        <v>61</v>
      </c>
      <c r="D1526" t="s">
        <v>62</v>
      </c>
      <c r="E1526" s="148">
        <v>15.553660000000001</v>
      </c>
      <c r="F1526" s="148">
        <v>17.169060000000002</v>
      </c>
      <c r="G1526" s="148">
        <v>-1.6153999999999999</v>
      </c>
      <c r="H1526" s="148">
        <v>-9.4087853382771094</v>
      </c>
      <c r="I1526" s="728"/>
      <c r="J1526" s="148">
        <v>15.553660000000001</v>
      </c>
      <c r="K1526" s="148">
        <v>0</v>
      </c>
      <c r="L1526" s="148">
        <v>186.71564000000001</v>
      </c>
      <c r="M1526" s="148">
        <v>202.81528</v>
      </c>
      <c r="N1526" s="148">
        <v>-16.099640000000001</v>
      </c>
      <c r="O1526" s="148">
        <v>-7.9380804049872378</v>
      </c>
      <c r="P1526" s="148">
        <v>92.669039999999995</v>
      </c>
      <c r="Q1526" s="148">
        <v>94.046599999999998</v>
      </c>
      <c r="R1526" s="148">
        <v>101.48653746709796</v>
      </c>
    </row>
    <row r="1527" spans="2:18" ht="15.75" hidden="1" thickBot="1" x14ac:dyDescent="0.3">
      <c r="B1527" s="725" t="s">
        <v>733</v>
      </c>
      <c r="C1527" s="722" t="s">
        <v>63</v>
      </c>
      <c r="D1527" t="s">
        <v>64</v>
      </c>
      <c r="E1527" s="147">
        <v>61.632599999999996</v>
      </c>
      <c r="F1527" s="147">
        <v>66.793199999999999</v>
      </c>
      <c r="G1527" s="147">
        <v>-5.1605999999999996</v>
      </c>
      <c r="H1527" s="147">
        <v>-7.7262356048220475</v>
      </c>
      <c r="I1527" s="729"/>
      <c r="J1527" s="147">
        <v>61.632599999999996</v>
      </c>
      <c r="K1527" s="147">
        <v>0</v>
      </c>
      <c r="L1527" s="147">
        <v>749.04470000000003</v>
      </c>
      <c r="M1527" s="147">
        <v>789.01715000000002</v>
      </c>
      <c r="N1527" s="147">
        <v>-39.972450000000002</v>
      </c>
      <c r="O1527" s="147">
        <v>-5.0661066112441286</v>
      </c>
      <c r="P1527" s="147">
        <v>373.58494000000002</v>
      </c>
      <c r="Q1527" s="147">
        <v>375.45976000000002</v>
      </c>
      <c r="R1527" s="147">
        <v>100.50184571144651</v>
      </c>
    </row>
    <row r="1528" spans="2:18" ht="15.75" hidden="1" thickBot="1" x14ac:dyDescent="0.3">
      <c r="B1528" s="725" t="s">
        <v>733</v>
      </c>
      <c r="C1528" s="722" t="s">
        <v>182</v>
      </c>
      <c r="D1528" t="s">
        <v>183</v>
      </c>
      <c r="E1528" s="728"/>
      <c r="F1528" s="728"/>
      <c r="G1528" s="728"/>
      <c r="H1528" s="728"/>
      <c r="I1528" s="728"/>
      <c r="J1528" s="728"/>
      <c r="K1528" s="728"/>
      <c r="L1528" s="148">
        <v>7.1791200000000002</v>
      </c>
      <c r="M1528" s="728"/>
      <c r="N1528" s="148">
        <v>7.1791200000000002</v>
      </c>
      <c r="O1528" s="148">
        <v>0</v>
      </c>
      <c r="P1528" s="148">
        <v>5.1624299999999996</v>
      </c>
      <c r="Q1528" s="148">
        <v>2.0166900000000001</v>
      </c>
      <c r="R1528" s="148">
        <v>39.064742766487875</v>
      </c>
    </row>
    <row r="1529" spans="2:18" ht="15.75" hidden="1" thickBot="1" x14ac:dyDescent="0.3">
      <c r="B1529" s="725" t="s">
        <v>733</v>
      </c>
      <c r="C1529" s="722" t="s">
        <v>184</v>
      </c>
      <c r="D1529" t="s">
        <v>185</v>
      </c>
      <c r="E1529" s="147">
        <v>54.592100000000002</v>
      </c>
      <c r="F1529" s="729"/>
      <c r="G1529" s="147">
        <v>54.592100000000002</v>
      </c>
      <c r="H1529" s="147">
        <v>0</v>
      </c>
      <c r="I1529" s="729"/>
      <c r="J1529" s="147">
        <v>54.592100000000002</v>
      </c>
      <c r="K1529" s="147">
        <v>0</v>
      </c>
      <c r="L1529" s="147">
        <v>696.52239999999995</v>
      </c>
      <c r="M1529" s="729"/>
      <c r="N1529" s="147">
        <v>696.52239999999995</v>
      </c>
      <c r="O1529" s="147">
        <v>0</v>
      </c>
      <c r="P1529" s="147">
        <v>426.25198</v>
      </c>
      <c r="Q1529" s="147">
        <v>270.27042</v>
      </c>
      <c r="R1529" s="147">
        <v>63.406255614343422</v>
      </c>
    </row>
    <row r="1530" spans="2:18" ht="15.75" hidden="1" thickBot="1" x14ac:dyDescent="0.3">
      <c r="B1530" s="725" t="s">
        <v>733</v>
      </c>
      <c r="C1530" s="722" t="s">
        <v>161</v>
      </c>
      <c r="D1530" t="s">
        <v>162</v>
      </c>
      <c r="E1530" s="148">
        <v>5.5963900000000004</v>
      </c>
      <c r="F1530" s="728"/>
      <c r="G1530" s="148">
        <v>5.5963900000000004</v>
      </c>
      <c r="H1530" s="148">
        <v>0</v>
      </c>
      <c r="I1530" s="728"/>
      <c r="J1530" s="148">
        <v>5.5963900000000004</v>
      </c>
      <c r="K1530" s="148">
        <v>0</v>
      </c>
      <c r="L1530" s="148">
        <v>87.774370000000005</v>
      </c>
      <c r="M1530" s="728"/>
      <c r="N1530" s="148">
        <v>87.774370000000005</v>
      </c>
      <c r="O1530" s="148">
        <v>0</v>
      </c>
      <c r="P1530" s="148">
        <v>53.936300000000003</v>
      </c>
      <c r="Q1530" s="148">
        <v>33.838070000000002</v>
      </c>
      <c r="R1530" s="148">
        <v>62.737099133607607</v>
      </c>
    </row>
    <row r="1531" spans="2:18" ht="15.75" hidden="1" thickBot="1" x14ac:dyDescent="0.3">
      <c r="B1531" s="725" t="s">
        <v>733</v>
      </c>
      <c r="C1531" s="722" t="s">
        <v>65</v>
      </c>
      <c r="D1531" t="s">
        <v>66</v>
      </c>
      <c r="E1531" s="147">
        <v>-10.20571</v>
      </c>
      <c r="F1531" s="147">
        <v>-16.158200000000001</v>
      </c>
      <c r="G1531" s="147">
        <v>5.9524900000000001</v>
      </c>
      <c r="H1531" s="147">
        <v>36.838818680298552</v>
      </c>
      <c r="I1531" s="729"/>
      <c r="J1531" s="147">
        <v>-10.20571</v>
      </c>
      <c r="K1531" s="147">
        <v>0</v>
      </c>
      <c r="L1531" s="147">
        <v>-163.66028</v>
      </c>
      <c r="M1531" s="147">
        <v>-189.4248</v>
      </c>
      <c r="N1531" s="147">
        <v>25.764520000000001</v>
      </c>
      <c r="O1531" s="147">
        <v>13.601450285284715</v>
      </c>
      <c r="P1531" s="147">
        <v>-84.74042</v>
      </c>
      <c r="Q1531" s="147">
        <v>-78.91986</v>
      </c>
      <c r="R1531" s="147">
        <v>-93.131306170066182</v>
      </c>
    </row>
    <row r="1532" spans="2:18" ht="15.75" hidden="1" thickBot="1" x14ac:dyDescent="0.3">
      <c r="B1532" s="725" t="s">
        <v>733</v>
      </c>
      <c r="C1532" s="722" t="s">
        <v>186</v>
      </c>
      <c r="D1532" t="s">
        <v>187</v>
      </c>
      <c r="E1532" s="728"/>
      <c r="F1532" s="728"/>
      <c r="G1532" s="728"/>
      <c r="H1532" s="728"/>
      <c r="I1532" s="728"/>
      <c r="J1532" s="728"/>
      <c r="K1532" s="728"/>
      <c r="L1532" s="148">
        <v>-18.275020000000001</v>
      </c>
      <c r="M1532" s="728"/>
      <c r="N1532" s="148">
        <v>-18.275020000000001</v>
      </c>
      <c r="O1532" s="148">
        <v>0</v>
      </c>
      <c r="P1532" s="148">
        <v>-13.986330000000001</v>
      </c>
      <c r="Q1532" s="148">
        <v>-4.2886899999999999</v>
      </c>
      <c r="R1532" s="148">
        <v>-30.663440659558297</v>
      </c>
    </row>
    <row r="1533" spans="2:18" ht="15.75" hidden="1" thickBot="1" x14ac:dyDescent="0.3">
      <c r="B1533" s="725" t="s">
        <v>733</v>
      </c>
      <c r="C1533" s="722" t="s">
        <v>163</v>
      </c>
      <c r="D1533" t="s">
        <v>164</v>
      </c>
      <c r="E1533" s="147">
        <v>-71.39922</v>
      </c>
      <c r="F1533" s="147">
        <v>-18.790970000000002</v>
      </c>
      <c r="G1533" s="147">
        <v>-52.608249999999998</v>
      </c>
      <c r="H1533" s="147">
        <v>-279.96558985512723</v>
      </c>
      <c r="I1533" s="729"/>
      <c r="J1533" s="147">
        <v>-71.39922</v>
      </c>
      <c r="K1533" s="147">
        <v>0</v>
      </c>
      <c r="L1533" s="147">
        <v>-1003.7483</v>
      </c>
      <c r="M1533" s="147">
        <v>-219.47122999999999</v>
      </c>
      <c r="N1533" s="147">
        <v>-784.27706999999998</v>
      </c>
      <c r="O1533" s="147">
        <v>-357.34846430668841</v>
      </c>
      <c r="P1533" s="147">
        <v>-550.01928999999996</v>
      </c>
      <c r="Q1533" s="147">
        <v>-453.72901000000002</v>
      </c>
      <c r="R1533" s="147">
        <v>-82.493290371688602</v>
      </c>
    </row>
    <row r="1534" spans="2:18" ht="15.75" hidden="1" thickBot="1" x14ac:dyDescent="0.3">
      <c r="B1534" s="725" t="s">
        <v>733</v>
      </c>
      <c r="C1534" s="722" t="s">
        <v>97</v>
      </c>
      <c r="D1534" t="s">
        <v>98</v>
      </c>
      <c r="E1534" s="148">
        <v>-7.2136500000000003</v>
      </c>
      <c r="F1534" s="728"/>
      <c r="G1534" s="148">
        <v>-7.2136500000000003</v>
      </c>
      <c r="H1534" s="148">
        <v>0</v>
      </c>
      <c r="I1534" s="728"/>
      <c r="J1534" s="148">
        <v>-7.2136500000000003</v>
      </c>
      <c r="K1534" s="148">
        <v>0</v>
      </c>
      <c r="L1534" s="148">
        <v>-149.05700999999999</v>
      </c>
      <c r="M1534" s="728"/>
      <c r="N1534" s="148">
        <v>-149.05700999999999</v>
      </c>
      <c r="O1534" s="148">
        <v>0</v>
      </c>
      <c r="P1534" s="148">
        <v>-82.448059999999998</v>
      </c>
      <c r="Q1534" s="148">
        <v>-66.608949999999993</v>
      </c>
      <c r="R1534" s="148">
        <v>-80.788983997925484</v>
      </c>
    </row>
    <row r="1535" spans="2:18" ht="15.75" hidden="1" thickBot="1" x14ac:dyDescent="0.3">
      <c r="B1535" s="725" t="s">
        <v>733</v>
      </c>
      <c r="C1535" s="149" t="s">
        <v>67</v>
      </c>
      <c r="D1535" t="s">
        <v>68</v>
      </c>
      <c r="E1535" s="147">
        <v>147.79727</v>
      </c>
      <c r="F1535" s="147">
        <v>165.4263</v>
      </c>
      <c r="G1535" s="147">
        <v>-17.62903</v>
      </c>
      <c r="H1535" s="147">
        <v>-10.656727497381009</v>
      </c>
      <c r="I1535" s="729"/>
      <c r="J1535" s="147">
        <v>147.79727</v>
      </c>
      <c r="K1535" s="147">
        <v>0</v>
      </c>
      <c r="L1535" s="147">
        <v>1746.6198999999999</v>
      </c>
      <c r="M1535" s="147">
        <v>1957.35448</v>
      </c>
      <c r="N1535" s="147">
        <v>-210.73457999999999</v>
      </c>
      <c r="O1535" s="147">
        <v>-10.766296148871307</v>
      </c>
      <c r="P1535" s="147">
        <v>915.96885999999995</v>
      </c>
      <c r="Q1535" s="147">
        <v>830.65103999999997</v>
      </c>
      <c r="R1535" s="147">
        <v>90.685510858960853</v>
      </c>
    </row>
    <row r="1536" spans="2:18" ht="15.75" hidden="1" thickBot="1" x14ac:dyDescent="0.3">
      <c r="B1536" s="725" t="s">
        <v>733</v>
      </c>
      <c r="C1536" s="722" t="s">
        <v>69</v>
      </c>
      <c r="D1536" t="s">
        <v>70</v>
      </c>
      <c r="E1536" s="728"/>
      <c r="F1536" s="148">
        <v>1.7</v>
      </c>
      <c r="G1536" s="148">
        <v>-1.7</v>
      </c>
      <c r="H1536" s="148">
        <v>-100</v>
      </c>
      <c r="I1536" s="728"/>
      <c r="J1536" s="728"/>
      <c r="K1536" s="728"/>
      <c r="L1536" s="148">
        <v>2.2477100000000001</v>
      </c>
      <c r="M1536" s="148">
        <v>18.7</v>
      </c>
      <c r="N1536" s="148">
        <v>-16.452290000000001</v>
      </c>
      <c r="O1536" s="148">
        <v>-87.98016042780749</v>
      </c>
      <c r="P1536" s="148">
        <v>2.1177100000000002</v>
      </c>
      <c r="Q1536" s="148">
        <v>0.13</v>
      </c>
      <c r="R1536" s="148">
        <v>6.1387064328921337</v>
      </c>
    </row>
    <row r="1537" spans="2:18" ht="15.75" hidden="1" thickBot="1" x14ac:dyDescent="0.3">
      <c r="B1537" s="725" t="s">
        <v>733</v>
      </c>
      <c r="C1537" s="722" t="s">
        <v>99</v>
      </c>
      <c r="D1537" t="s">
        <v>100</v>
      </c>
      <c r="E1537" s="147">
        <v>6.0739400000000003</v>
      </c>
      <c r="F1537" s="147">
        <v>6.6660000000000004</v>
      </c>
      <c r="G1537" s="147">
        <v>-0.59206000000000003</v>
      </c>
      <c r="H1537" s="147">
        <v>-8.8817881788178816</v>
      </c>
      <c r="I1537" s="729"/>
      <c r="J1537" s="147">
        <v>6.0739400000000003</v>
      </c>
      <c r="K1537" s="147">
        <v>0</v>
      </c>
      <c r="L1537" s="147">
        <v>58.906910000000003</v>
      </c>
      <c r="M1537" s="147">
        <v>80</v>
      </c>
      <c r="N1537" s="147">
        <v>-21.09309</v>
      </c>
      <c r="O1537" s="147">
        <v>-26.366362500000001</v>
      </c>
      <c r="P1537" s="147">
        <v>27.24259</v>
      </c>
      <c r="Q1537" s="147">
        <v>31.66432</v>
      </c>
      <c r="R1537" s="147">
        <v>116.23094573606988</v>
      </c>
    </row>
    <row r="1538" spans="2:18" ht="15.75" hidden="1" thickBot="1" x14ac:dyDescent="0.3">
      <c r="B1538" s="725" t="s">
        <v>733</v>
      </c>
      <c r="C1538" s="722" t="s">
        <v>165</v>
      </c>
      <c r="D1538" t="s">
        <v>166</v>
      </c>
      <c r="E1538" s="148">
        <v>0.29333999999999999</v>
      </c>
      <c r="F1538" s="728"/>
      <c r="G1538" s="148">
        <v>0.29333999999999999</v>
      </c>
      <c r="H1538" s="148">
        <v>0</v>
      </c>
      <c r="I1538" s="728"/>
      <c r="J1538" s="148">
        <v>0.29333999999999999</v>
      </c>
      <c r="K1538" s="148">
        <v>0</v>
      </c>
      <c r="L1538" s="148">
        <v>6.2819000000000003</v>
      </c>
      <c r="M1538" s="728"/>
      <c r="N1538" s="148">
        <v>6.2819000000000003</v>
      </c>
      <c r="O1538" s="148">
        <v>0</v>
      </c>
      <c r="P1538" s="148">
        <v>3.1049600000000002</v>
      </c>
      <c r="Q1538" s="148">
        <v>3.1769400000000001</v>
      </c>
      <c r="R1538" s="148">
        <v>102.31822632175616</v>
      </c>
    </row>
    <row r="1539" spans="2:18" ht="15.75" hidden="1" thickBot="1" x14ac:dyDescent="0.3">
      <c r="B1539" s="725" t="s">
        <v>733</v>
      </c>
      <c r="C1539" s="722" t="s">
        <v>137</v>
      </c>
      <c r="D1539" t="s">
        <v>138</v>
      </c>
      <c r="E1539" s="147">
        <v>5.1560000000000002E-2</v>
      </c>
      <c r="F1539" s="147">
        <v>0.02</v>
      </c>
      <c r="G1539" s="147">
        <v>3.1559999999999998E-2</v>
      </c>
      <c r="H1539" s="147">
        <v>157.80000000000001</v>
      </c>
      <c r="I1539" s="729"/>
      <c r="J1539" s="147">
        <v>5.1560000000000002E-2</v>
      </c>
      <c r="K1539" s="147">
        <v>0</v>
      </c>
      <c r="L1539" s="147">
        <v>1.4246799999999999</v>
      </c>
      <c r="M1539" s="147">
        <v>0.24</v>
      </c>
      <c r="N1539" s="147">
        <v>1.18468</v>
      </c>
      <c r="O1539" s="147">
        <v>493.61666666666667</v>
      </c>
      <c r="P1539" s="147">
        <v>0.91771000000000003</v>
      </c>
      <c r="Q1539" s="147">
        <v>0.50697000000000003</v>
      </c>
      <c r="R1539" s="147">
        <v>55.242941670026482</v>
      </c>
    </row>
    <row r="1540" spans="2:18" ht="15.75" hidden="1" thickBot="1" x14ac:dyDescent="0.3">
      <c r="B1540" s="725" t="s">
        <v>733</v>
      </c>
      <c r="C1540" s="722" t="s">
        <v>190</v>
      </c>
      <c r="D1540" t="s">
        <v>191</v>
      </c>
      <c r="E1540" s="148">
        <v>4.0969999999999999E-2</v>
      </c>
      <c r="F1540" s="148">
        <v>0.03</v>
      </c>
      <c r="G1540" s="148">
        <v>1.0970000000000001E-2</v>
      </c>
      <c r="H1540" s="148">
        <v>36.56666666666667</v>
      </c>
      <c r="I1540" s="728"/>
      <c r="J1540" s="148">
        <v>4.0969999999999999E-2</v>
      </c>
      <c r="K1540" s="148">
        <v>0</v>
      </c>
      <c r="L1540" s="148">
        <v>0.99751000000000001</v>
      </c>
      <c r="M1540" s="148">
        <v>0.36</v>
      </c>
      <c r="N1540" s="148">
        <v>0.63751000000000002</v>
      </c>
      <c r="O1540" s="148">
        <v>177.08611111111111</v>
      </c>
      <c r="P1540" s="148">
        <v>0.40689999999999998</v>
      </c>
      <c r="Q1540" s="148">
        <v>0.59060999999999997</v>
      </c>
      <c r="R1540" s="148">
        <v>145.14868518063406</v>
      </c>
    </row>
    <row r="1541" spans="2:18" ht="15.75" hidden="1" thickBot="1" x14ac:dyDescent="0.3">
      <c r="B1541" s="725" t="s">
        <v>733</v>
      </c>
      <c r="C1541" s="722" t="s">
        <v>36</v>
      </c>
      <c r="D1541" t="s">
        <v>192</v>
      </c>
      <c r="E1541" s="147">
        <v>4.1965000000000003</v>
      </c>
      <c r="F1541" s="147">
        <v>4.3659999999999997</v>
      </c>
      <c r="G1541" s="147">
        <v>-0.16950000000000001</v>
      </c>
      <c r="H1541" s="147">
        <v>-3.8822721026110858</v>
      </c>
      <c r="I1541" s="729"/>
      <c r="J1541" s="147">
        <v>4.1965000000000003</v>
      </c>
      <c r="K1541" s="147">
        <v>0</v>
      </c>
      <c r="L1541" s="147">
        <v>62.682899999999997</v>
      </c>
      <c r="M1541" s="147">
        <v>52.392000000000003</v>
      </c>
      <c r="N1541" s="147">
        <v>10.290900000000001</v>
      </c>
      <c r="O1541" s="147">
        <v>19.642120934493814</v>
      </c>
      <c r="P1541" s="147">
        <v>35.403260000000003</v>
      </c>
      <c r="Q1541" s="147">
        <v>27.279640000000001</v>
      </c>
      <c r="R1541" s="147">
        <v>77.054034007037771</v>
      </c>
    </row>
    <row r="1542" spans="2:18" ht="15.75" hidden="1" thickBot="1" x14ac:dyDescent="0.3">
      <c r="B1542" s="725" t="s">
        <v>733</v>
      </c>
      <c r="C1542" s="722" t="s">
        <v>139</v>
      </c>
      <c r="D1542" t="s">
        <v>140</v>
      </c>
      <c r="E1542" s="728"/>
      <c r="F1542" s="728"/>
      <c r="G1542" s="728"/>
      <c r="H1542" s="728"/>
      <c r="I1542" s="728"/>
      <c r="J1542" s="728"/>
      <c r="K1542" s="728"/>
      <c r="L1542" s="148">
        <v>1.8520000000000001</v>
      </c>
      <c r="M1542" s="148">
        <v>10</v>
      </c>
      <c r="N1542" s="148">
        <v>-8.1479999999999997</v>
      </c>
      <c r="O1542" s="148">
        <v>-81.48</v>
      </c>
      <c r="P1542" s="148">
        <v>0.93300000000000005</v>
      </c>
      <c r="Q1542" s="148">
        <v>0.91900000000000004</v>
      </c>
      <c r="R1542" s="148">
        <v>98.499464094319393</v>
      </c>
    </row>
    <row r="1543" spans="2:18" ht="15.75" hidden="1" thickBot="1" x14ac:dyDescent="0.3">
      <c r="B1543" s="725" t="s">
        <v>733</v>
      </c>
      <c r="C1543" s="722" t="s">
        <v>101</v>
      </c>
      <c r="D1543" t="s">
        <v>102</v>
      </c>
      <c r="E1543" s="729"/>
      <c r="F1543" s="729"/>
      <c r="G1543" s="729"/>
      <c r="H1543" s="729"/>
      <c r="I1543" s="729"/>
      <c r="J1543" s="729"/>
      <c r="K1543" s="729"/>
      <c r="L1543" s="147">
        <v>-2.3405</v>
      </c>
      <c r="M1543" s="729"/>
      <c r="N1543" s="147">
        <v>-2.3405</v>
      </c>
      <c r="O1543" s="147">
        <v>0</v>
      </c>
      <c r="P1543" s="147">
        <v>-2.3405</v>
      </c>
      <c r="Q1543" s="147">
        <v>0</v>
      </c>
      <c r="R1543" s="147">
        <v>0</v>
      </c>
    </row>
    <row r="1544" spans="2:18" ht="15.75" hidden="1" thickBot="1" x14ac:dyDescent="0.3">
      <c r="B1544" s="725" t="s">
        <v>733</v>
      </c>
      <c r="C1544" s="722" t="s">
        <v>464</v>
      </c>
      <c r="D1544" t="s">
        <v>465</v>
      </c>
      <c r="E1544" s="148">
        <v>13.960660000000001</v>
      </c>
      <c r="F1544" s="148">
        <v>8.7200000000000006</v>
      </c>
      <c r="G1544" s="148">
        <v>5.2406600000000001</v>
      </c>
      <c r="H1544" s="148">
        <v>60.099311926605502</v>
      </c>
      <c r="I1544" s="728"/>
      <c r="J1544" s="148">
        <v>13.960660000000001</v>
      </c>
      <c r="K1544" s="148">
        <v>0</v>
      </c>
      <c r="L1544" s="148">
        <v>105.17476000000001</v>
      </c>
      <c r="M1544" s="148">
        <v>100.5</v>
      </c>
      <c r="N1544" s="148">
        <v>4.67476</v>
      </c>
      <c r="O1544" s="148">
        <v>4.6515024875621886</v>
      </c>
      <c r="P1544" s="148">
        <v>59.178519999999999</v>
      </c>
      <c r="Q1544" s="148">
        <v>45.99624</v>
      </c>
      <c r="R1544" s="148">
        <v>77.724552760021709</v>
      </c>
    </row>
    <row r="1545" spans="2:18" ht="15.75" hidden="1" thickBot="1" x14ac:dyDescent="0.3">
      <c r="B1545" s="725" t="s">
        <v>733</v>
      </c>
      <c r="C1545" s="722" t="s">
        <v>103</v>
      </c>
      <c r="D1545" t="s">
        <v>104</v>
      </c>
      <c r="E1545" s="147">
        <v>0.54322999999999999</v>
      </c>
      <c r="F1545" s="729"/>
      <c r="G1545" s="147">
        <v>0.54322999999999999</v>
      </c>
      <c r="H1545" s="147">
        <v>0</v>
      </c>
      <c r="I1545" s="729"/>
      <c r="J1545" s="147">
        <v>0.54322999999999999</v>
      </c>
      <c r="K1545" s="147">
        <v>0</v>
      </c>
      <c r="L1545" s="147">
        <v>3.74735</v>
      </c>
      <c r="M1545" s="729"/>
      <c r="N1545" s="147">
        <v>3.74735</v>
      </c>
      <c r="O1545" s="147">
        <v>0</v>
      </c>
      <c r="P1545" s="147">
        <v>2.54725</v>
      </c>
      <c r="Q1545" s="147">
        <v>1.2000999999999999</v>
      </c>
      <c r="R1545" s="147">
        <v>47.113553832564527</v>
      </c>
    </row>
    <row r="1546" spans="2:18" ht="15.75" hidden="1" thickBot="1" x14ac:dyDescent="0.3">
      <c r="B1546" s="725" t="s">
        <v>733</v>
      </c>
      <c r="C1546" s="722" t="s">
        <v>71</v>
      </c>
      <c r="D1546" t="s">
        <v>72</v>
      </c>
      <c r="E1546" s="148">
        <v>4.0000000000000001E-3</v>
      </c>
      <c r="F1546" s="728"/>
      <c r="G1546" s="148">
        <v>4.0000000000000001E-3</v>
      </c>
      <c r="H1546" s="148">
        <v>0</v>
      </c>
      <c r="I1546" s="728"/>
      <c r="J1546" s="148">
        <v>4.0000000000000001E-3</v>
      </c>
      <c r="K1546" s="148">
        <v>0</v>
      </c>
      <c r="L1546" s="148">
        <v>-4.6640000000000001E-2</v>
      </c>
      <c r="M1546" s="728"/>
      <c r="N1546" s="148">
        <v>-4.6640000000000001E-2</v>
      </c>
      <c r="O1546" s="148">
        <v>0</v>
      </c>
      <c r="P1546" s="148">
        <v>0.19153999999999999</v>
      </c>
      <c r="Q1546" s="148">
        <v>-0.23818</v>
      </c>
      <c r="R1546" s="148">
        <v>-124.3500052208416</v>
      </c>
    </row>
    <row r="1547" spans="2:18" ht="15.75" hidden="1" thickBot="1" x14ac:dyDescent="0.3">
      <c r="B1547" s="725" t="s">
        <v>733</v>
      </c>
      <c r="C1547" s="722" t="s">
        <v>627</v>
      </c>
      <c r="D1547" t="s">
        <v>628</v>
      </c>
      <c r="E1547" s="147">
        <v>6.6140000000000004E-2</v>
      </c>
      <c r="F1547" s="729"/>
      <c r="G1547" s="147">
        <v>6.6140000000000004E-2</v>
      </c>
      <c r="H1547" s="147">
        <v>0</v>
      </c>
      <c r="I1547" s="729"/>
      <c r="J1547" s="147">
        <v>6.6140000000000004E-2</v>
      </c>
      <c r="K1547" s="147">
        <v>0</v>
      </c>
      <c r="L1547" s="147">
        <v>1.12216</v>
      </c>
      <c r="M1547" s="729"/>
      <c r="N1547" s="147">
        <v>1.12216</v>
      </c>
      <c r="O1547" s="147">
        <v>0</v>
      </c>
      <c r="P1547" s="147">
        <v>0.89746000000000004</v>
      </c>
      <c r="Q1547" s="147">
        <v>0.22470000000000001</v>
      </c>
      <c r="R1547" s="147">
        <v>25.037327568916719</v>
      </c>
    </row>
    <row r="1548" spans="2:18" ht="15.75" hidden="1" thickBot="1" x14ac:dyDescent="0.3">
      <c r="B1548" s="725" t="s">
        <v>733</v>
      </c>
      <c r="C1548" s="722" t="s">
        <v>107</v>
      </c>
      <c r="D1548" t="s">
        <v>108</v>
      </c>
      <c r="E1548" s="148">
        <v>67.394080000000002</v>
      </c>
      <c r="F1548" s="148">
        <v>75</v>
      </c>
      <c r="G1548" s="148">
        <v>-7.6059200000000002</v>
      </c>
      <c r="H1548" s="148">
        <v>-10.141226666666666</v>
      </c>
      <c r="I1548" s="728"/>
      <c r="J1548" s="148">
        <v>67.394080000000002</v>
      </c>
      <c r="K1548" s="148">
        <v>0</v>
      </c>
      <c r="L1548" s="148">
        <v>833.81550000000004</v>
      </c>
      <c r="M1548" s="148">
        <v>900</v>
      </c>
      <c r="N1548" s="148">
        <v>-66.1845</v>
      </c>
      <c r="O1548" s="148">
        <v>-7.3538333333333332</v>
      </c>
      <c r="P1548" s="148">
        <v>415.38063</v>
      </c>
      <c r="Q1548" s="148">
        <v>418.43486999999999</v>
      </c>
      <c r="R1548" s="148">
        <v>100.73528705467079</v>
      </c>
    </row>
    <row r="1549" spans="2:18" ht="15.75" hidden="1" thickBot="1" x14ac:dyDescent="0.3">
      <c r="B1549" s="725" t="s">
        <v>733</v>
      </c>
      <c r="C1549" s="722" t="s">
        <v>109</v>
      </c>
      <c r="D1549" t="s">
        <v>110</v>
      </c>
      <c r="E1549" s="729"/>
      <c r="F1549" s="729"/>
      <c r="G1549" s="729"/>
      <c r="H1549" s="729"/>
      <c r="I1549" s="729"/>
      <c r="J1549" s="729"/>
      <c r="K1549" s="729"/>
      <c r="L1549" s="147">
        <v>0.11201</v>
      </c>
      <c r="M1549" s="729"/>
      <c r="N1549" s="147">
        <v>0.11201</v>
      </c>
      <c r="O1549" s="147">
        <v>0</v>
      </c>
      <c r="P1549" s="147">
        <v>9.4299999999999995E-2</v>
      </c>
      <c r="Q1549" s="147">
        <v>1.771E-2</v>
      </c>
      <c r="R1549" s="147">
        <v>18.780487804878049</v>
      </c>
    </row>
    <row r="1550" spans="2:18" ht="15.75" hidden="1" thickBot="1" x14ac:dyDescent="0.3">
      <c r="B1550" s="725" t="s">
        <v>733</v>
      </c>
      <c r="C1550" s="722" t="s">
        <v>73</v>
      </c>
      <c r="D1550" t="s">
        <v>74</v>
      </c>
      <c r="E1550" s="148">
        <v>0.39224999999999999</v>
      </c>
      <c r="F1550" s="728"/>
      <c r="G1550" s="148">
        <v>0.39224999999999999</v>
      </c>
      <c r="H1550" s="148">
        <v>0</v>
      </c>
      <c r="I1550" s="728"/>
      <c r="J1550" s="148">
        <v>0.39224999999999999</v>
      </c>
      <c r="K1550" s="148">
        <v>0</v>
      </c>
      <c r="L1550" s="148">
        <v>2.7006999999999999</v>
      </c>
      <c r="M1550" s="728"/>
      <c r="N1550" s="148">
        <v>2.7006999999999999</v>
      </c>
      <c r="O1550" s="148">
        <v>0</v>
      </c>
      <c r="P1550" s="148">
        <v>1.9696899999999999</v>
      </c>
      <c r="Q1550" s="148">
        <v>0.73101000000000005</v>
      </c>
      <c r="R1550" s="148">
        <v>37.112946707349884</v>
      </c>
    </row>
    <row r="1551" spans="2:18" ht="15.75" hidden="1" thickBot="1" x14ac:dyDescent="0.3">
      <c r="B1551" s="725" t="s">
        <v>733</v>
      </c>
      <c r="C1551" s="722" t="s">
        <v>141</v>
      </c>
      <c r="D1551" t="s">
        <v>142</v>
      </c>
      <c r="E1551" s="729"/>
      <c r="F1551" s="729"/>
      <c r="G1551" s="729"/>
      <c r="H1551" s="729"/>
      <c r="I1551" s="729"/>
      <c r="J1551" s="729"/>
      <c r="K1551" s="729"/>
      <c r="L1551" s="147">
        <v>0.33099000000000001</v>
      </c>
      <c r="M1551" s="729"/>
      <c r="N1551" s="147">
        <v>0.33099000000000001</v>
      </c>
      <c r="O1551" s="147">
        <v>0</v>
      </c>
      <c r="P1551" s="147">
        <v>0.31603999999999999</v>
      </c>
      <c r="Q1551" s="147">
        <v>1.495E-2</v>
      </c>
      <c r="R1551" s="147">
        <v>4.7304138716618152</v>
      </c>
    </row>
    <row r="1552" spans="2:18" ht="15.75" hidden="1" thickBot="1" x14ac:dyDescent="0.3">
      <c r="B1552" s="725" t="s">
        <v>733</v>
      </c>
      <c r="C1552" s="722" t="s">
        <v>113</v>
      </c>
      <c r="D1552" t="s">
        <v>114</v>
      </c>
      <c r="E1552" s="148">
        <v>0.30462</v>
      </c>
      <c r="F1552" s="728"/>
      <c r="G1552" s="148">
        <v>0.30462</v>
      </c>
      <c r="H1552" s="148">
        <v>0</v>
      </c>
      <c r="I1552" s="728"/>
      <c r="J1552" s="148">
        <v>0.30462</v>
      </c>
      <c r="K1552" s="148">
        <v>0</v>
      </c>
      <c r="L1552" s="148">
        <v>0.58560000000000001</v>
      </c>
      <c r="M1552" s="728"/>
      <c r="N1552" s="148">
        <v>0.58560000000000001</v>
      </c>
      <c r="O1552" s="148">
        <v>0</v>
      </c>
      <c r="P1552" s="148">
        <v>0.19009999999999999</v>
      </c>
      <c r="Q1552" s="148">
        <v>0.39550000000000002</v>
      </c>
      <c r="R1552" s="148">
        <v>208.04839558127301</v>
      </c>
    </row>
    <row r="1553" spans="2:18" ht="15.75" hidden="1" thickBot="1" x14ac:dyDescent="0.3">
      <c r="B1553" s="725" t="s">
        <v>733</v>
      </c>
      <c r="C1553" s="722" t="s">
        <v>201</v>
      </c>
      <c r="D1553" t="s">
        <v>202</v>
      </c>
      <c r="E1553" s="147">
        <v>1.16405</v>
      </c>
      <c r="F1553" s="147">
        <v>1.6659999999999999</v>
      </c>
      <c r="G1553" s="147">
        <v>-0.50195000000000001</v>
      </c>
      <c r="H1553" s="147">
        <v>-30.129051620648259</v>
      </c>
      <c r="I1553" s="729"/>
      <c r="J1553" s="147">
        <v>1.16405</v>
      </c>
      <c r="K1553" s="147">
        <v>0</v>
      </c>
      <c r="L1553" s="147">
        <v>18.955829999999999</v>
      </c>
      <c r="M1553" s="147">
        <v>20</v>
      </c>
      <c r="N1553" s="147">
        <v>-1.04417</v>
      </c>
      <c r="O1553" s="147">
        <v>-5.2208500000000004</v>
      </c>
      <c r="P1553" s="147">
        <v>12.40535</v>
      </c>
      <c r="Q1553" s="147">
        <v>6.5504800000000003</v>
      </c>
      <c r="R1553" s="147">
        <v>52.80366938458004</v>
      </c>
    </row>
    <row r="1554" spans="2:18" ht="15.75" hidden="1" thickBot="1" x14ac:dyDescent="0.3">
      <c r="B1554" s="725" t="s">
        <v>733</v>
      </c>
      <c r="C1554" s="722" t="s">
        <v>145</v>
      </c>
      <c r="D1554" t="s">
        <v>146</v>
      </c>
      <c r="E1554" s="148">
        <v>2.4E-2</v>
      </c>
      <c r="F1554" s="148">
        <v>0.03</v>
      </c>
      <c r="G1554" s="148">
        <v>-6.0000000000000001E-3</v>
      </c>
      <c r="H1554" s="148">
        <v>-20</v>
      </c>
      <c r="I1554" s="728"/>
      <c r="J1554" s="148">
        <v>2.4E-2</v>
      </c>
      <c r="K1554" s="148">
        <v>0</v>
      </c>
      <c r="L1554" s="148">
        <v>0.3624</v>
      </c>
      <c r="M1554" s="148">
        <v>0.36</v>
      </c>
      <c r="N1554" s="148">
        <v>2.3999999999999998E-3</v>
      </c>
      <c r="O1554" s="148">
        <v>0.66666666666666663</v>
      </c>
      <c r="P1554" s="148">
        <v>0.17280000000000001</v>
      </c>
      <c r="Q1554" s="148">
        <v>0.18959999999999999</v>
      </c>
      <c r="R1554" s="148">
        <v>109.72222222222223</v>
      </c>
    </row>
    <row r="1555" spans="2:18" ht="15.75" hidden="1" thickBot="1" x14ac:dyDescent="0.3">
      <c r="B1555" s="725" t="s">
        <v>733</v>
      </c>
      <c r="C1555" s="722" t="s">
        <v>147</v>
      </c>
      <c r="D1555" t="s">
        <v>148</v>
      </c>
      <c r="E1555" s="729"/>
      <c r="F1555" s="729"/>
      <c r="G1555" s="729"/>
      <c r="H1555" s="729"/>
      <c r="I1555" s="729"/>
      <c r="J1555" s="729"/>
      <c r="K1555" s="729"/>
      <c r="L1555" s="147">
        <v>4.7499999999999999E-3</v>
      </c>
      <c r="M1555" s="729"/>
      <c r="N1555" s="147">
        <v>4.7499999999999999E-3</v>
      </c>
      <c r="O1555" s="147">
        <v>0</v>
      </c>
      <c r="P1555" s="729"/>
      <c r="Q1555" s="147">
        <v>4.7499999999999999E-3</v>
      </c>
      <c r="R1555" s="147">
        <v>0</v>
      </c>
    </row>
    <row r="1556" spans="2:18" ht="15.75" hidden="1" thickBot="1" x14ac:dyDescent="0.3">
      <c r="B1556" s="725" t="s">
        <v>733</v>
      </c>
      <c r="C1556" s="722" t="s">
        <v>203</v>
      </c>
      <c r="D1556" t="s">
        <v>204</v>
      </c>
      <c r="E1556" s="728"/>
      <c r="F1556" s="148">
        <v>0.02</v>
      </c>
      <c r="G1556" s="148">
        <v>-0.02</v>
      </c>
      <c r="H1556" s="148">
        <v>-100</v>
      </c>
      <c r="I1556" s="728"/>
      <c r="J1556" s="728"/>
      <c r="K1556" s="728"/>
      <c r="L1556" s="148">
        <v>0.69298999999999999</v>
      </c>
      <c r="M1556" s="148">
        <v>0.24</v>
      </c>
      <c r="N1556" s="148">
        <v>0.45299</v>
      </c>
      <c r="O1556" s="148">
        <v>188.74583333333334</v>
      </c>
      <c r="P1556" s="148">
        <v>0.69298999999999999</v>
      </c>
      <c r="Q1556" s="148">
        <v>0</v>
      </c>
      <c r="R1556" s="148">
        <v>0</v>
      </c>
    </row>
    <row r="1557" spans="2:18" ht="15.75" hidden="1" thickBot="1" x14ac:dyDescent="0.3">
      <c r="B1557" s="725" t="s">
        <v>733</v>
      </c>
      <c r="C1557" s="722" t="s">
        <v>641</v>
      </c>
      <c r="D1557" t="s">
        <v>642</v>
      </c>
      <c r="E1557" s="729"/>
      <c r="F1557" s="729"/>
      <c r="G1557" s="729"/>
      <c r="H1557" s="729"/>
      <c r="I1557" s="729"/>
      <c r="J1557" s="729"/>
      <c r="K1557" s="729"/>
      <c r="L1557" s="147">
        <v>0.24498</v>
      </c>
      <c r="M1557" s="729"/>
      <c r="N1557" s="147">
        <v>0.24498</v>
      </c>
      <c r="O1557" s="147">
        <v>0</v>
      </c>
      <c r="P1557" s="729"/>
      <c r="Q1557" s="147">
        <v>0.24498</v>
      </c>
      <c r="R1557" s="147">
        <v>0</v>
      </c>
    </row>
    <row r="1558" spans="2:18" ht="15.75" hidden="1" thickBot="1" x14ac:dyDescent="0.3">
      <c r="B1558" s="725" t="s">
        <v>733</v>
      </c>
      <c r="C1558" s="722" t="s">
        <v>149</v>
      </c>
      <c r="D1558" t="s">
        <v>150</v>
      </c>
      <c r="E1558" s="148">
        <v>11.832470000000001</v>
      </c>
      <c r="F1558" s="728"/>
      <c r="G1558" s="148">
        <v>11.832470000000001</v>
      </c>
      <c r="H1558" s="148">
        <v>0</v>
      </c>
      <c r="I1558" s="728"/>
      <c r="J1558" s="148">
        <v>11.832470000000001</v>
      </c>
      <c r="K1558" s="148">
        <v>0</v>
      </c>
      <c r="L1558" s="148">
        <v>122.64663</v>
      </c>
      <c r="M1558" s="728"/>
      <c r="N1558" s="148">
        <v>122.64663</v>
      </c>
      <c r="O1558" s="148">
        <v>0</v>
      </c>
      <c r="P1558" s="148">
        <v>43.260199999999998</v>
      </c>
      <c r="Q1558" s="148">
        <v>79.386430000000004</v>
      </c>
      <c r="R1558" s="148">
        <v>183.50916084530354</v>
      </c>
    </row>
    <row r="1559" spans="2:18" ht="15.75" hidden="1" thickBot="1" x14ac:dyDescent="0.3">
      <c r="B1559" s="725" t="s">
        <v>733</v>
      </c>
      <c r="C1559" s="722" t="s">
        <v>205</v>
      </c>
      <c r="D1559" t="s">
        <v>206</v>
      </c>
      <c r="E1559" s="147">
        <v>0.18160000000000001</v>
      </c>
      <c r="F1559" s="147">
        <v>0.2</v>
      </c>
      <c r="G1559" s="147">
        <v>-1.84E-2</v>
      </c>
      <c r="H1559" s="147">
        <v>-9.1999999999999993</v>
      </c>
      <c r="I1559" s="729"/>
      <c r="J1559" s="147">
        <v>0.18160000000000001</v>
      </c>
      <c r="K1559" s="147">
        <v>0</v>
      </c>
      <c r="L1559" s="147">
        <v>7.0892099999999996</v>
      </c>
      <c r="M1559" s="147">
        <v>2.4</v>
      </c>
      <c r="N1559" s="147">
        <v>4.6892100000000001</v>
      </c>
      <c r="O1559" s="147">
        <v>195.38374999999999</v>
      </c>
      <c r="P1559" s="147">
        <v>4.6786099999999999</v>
      </c>
      <c r="Q1559" s="147">
        <v>2.4106000000000001</v>
      </c>
      <c r="R1559" s="147">
        <v>51.523850032381411</v>
      </c>
    </row>
    <row r="1560" spans="2:18" ht="15.75" hidden="1" thickBot="1" x14ac:dyDescent="0.3">
      <c r="B1560" s="725" t="s">
        <v>733</v>
      </c>
      <c r="C1560" s="722" t="s">
        <v>649</v>
      </c>
      <c r="D1560" t="s">
        <v>650</v>
      </c>
      <c r="E1560" s="728"/>
      <c r="F1560" s="728"/>
      <c r="G1560" s="728"/>
      <c r="H1560" s="728"/>
      <c r="I1560" s="728"/>
      <c r="J1560" s="728"/>
      <c r="K1560" s="728"/>
      <c r="L1560" s="148">
        <v>5.36782</v>
      </c>
      <c r="M1560" s="728"/>
      <c r="N1560" s="148">
        <v>5.36782</v>
      </c>
      <c r="O1560" s="148">
        <v>0</v>
      </c>
      <c r="P1560" s="728"/>
      <c r="Q1560" s="148">
        <v>5.36782</v>
      </c>
      <c r="R1560" s="148">
        <v>0</v>
      </c>
    </row>
    <row r="1561" spans="2:18" ht="15.75" hidden="1" thickBot="1" x14ac:dyDescent="0.3">
      <c r="B1561" s="725" t="s">
        <v>733</v>
      </c>
      <c r="C1561" s="722" t="s">
        <v>173</v>
      </c>
      <c r="D1561" t="s">
        <v>174</v>
      </c>
      <c r="E1561" s="147">
        <v>0.33750000000000002</v>
      </c>
      <c r="F1561" s="147">
        <v>0.376</v>
      </c>
      <c r="G1561" s="147">
        <v>-3.85E-2</v>
      </c>
      <c r="H1561" s="147">
        <v>-10.23936170212766</v>
      </c>
      <c r="I1561" s="729"/>
      <c r="J1561" s="147">
        <v>0.33750000000000002</v>
      </c>
      <c r="K1561" s="147">
        <v>0</v>
      </c>
      <c r="L1561" s="147">
        <v>6.4739000000000004</v>
      </c>
      <c r="M1561" s="147">
        <v>4.5119999999999996</v>
      </c>
      <c r="N1561" s="147">
        <v>1.9619</v>
      </c>
      <c r="O1561" s="147">
        <v>43.481826241134755</v>
      </c>
      <c r="P1561" s="147">
        <v>3.4844900000000001</v>
      </c>
      <c r="Q1561" s="147">
        <v>2.9894099999999999</v>
      </c>
      <c r="R1561" s="147">
        <v>85.791894940149064</v>
      </c>
    </row>
    <row r="1562" spans="2:18" ht="15.75" hidden="1" thickBot="1" x14ac:dyDescent="0.3">
      <c r="B1562" s="725" t="s">
        <v>733</v>
      </c>
      <c r="C1562" s="722" t="s">
        <v>479</v>
      </c>
      <c r="D1562" t="s">
        <v>480</v>
      </c>
      <c r="E1562" s="728"/>
      <c r="F1562" s="728"/>
      <c r="G1562" s="728"/>
      <c r="H1562" s="728"/>
      <c r="I1562" s="728"/>
      <c r="J1562" s="728"/>
      <c r="K1562" s="728"/>
      <c r="L1562" s="148">
        <v>0.57694999999999996</v>
      </c>
      <c r="M1562" s="728"/>
      <c r="N1562" s="148">
        <v>0.57694999999999996</v>
      </c>
      <c r="O1562" s="148">
        <v>0</v>
      </c>
      <c r="P1562" s="728"/>
      <c r="Q1562" s="148">
        <v>0.57694999999999996</v>
      </c>
      <c r="R1562" s="148">
        <v>0</v>
      </c>
    </row>
    <row r="1563" spans="2:18" ht="15.75" hidden="1" thickBot="1" x14ac:dyDescent="0.3">
      <c r="B1563" s="725" t="s">
        <v>733</v>
      </c>
      <c r="C1563" s="722" t="s">
        <v>151</v>
      </c>
      <c r="D1563" t="s">
        <v>152</v>
      </c>
      <c r="E1563" s="729"/>
      <c r="F1563" s="147">
        <v>0.15</v>
      </c>
      <c r="G1563" s="147">
        <v>-0.15</v>
      </c>
      <c r="H1563" s="147">
        <v>-100</v>
      </c>
      <c r="I1563" s="729"/>
      <c r="J1563" s="729"/>
      <c r="K1563" s="729"/>
      <c r="L1563" s="147">
        <v>3.3050000000000002</v>
      </c>
      <c r="M1563" s="147">
        <v>1.8</v>
      </c>
      <c r="N1563" s="147">
        <v>1.5049999999999999</v>
      </c>
      <c r="O1563" s="147">
        <v>83.611111111111114</v>
      </c>
      <c r="P1563" s="147">
        <v>2.69</v>
      </c>
      <c r="Q1563" s="147">
        <v>0.61499999999999999</v>
      </c>
      <c r="R1563" s="147">
        <v>22.862453531598511</v>
      </c>
    </row>
    <row r="1564" spans="2:18" ht="15.75" hidden="1" thickBot="1" x14ac:dyDescent="0.3">
      <c r="B1564" s="725" t="s">
        <v>733</v>
      </c>
      <c r="C1564" s="722" t="s">
        <v>481</v>
      </c>
      <c r="D1564" t="s">
        <v>482</v>
      </c>
      <c r="E1564" s="148">
        <v>72.037769999999995</v>
      </c>
      <c r="F1564" s="148">
        <v>50</v>
      </c>
      <c r="G1564" s="148">
        <v>22.037769999999998</v>
      </c>
      <c r="H1564" s="148">
        <v>44.075539999999997</v>
      </c>
      <c r="I1564" s="728"/>
      <c r="J1564" s="148">
        <v>72.037769999999995</v>
      </c>
      <c r="K1564" s="148">
        <v>0</v>
      </c>
      <c r="L1564" s="148">
        <v>761.83429000000001</v>
      </c>
      <c r="M1564" s="148">
        <v>600</v>
      </c>
      <c r="N1564" s="148">
        <v>161.83429000000001</v>
      </c>
      <c r="O1564" s="148">
        <v>26.972381666666667</v>
      </c>
      <c r="P1564" s="148">
        <v>347.29989</v>
      </c>
      <c r="Q1564" s="148">
        <v>414.53440000000001</v>
      </c>
      <c r="R1564" s="148">
        <v>119.35920855028201</v>
      </c>
    </row>
    <row r="1565" spans="2:18" ht="15.75" hidden="1" thickBot="1" x14ac:dyDescent="0.3">
      <c r="B1565" s="725" t="s">
        <v>733</v>
      </c>
      <c r="C1565" s="722" t="s">
        <v>207</v>
      </c>
      <c r="D1565" t="s">
        <v>208</v>
      </c>
      <c r="E1565" s="147">
        <v>7.9969999999999999E-2</v>
      </c>
      <c r="F1565" s="729"/>
      <c r="G1565" s="147">
        <v>7.9969999999999999E-2</v>
      </c>
      <c r="H1565" s="147">
        <v>0</v>
      </c>
      <c r="I1565" s="729"/>
      <c r="J1565" s="147">
        <v>7.9969999999999999E-2</v>
      </c>
      <c r="K1565" s="147">
        <v>0</v>
      </c>
      <c r="L1565" s="147">
        <v>2.91662</v>
      </c>
      <c r="M1565" s="729"/>
      <c r="N1565" s="147">
        <v>2.91662</v>
      </c>
      <c r="O1565" s="147">
        <v>0</v>
      </c>
      <c r="P1565" s="147">
        <v>1.4760899999999999</v>
      </c>
      <c r="Q1565" s="147">
        <v>1.4405300000000001</v>
      </c>
      <c r="R1565" s="147">
        <v>97.590932802200413</v>
      </c>
    </row>
    <row r="1566" spans="2:18" ht="15.75" hidden="1" thickBot="1" x14ac:dyDescent="0.3">
      <c r="B1566" s="725" t="s">
        <v>733</v>
      </c>
      <c r="C1566" s="722" t="s">
        <v>75</v>
      </c>
      <c r="D1566" t="s">
        <v>76</v>
      </c>
      <c r="E1566" s="148">
        <v>0.84114</v>
      </c>
      <c r="F1566" s="148">
        <v>0.75</v>
      </c>
      <c r="G1566" s="148">
        <v>9.1139999999999999E-2</v>
      </c>
      <c r="H1566" s="148">
        <v>12.151999999999999</v>
      </c>
      <c r="I1566" s="728"/>
      <c r="J1566" s="148">
        <v>0.84114</v>
      </c>
      <c r="K1566" s="148">
        <v>0</v>
      </c>
      <c r="L1566" s="148">
        <v>9.3333399999999997</v>
      </c>
      <c r="M1566" s="148">
        <v>9</v>
      </c>
      <c r="N1566" s="148">
        <v>0.33334000000000003</v>
      </c>
      <c r="O1566" s="148">
        <v>3.7037777777777778</v>
      </c>
      <c r="P1566" s="148">
        <v>5.9879600000000002</v>
      </c>
      <c r="Q1566" s="148">
        <v>3.34538</v>
      </c>
      <c r="R1566" s="148">
        <v>55.868442674967767</v>
      </c>
    </row>
    <row r="1567" spans="2:18" ht="15.75" hidden="1" thickBot="1" x14ac:dyDescent="0.3">
      <c r="B1567" s="725" t="s">
        <v>733</v>
      </c>
      <c r="C1567" s="722" t="s">
        <v>121</v>
      </c>
      <c r="D1567" t="s">
        <v>122</v>
      </c>
      <c r="E1567" s="147">
        <v>9.7999999999999997E-3</v>
      </c>
      <c r="F1567" s="729"/>
      <c r="G1567" s="147">
        <v>9.7999999999999997E-3</v>
      </c>
      <c r="H1567" s="147">
        <v>0</v>
      </c>
      <c r="I1567" s="729"/>
      <c r="J1567" s="147">
        <v>9.7999999999999997E-3</v>
      </c>
      <c r="K1567" s="147">
        <v>0</v>
      </c>
      <c r="L1567" s="147">
        <v>0.54335999999999995</v>
      </c>
      <c r="M1567" s="729"/>
      <c r="N1567" s="147">
        <v>0.54335999999999995</v>
      </c>
      <c r="O1567" s="147">
        <v>0</v>
      </c>
      <c r="P1567" s="147">
        <v>8.1600000000000006E-2</v>
      </c>
      <c r="Q1567" s="147">
        <v>0.46176</v>
      </c>
      <c r="R1567" s="147">
        <v>565.88235294117646</v>
      </c>
    </row>
    <row r="1568" spans="2:18" ht="15.75" hidden="1" thickBot="1" x14ac:dyDescent="0.3">
      <c r="B1568" s="725" t="s">
        <v>733</v>
      </c>
      <c r="C1568" s="722" t="s">
        <v>77</v>
      </c>
      <c r="D1568" t="s">
        <v>78</v>
      </c>
      <c r="E1568" s="728"/>
      <c r="F1568" s="148">
        <v>0.86817999999999995</v>
      </c>
      <c r="G1568" s="148">
        <v>-0.86817999999999995</v>
      </c>
      <c r="H1568" s="148">
        <v>-100</v>
      </c>
      <c r="I1568" s="728"/>
      <c r="J1568" s="728"/>
      <c r="K1568" s="728"/>
      <c r="L1568" s="148">
        <v>7.34504</v>
      </c>
      <c r="M1568" s="148">
        <v>9.5499799999999997</v>
      </c>
      <c r="N1568" s="148">
        <v>-2.2049400000000001</v>
      </c>
      <c r="O1568" s="148">
        <v>-23.088425316073959</v>
      </c>
      <c r="P1568" s="148">
        <v>6.3017099999999999</v>
      </c>
      <c r="Q1568" s="148">
        <v>1.0433300000000001</v>
      </c>
      <c r="R1568" s="148">
        <v>16.55629979799134</v>
      </c>
    </row>
    <row r="1569" spans="1:18" ht="15.75" hidden="1" thickBot="1" x14ac:dyDescent="0.3">
      <c r="B1569" s="725" t="s">
        <v>733</v>
      </c>
      <c r="C1569" s="722" t="s">
        <v>79</v>
      </c>
      <c r="D1569" t="s">
        <v>80</v>
      </c>
      <c r="E1569" s="147">
        <v>4.1549999999999997E-2</v>
      </c>
      <c r="F1569" s="729"/>
      <c r="G1569" s="147">
        <v>4.1549999999999997E-2</v>
      </c>
      <c r="H1569" s="147">
        <v>0</v>
      </c>
      <c r="I1569" s="729"/>
      <c r="J1569" s="147">
        <v>4.1549999999999997E-2</v>
      </c>
      <c r="K1569" s="147">
        <v>0</v>
      </c>
      <c r="L1569" s="147">
        <v>3.8584000000000001</v>
      </c>
      <c r="M1569" s="729"/>
      <c r="N1569" s="147">
        <v>3.8584000000000001</v>
      </c>
      <c r="O1569" s="147">
        <v>0</v>
      </c>
      <c r="P1569" s="147">
        <v>0.81001999999999996</v>
      </c>
      <c r="Q1569" s="147">
        <v>3.0483799999999999</v>
      </c>
      <c r="R1569" s="147">
        <v>376.33391768104491</v>
      </c>
    </row>
    <row r="1570" spans="1:18" ht="15.75" hidden="1" thickBot="1" x14ac:dyDescent="0.3">
      <c r="B1570" s="725" t="s">
        <v>733</v>
      </c>
      <c r="C1570" s="722" t="s">
        <v>123</v>
      </c>
      <c r="D1570" t="s">
        <v>124</v>
      </c>
      <c r="E1570" s="728"/>
      <c r="F1570" s="728"/>
      <c r="G1570" s="728"/>
      <c r="H1570" s="728"/>
      <c r="I1570" s="728"/>
      <c r="J1570" s="728"/>
      <c r="K1570" s="728"/>
      <c r="L1570" s="148">
        <v>9.2910000000000006E-2</v>
      </c>
      <c r="M1570" s="728"/>
      <c r="N1570" s="148">
        <v>9.2910000000000006E-2</v>
      </c>
      <c r="O1570" s="148">
        <v>0</v>
      </c>
      <c r="P1570" s="728"/>
      <c r="Q1570" s="148">
        <v>9.2910000000000006E-2</v>
      </c>
      <c r="R1570" s="148">
        <v>0</v>
      </c>
    </row>
    <row r="1571" spans="1:18" ht="15.75" hidden="1" thickBot="1" x14ac:dyDescent="0.3">
      <c r="B1571" s="725" t="s">
        <v>733</v>
      </c>
      <c r="C1571" s="149" t="s">
        <v>85</v>
      </c>
      <c r="D1571" t="s">
        <v>86</v>
      </c>
      <c r="E1571" s="147">
        <v>179.87114</v>
      </c>
      <c r="F1571" s="147">
        <v>150.56218000000001</v>
      </c>
      <c r="G1571" s="147">
        <v>29.308959999999999</v>
      </c>
      <c r="H1571" s="147">
        <v>19.466349384686115</v>
      </c>
      <c r="I1571" s="729"/>
      <c r="J1571" s="147">
        <v>179.87114</v>
      </c>
      <c r="K1571" s="147">
        <v>0</v>
      </c>
      <c r="L1571" s="147">
        <v>2031.2399600000001</v>
      </c>
      <c r="M1571" s="147">
        <v>1810.0539799999999</v>
      </c>
      <c r="N1571" s="147">
        <v>221.18598</v>
      </c>
      <c r="O1571" s="147">
        <v>12.219855454255569</v>
      </c>
      <c r="P1571" s="147">
        <v>977.89287000000002</v>
      </c>
      <c r="Q1571" s="147">
        <v>1053.34709</v>
      </c>
      <c r="R1571" s="147">
        <v>107.71600062898506</v>
      </c>
    </row>
    <row r="1572" spans="1:18" ht="15.75" hidden="1" thickBot="1" x14ac:dyDescent="0.3">
      <c r="B1572" s="725" t="s">
        <v>733</v>
      </c>
      <c r="C1572" s="144" t="s">
        <v>87</v>
      </c>
      <c r="D1572" t="s">
        <v>87</v>
      </c>
      <c r="E1572" s="148">
        <v>327.66840999999999</v>
      </c>
      <c r="F1572" s="148">
        <v>315.98847999999998</v>
      </c>
      <c r="G1572" s="148">
        <v>11.679930000000001</v>
      </c>
      <c r="H1572" s="148">
        <v>3.6963151314883378</v>
      </c>
      <c r="I1572" s="728"/>
      <c r="J1572" s="148">
        <v>327.66840999999999</v>
      </c>
      <c r="K1572" s="148">
        <v>0</v>
      </c>
      <c r="L1572" s="148">
        <v>3777.85986</v>
      </c>
      <c r="M1572" s="148">
        <v>3767.4084600000001</v>
      </c>
      <c r="N1572" s="148">
        <v>10.4514</v>
      </c>
      <c r="O1572" s="148">
        <v>0.27741616315211015</v>
      </c>
      <c r="P1572" s="148">
        <v>1893.8617300000001</v>
      </c>
      <c r="Q1572" s="148">
        <v>1883.9981299999999</v>
      </c>
      <c r="R1572" s="148">
        <v>99.479180562986514</v>
      </c>
    </row>
    <row r="1573" spans="1:18" ht="15.75" hidden="1" thickBot="1" x14ac:dyDescent="0.3">
      <c r="A1573" s="199" t="str">
        <f>B1573&amp;C1573</f>
        <v>OFFICE SERVICESSALARY PAYROLL</v>
      </c>
      <c r="B1573" s="725" t="s">
        <v>395</v>
      </c>
      <c r="C1573" s="722" t="s">
        <v>59</v>
      </c>
      <c r="D1573" t="s">
        <v>60</v>
      </c>
      <c r="E1573" s="147">
        <v>7.58765</v>
      </c>
      <c r="F1573" s="147">
        <v>7.2079000000000004</v>
      </c>
      <c r="G1573" s="147">
        <v>0.37974999999999998</v>
      </c>
      <c r="H1573" s="147">
        <v>5.2685248130523457</v>
      </c>
      <c r="I1573" s="729"/>
      <c r="J1573" s="147">
        <v>7.58765</v>
      </c>
      <c r="K1573" s="147">
        <v>0</v>
      </c>
      <c r="L1573" s="147">
        <v>84.908479999999997</v>
      </c>
      <c r="M1573" s="147">
        <v>86.041039999999995</v>
      </c>
      <c r="N1573" s="147">
        <v>-1.13256</v>
      </c>
      <c r="O1573" s="147">
        <v>-1.3163020809604347</v>
      </c>
      <c r="P1573" s="147">
        <v>45.636049999999997</v>
      </c>
      <c r="Q1573" s="147">
        <v>39.27243</v>
      </c>
      <c r="R1573" s="147">
        <v>86.055716916779602</v>
      </c>
    </row>
    <row r="1574" spans="1:18" ht="15.75" hidden="1" thickBot="1" x14ac:dyDescent="0.3">
      <c r="A1574" s="199" t="str">
        <f t="shared" ref="A1574:A1611" si="9">B1574&amp;C1574</f>
        <v>OFFICE SERVICESHOURLY DOUBLE PAY</v>
      </c>
      <c r="B1574" s="725" t="s">
        <v>395</v>
      </c>
      <c r="C1574" s="722" t="s">
        <v>89</v>
      </c>
      <c r="D1574" t="s">
        <v>90</v>
      </c>
      <c r="E1574" s="148">
        <v>0.34655999999999998</v>
      </c>
      <c r="F1574" s="728"/>
      <c r="G1574" s="148">
        <v>0.34655999999999998</v>
      </c>
      <c r="H1574" s="148">
        <v>0</v>
      </c>
      <c r="I1574" s="728"/>
      <c r="J1574" s="148">
        <v>0.34655999999999998</v>
      </c>
      <c r="K1574" s="148">
        <v>0</v>
      </c>
      <c r="L1574" s="148">
        <v>0.75087999999999999</v>
      </c>
      <c r="M1574" s="728"/>
      <c r="N1574" s="148">
        <v>0.75087999999999999</v>
      </c>
      <c r="O1574" s="148">
        <v>0</v>
      </c>
      <c r="P1574" s="148">
        <v>0.80864000000000003</v>
      </c>
      <c r="Q1574" s="148">
        <v>-5.7759999999999999E-2</v>
      </c>
      <c r="R1574" s="148">
        <v>-7.1428571428571432</v>
      </c>
    </row>
    <row r="1575" spans="1:18" ht="15.75" hidden="1" thickBot="1" x14ac:dyDescent="0.3">
      <c r="A1575" s="199" t="str">
        <f t="shared" si="9"/>
        <v>OFFICE SERVICESHOURLY REGULAR  PAY</v>
      </c>
      <c r="B1575" s="725" t="s">
        <v>395</v>
      </c>
      <c r="C1575" s="722" t="s">
        <v>91</v>
      </c>
      <c r="D1575" t="s">
        <v>92</v>
      </c>
      <c r="E1575" s="147">
        <v>38.698889999999999</v>
      </c>
      <c r="F1575" s="147">
        <v>37.60895</v>
      </c>
      <c r="G1575" s="147">
        <v>1.0899399999999999</v>
      </c>
      <c r="H1575" s="147">
        <v>2.8980867586040024</v>
      </c>
      <c r="I1575" s="729"/>
      <c r="J1575" s="147">
        <v>38.698889999999999</v>
      </c>
      <c r="K1575" s="147">
        <v>0</v>
      </c>
      <c r="L1575" s="147">
        <v>435.34417999999999</v>
      </c>
      <c r="M1575" s="147">
        <v>439.25788999999997</v>
      </c>
      <c r="N1575" s="147">
        <v>-3.91371</v>
      </c>
      <c r="O1575" s="147">
        <v>-0.89098228833180437</v>
      </c>
      <c r="P1575" s="147">
        <v>234.57857999999999</v>
      </c>
      <c r="Q1575" s="147">
        <v>200.76560000000001</v>
      </c>
      <c r="R1575" s="147">
        <v>85.585648953966725</v>
      </c>
    </row>
    <row r="1576" spans="1:18" ht="15.75" hidden="1" thickBot="1" x14ac:dyDescent="0.3">
      <c r="A1576" s="199" t="str">
        <f t="shared" si="9"/>
        <v>OFFICE SERVICESHOURLY OVERTIME PAY</v>
      </c>
      <c r="B1576" s="725" t="s">
        <v>395</v>
      </c>
      <c r="C1576" s="722" t="s">
        <v>93</v>
      </c>
      <c r="D1576" t="s">
        <v>94</v>
      </c>
      <c r="E1576" s="148">
        <v>0.68181999999999998</v>
      </c>
      <c r="F1576" s="728"/>
      <c r="G1576" s="148">
        <v>0.68181999999999998</v>
      </c>
      <c r="H1576" s="148">
        <v>0</v>
      </c>
      <c r="I1576" s="728"/>
      <c r="J1576" s="148">
        <v>0.68181999999999998</v>
      </c>
      <c r="K1576" s="148">
        <v>0</v>
      </c>
      <c r="L1576" s="148">
        <v>5.02142</v>
      </c>
      <c r="M1576" s="728"/>
      <c r="N1576" s="148">
        <v>5.02142</v>
      </c>
      <c r="O1576" s="148">
        <v>0</v>
      </c>
      <c r="P1576" s="148">
        <v>3.6028099999999998</v>
      </c>
      <c r="Q1576" s="148">
        <v>1.4186099999999999</v>
      </c>
      <c r="R1576" s="148">
        <v>39.375098881151104</v>
      </c>
    </row>
    <row r="1577" spans="1:18" ht="15.75" hidden="1" thickBot="1" x14ac:dyDescent="0.3">
      <c r="A1577" s="199" t="str">
        <f t="shared" si="9"/>
        <v>OFFICE SERVICESP/T HOURLY PAYROLL</v>
      </c>
      <c r="B1577" s="725" t="s">
        <v>395</v>
      </c>
      <c r="C1577" s="722" t="s">
        <v>159</v>
      </c>
      <c r="D1577" t="s">
        <v>160</v>
      </c>
      <c r="E1577" s="147">
        <v>1.45414</v>
      </c>
      <c r="F1577" s="147">
        <v>1.32623</v>
      </c>
      <c r="G1577" s="147">
        <v>0.12791</v>
      </c>
      <c r="H1577" s="147">
        <v>9.6446317757854967</v>
      </c>
      <c r="I1577" s="729"/>
      <c r="J1577" s="147">
        <v>1.45414</v>
      </c>
      <c r="K1577" s="147">
        <v>0</v>
      </c>
      <c r="L1577" s="147">
        <v>20.831189999999999</v>
      </c>
      <c r="M1577" s="147">
        <v>15.48983</v>
      </c>
      <c r="N1577" s="147">
        <v>5.3413599999999999</v>
      </c>
      <c r="O1577" s="147">
        <v>34.483012402331077</v>
      </c>
      <c r="P1577" s="147">
        <v>11.86232</v>
      </c>
      <c r="Q1577" s="147">
        <v>8.9688700000000008</v>
      </c>
      <c r="R1577" s="147">
        <v>75.6080598061762</v>
      </c>
    </row>
    <row r="1578" spans="1:18" ht="15.75" hidden="1" thickBot="1" x14ac:dyDescent="0.3">
      <c r="A1578" s="199" t="str">
        <f t="shared" si="9"/>
        <v>OFFICE SERVICESVACATION, SICK &amp; HOL</v>
      </c>
      <c r="B1578" s="725" t="s">
        <v>395</v>
      </c>
      <c r="C1578" s="722" t="s">
        <v>61</v>
      </c>
      <c r="D1578" t="s">
        <v>62</v>
      </c>
      <c r="E1578" s="148">
        <v>7.4370900000000004</v>
      </c>
      <c r="F1578" s="148">
        <v>7.1521699999999999</v>
      </c>
      <c r="G1578" s="148">
        <v>0.28492000000000001</v>
      </c>
      <c r="H1578" s="148">
        <v>3.9836860701018013</v>
      </c>
      <c r="I1578" s="728"/>
      <c r="J1578" s="148">
        <v>7.4370900000000004</v>
      </c>
      <c r="K1578" s="148">
        <v>0</v>
      </c>
      <c r="L1578" s="148">
        <v>81.702179999999998</v>
      </c>
      <c r="M1578" s="148">
        <v>83.822249999999997</v>
      </c>
      <c r="N1578" s="148">
        <v>-2.1200700000000001</v>
      </c>
      <c r="O1578" s="148">
        <v>-2.529244920054043</v>
      </c>
      <c r="P1578" s="148">
        <v>42.907440000000001</v>
      </c>
      <c r="Q1578" s="148">
        <v>38.794739999999997</v>
      </c>
      <c r="R1578" s="148">
        <v>90.41494901583502</v>
      </c>
    </row>
    <row r="1579" spans="1:18" ht="15.75" hidden="1" thickBot="1" x14ac:dyDescent="0.3">
      <c r="A1579" s="199" t="str">
        <f t="shared" si="9"/>
        <v>OFFICE SERVICESPAYROLL OVERHEAD</v>
      </c>
      <c r="B1579" s="725" t="s">
        <v>395</v>
      </c>
      <c r="C1579" s="722" t="s">
        <v>63</v>
      </c>
      <c r="D1579" t="s">
        <v>64</v>
      </c>
      <c r="E1579" s="147">
        <v>27.726430000000001</v>
      </c>
      <c r="F1579" s="147">
        <v>27.824269999999999</v>
      </c>
      <c r="G1579" s="147">
        <v>-9.7839999999999996E-2</v>
      </c>
      <c r="H1579" s="147">
        <v>-0.35163546069672269</v>
      </c>
      <c r="I1579" s="729"/>
      <c r="J1579" s="147">
        <v>27.726430000000001</v>
      </c>
      <c r="K1579" s="147">
        <v>0</v>
      </c>
      <c r="L1579" s="147">
        <v>306.84674999999999</v>
      </c>
      <c r="M1579" s="147">
        <v>326.09562</v>
      </c>
      <c r="N1579" s="147">
        <v>-19.24887</v>
      </c>
      <c r="O1579" s="147">
        <v>-5.9028299736132608</v>
      </c>
      <c r="P1579" s="147">
        <v>165.14104</v>
      </c>
      <c r="Q1579" s="147">
        <v>141.70571000000001</v>
      </c>
      <c r="R1579" s="147">
        <v>85.808900077170392</v>
      </c>
    </row>
    <row r="1580" spans="1:18" ht="15.75" hidden="1" thickBot="1" x14ac:dyDescent="0.3">
      <c r="A1580" s="199" t="str">
        <f t="shared" si="9"/>
        <v>OFFICE SERVICESNWN/580305</v>
      </c>
      <c r="B1580" s="725" t="s">
        <v>395</v>
      </c>
      <c r="C1580" s="722" t="s">
        <v>184</v>
      </c>
      <c r="D1580" t="s">
        <v>185</v>
      </c>
      <c r="E1580" s="148">
        <v>3.7221299999999999</v>
      </c>
      <c r="F1580" s="148">
        <v>1.1750100000000001</v>
      </c>
      <c r="G1580" s="148">
        <v>2.5471200000000001</v>
      </c>
      <c r="H1580" s="148">
        <v>216.77432532489084</v>
      </c>
      <c r="I1580" s="728"/>
      <c r="J1580" s="148">
        <v>3.7221299999999999</v>
      </c>
      <c r="K1580" s="148">
        <v>0</v>
      </c>
      <c r="L1580" s="148">
        <v>19.408280000000001</v>
      </c>
      <c r="M1580" s="148">
        <v>13.723699999999999</v>
      </c>
      <c r="N1580" s="148">
        <v>5.6845800000000004</v>
      </c>
      <c r="O1580" s="148">
        <v>41.421628278088271</v>
      </c>
      <c r="P1580" s="148">
        <v>7.9303999999999997</v>
      </c>
      <c r="Q1580" s="148">
        <v>11.477880000000001</v>
      </c>
      <c r="R1580" s="148">
        <v>144.7326742661152</v>
      </c>
    </row>
    <row r="1581" spans="1:18" ht="15.75" hidden="1" thickBot="1" x14ac:dyDescent="0.3">
      <c r="A1581" s="199" t="str">
        <f t="shared" si="9"/>
        <v>OFFICE SERVICESHRLY - REGULAR ZTFSO</v>
      </c>
      <c r="B1581" s="725" t="s">
        <v>395</v>
      </c>
      <c r="C1581" s="722" t="s">
        <v>163</v>
      </c>
      <c r="D1581" t="s">
        <v>164</v>
      </c>
      <c r="E1581" s="147">
        <v>-1.1542399999999999</v>
      </c>
      <c r="F1581" s="147">
        <v>-0.29375000000000001</v>
      </c>
      <c r="G1581" s="147">
        <v>-0.86048999999999998</v>
      </c>
      <c r="H1581" s="147">
        <v>-292.9327659574468</v>
      </c>
      <c r="I1581" s="729"/>
      <c r="J1581" s="147">
        <v>-1.1542399999999999</v>
      </c>
      <c r="K1581" s="147">
        <v>0</v>
      </c>
      <c r="L1581" s="147">
        <v>-61.627569999999999</v>
      </c>
      <c r="M1581" s="147">
        <v>-3.4309500000000002</v>
      </c>
      <c r="N1581" s="147">
        <v>-58.196620000000003</v>
      </c>
      <c r="O1581" s="147">
        <v>-1696.224660808231</v>
      </c>
      <c r="P1581" s="147">
        <v>-45.69979</v>
      </c>
      <c r="Q1581" s="147">
        <v>-15.92778</v>
      </c>
      <c r="R1581" s="147">
        <v>-34.853070440805091</v>
      </c>
    </row>
    <row r="1582" spans="1:18" ht="18.75" thickBot="1" x14ac:dyDescent="0.3">
      <c r="A1582" s="199" t="str">
        <f t="shared" si="9"/>
        <v>OFFICE SERVICESPayroll</v>
      </c>
      <c r="B1582" s="725" t="s">
        <v>395</v>
      </c>
      <c r="C1582" s="149" t="s">
        <v>67</v>
      </c>
      <c r="D1582" t="s">
        <v>68</v>
      </c>
      <c r="E1582" s="148">
        <v>86.500470000000007</v>
      </c>
      <c r="F1582" s="148">
        <v>82.000780000000006</v>
      </c>
      <c r="G1582" s="148">
        <v>4.4996900000000002</v>
      </c>
      <c r="H1582" s="148">
        <v>5.4873746322900834</v>
      </c>
      <c r="I1582" s="728"/>
      <c r="J1582" s="148">
        <v>86.500470000000007</v>
      </c>
      <c r="K1582" s="148">
        <v>0</v>
      </c>
      <c r="L1582" s="739">
        <v>893.18579</v>
      </c>
      <c r="M1582" s="148">
        <v>960.99937999999997</v>
      </c>
      <c r="N1582" s="148">
        <v>-67.813590000000005</v>
      </c>
      <c r="O1582" s="148">
        <v>-7.056569589045937</v>
      </c>
      <c r="P1582" s="148">
        <v>466.76749000000001</v>
      </c>
      <c r="Q1582" s="148">
        <v>426.41829999999999</v>
      </c>
      <c r="R1582" s="148">
        <v>91.355612619893478</v>
      </c>
    </row>
    <row r="1583" spans="1:18" ht="15.75" hidden="1" thickBot="1" x14ac:dyDescent="0.3">
      <c r="A1583" s="199" t="str">
        <f t="shared" si="9"/>
        <v>OFFICE SERVICESEDUCATION</v>
      </c>
      <c r="B1583" s="725" t="s">
        <v>395</v>
      </c>
      <c r="C1583" s="722" t="s">
        <v>69</v>
      </c>
      <c r="D1583" t="s">
        <v>70</v>
      </c>
      <c r="E1583" s="729"/>
      <c r="F1583" s="147">
        <v>0</v>
      </c>
      <c r="G1583" s="147">
        <v>0</v>
      </c>
      <c r="H1583" s="147">
        <v>0</v>
      </c>
      <c r="I1583" s="729"/>
      <c r="J1583" s="729"/>
      <c r="K1583" s="729"/>
      <c r="L1583" s="147">
        <v>5.02257</v>
      </c>
      <c r="M1583" s="147">
        <v>4.5</v>
      </c>
      <c r="N1583" s="147">
        <v>0.52256999999999998</v>
      </c>
      <c r="O1583" s="147">
        <v>11.612666666666666</v>
      </c>
      <c r="P1583" s="147">
        <v>3.5925699999999998</v>
      </c>
      <c r="Q1583" s="147">
        <v>1.43</v>
      </c>
      <c r="R1583" s="147">
        <v>39.804374027506768</v>
      </c>
    </row>
    <row r="1584" spans="1:18" ht="15.75" hidden="1" thickBot="1" x14ac:dyDescent="0.3">
      <c r="A1584" s="199" t="str">
        <f t="shared" si="9"/>
        <v>OFFICE SERVICESMATERIALS</v>
      </c>
      <c r="B1584" s="725" t="s">
        <v>395</v>
      </c>
      <c r="C1584" s="722" t="s">
        <v>99</v>
      </c>
      <c r="D1584" t="s">
        <v>100</v>
      </c>
      <c r="E1584" s="148">
        <v>0.90881999999999996</v>
      </c>
      <c r="F1584" s="148">
        <v>1.1080000000000001</v>
      </c>
      <c r="G1584" s="148">
        <v>-0.19918</v>
      </c>
      <c r="H1584" s="148">
        <v>-17.976534296028881</v>
      </c>
      <c r="I1584" s="728"/>
      <c r="J1584" s="148">
        <v>0.90881999999999996</v>
      </c>
      <c r="K1584" s="148">
        <v>0</v>
      </c>
      <c r="L1584" s="148">
        <v>12.087910000000001</v>
      </c>
      <c r="M1584" s="148">
        <v>14.54</v>
      </c>
      <c r="N1584" s="148">
        <v>-2.4520900000000001</v>
      </c>
      <c r="O1584" s="148">
        <v>-16.864442916093534</v>
      </c>
      <c r="P1584" s="148">
        <v>4.8591600000000001</v>
      </c>
      <c r="Q1584" s="148">
        <v>7.2287499999999998</v>
      </c>
      <c r="R1584" s="148">
        <v>148.76542447665852</v>
      </c>
    </row>
    <row r="1585" spans="1:18" ht="15.75" hidden="1" thickBot="1" x14ac:dyDescent="0.3">
      <c r="A1585" s="199" t="str">
        <f t="shared" si="9"/>
        <v>OFFICE SERVICESMATERIALS - CONS INV</v>
      </c>
      <c r="B1585" s="725" t="s">
        <v>395</v>
      </c>
      <c r="C1585" s="722" t="s">
        <v>165</v>
      </c>
      <c r="D1585" t="s">
        <v>166</v>
      </c>
      <c r="E1585" s="729"/>
      <c r="F1585" s="729"/>
      <c r="G1585" s="729"/>
      <c r="H1585" s="729"/>
      <c r="I1585" s="729"/>
      <c r="J1585" s="729"/>
      <c r="K1585" s="729"/>
      <c r="L1585" s="147">
        <v>0.31141999999999997</v>
      </c>
      <c r="M1585" s="729"/>
      <c r="N1585" s="147">
        <v>0.31141999999999997</v>
      </c>
      <c r="O1585" s="147">
        <v>0</v>
      </c>
      <c r="P1585" s="147">
        <v>0.14748</v>
      </c>
      <c r="Q1585" s="147">
        <v>0.16394</v>
      </c>
      <c r="R1585" s="147">
        <v>111.16083536750746</v>
      </c>
    </row>
    <row r="1586" spans="1:18" ht="15.75" hidden="1" thickBot="1" x14ac:dyDescent="0.3">
      <c r="A1586" s="199" t="str">
        <f t="shared" si="9"/>
        <v>OFFICE SERVICESMILEAGE REIMBURSE</v>
      </c>
      <c r="B1586" s="725" t="s">
        <v>395</v>
      </c>
      <c r="C1586" s="722" t="s">
        <v>137</v>
      </c>
      <c r="D1586" t="s">
        <v>138</v>
      </c>
      <c r="E1586" s="728"/>
      <c r="F1586" s="728"/>
      <c r="G1586" s="728"/>
      <c r="H1586" s="728"/>
      <c r="I1586" s="728"/>
      <c r="J1586" s="728"/>
      <c r="K1586" s="728"/>
      <c r="L1586" s="148">
        <v>2.1250000000000002E-2</v>
      </c>
      <c r="M1586" s="728"/>
      <c r="N1586" s="148">
        <v>2.1250000000000002E-2</v>
      </c>
      <c r="O1586" s="148">
        <v>0</v>
      </c>
      <c r="P1586" s="728"/>
      <c r="Q1586" s="148">
        <v>2.1250000000000002E-2</v>
      </c>
      <c r="R1586" s="148">
        <v>0</v>
      </c>
    </row>
    <row r="1587" spans="1:18" ht="15.75" hidden="1" thickBot="1" x14ac:dyDescent="0.3">
      <c r="A1587" s="199" t="str">
        <f t="shared" si="9"/>
        <v>OFFICE SERVICESTRANSPORTATION</v>
      </c>
      <c r="B1587" s="725" t="s">
        <v>395</v>
      </c>
      <c r="C1587" s="722" t="s">
        <v>190</v>
      </c>
      <c r="D1587" t="s">
        <v>191</v>
      </c>
      <c r="E1587" s="147">
        <v>0.754</v>
      </c>
      <c r="F1587" s="147">
        <v>0.754</v>
      </c>
      <c r="G1587" s="147">
        <v>0</v>
      </c>
      <c r="H1587" s="147">
        <v>0</v>
      </c>
      <c r="I1587" s="729"/>
      <c r="J1587" s="147">
        <v>0.754</v>
      </c>
      <c r="K1587" s="147">
        <v>0</v>
      </c>
      <c r="L1587" s="147">
        <v>9.048</v>
      </c>
      <c r="M1587" s="147">
        <v>9.048</v>
      </c>
      <c r="N1587" s="147">
        <v>0</v>
      </c>
      <c r="O1587" s="147">
        <v>0</v>
      </c>
      <c r="P1587" s="147">
        <v>4.524</v>
      </c>
      <c r="Q1587" s="147">
        <v>4.524</v>
      </c>
      <c r="R1587" s="147">
        <v>100</v>
      </c>
    </row>
    <row r="1588" spans="1:18" ht="15.75" hidden="1" thickBot="1" x14ac:dyDescent="0.3">
      <c r="A1588" s="199" t="str">
        <f t="shared" si="9"/>
        <v>OFFICE SERVICESEQUIPMENT</v>
      </c>
      <c r="B1588" s="725" t="s">
        <v>395</v>
      </c>
      <c r="C1588" s="722" t="s">
        <v>36</v>
      </c>
      <c r="D1588" t="s">
        <v>192</v>
      </c>
      <c r="E1588" s="728"/>
      <c r="F1588" s="728"/>
      <c r="G1588" s="728"/>
      <c r="H1588" s="728"/>
      <c r="I1588" s="728"/>
      <c r="J1588" s="728"/>
      <c r="K1588" s="728"/>
      <c r="L1588" s="148">
        <v>2.68</v>
      </c>
      <c r="M1588" s="728"/>
      <c r="N1588" s="148">
        <v>2.68</v>
      </c>
      <c r="O1588" s="148">
        <v>0</v>
      </c>
      <c r="P1588" s="728"/>
      <c r="Q1588" s="148">
        <v>2.68</v>
      </c>
      <c r="R1588" s="148">
        <v>0</v>
      </c>
    </row>
    <row r="1589" spans="1:18" ht="15.75" hidden="1" thickBot="1" x14ac:dyDescent="0.3">
      <c r="A1589" s="199" t="str">
        <f t="shared" si="9"/>
        <v>OFFICE SERVICESDUES/MEMBERSHIP</v>
      </c>
      <c r="B1589" s="725" t="s">
        <v>395</v>
      </c>
      <c r="C1589" s="722" t="s">
        <v>139</v>
      </c>
      <c r="D1589" t="s">
        <v>140</v>
      </c>
      <c r="E1589" s="729"/>
      <c r="F1589" s="729"/>
      <c r="G1589" s="729"/>
      <c r="H1589" s="729"/>
      <c r="I1589" s="729"/>
      <c r="J1589" s="729"/>
      <c r="K1589" s="729"/>
      <c r="L1589" s="147">
        <v>1.05</v>
      </c>
      <c r="M1589" s="147">
        <v>2</v>
      </c>
      <c r="N1589" s="147">
        <v>-0.95</v>
      </c>
      <c r="O1589" s="147">
        <v>-47.5</v>
      </c>
      <c r="P1589" s="147">
        <v>1.05</v>
      </c>
      <c r="Q1589" s="147">
        <v>0</v>
      </c>
      <c r="R1589" s="147">
        <v>0</v>
      </c>
    </row>
    <row r="1590" spans="1:18" ht="15.75" hidden="1" thickBot="1" x14ac:dyDescent="0.3">
      <c r="A1590" s="199" t="str">
        <f t="shared" si="9"/>
        <v>OFFICE SERVICESOFFICE CONTRACT WORK</v>
      </c>
      <c r="B1590" s="725" t="s">
        <v>395</v>
      </c>
      <c r="C1590" s="722" t="s">
        <v>169</v>
      </c>
      <c r="D1590" t="s">
        <v>170</v>
      </c>
      <c r="E1590" s="728"/>
      <c r="F1590" s="148">
        <v>0</v>
      </c>
      <c r="G1590" s="148">
        <v>0</v>
      </c>
      <c r="H1590" s="148">
        <v>0</v>
      </c>
      <c r="I1590" s="728"/>
      <c r="J1590" s="728"/>
      <c r="K1590" s="728"/>
      <c r="L1590" s="148">
        <v>33.195590000000003</v>
      </c>
      <c r="M1590" s="148">
        <v>18</v>
      </c>
      <c r="N1590" s="148">
        <v>15.195589999999999</v>
      </c>
      <c r="O1590" s="148">
        <v>84.41994444444444</v>
      </c>
      <c r="P1590" s="148">
        <v>17.915949999999999</v>
      </c>
      <c r="Q1590" s="148">
        <v>15.279640000000001</v>
      </c>
      <c r="R1590" s="148">
        <v>85.285123032828295</v>
      </c>
    </row>
    <row r="1591" spans="1:18" ht="15.75" hidden="1" thickBot="1" x14ac:dyDescent="0.3">
      <c r="A1591" s="199" t="str">
        <f t="shared" si="9"/>
        <v>OFFICE SERVICESOTHER CONTRACT WORK</v>
      </c>
      <c r="B1591" s="725" t="s">
        <v>395</v>
      </c>
      <c r="C1591" s="722" t="s">
        <v>101</v>
      </c>
      <c r="D1591" t="s">
        <v>102</v>
      </c>
      <c r="E1591" s="729"/>
      <c r="F1591" s="147">
        <v>7.9630000000000001</v>
      </c>
      <c r="G1591" s="147">
        <v>-7.9630000000000001</v>
      </c>
      <c r="H1591" s="147">
        <v>-100</v>
      </c>
      <c r="I1591" s="729"/>
      <c r="J1591" s="729"/>
      <c r="K1591" s="729"/>
      <c r="L1591" s="147">
        <v>0</v>
      </c>
      <c r="M1591" s="147">
        <v>95.555999999999997</v>
      </c>
      <c r="N1591" s="147">
        <v>-95.555999999999997</v>
      </c>
      <c r="O1591" s="147">
        <v>-100</v>
      </c>
      <c r="P1591" s="147">
        <v>21.763500000000001</v>
      </c>
      <c r="Q1591" s="147">
        <v>-21.763500000000001</v>
      </c>
      <c r="R1591" s="147">
        <v>-100</v>
      </c>
    </row>
    <row r="1592" spans="1:18" ht="15.75" hidden="1" thickBot="1" x14ac:dyDescent="0.3">
      <c r="A1592" s="199" t="str">
        <f t="shared" si="9"/>
        <v>OFFICE SERVICESRENTS AND LEASES</v>
      </c>
      <c r="B1592" s="725" t="s">
        <v>395</v>
      </c>
      <c r="C1592" s="722" t="s">
        <v>464</v>
      </c>
      <c r="D1592" t="s">
        <v>465</v>
      </c>
      <c r="E1592" s="148">
        <v>2.63205</v>
      </c>
      <c r="F1592" s="728"/>
      <c r="G1592" s="148">
        <v>2.63205</v>
      </c>
      <c r="H1592" s="148">
        <v>0</v>
      </c>
      <c r="I1592" s="728"/>
      <c r="J1592" s="148">
        <v>2.63205</v>
      </c>
      <c r="K1592" s="148">
        <v>0</v>
      </c>
      <c r="L1592" s="148">
        <v>4.5230499999999996</v>
      </c>
      <c r="M1592" s="728"/>
      <c r="N1592" s="148">
        <v>4.5230499999999996</v>
      </c>
      <c r="O1592" s="148">
        <v>0</v>
      </c>
      <c r="P1592" s="148">
        <v>1.8089999999999999</v>
      </c>
      <c r="Q1592" s="148">
        <v>2.7140499999999999</v>
      </c>
      <c r="R1592" s="148">
        <v>150.03040353786622</v>
      </c>
    </row>
    <row r="1593" spans="1:18" ht="15.75" hidden="1" thickBot="1" x14ac:dyDescent="0.3">
      <c r="A1593" s="199" t="str">
        <f t="shared" si="9"/>
        <v>OFFICE SERVICESPOSTAGE</v>
      </c>
      <c r="B1593" s="725" t="s">
        <v>395</v>
      </c>
      <c r="C1593" s="722" t="s">
        <v>109</v>
      </c>
      <c r="D1593" t="s">
        <v>110</v>
      </c>
      <c r="E1593" s="147">
        <v>2.1983899999999998</v>
      </c>
      <c r="F1593" s="147">
        <v>4.8150000000000004</v>
      </c>
      <c r="G1593" s="147">
        <v>-2.6166100000000001</v>
      </c>
      <c r="H1593" s="147">
        <v>-54.342886812045691</v>
      </c>
      <c r="I1593" s="729"/>
      <c r="J1593" s="147">
        <v>2.1983899999999998</v>
      </c>
      <c r="K1593" s="147">
        <v>0</v>
      </c>
      <c r="L1593" s="147">
        <v>51.030470000000001</v>
      </c>
      <c r="M1593" s="147">
        <v>57.78</v>
      </c>
      <c r="N1593" s="147">
        <v>-6.74953</v>
      </c>
      <c r="O1593" s="147">
        <v>-11.681429560401522</v>
      </c>
      <c r="P1593" s="147">
        <v>22.896159999999998</v>
      </c>
      <c r="Q1593" s="147">
        <v>28.134309999999999</v>
      </c>
      <c r="R1593" s="147">
        <v>122.87785375364253</v>
      </c>
    </row>
    <row r="1594" spans="1:18" ht="15.75" hidden="1" thickBot="1" x14ac:dyDescent="0.3">
      <c r="A1594" s="199" t="str">
        <f t="shared" si="9"/>
        <v>OFFICE SERVICESOFFICE SUPPLIES</v>
      </c>
      <c r="B1594" s="725" t="s">
        <v>395</v>
      </c>
      <c r="C1594" s="722" t="s">
        <v>73</v>
      </c>
      <c r="D1594" t="s">
        <v>74</v>
      </c>
      <c r="E1594" s="148">
        <v>0.35164000000000001</v>
      </c>
      <c r="F1594" s="148">
        <v>5.3949999999999996</v>
      </c>
      <c r="G1594" s="148">
        <v>-5.0433599999999998</v>
      </c>
      <c r="H1594" s="148">
        <v>-93.482113067655234</v>
      </c>
      <c r="I1594" s="728"/>
      <c r="J1594" s="148">
        <v>0.35164000000000001</v>
      </c>
      <c r="K1594" s="148">
        <v>0</v>
      </c>
      <c r="L1594" s="148">
        <v>64.389750000000006</v>
      </c>
      <c r="M1594" s="148">
        <v>64.739999999999995</v>
      </c>
      <c r="N1594" s="148">
        <v>-0.35025000000000001</v>
      </c>
      <c r="O1594" s="148">
        <v>-0.5410101946246525</v>
      </c>
      <c r="P1594" s="148">
        <v>39.646999999999998</v>
      </c>
      <c r="Q1594" s="148">
        <v>24.742750000000001</v>
      </c>
      <c r="R1594" s="148">
        <v>62.407622266501882</v>
      </c>
    </row>
    <row r="1595" spans="1:18" ht="15.75" hidden="1" thickBot="1" x14ac:dyDescent="0.3">
      <c r="A1595" s="199" t="str">
        <f t="shared" si="9"/>
        <v>OFFICE SERVICESPRINTING</v>
      </c>
      <c r="B1595" s="725" t="s">
        <v>395</v>
      </c>
      <c r="C1595" s="722" t="s">
        <v>111</v>
      </c>
      <c r="D1595" t="s">
        <v>112</v>
      </c>
      <c r="E1595" s="147">
        <v>-0.17175000000000001</v>
      </c>
      <c r="F1595" s="147">
        <v>1.27</v>
      </c>
      <c r="G1595" s="147">
        <v>-1.4417500000000001</v>
      </c>
      <c r="H1595" s="147">
        <v>-113.52362204724409</v>
      </c>
      <c r="I1595" s="729"/>
      <c r="J1595" s="147">
        <v>-0.17175000000000001</v>
      </c>
      <c r="K1595" s="147">
        <v>0</v>
      </c>
      <c r="L1595" s="147">
        <v>9.87669</v>
      </c>
      <c r="M1595" s="147">
        <v>13.97</v>
      </c>
      <c r="N1595" s="147">
        <v>-4.0933099999999998</v>
      </c>
      <c r="O1595" s="147">
        <v>-29.300715819613458</v>
      </c>
      <c r="P1595" s="147">
        <v>2.1709299999999998</v>
      </c>
      <c r="Q1595" s="147">
        <v>7.7057599999999997</v>
      </c>
      <c r="R1595" s="147">
        <v>354.95202516893681</v>
      </c>
    </row>
    <row r="1596" spans="1:18" ht="15.75" hidden="1" thickBot="1" x14ac:dyDescent="0.3">
      <c r="A1596" s="199" t="str">
        <f t="shared" si="9"/>
        <v>OFFICE SERVICESBOOKS AND MAGAZINES</v>
      </c>
      <c r="B1596" s="725" t="s">
        <v>395</v>
      </c>
      <c r="C1596" s="722" t="s">
        <v>141</v>
      </c>
      <c r="D1596" t="s">
        <v>142</v>
      </c>
      <c r="E1596" s="148">
        <v>3.184E-2</v>
      </c>
      <c r="F1596" s="728"/>
      <c r="G1596" s="148">
        <v>3.184E-2</v>
      </c>
      <c r="H1596" s="148">
        <v>0</v>
      </c>
      <c r="I1596" s="728"/>
      <c r="J1596" s="148">
        <v>3.184E-2</v>
      </c>
      <c r="K1596" s="148">
        <v>0</v>
      </c>
      <c r="L1596" s="148">
        <v>0.34438000000000002</v>
      </c>
      <c r="M1596" s="728"/>
      <c r="N1596" s="148">
        <v>0.34438000000000002</v>
      </c>
      <c r="O1596" s="148">
        <v>0</v>
      </c>
      <c r="P1596" s="148">
        <v>0.13535</v>
      </c>
      <c r="Q1596" s="148">
        <v>0.20902999999999999</v>
      </c>
      <c r="R1596" s="148">
        <v>154.43664573328408</v>
      </c>
    </row>
    <row r="1597" spans="1:18" ht="15.75" hidden="1" thickBot="1" x14ac:dyDescent="0.3">
      <c r="A1597" s="199" t="str">
        <f t="shared" si="9"/>
        <v>OFFICE SERVICESREFRESHMENTS</v>
      </c>
      <c r="B1597" s="725" t="s">
        <v>395</v>
      </c>
      <c r="C1597" s="722" t="s">
        <v>113</v>
      </c>
      <c r="D1597" t="s">
        <v>114</v>
      </c>
      <c r="E1597" s="147">
        <v>0.61234999999999995</v>
      </c>
      <c r="F1597" s="147">
        <v>0.19800000000000001</v>
      </c>
      <c r="G1597" s="147">
        <v>0.41435</v>
      </c>
      <c r="H1597" s="147">
        <v>209.26767676767676</v>
      </c>
      <c r="I1597" s="729"/>
      <c r="J1597" s="147">
        <v>0.61234999999999995</v>
      </c>
      <c r="K1597" s="147">
        <v>0</v>
      </c>
      <c r="L1597" s="147">
        <v>2.10039</v>
      </c>
      <c r="M1597" s="147">
        <v>2.3759999999999999</v>
      </c>
      <c r="N1597" s="147">
        <v>-0.27561000000000002</v>
      </c>
      <c r="O1597" s="147">
        <v>-11.599747474747474</v>
      </c>
      <c r="P1597" s="147">
        <v>0.46911000000000003</v>
      </c>
      <c r="Q1597" s="147">
        <v>1.6312800000000001</v>
      </c>
      <c r="R1597" s="147">
        <v>347.73933618980624</v>
      </c>
    </row>
    <row r="1598" spans="1:18" ht="15.75" hidden="1" thickBot="1" x14ac:dyDescent="0.3">
      <c r="A1598" s="199" t="str">
        <f t="shared" si="9"/>
        <v>OFFICE SERVICESCOPIER LEASE/MAINT</v>
      </c>
      <c r="B1598" s="725" t="s">
        <v>395</v>
      </c>
      <c r="C1598" s="722" t="s">
        <v>466</v>
      </c>
      <c r="D1598" t="s">
        <v>467</v>
      </c>
      <c r="E1598" s="148">
        <v>9.7571700000000003</v>
      </c>
      <c r="F1598" s="148">
        <v>9.5269999999999992</v>
      </c>
      <c r="G1598" s="148">
        <v>0.23017000000000001</v>
      </c>
      <c r="H1598" s="148">
        <v>2.4159756481578669</v>
      </c>
      <c r="I1598" s="728"/>
      <c r="J1598" s="148">
        <v>9.7571700000000003</v>
      </c>
      <c r="K1598" s="148">
        <v>0</v>
      </c>
      <c r="L1598" s="148">
        <v>114.39706</v>
      </c>
      <c r="M1598" s="148">
        <v>114.324</v>
      </c>
      <c r="N1598" s="148">
        <v>7.306E-2</v>
      </c>
      <c r="O1598" s="148">
        <v>6.3906091459361117E-2</v>
      </c>
      <c r="P1598" s="148">
        <v>57.254620000000003</v>
      </c>
      <c r="Q1598" s="148">
        <v>57.142440000000001</v>
      </c>
      <c r="R1598" s="148">
        <v>99.804068213185246</v>
      </c>
    </row>
    <row r="1599" spans="1:18" ht="15.75" hidden="1" thickBot="1" x14ac:dyDescent="0.3">
      <c r="A1599" s="199" t="str">
        <f t="shared" si="9"/>
        <v>OFFICE SERVICESPARKING</v>
      </c>
      <c r="B1599" s="725" t="s">
        <v>395</v>
      </c>
      <c r="C1599" s="722" t="s">
        <v>145</v>
      </c>
      <c r="D1599" t="s">
        <v>146</v>
      </c>
      <c r="E1599" s="147">
        <v>0.6825</v>
      </c>
      <c r="F1599" s="147">
        <v>0.61</v>
      </c>
      <c r="G1599" s="147">
        <v>7.2499999999999995E-2</v>
      </c>
      <c r="H1599" s="147">
        <v>11.885245901639344</v>
      </c>
      <c r="I1599" s="729"/>
      <c r="J1599" s="147">
        <v>0.6825</v>
      </c>
      <c r="K1599" s="147">
        <v>0</v>
      </c>
      <c r="L1599" s="147">
        <v>7.1599500000000003</v>
      </c>
      <c r="M1599" s="147">
        <v>7.32</v>
      </c>
      <c r="N1599" s="147">
        <v>-0.16005</v>
      </c>
      <c r="O1599" s="147">
        <v>-2.1864754098360657</v>
      </c>
      <c r="P1599" s="147">
        <v>3.51</v>
      </c>
      <c r="Q1599" s="147">
        <v>3.64995</v>
      </c>
      <c r="R1599" s="147">
        <v>103.98717948717949</v>
      </c>
    </row>
    <row r="1600" spans="1:18" ht="15.75" hidden="1" thickBot="1" x14ac:dyDescent="0.3">
      <c r="A1600" s="199" t="str">
        <f t="shared" si="9"/>
        <v>OFFICE SERVICESLAUNDRY</v>
      </c>
      <c r="B1600" s="725" t="s">
        <v>395</v>
      </c>
      <c r="C1600" s="722" t="s">
        <v>147</v>
      </c>
      <c r="D1600" t="s">
        <v>148</v>
      </c>
      <c r="E1600" s="728"/>
      <c r="F1600" s="728"/>
      <c r="G1600" s="728"/>
      <c r="H1600" s="728"/>
      <c r="I1600" s="728"/>
      <c r="J1600" s="728"/>
      <c r="K1600" s="728"/>
      <c r="L1600" s="148">
        <v>2.9929999999999998E-2</v>
      </c>
      <c r="M1600" s="728"/>
      <c r="N1600" s="148">
        <v>2.9929999999999998E-2</v>
      </c>
      <c r="O1600" s="148">
        <v>0</v>
      </c>
      <c r="P1600" s="728"/>
      <c r="Q1600" s="148">
        <v>2.9929999999999998E-2</v>
      </c>
      <c r="R1600" s="148">
        <v>0</v>
      </c>
    </row>
    <row r="1601" spans="1:18" ht="15.75" hidden="1" thickBot="1" x14ac:dyDescent="0.3">
      <c r="A1601" s="199" t="str">
        <f t="shared" si="9"/>
        <v>OFFICE SERVICESPROFESSIONAL SERVICE</v>
      </c>
      <c r="B1601" s="725" t="s">
        <v>395</v>
      </c>
      <c r="C1601" s="722" t="s">
        <v>149</v>
      </c>
      <c r="D1601" t="s">
        <v>150</v>
      </c>
      <c r="E1601" s="147">
        <v>5.7421499999999996</v>
      </c>
      <c r="F1601" s="147">
        <v>5.6029999999999998</v>
      </c>
      <c r="G1601" s="147">
        <v>0.13915</v>
      </c>
      <c r="H1601" s="147">
        <v>2.4834909869712654</v>
      </c>
      <c r="I1601" s="729"/>
      <c r="J1601" s="147">
        <v>5.7421499999999996</v>
      </c>
      <c r="K1601" s="147">
        <v>0</v>
      </c>
      <c r="L1601" s="147">
        <v>60.718580000000003</v>
      </c>
      <c r="M1601" s="147">
        <v>67.236000000000004</v>
      </c>
      <c r="N1601" s="147">
        <v>-6.5174200000000004</v>
      </c>
      <c r="O1601" s="147">
        <v>-9.6933488012374323</v>
      </c>
      <c r="P1601" s="147">
        <v>28.564990000000002</v>
      </c>
      <c r="Q1601" s="147">
        <v>32.153590000000001</v>
      </c>
      <c r="R1601" s="147">
        <v>112.56293105651359</v>
      </c>
    </row>
    <row r="1602" spans="1:18" ht="15.75" hidden="1" thickBot="1" x14ac:dyDescent="0.3">
      <c r="A1602" s="199" t="str">
        <f t="shared" si="9"/>
        <v>OFFICE SERVICESREPAIRS AND MAINT</v>
      </c>
      <c r="B1602" s="725" t="s">
        <v>395</v>
      </c>
      <c r="C1602" s="722" t="s">
        <v>205</v>
      </c>
      <c r="D1602" t="s">
        <v>206</v>
      </c>
      <c r="E1602" s="148">
        <v>3.8837299999999999</v>
      </c>
      <c r="F1602" s="728"/>
      <c r="G1602" s="148">
        <v>3.8837299999999999</v>
      </c>
      <c r="H1602" s="148">
        <v>0</v>
      </c>
      <c r="I1602" s="728"/>
      <c r="J1602" s="148">
        <v>3.8837299999999999</v>
      </c>
      <c r="K1602" s="148">
        <v>0</v>
      </c>
      <c r="L1602" s="148">
        <v>7.4117300000000004</v>
      </c>
      <c r="M1602" s="728"/>
      <c r="N1602" s="148">
        <v>7.4117300000000004</v>
      </c>
      <c r="O1602" s="148">
        <v>0</v>
      </c>
      <c r="P1602" s="728"/>
      <c r="Q1602" s="148">
        <v>7.4117300000000004</v>
      </c>
      <c r="R1602" s="148">
        <v>0</v>
      </c>
    </row>
    <row r="1603" spans="1:18" ht="15.75" hidden="1" thickBot="1" x14ac:dyDescent="0.3">
      <c r="A1603" s="199" t="str">
        <f t="shared" si="9"/>
        <v>OFFICE SERVICESSOFTWARE MAINT</v>
      </c>
      <c r="B1603" s="725" t="s">
        <v>395</v>
      </c>
      <c r="C1603" s="722" t="s">
        <v>649</v>
      </c>
      <c r="D1603" t="s">
        <v>650</v>
      </c>
      <c r="E1603" s="729"/>
      <c r="F1603" s="729"/>
      <c r="G1603" s="729"/>
      <c r="H1603" s="729"/>
      <c r="I1603" s="729"/>
      <c r="J1603" s="729"/>
      <c r="K1603" s="729"/>
      <c r="L1603" s="147">
        <v>0</v>
      </c>
      <c r="M1603" s="729"/>
      <c r="N1603" s="147">
        <v>0</v>
      </c>
      <c r="O1603" s="147">
        <v>0</v>
      </c>
      <c r="P1603" s="147">
        <v>21.763500000000001</v>
      </c>
      <c r="Q1603" s="147">
        <v>-21.763500000000001</v>
      </c>
      <c r="R1603" s="147">
        <v>-100</v>
      </c>
    </row>
    <row r="1604" spans="1:18" ht="15.75" hidden="1" thickBot="1" x14ac:dyDescent="0.3">
      <c r="A1604" s="199" t="str">
        <f t="shared" si="9"/>
        <v>OFFICE SERVICESMEAL TICKETS</v>
      </c>
      <c r="B1604" s="725" t="s">
        <v>395</v>
      </c>
      <c r="C1604" s="722" t="s">
        <v>173</v>
      </c>
      <c r="D1604" t="s">
        <v>174</v>
      </c>
      <c r="E1604" s="148">
        <v>2.2499999999999999E-2</v>
      </c>
      <c r="F1604" s="728"/>
      <c r="G1604" s="148">
        <v>2.2499999999999999E-2</v>
      </c>
      <c r="H1604" s="148">
        <v>0</v>
      </c>
      <c r="I1604" s="728"/>
      <c r="J1604" s="148">
        <v>2.2499999999999999E-2</v>
      </c>
      <c r="K1604" s="148">
        <v>0</v>
      </c>
      <c r="L1604" s="148">
        <v>2.2499999999999999E-2</v>
      </c>
      <c r="M1604" s="728"/>
      <c r="N1604" s="148">
        <v>2.2499999999999999E-2</v>
      </c>
      <c r="O1604" s="148">
        <v>0</v>
      </c>
      <c r="P1604" s="728"/>
      <c r="Q1604" s="148">
        <v>2.2499999999999999E-2</v>
      </c>
      <c r="R1604" s="148">
        <v>0</v>
      </c>
    </row>
    <row r="1605" spans="1:18" ht="15.75" hidden="1" thickBot="1" x14ac:dyDescent="0.3">
      <c r="A1605" s="199" t="str">
        <f t="shared" si="9"/>
        <v>OFFICE SERVICESDONATIONS</v>
      </c>
      <c r="B1605" s="725" t="s">
        <v>395</v>
      </c>
      <c r="C1605" s="722" t="s">
        <v>483</v>
      </c>
      <c r="D1605" t="s">
        <v>484</v>
      </c>
      <c r="E1605" s="729"/>
      <c r="F1605" s="729"/>
      <c r="G1605" s="729"/>
      <c r="H1605" s="729"/>
      <c r="I1605" s="729"/>
      <c r="J1605" s="729"/>
      <c r="K1605" s="729"/>
      <c r="L1605" s="147">
        <v>5.3940000000000002E-2</v>
      </c>
      <c r="M1605" s="729"/>
      <c r="N1605" s="147">
        <v>5.3940000000000002E-2</v>
      </c>
      <c r="O1605" s="147">
        <v>0</v>
      </c>
      <c r="P1605" s="729"/>
      <c r="Q1605" s="147">
        <v>5.3940000000000002E-2</v>
      </c>
      <c r="R1605" s="147">
        <v>0</v>
      </c>
    </row>
    <row r="1606" spans="1:18" ht="15.75" hidden="1" thickBot="1" x14ac:dyDescent="0.3">
      <c r="A1606" s="199" t="str">
        <f t="shared" si="9"/>
        <v>OFFICE SERVICESMEALS AND ENTERTAIN</v>
      </c>
      <c r="B1606" s="725" t="s">
        <v>395</v>
      </c>
      <c r="C1606" s="722" t="s">
        <v>75</v>
      </c>
      <c r="D1606" t="s">
        <v>76</v>
      </c>
      <c r="E1606" s="148">
        <v>0.17904999999999999</v>
      </c>
      <c r="F1606" s="148">
        <v>0.1</v>
      </c>
      <c r="G1606" s="148">
        <v>7.9049999999999995E-2</v>
      </c>
      <c r="H1606" s="148">
        <v>79.05</v>
      </c>
      <c r="I1606" s="728"/>
      <c r="J1606" s="148">
        <v>0.17904999999999999</v>
      </c>
      <c r="K1606" s="148">
        <v>0</v>
      </c>
      <c r="L1606" s="148">
        <v>1.9650300000000001</v>
      </c>
      <c r="M1606" s="148">
        <v>1</v>
      </c>
      <c r="N1606" s="148">
        <v>0.96503000000000005</v>
      </c>
      <c r="O1606" s="148">
        <v>96.503</v>
      </c>
      <c r="P1606" s="148">
        <v>1.62368</v>
      </c>
      <c r="Q1606" s="148">
        <v>0.34134999999999999</v>
      </c>
      <c r="R1606" s="148">
        <v>21.023231178557353</v>
      </c>
    </row>
    <row r="1607" spans="1:18" ht="15.75" hidden="1" thickBot="1" x14ac:dyDescent="0.3">
      <c r="A1607" s="199" t="str">
        <f t="shared" si="9"/>
        <v>OFFICE SERVICESTRAVEL IN TERRITORY</v>
      </c>
      <c r="B1607" s="725" t="s">
        <v>395</v>
      </c>
      <c r="C1607" s="722" t="s">
        <v>121</v>
      </c>
      <c r="D1607" t="s">
        <v>122</v>
      </c>
      <c r="E1607" s="729"/>
      <c r="F1607" s="147">
        <v>0.1</v>
      </c>
      <c r="G1607" s="147">
        <v>-0.1</v>
      </c>
      <c r="H1607" s="147">
        <v>-100</v>
      </c>
      <c r="I1607" s="729"/>
      <c r="J1607" s="729"/>
      <c r="K1607" s="729"/>
      <c r="L1607" s="729"/>
      <c r="M1607" s="147">
        <v>1</v>
      </c>
      <c r="N1607" s="147">
        <v>-1</v>
      </c>
      <c r="O1607" s="147">
        <v>-100</v>
      </c>
      <c r="P1607" s="729"/>
      <c r="Q1607" s="729"/>
      <c r="R1607" s="729"/>
    </row>
    <row r="1608" spans="1:18" ht="15.75" hidden="1" thickBot="1" x14ac:dyDescent="0.3">
      <c r="A1608" s="199" t="str">
        <f t="shared" si="9"/>
        <v>OFFICE SERVICESCONFERENCE TRAVEL</v>
      </c>
      <c r="B1608" s="725" t="s">
        <v>395</v>
      </c>
      <c r="C1608" s="722" t="s">
        <v>77</v>
      </c>
      <c r="D1608" t="s">
        <v>78</v>
      </c>
      <c r="E1608" s="728"/>
      <c r="F1608" s="148">
        <v>0</v>
      </c>
      <c r="G1608" s="148">
        <v>0</v>
      </c>
      <c r="H1608" s="148">
        <v>0</v>
      </c>
      <c r="I1608" s="728"/>
      <c r="J1608" s="728"/>
      <c r="K1608" s="728"/>
      <c r="L1608" s="148">
        <v>5.1632300000000004</v>
      </c>
      <c r="M1608" s="148">
        <v>3</v>
      </c>
      <c r="N1608" s="148">
        <v>2.16323</v>
      </c>
      <c r="O1608" s="148">
        <v>72.10766666666666</v>
      </c>
      <c r="P1608" s="148">
        <v>5.0038400000000003</v>
      </c>
      <c r="Q1608" s="148">
        <v>0.15939</v>
      </c>
      <c r="R1608" s="148">
        <v>3.1853536483980305</v>
      </c>
    </row>
    <row r="1609" spans="1:18" ht="15.75" hidden="1" thickBot="1" x14ac:dyDescent="0.3">
      <c r="A1609" s="199" t="str">
        <f t="shared" si="9"/>
        <v>OFFICE SERVICESBUSINESS TRAVEL</v>
      </c>
      <c r="B1609" s="725" t="s">
        <v>395</v>
      </c>
      <c r="C1609" s="722" t="s">
        <v>79</v>
      </c>
      <c r="D1609" t="s">
        <v>80</v>
      </c>
      <c r="E1609" s="729"/>
      <c r="F1609" s="729"/>
      <c r="G1609" s="729"/>
      <c r="H1609" s="729"/>
      <c r="I1609" s="729"/>
      <c r="J1609" s="729"/>
      <c r="K1609" s="729"/>
      <c r="L1609" s="147">
        <v>0.24437999999999999</v>
      </c>
      <c r="M1609" s="729"/>
      <c r="N1609" s="147">
        <v>0.24437999999999999</v>
      </c>
      <c r="O1609" s="147">
        <v>0</v>
      </c>
      <c r="P1609" s="147">
        <v>0.24437999999999999</v>
      </c>
      <c r="Q1609" s="147">
        <v>0</v>
      </c>
      <c r="R1609" s="147">
        <v>0</v>
      </c>
    </row>
    <row r="1610" spans="1:18" ht="18.75" thickBot="1" x14ac:dyDescent="0.3">
      <c r="A1610" s="199" t="str">
        <f t="shared" si="9"/>
        <v>OFFICE SERVICESNon-Payroll</v>
      </c>
      <c r="B1610" s="725" t="s">
        <v>395</v>
      </c>
      <c r="C1610" s="149" t="s">
        <v>85</v>
      </c>
      <c r="D1610" t="s">
        <v>86</v>
      </c>
      <c r="E1610" s="148">
        <v>27.584440000000001</v>
      </c>
      <c r="F1610" s="148">
        <v>37.442999999999998</v>
      </c>
      <c r="G1610" s="148">
        <v>-9.8585600000000007</v>
      </c>
      <c r="H1610" s="148">
        <v>-26.329514194909596</v>
      </c>
      <c r="I1610" s="728"/>
      <c r="J1610" s="148">
        <v>27.584440000000001</v>
      </c>
      <c r="K1610" s="148">
        <v>0</v>
      </c>
      <c r="L1610" s="739">
        <v>392.84780000000001</v>
      </c>
      <c r="M1610" s="148">
        <v>476.39</v>
      </c>
      <c r="N1610" s="148">
        <v>-83.542199999999994</v>
      </c>
      <c r="O1610" s="148">
        <v>-17.53651420054997</v>
      </c>
      <c r="P1610" s="148">
        <v>238.94522000000001</v>
      </c>
      <c r="Q1610" s="148">
        <v>153.90258</v>
      </c>
      <c r="R1610" s="148">
        <v>64.409147837316013</v>
      </c>
    </row>
    <row r="1611" spans="1:18" ht="15.75" hidden="1" thickBot="1" x14ac:dyDescent="0.3">
      <c r="A1611" s="199" t="str">
        <f t="shared" si="9"/>
        <v>OFFICE SERVICESEXPENSE ACCOUNTS</v>
      </c>
      <c r="B1611" s="725" t="s">
        <v>395</v>
      </c>
      <c r="C1611" s="144" t="s">
        <v>87</v>
      </c>
      <c r="D1611" t="s">
        <v>87</v>
      </c>
      <c r="E1611" s="147">
        <v>114.08490999999999</v>
      </c>
      <c r="F1611" s="147">
        <v>119.44378</v>
      </c>
      <c r="G1611" s="147">
        <v>-5.3588699999999996</v>
      </c>
      <c r="H1611" s="147">
        <v>-4.4865207715295012</v>
      </c>
      <c r="I1611" s="729"/>
      <c r="J1611" s="147">
        <v>114.08490999999999</v>
      </c>
      <c r="K1611" s="147">
        <v>0</v>
      </c>
      <c r="L1611" s="147">
        <v>1286.03359</v>
      </c>
      <c r="M1611" s="147">
        <v>1437.3893800000001</v>
      </c>
      <c r="N1611" s="147">
        <v>-151.35579000000001</v>
      </c>
      <c r="O1611" s="147">
        <v>-10.529908743307955</v>
      </c>
      <c r="P1611" s="147">
        <v>705.71271000000002</v>
      </c>
      <c r="Q1611" s="147">
        <v>580.32087999999999</v>
      </c>
      <c r="R1611" s="147">
        <v>82.231887250549875</v>
      </c>
    </row>
    <row r="1612" spans="1:18" ht="15.75" hidden="1" thickBot="1" x14ac:dyDescent="0.3">
      <c r="B1612" s="725" t="s">
        <v>734</v>
      </c>
      <c r="C1612" s="722" t="s">
        <v>59</v>
      </c>
      <c r="D1612" t="s">
        <v>60</v>
      </c>
      <c r="E1612" s="148">
        <v>42.65748</v>
      </c>
      <c r="F1612" s="148">
        <v>47.317929999999997</v>
      </c>
      <c r="G1612" s="148">
        <v>-4.66045</v>
      </c>
      <c r="H1612" s="148">
        <v>-9.8492262869487313</v>
      </c>
      <c r="I1612" s="728"/>
      <c r="J1612" s="148">
        <v>42.65748</v>
      </c>
      <c r="K1612" s="148">
        <v>0</v>
      </c>
      <c r="L1612" s="148">
        <v>574.45818999999995</v>
      </c>
      <c r="M1612" s="148">
        <v>564.83630000000005</v>
      </c>
      <c r="N1612" s="148">
        <v>9.6218900000000005</v>
      </c>
      <c r="O1612" s="148">
        <v>1.703482938330982</v>
      </c>
      <c r="P1612" s="148">
        <v>300.31002999999998</v>
      </c>
      <c r="Q1612" s="148">
        <v>274.14816000000002</v>
      </c>
      <c r="R1612" s="148">
        <v>91.288379545631557</v>
      </c>
    </row>
    <row r="1613" spans="1:18" ht="15.75" hidden="1" thickBot="1" x14ac:dyDescent="0.3">
      <c r="B1613" s="725" t="s">
        <v>734</v>
      </c>
      <c r="C1613" s="722" t="s">
        <v>61</v>
      </c>
      <c r="D1613" t="s">
        <v>62</v>
      </c>
      <c r="E1613" s="147">
        <v>7.2835200000000002</v>
      </c>
      <c r="F1613" s="147">
        <v>7.3342799999999997</v>
      </c>
      <c r="G1613" s="147">
        <v>-5.076E-2</v>
      </c>
      <c r="H1613" s="147">
        <v>-0.69209247533500218</v>
      </c>
      <c r="I1613" s="729"/>
      <c r="J1613" s="147">
        <v>7.2835200000000002</v>
      </c>
      <c r="K1613" s="147">
        <v>0</v>
      </c>
      <c r="L1613" s="147">
        <v>86.995500000000007</v>
      </c>
      <c r="M1613" s="147">
        <v>87.549639999999997</v>
      </c>
      <c r="N1613" s="147">
        <v>-0.55413999999999997</v>
      </c>
      <c r="O1613" s="147">
        <v>-0.63294377909492261</v>
      </c>
      <c r="P1613" s="147">
        <v>43.294330000000002</v>
      </c>
      <c r="Q1613" s="147">
        <v>43.701169999999998</v>
      </c>
      <c r="R1613" s="147">
        <v>100.93970734735935</v>
      </c>
    </row>
    <row r="1614" spans="1:18" ht="15.75" hidden="1" thickBot="1" x14ac:dyDescent="0.3">
      <c r="B1614" s="725" t="s">
        <v>734</v>
      </c>
      <c r="C1614" s="722" t="s">
        <v>63</v>
      </c>
      <c r="D1614" t="s">
        <v>64</v>
      </c>
      <c r="E1614" s="148">
        <v>28.295999999999999</v>
      </c>
      <c r="F1614" s="148">
        <v>28.532710000000002</v>
      </c>
      <c r="G1614" s="148">
        <v>-0.23671</v>
      </c>
      <c r="H1614" s="148">
        <v>-0.82960924496831878</v>
      </c>
      <c r="I1614" s="728"/>
      <c r="J1614" s="148">
        <v>28.295999999999999</v>
      </c>
      <c r="K1614" s="148">
        <v>0</v>
      </c>
      <c r="L1614" s="148">
        <v>337.97095999999999</v>
      </c>
      <c r="M1614" s="148">
        <v>340.59627999999998</v>
      </c>
      <c r="N1614" s="148">
        <v>-2.6253199999999999</v>
      </c>
      <c r="O1614" s="148">
        <v>-0.77080113734653821</v>
      </c>
      <c r="P1614" s="148">
        <v>168.19502</v>
      </c>
      <c r="Q1614" s="148">
        <v>169.77593999999999</v>
      </c>
      <c r="R1614" s="148">
        <v>100.93993270430956</v>
      </c>
    </row>
    <row r="1615" spans="1:18" ht="15.75" hidden="1" thickBot="1" x14ac:dyDescent="0.3">
      <c r="B1615" s="725" t="s">
        <v>734</v>
      </c>
      <c r="C1615" s="722" t="s">
        <v>65</v>
      </c>
      <c r="D1615" t="s">
        <v>66</v>
      </c>
      <c r="E1615" s="147">
        <v>-4.0548799999999998</v>
      </c>
      <c r="F1615" s="147">
        <v>-6.5431299999999997</v>
      </c>
      <c r="G1615" s="147">
        <v>2.4882499999999999</v>
      </c>
      <c r="H1615" s="147">
        <v>38.02843593203864</v>
      </c>
      <c r="I1615" s="729"/>
      <c r="J1615" s="147">
        <v>-4.0548799999999998</v>
      </c>
      <c r="K1615" s="147">
        <v>0</v>
      </c>
      <c r="L1615" s="147">
        <v>-101.13863000000001</v>
      </c>
      <c r="M1615" s="147">
        <v>-78.105639999999994</v>
      </c>
      <c r="N1615" s="147">
        <v>-23.032990000000002</v>
      </c>
      <c r="O1615" s="147">
        <v>-29.489534942675075</v>
      </c>
      <c r="P1615" s="147">
        <v>-51.090539999999997</v>
      </c>
      <c r="Q1615" s="147">
        <v>-50.048090000000002</v>
      </c>
      <c r="R1615" s="147">
        <v>-97.959602697485678</v>
      </c>
    </row>
    <row r="1616" spans="1:18" ht="15.75" hidden="1" thickBot="1" x14ac:dyDescent="0.3">
      <c r="B1616" s="725" t="s">
        <v>734</v>
      </c>
      <c r="C1616" s="149" t="s">
        <v>67</v>
      </c>
      <c r="D1616" t="s">
        <v>68</v>
      </c>
      <c r="E1616" s="148">
        <v>74.182119999999998</v>
      </c>
      <c r="F1616" s="148">
        <v>76.64179</v>
      </c>
      <c r="G1616" s="148">
        <v>-2.45967</v>
      </c>
      <c r="H1616" s="148">
        <v>-3.2093065676049579</v>
      </c>
      <c r="I1616" s="728"/>
      <c r="J1616" s="148">
        <v>74.182119999999998</v>
      </c>
      <c r="K1616" s="148">
        <v>0</v>
      </c>
      <c r="L1616" s="148">
        <v>898.28602000000001</v>
      </c>
      <c r="M1616" s="148">
        <v>914.87657999999999</v>
      </c>
      <c r="N1616" s="148">
        <v>-16.59056</v>
      </c>
      <c r="O1616" s="148">
        <v>-1.8134205599623066</v>
      </c>
      <c r="P1616" s="148">
        <v>460.70884000000001</v>
      </c>
      <c r="Q1616" s="148">
        <v>437.57718</v>
      </c>
      <c r="R1616" s="148">
        <v>94.979115226006954</v>
      </c>
    </row>
    <row r="1617" spans="2:18" ht="15.75" hidden="1" thickBot="1" x14ac:dyDescent="0.3">
      <c r="B1617" s="725" t="s">
        <v>734</v>
      </c>
      <c r="C1617" s="722" t="s">
        <v>69</v>
      </c>
      <c r="D1617" t="s">
        <v>70</v>
      </c>
      <c r="E1617" s="729"/>
      <c r="F1617" s="147">
        <v>1.89167</v>
      </c>
      <c r="G1617" s="147">
        <v>-1.89167</v>
      </c>
      <c r="H1617" s="147">
        <v>-100</v>
      </c>
      <c r="I1617" s="729"/>
      <c r="J1617" s="729"/>
      <c r="K1617" s="729"/>
      <c r="L1617" s="147">
        <v>6.9603400000000004</v>
      </c>
      <c r="M1617" s="147">
        <v>22.700040000000001</v>
      </c>
      <c r="N1617" s="147">
        <v>-15.739699999999999</v>
      </c>
      <c r="O1617" s="147">
        <v>-69.337763281474395</v>
      </c>
      <c r="P1617" s="147">
        <v>5.48</v>
      </c>
      <c r="Q1617" s="147">
        <v>1.48034</v>
      </c>
      <c r="R1617" s="147">
        <v>27.013503649635037</v>
      </c>
    </row>
    <row r="1618" spans="2:18" ht="15.75" hidden="1" thickBot="1" x14ac:dyDescent="0.3">
      <c r="B1618" s="725" t="s">
        <v>734</v>
      </c>
      <c r="C1618" s="722" t="s">
        <v>137</v>
      </c>
      <c r="D1618" t="s">
        <v>138</v>
      </c>
      <c r="E1618" s="728"/>
      <c r="F1618" s="728"/>
      <c r="G1618" s="728"/>
      <c r="H1618" s="728"/>
      <c r="I1618" s="728"/>
      <c r="J1618" s="728"/>
      <c r="K1618" s="728"/>
      <c r="L1618" s="148">
        <v>0.39022000000000001</v>
      </c>
      <c r="M1618" s="728"/>
      <c r="N1618" s="148">
        <v>0.39022000000000001</v>
      </c>
      <c r="O1618" s="148">
        <v>0</v>
      </c>
      <c r="P1618" s="728"/>
      <c r="Q1618" s="148">
        <v>0.39022000000000001</v>
      </c>
      <c r="R1618" s="148">
        <v>0</v>
      </c>
    </row>
    <row r="1619" spans="2:18" ht="15.75" hidden="1" thickBot="1" x14ac:dyDescent="0.3">
      <c r="B1619" s="725" t="s">
        <v>734</v>
      </c>
      <c r="C1619" s="722" t="s">
        <v>598</v>
      </c>
      <c r="D1619" t="s">
        <v>168</v>
      </c>
      <c r="E1619" s="729"/>
      <c r="F1619" s="729"/>
      <c r="G1619" s="729"/>
      <c r="H1619" s="729"/>
      <c r="I1619" s="729"/>
      <c r="J1619" s="729"/>
      <c r="K1619" s="729"/>
      <c r="L1619" s="147">
        <v>4.4979999999999999E-2</v>
      </c>
      <c r="M1619" s="729"/>
      <c r="N1619" s="147">
        <v>4.4979999999999999E-2</v>
      </c>
      <c r="O1619" s="147">
        <v>0</v>
      </c>
      <c r="P1619" s="147">
        <v>3.499E-2</v>
      </c>
      <c r="Q1619" s="147">
        <v>9.9900000000000006E-3</v>
      </c>
      <c r="R1619" s="147">
        <v>28.551014575593026</v>
      </c>
    </row>
    <row r="1620" spans="2:18" ht="15.75" hidden="1" thickBot="1" x14ac:dyDescent="0.3">
      <c r="B1620" s="725" t="s">
        <v>734</v>
      </c>
      <c r="C1620" s="722" t="s">
        <v>101</v>
      </c>
      <c r="D1620" t="s">
        <v>102</v>
      </c>
      <c r="E1620" s="148">
        <v>8.1000000000000003E-2</v>
      </c>
      <c r="F1620" s="728"/>
      <c r="G1620" s="148">
        <v>8.1000000000000003E-2</v>
      </c>
      <c r="H1620" s="148">
        <v>0</v>
      </c>
      <c r="I1620" s="728"/>
      <c r="J1620" s="148">
        <v>8.1000000000000003E-2</v>
      </c>
      <c r="K1620" s="148">
        <v>0</v>
      </c>
      <c r="L1620" s="148">
        <v>13.851000000000001</v>
      </c>
      <c r="M1620" s="148">
        <v>20</v>
      </c>
      <c r="N1620" s="148">
        <v>-6.149</v>
      </c>
      <c r="O1620" s="148">
        <v>-30.745000000000001</v>
      </c>
      <c r="P1620" s="728"/>
      <c r="Q1620" s="148">
        <v>13.851000000000001</v>
      </c>
      <c r="R1620" s="148">
        <v>0</v>
      </c>
    </row>
    <row r="1621" spans="2:18" ht="15.75" hidden="1" thickBot="1" x14ac:dyDescent="0.3">
      <c r="B1621" s="725" t="s">
        <v>734</v>
      </c>
      <c r="C1621" s="722" t="s">
        <v>71</v>
      </c>
      <c r="D1621" t="s">
        <v>72</v>
      </c>
      <c r="E1621" s="729"/>
      <c r="F1621" s="729"/>
      <c r="G1621" s="729"/>
      <c r="H1621" s="729"/>
      <c r="I1621" s="729"/>
      <c r="J1621" s="729"/>
      <c r="K1621" s="729"/>
      <c r="L1621" s="147">
        <v>0.26861000000000002</v>
      </c>
      <c r="M1621" s="729"/>
      <c r="N1621" s="147">
        <v>0.26861000000000002</v>
      </c>
      <c r="O1621" s="147">
        <v>0</v>
      </c>
      <c r="P1621" s="729"/>
      <c r="Q1621" s="147">
        <v>0.26861000000000002</v>
      </c>
      <c r="R1621" s="147">
        <v>0</v>
      </c>
    </row>
    <row r="1622" spans="2:18" ht="15.75" hidden="1" thickBot="1" x14ac:dyDescent="0.3">
      <c r="B1622" s="725" t="s">
        <v>734</v>
      </c>
      <c r="C1622" s="722" t="s">
        <v>141</v>
      </c>
      <c r="D1622" t="s">
        <v>142</v>
      </c>
      <c r="E1622" s="148">
        <v>0.14349000000000001</v>
      </c>
      <c r="F1622" s="148">
        <v>0.20832999999999999</v>
      </c>
      <c r="G1622" s="148">
        <v>-6.4839999999999995E-2</v>
      </c>
      <c r="H1622" s="148">
        <v>-31.123697979167666</v>
      </c>
      <c r="I1622" s="728"/>
      <c r="J1622" s="148">
        <v>0.14349000000000001</v>
      </c>
      <c r="K1622" s="148">
        <v>0</v>
      </c>
      <c r="L1622" s="148">
        <v>0.19028</v>
      </c>
      <c r="M1622" s="148">
        <v>2.4999600000000002</v>
      </c>
      <c r="N1622" s="148">
        <v>-2.3096800000000002</v>
      </c>
      <c r="O1622" s="148">
        <v>-92.388678218851496</v>
      </c>
      <c r="P1622" s="148">
        <v>4.6789999999999998E-2</v>
      </c>
      <c r="Q1622" s="148">
        <v>0.14349000000000001</v>
      </c>
      <c r="R1622" s="148">
        <v>306.66809147253684</v>
      </c>
    </row>
    <row r="1623" spans="2:18" ht="15.75" hidden="1" thickBot="1" x14ac:dyDescent="0.3">
      <c r="B1623" s="725" t="s">
        <v>734</v>
      </c>
      <c r="C1623" s="722" t="s">
        <v>113</v>
      </c>
      <c r="D1623" t="s">
        <v>114</v>
      </c>
      <c r="E1623" s="729"/>
      <c r="F1623" s="729"/>
      <c r="G1623" s="729"/>
      <c r="H1623" s="729"/>
      <c r="I1623" s="729"/>
      <c r="J1623" s="729"/>
      <c r="K1623" s="729"/>
      <c r="L1623" s="147">
        <v>0.17151</v>
      </c>
      <c r="M1623" s="729"/>
      <c r="N1623" s="147">
        <v>0.17151</v>
      </c>
      <c r="O1623" s="147">
        <v>0</v>
      </c>
      <c r="P1623" s="147">
        <v>0.17151</v>
      </c>
      <c r="Q1623" s="147">
        <v>0</v>
      </c>
      <c r="R1623" s="147">
        <v>0</v>
      </c>
    </row>
    <row r="1624" spans="2:18" ht="15.75" hidden="1" thickBot="1" x14ac:dyDescent="0.3">
      <c r="B1624" s="725" t="s">
        <v>734</v>
      </c>
      <c r="C1624" s="722" t="s">
        <v>145</v>
      </c>
      <c r="D1624" t="s">
        <v>146</v>
      </c>
      <c r="E1624" s="728"/>
      <c r="F1624" s="728"/>
      <c r="G1624" s="728"/>
      <c r="H1624" s="728"/>
      <c r="I1624" s="728"/>
      <c r="J1624" s="728"/>
      <c r="K1624" s="728"/>
      <c r="L1624" s="148">
        <v>2.5000000000000001E-2</v>
      </c>
      <c r="M1624" s="728"/>
      <c r="N1624" s="148">
        <v>2.5000000000000001E-2</v>
      </c>
      <c r="O1624" s="148">
        <v>0</v>
      </c>
      <c r="P1624" s="728"/>
      <c r="Q1624" s="148">
        <v>2.5000000000000001E-2</v>
      </c>
      <c r="R1624" s="148">
        <v>0</v>
      </c>
    </row>
    <row r="1625" spans="2:18" ht="15.75" hidden="1" thickBot="1" x14ac:dyDescent="0.3">
      <c r="B1625" s="725" t="s">
        <v>734</v>
      </c>
      <c r="C1625" s="722" t="s">
        <v>147</v>
      </c>
      <c r="D1625" t="s">
        <v>148</v>
      </c>
      <c r="E1625" s="147">
        <v>1.9E-2</v>
      </c>
      <c r="F1625" s="729"/>
      <c r="G1625" s="147">
        <v>1.9E-2</v>
      </c>
      <c r="H1625" s="147">
        <v>0</v>
      </c>
      <c r="I1625" s="729"/>
      <c r="J1625" s="147">
        <v>1.9E-2</v>
      </c>
      <c r="K1625" s="147">
        <v>0</v>
      </c>
      <c r="L1625" s="147">
        <v>3.7999999999999999E-2</v>
      </c>
      <c r="M1625" s="729"/>
      <c r="N1625" s="147">
        <v>3.7999999999999999E-2</v>
      </c>
      <c r="O1625" s="147">
        <v>0</v>
      </c>
      <c r="P1625" s="729"/>
      <c r="Q1625" s="147">
        <v>3.7999999999999999E-2</v>
      </c>
      <c r="R1625" s="147">
        <v>0</v>
      </c>
    </row>
    <row r="1626" spans="2:18" ht="15.75" hidden="1" thickBot="1" x14ac:dyDescent="0.3">
      <c r="B1626" s="725" t="s">
        <v>734</v>
      </c>
      <c r="C1626" s="722" t="s">
        <v>641</v>
      </c>
      <c r="D1626" t="s">
        <v>642</v>
      </c>
      <c r="E1626" s="728"/>
      <c r="F1626" s="728"/>
      <c r="G1626" s="728"/>
      <c r="H1626" s="728"/>
      <c r="I1626" s="728"/>
      <c r="J1626" s="728"/>
      <c r="K1626" s="728"/>
      <c r="L1626" s="148">
        <v>0.13997999999999999</v>
      </c>
      <c r="M1626" s="728"/>
      <c r="N1626" s="148">
        <v>0.13997999999999999</v>
      </c>
      <c r="O1626" s="148">
        <v>0</v>
      </c>
      <c r="P1626" s="728"/>
      <c r="Q1626" s="148">
        <v>0.13997999999999999</v>
      </c>
      <c r="R1626" s="148">
        <v>0</v>
      </c>
    </row>
    <row r="1627" spans="2:18" ht="15.75" hidden="1" thickBot="1" x14ac:dyDescent="0.3">
      <c r="B1627" s="725" t="s">
        <v>734</v>
      </c>
      <c r="C1627" s="722" t="s">
        <v>149</v>
      </c>
      <c r="D1627" t="s">
        <v>150</v>
      </c>
      <c r="E1627" s="729"/>
      <c r="F1627" s="729"/>
      <c r="G1627" s="729"/>
      <c r="H1627" s="729"/>
      <c r="I1627" s="729"/>
      <c r="J1627" s="729"/>
      <c r="K1627" s="729"/>
      <c r="L1627" s="729"/>
      <c r="M1627" s="147">
        <v>15</v>
      </c>
      <c r="N1627" s="147">
        <v>-15</v>
      </c>
      <c r="O1627" s="147">
        <v>-100</v>
      </c>
      <c r="P1627" s="729"/>
      <c r="Q1627" s="729"/>
      <c r="R1627" s="729"/>
    </row>
    <row r="1628" spans="2:18" ht="15.75" hidden="1" thickBot="1" x14ac:dyDescent="0.3">
      <c r="B1628" s="725" t="s">
        <v>734</v>
      </c>
      <c r="C1628" s="722" t="s">
        <v>75</v>
      </c>
      <c r="D1628" t="s">
        <v>76</v>
      </c>
      <c r="E1628" s="148">
        <v>0.31263999999999997</v>
      </c>
      <c r="F1628" s="148">
        <v>0.2</v>
      </c>
      <c r="G1628" s="148">
        <v>0.11264</v>
      </c>
      <c r="H1628" s="148">
        <v>56.32</v>
      </c>
      <c r="I1628" s="728"/>
      <c r="J1628" s="148">
        <v>0.31263999999999997</v>
      </c>
      <c r="K1628" s="148">
        <v>0</v>
      </c>
      <c r="L1628" s="148">
        <v>2.9156599999999999</v>
      </c>
      <c r="M1628" s="148">
        <v>2.4</v>
      </c>
      <c r="N1628" s="148">
        <v>0.51566000000000001</v>
      </c>
      <c r="O1628" s="148">
        <v>21.485833333333332</v>
      </c>
      <c r="P1628" s="148">
        <v>1.7391099999999999</v>
      </c>
      <c r="Q1628" s="148">
        <v>1.17655</v>
      </c>
      <c r="R1628" s="148">
        <v>67.652419915934018</v>
      </c>
    </row>
    <row r="1629" spans="2:18" ht="15.75" hidden="1" thickBot="1" x14ac:dyDescent="0.3">
      <c r="B1629" s="725" t="s">
        <v>734</v>
      </c>
      <c r="C1629" s="722" t="s">
        <v>121</v>
      </c>
      <c r="D1629" t="s">
        <v>122</v>
      </c>
      <c r="E1629" s="729"/>
      <c r="F1629" s="729"/>
      <c r="G1629" s="729"/>
      <c r="H1629" s="729"/>
      <c r="I1629" s="729"/>
      <c r="J1629" s="729"/>
      <c r="K1629" s="729"/>
      <c r="L1629" s="147">
        <v>2.7690100000000002</v>
      </c>
      <c r="M1629" s="729"/>
      <c r="N1629" s="147">
        <v>2.7690100000000002</v>
      </c>
      <c r="O1629" s="147">
        <v>0</v>
      </c>
      <c r="P1629" s="147">
        <v>0.83484000000000003</v>
      </c>
      <c r="Q1629" s="147">
        <v>1.9341699999999999</v>
      </c>
      <c r="R1629" s="147">
        <v>231.68151981217957</v>
      </c>
    </row>
    <row r="1630" spans="2:18" ht="15.75" hidden="1" thickBot="1" x14ac:dyDescent="0.3">
      <c r="B1630" s="725" t="s">
        <v>734</v>
      </c>
      <c r="C1630" s="722" t="s">
        <v>77</v>
      </c>
      <c r="D1630" t="s">
        <v>78</v>
      </c>
      <c r="E1630" s="728"/>
      <c r="F1630" s="148">
        <v>0.85</v>
      </c>
      <c r="G1630" s="148">
        <v>-0.85</v>
      </c>
      <c r="H1630" s="148">
        <v>-100</v>
      </c>
      <c r="I1630" s="728"/>
      <c r="J1630" s="728"/>
      <c r="K1630" s="728"/>
      <c r="L1630" s="148">
        <v>3.81006</v>
      </c>
      <c r="M1630" s="148">
        <v>10.199999999999999</v>
      </c>
      <c r="N1630" s="148">
        <v>-6.3899400000000002</v>
      </c>
      <c r="O1630" s="148">
        <v>-62.646470588235296</v>
      </c>
      <c r="P1630" s="148">
        <v>2.5964200000000002</v>
      </c>
      <c r="Q1630" s="148">
        <v>1.2136400000000001</v>
      </c>
      <c r="R1630" s="148">
        <v>46.742822809868976</v>
      </c>
    </row>
    <row r="1631" spans="2:18" ht="15.75" hidden="1" thickBot="1" x14ac:dyDescent="0.3">
      <c r="B1631" s="725" t="s">
        <v>734</v>
      </c>
      <c r="C1631" s="722" t="s">
        <v>79</v>
      </c>
      <c r="D1631" t="s">
        <v>80</v>
      </c>
      <c r="E1631" s="729"/>
      <c r="F1631" s="729"/>
      <c r="G1631" s="729"/>
      <c r="H1631" s="729"/>
      <c r="I1631" s="729"/>
      <c r="J1631" s="729"/>
      <c r="K1631" s="729"/>
      <c r="L1631" s="147">
        <v>0.46451999999999999</v>
      </c>
      <c r="M1631" s="729"/>
      <c r="N1631" s="147">
        <v>0.46451999999999999</v>
      </c>
      <c r="O1631" s="147">
        <v>0</v>
      </c>
      <c r="P1631" s="147">
        <v>0.13400000000000001</v>
      </c>
      <c r="Q1631" s="147">
        <v>0.33051999999999998</v>
      </c>
      <c r="R1631" s="147">
        <v>246.65671641791045</v>
      </c>
    </row>
    <row r="1632" spans="2:18" ht="15.75" hidden="1" thickBot="1" x14ac:dyDescent="0.3">
      <c r="B1632" s="725" t="s">
        <v>734</v>
      </c>
      <c r="C1632" s="149" t="s">
        <v>85</v>
      </c>
      <c r="D1632" t="s">
        <v>86</v>
      </c>
      <c r="E1632" s="148">
        <v>0.55613000000000001</v>
      </c>
      <c r="F1632" s="148">
        <v>3.15</v>
      </c>
      <c r="G1632" s="148">
        <v>-2.5938699999999999</v>
      </c>
      <c r="H1632" s="148">
        <v>-82.345079365079371</v>
      </c>
      <c r="I1632" s="728"/>
      <c r="J1632" s="148">
        <v>0.55613000000000001</v>
      </c>
      <c r="K1632" s="148">
        <v>0</v>
      </c>
      <c r="L1632" s="148">
        <v>32.039169999999999</v>
      </c>
      <c r="M1632" s="148">
        <v>72.8</v>
      </c>
      <c r="N1632" s="148">
        <v>-40.760829999999999</v>
      </c>
      <c r="O1632" s="148">
        <v>-55.990151098901102</v>
      </c>
      <c r="P1632" s="148">
        <v>11.037660000000001</v>
      </c>
      <c r="Q1632" s="148">
        <v>21.00151</v>
      </c>
      <c r="R1632" s="148">
        <v>190.27139810430833</v>
      </c>
    </row>
    <row r="1633" spans="2:18" ht="15.75" hidden="1" thickBot="1" x14ac:dyDescent="0.3">
      <c r="B1633" s="725" t="s">
        <v>734</v>
      </c>
      <c r="C1633" s="144" t="s">
        <v>87</v>
      </c>
      <c r="D1633" t="s">
        <v>87</v>
      </c>
      <c r="E1633" s="147">
        <v>74.738249999999994</v>
      </c>
      <c r="F1633" s="147">
        <v>79.791790000000006</v>
      </c>
      <c r="G1633" s="147">
        <v>-5.0535399999999999</v>
      </c>
      <c r="H1633" s="147">
        <v>-6.3334084872641663</v>
      </c>
      <c r="I1633" s="729"/>
      <c r="J1633" s="147">
        <v>74.738249999999994</v>
      </c>
      <c r="K1633" s="147">
        <v>0</v>
      </c>
      <c r="L1633" s="147">
        <v>930.32519000000002</v>
      </c>
      <c r="M1633" s="147">
        <v>987.67657999999994</v>
      </c>
      <c r="N1633" s="147">
        <v>-57.351390000000002</v>
      </c>
      <c r="O1633" s="147">
        <v>-5.8066973705096867</v>
      </c>
      <c r="P1633" s="147">
        <v>471.74650000000003</v>
      </c>
      <c r="Q1633" s="147">
        <v>458.57868999999999</v>
      </c>
      <c r="R1633" s="147">
        <v>97.208710610465573</v>
      </c>
    </row>
    <row r="1634" spans="2:18" ht="15.75" hidden="1" thickBot="1" x14ac:dyDescent="0.3">
      <c r="B1634" s="725" t="s">
        <v>735</v>
      </c>
      <c r="C1634" s="722" t="s">
        <v>59</v>
      </c>
      <c r="D1634" t="s">
        <v>60</v>
      </c>
      <c r="E1634" s="148">
        <v>56.123609999999999</v>
      </c>
      <c r="F1634" s="148">
        <v>75.503439999999998</v>
      </c>
      <c r="G1634" s="148">
        <v>-19.379829999999998</v>
      </c>
      <c r="H1634" s="148">
        <v>-25.667479521462862</v>
      </c>
      <c r="I1634" s="728"/>
      <c r="J1634" s="148">
        <v>56.123609999999999</v>
      </c>
      <c r="K1634" s="148">
        <v>0</v>
      </c>
      <c r="L1634" s="148">
        <v>780.28105000000005</v>
      </c>
      <c r="M1634" s="148">
        <v>895.94758999999999</v>
      </c>
      <c r="N1634" s="148">
        <v>-115.66654</v>
      </c>
      <c r="O1634" s="148">
        <v>-12.909967200201967</v>
      </c>
      <c r="P1634" s="148">
        <v>411.92822999999999</v>
      </c>
      <c r="Q1634" s="148">
        <v>368.35282000000001</v>
      </c>
      <c r="R1634" s="148">
        <v>89.421601427996322</v>
      </c>
    </row>
    <row r="1635" spans="2:18" ht="15.75" hidden="1" thickBot="1" x14ac:dyDescent="0.3">
      <c r="B1635" s="725" t="s">
        <v>735</v>
      </c>
      <c r="C1635" s="722" t="s">
        <v>566</v>
      </c>
      <c r="D1635" t="s">
        <v>567</v>
      </c>
      <c r="E1635" s="729"/>
      <c r="F1635" s="729"/>
      <c r="G1635" s="729"/>
      <c r="H1635" s="729"/>
      <c r="I1635" s="729"/>
      <c r="J1635" s="729"/>
      <c r="K1635" s="729"/>
      <c r="L1635" s="147">
        <v>1.1508499999999999</v>
      </c>
      <c r="M1635" s="729"/>
      <c r="N1635" s="147">
        <v>1.1508499999999999</v>
      </c>
      <c r="O1635" s="147">
        <v>0</v>
      </c>
      <c r="P1635" s="147">
        <v>1.1508499999999999</v>
      </c>
      <c r="Q1635" s="147">
        <v>0</v>
      </c>
      <c r="R1635" s="147">
        <v>0</v>
      </c>
    </row>
    <row r="1636" spans="2:18" ht="15.75" hidden="1" thickBot="1" x14ac:dyDescent="0.3">
      <c r="B1636" s="725" t="s">
        <v>735</v>
      </c>
      <c r="C1636" s="722" t="s">
        <v>568</v>
      </c>
      <c r="D1636" t="s">
        <v>569</v>
      </c>
      <c r="E1636" s="148">
        <v>0.67725000000000002</v>
      </c>
      <c r="F1636" s="148">
        <v>1.7653000000000001</v>
      </c>
      <c r="G1636" s="148">
        <v>-1.08805</v>
      </c>
      <c r="H1636" s="148">
        <v>-61.635416076587546</v>
      </c>
      <c r="I1636" s="728"/>
      <c r="J1636" s="148">
        <v>0.67725000000000002</v>
      </c>
      <c r="K1636" s="148">
        <v>0</v>
      </c>
      <c r="L1636" s="148">
        <v>21.623529999999999</v>
      </c>
      <c r="M1636" s="148">
        <v>21.07246</v>
      </c>
      <c r="N1636" s="148">
        <v>0.55106999999999995</v>
      </c>
      <c r="O1636" s="148">
        <v>2.6151194497462567</v>
      </c>
      <c r="P1636" s="148">
        <v>11.65828</v>
      </c>
      <c r="Q1636" s="148">
        <v>9.9652499999999993</v>
      </c>
      <c r="R1636" s="148">
        <v>85.477874952394345</v>
      </c>
    </row>
    <row r="1637" spans="2:18" ht="15.75" hidden="1" thickBot="1" x14ac:dyDescent="0.3">
      <c r="B1637" s="725" t="s">
        <v>735</v>
      </c>
      <c r="C1637" s="722" t="s">
        <v>61</v>
      </c>
      <c r="D1637" t="s">
        <v>62</v>
      </c>
      <c r="E1637" s="147">
        <v>9.6437399999999993</v>
      </c>
      <c r="F1637" s="147">
        <v>11.976649999999999</v>
      </c>
      <c r="G1637" s="147">
        <v>-2.33291</v>
      </c>
      <c r="H1637" s="147">
        <v>-19.478819202364601</v>
      </c>
      <c r="I1637" s="729"/>
      <c r="J1637" s="147">
        <v>9.6437399999999993</v>
      </c>
      <c r="K1637" s="147">
        <v>0</v>
      </c>
      <c r="L1637" s="147">
        <v>124.49642</v>
      </c>
      <c r="M1637" s="147">
        <v>142.13808</v>
      </c>
      <c r="N1637" s="147">
        <v>-17.641660000000002</v>
      </c>
      <c r="O1637" s="147">
        <v>-12.411635221187735</v>
      </c>
      <c r="P1637" s="147">
        <v>64.816540000000003</v>
      </c>
      <c r="Q1637" s="147">
        <v>59.679879999999997</v>
      </c>
      <c r="R1637" s="147">
        <v>92.075078367342655</v>
      </c>
    </row>
    <row r="1638" spans="2:18" ht="15.75" hidden="1" thickBot="1" x14ac:dyDescent="0.3">
      <c r="B1638" s="725" t="s">
        <v>735</v>
      </c>
      <c r="C1638" s="722" t="s">
        <v>63</v>
      </c>
      <c r="D1638" t="s">
        <v>64</v>
      </c>
      <c r="E1638" s="148">
        <v>37.465220000000002</v>
      </c>
      <c r="F1638" s="148">
        <v>46.593049999999998</v>
      </c>
      <c r="G1638" s="148">
        <v>-9.1278299999999994</v>
      </c>
      <c r="H1638" s="148">
        <v>-19.59053979080571</v>
      </c>
      <c r="I1638" s="728"/>
      <c r="J1638" s="148">
        <v>37.465220000000002</v>
      </c>
      <c r="K1638" s="148">
        <v>0</v>
      </c>
      <c r="L1638" s="148">
        <v>483.80671000000001</v>
      </c>
      <c r="M1638" s="148">
        <v>552.96307000000002</v>
      </c>
      <c r="N1638" s="148">
        <v>-69.156360000000006</v>
      </c>
      <c r="O1638" s="148">
        <v>-12.506506085478728</v>
      </c>
      <c r="P1638" s="148">
        <v>251.95432</v>
      </c>
      <c r="Q1638" s="148">
        <v>231.85239000000001</v>
      </c>
      <c r="R1638" s="148">
        <v>92.021597407022028</v>
      </c>
    </row>
    <row r="1639" spans="2:18" ht="15.75" hidden="1" thickBot="1" x14ac:dyDescent="0.3">
      <c r="B1639" s="725" t="s">
        <v>735</v>
      </c>
      <c r="C1639" s="722" t="s">
        <v>156</v>
      </c>
      <c r="D1639" t="s">
        <v>157</v>
      </c>
      <c r="E1639" s="729"/>
      <c r="F1639" s="729"/>
      <c r="G1639" s="729"/>
      <c r="H1639" s="729"/>
      <c r="I1639" s="729"/>
      <c r="J1639" s="729"/>
      <c r="K1639" s="729"/>
      <c r="L1639" s="147">
        <v>24.172519999999999</v>
      </c>
      <c r="M1639" s="729"/>
      <c r="N1639" s="147">
        <v>24.172519999999999</v>
      </c>
      <c r="O1639" s="147">
        <v>0</v>
      </c>
      <c r="P1639" s="147">
        <v>15.621880000000001</v>
      </c>
      <c r="Q1639" s="147">
        <v>8.5506399999999996</v>
      </c>
      <c r="R1639" s="147">
        <v>54.735025489889821</v>
      </c>
    </row>
    <row r="1640" spans="2:18" ht="15.75" hidden="1" thickBot="1" x14ac:dyDescent="0.3">
      <c r="B1640" s="725" t="s">
        <v>735</v>
      </c>
      <c r="C1640" s="722" t="s">
        <v>65</v>
      </c>
      <c r="D1640" t="s">
        <v>66</v>
      </c>
      <c r="E1640" s="148">
        <v>-18.59019</v>
      </c>
      <c r="F1640" s="148">
        <v>-11.80369</v>
      </c>
      <c r="G1640" s="148">
        <v>-6.7865000000000002</v>
      </c>
      <c r="H1640" s="148">
        <v>-57.494732579388312</v>
      </c>
      <c r="I1640" s="728"/>
      <c r="J1640" s="148">
        <v>-18.59019</v>
      </c>
      <c r="K1640" s="148">
        <v>0</v>
      </c>
      <c r="L1640" s="148">
        <v>-257.65055000000001</v>
      </c>
      <c r="M1640" s="148">
        <v>-140.64382000000001</v>
      </c>
      <c r="N1640" s="148">
        <v>-117.00673</v>
      </c>
      <c r="O1640" s="148">
        <v>-83.193651878909435</v>
      </c>
      <c r="P1640" s="148">
        <v>-134.32094000000001</v>
      </c>
      <c r="Q1640" s="148">
        <v>-123.32961</v>
      </c>
      <c r="R1640" s="148">
        <v>-91.817113549086244</v>
      </c>
    </row>
    <row r="1641" spans="2:18" ht="15.75" hidden="1" thickBot="1" x14ac:dyDescent="0.3">
      <c r="B1641" s="725" t="s">
        <v>735</v>
      </c>
      <c r="C1641" s="149" t="s">
        <v>67</v>
      </c>
      <c r="D1641" t="s">
        <v>68</v>
      </c>
      <c r="E1641" s="147">
        <v>85.319630000000004</v>
      </c>
      <c r="F1641" s="147">
        <v>124.03475</v>
      </c>
      <c r="G1641" s="147">
        <v>-38.715119999999999</v>
      </c>
      <c r="H1641" s="147">
        <v>-31.213123741532112</v>
      </c>
      <c r="I1641" s="729"/>
      <c r="J1641" s="147">
        <v>85.319630000000004</v>
      </c>
      <c r="K1641" s="147">
        <v>0</v>
      </c>
      <c r="L1641" s="147">
        <v>1177.8805299999999</v>
      </c>
      <c r="M1641" s="147">
        <v>1471.47738</v>
      </c>
      <c r="N1641" s="147">
        <v>-293.59685000000002</v>
      </c>
      <c r="O1641" s="147">
        <v>-19.952522137988964</v>
      </c>
      <c r="P1641" s="147">
        <v>622.80916000000002</v>
      </c>
      <c r="Q1641" s="147">
        <v>555.07137</v>
      </c>
      <c r="R1641" s="147">
        <v>89.123828878817392</v>
      </c>
    </row>
    <row r="1642" spans="2:18" ht="15.75" hidden="1" thickBot="1" x14ac:dyDescent="0.3">
      <c r="B1642" s="725" t="s">
        <v>735</v>
      </c>
      <c r="C1642" s="722" t="s">
        <v>69</v>
      </c>
      <c r="D1642" t="s">
        <v>70</v>
      </c>
      <c r="E1642" s="728"/>
      <c r="F1642" s="148">
        <v>0</v>
      </c>
      <c r="G1642" s="148">
        <v>0</v>
      </c>
      <c r="H1642" s="148">
        <v>0</v>
      </c>
      <c r="I1642" s="728"/>
      <c r="J1642" s="728"/>
      <c r="K1642" s="728"/>
      <c r="L1642" s="148">
        <v>19.134</v>
      </c>
      <c r="M1642" s="148">
        <v>7.5</v>
      </c>
      <c r="N1642" s="148">
        <v>11.634</v>
      </c>
      <c r="O1642" s="148">
        <v>155.12</v>
      </c>
      <c r="P1642" s="148">
        <v>19.134</v>
      </c>
      <c r="Q1642" s="148">
        <v>0</v>
      </c>
      <c r="R1642" s="148">
        <v>0</v>
      </c>
    </row>
    <row r="1643" spans="2:18" ht="15.75" hidden="1" thickBot="1" x14ac:dyDescent="0.3">
      <c r="B1643" s="725" t="s">
        <v>735</v>
      </c>
      <c r="C1643" s="722" t="s">
        <v>137</v>
      </c>
      <c r="D1643" t="s">
        <v>138</v>
      </c>
      <c r="E1643" s="147">
        <v>0.2374</v>
      </c>
      <c r="F1643" s="147">
        <v>0.1</v>
      </c>
      <c r="G1643" s="147">
        <v>0.13739999999999999</v>
      </c>
      <c r="H1643" s="147">
        <v>137.4</v>
      </c>
      <c r="I1643" s="729"/>
      <c r="J1643" s="147">
        <v>0.2374</v>
      </c>
      <c r="K1643" s="147">
        <v>0</v>
      </c>
      <c r="L1643" s="147">
        <v>0.43125999999999998</v>
      </c>
      <c r="M1643" s="147">
        <v>1.2</v>
      </c>
      <c r="N1643" s="147">
        <v>-0.76873999999999998</v>
      </c>
      <c r="O1643" s="147">
        <v>-64.061666666666667</v>
      </c>
      <c r="P1643" s="147">
        <v>0.15625</v>
      </c>
      <c r="Q1643" s="147">
        <v>0.27500999999999998</v>
      </c>
      <c r="R1643" s="147">
        <v>176.00640000000001</v>
      </c>
    </row>
    <row r="1644" spans="2:18" ht="15.75" hidden="1" thickBot="1" x14ac:dyDescent="0.3">
      <c r="B1644" s="725" t="s">
        <v>735</v>
      </c>
      <c r="C1644" s="722" t="s">
        <v>598</v>
      </c>
      <c r="D1644" t="s">
        <v>168</v>
      </c>
      <c r="E1644" s="728"/>
      <c r="F1644" s="728"/>
      <c r="G1644" s="728"/>
      <c r="H1644" s="728"/>
      <c r="I1644" s="728"/>
      <c r="J1644" s="728"/>
      <c r="K1644" s="728"/>
      <c r="L1644" s="148">
        <v>4.9230000000000003E-2</v>
      </c>
      <c r="M1644" s="728"/>
      <c r="N1644" s="148">
        <v>4.9230000000000003E-2</v>
      </c>
      <c r="O1644" s="148">
        <v>0</v>
      </c>
      <c r="P1644" s="148">
        <v>4.9230000000000003E-2</v>
      </c>
      <c r="Q1644" s="148">
        <v>0</v>
      </c>
      <c r="R1644" s="148">
        <v>0</v>
      </c>
    </row>
    <row r="1645" spans="2:18" ht="15.75" hidden="1" thickBot="1" x14ac:dyDescent="0.3">
      <c r="B1645" s="725" t="s">
        <v>735</v>
      </c>
      <c r="C1645" s="722" t="s">
        <v>139</v>
      </c>
      <c r="D1645" t="s">
        <v>140</v>
      </c>
      <c r="E1645" s="729"/>
      <c r="F1645" s="729"/>
      <c r="G1645" s="729"/>
      <c r="H1645" s="729"/>
      <c r="I1645" s="729"/>
      <c r="J1645" s="729"/>
      <c r="K1645" s="729"/>
      <c r="L1645" s="147">
        <v>0.29499999999999998</v>
      </c>
      <c r="M1645" s="729"/>
      <c r="N1645" s="147">
        <v>0.29499999999999998</v>
      </c>
      <c r="O1645" s="147">
        <v>0</v>
      </c>
      <c r="P1645" s="147">
        <v>0.29499999999999998</v>
      </c>
      <c r="Q1645" s="147">
        <v>0</v>
      </c>
      <c r="R1645" s="147">
        <v>0</v>
      </c>
    </row>
    <row r="1646" spans="2:18" ht="15.75" hidden="1" thickBot="1" x14ac:dyDescent="0.3">
      <c r="B1646" s="725" t="s">
        <v>735</v>
      </c>
      <c r="C1646" s="722" t="s">
        <v>101</v>
      </c>
      <c r="D1646" t="s">
        <v>102</v>
      </c>
      <c r="E1646" s="148">
        <v>18.876000000000001</v>
      </c>
      <c r="F1646" s="728"/>
      <c r="G1646" s="148">
        <v>18.876000000000001</v>
      </c>
      <c r="H1646" s="148">
        <v>0</v>
      </c>
      <c r="I1646" s="728"/>
      <c r="J1646" s="148">
        <v>18.876000000000001</v>
      </c>
      <c r="K1646" s="148">
        <v>0</v>
      </c>
      <c r="L1646" s="148">
        <v>55.631999999999998</v>
      </c>
      <c r="M1646" s="728"/>
      <c r="N1646" s="148">
        <v>55.631999999999998</v>
      </c>
      <c r="O1646" s="148">
        <v>0</v>
      </c>
      <c r="P1646" s="148">
        <v>0</v>
      </c>
      <c r="Q1646" s="148">
        <v>55.631999999999998</v>
      </c>
      <c r="R1646" s="148">
        <v>0</v>
      </c>
    </row>
    <row r="1647" spans="2:18" ht="15.75" hidden="1" thickBot="1" x14ac:dyDescent="0.3">
      <c r="B1647" s="725" t="s">
        <v>735</v>
      </c>
      <c r="C1647" s="722" t="s">
        <v>464</v>
      </c>
      <c r="D1647" t="s">
        <v>465</v>
      </c>
      <c r="E1647" s="729"/>
      <c r="F1647" s="729"/>
      <c r="G1647" s="729"/>
      <c r="H1647" s="729"/>
      <c r="I1647" s="729"/>
      <c r="J1647" s="729"/>
      <c r="K1647" s="729"/>
      <c r="L1647" s="147">
        <v>0</v>
      </c>
      <c r="M1647" s="729"/>
      <c r="N1647" s="147">
        <v>0</v>
      </c>
      <c r="O1647" s="147">
        <v>0</v>
      </c>
      <c r="P1647" s="147">
        <v>0</v>
      </c>
      <c r="Q1647" s="147">
        <v>0</v>
      </c>
      <c r="R1647" s="147">
        <v>0</v>
      </c>
    </row>
    <row r="1648" spans="2:18" ht="15.75" hidden="1" thickBot="1" x14ac:dyDescent="0.3">
      <c r="B1648" s="725" t="s">
        <v>735</v>
      </c>
      <c r="C1648" s="722" t="s">
        <v>103</v>
      </c>
      <c r="D1648" t="s">
        <v>104</v>
      </c>
      <c r="E1648" s="728"/>
      <c r="F1648" s="728"/>
      <c r="G1648" s="728"/>
      <c r="H1648" s="728"/>
      <c r="I1648" s="728"/>
      <c r="J1648" s="728"/>
      <c r="K1648" s="728"/>
      <c r="L1648" s="148">
        <v>0.10223</v>
      </c>
      <c r="M1648" s="728"/>
      <c r="N1648" s="148">
        <v>0.10223</v>
      </c>
      <c r="O1648" s="148">
        <v>0</v>
      </c>
      <c r="P1648" s="148">
        <v>0.10223</v>
      </c>
      <c r="Q1648" s="148">
        <v>0</v>
      </c>
      <c r="R1648" s="148">
        <v>0</v>
      </c>
    </row>
    <row r="1649" spans="2:18" ht="15.75" hidden="1" thickBot="1" x14ac:dyDescent="0.3">
      <c r="B1649" s="725" t="s">
        <v>735</v>
      </c>
      <c r="C1649" s="722" t="s">
        <v>71</v>
      </c>
      <c r="D1649" t="s">
        <v>72</v>
      </c>
      <c r="E1649" s="729"/>
      <c r="F1649" s="729"/>
      <c r="G1649" s="729"/>
      <c r="H1649" s="729"/>
      <c r="I1649" s="729"/>
      <c r="J1649" s="729"/>
      <c r="K1649" s="729"/>
      <c r="L1649" s="147">
        <v>1.8084</v>
      </c>
      <c r="M1649" s="729"/>
      <c r="N1649" s="147">
        <v>1.8084</v>
      </c>
      <c r="O1649" s="147">
        <v>0</v>
      </c>
      <c r="P1649" s="729"/>
      <c r="Q1649" s="147">
        <v>1.8084</v>
      </c>
      <c r="R1649" s="147">
        <v>0</v>
      </c>
    </row>
    <row r="1650" spans="2:18" ht="15.75" hidden="1" thickBot="1" x14ac:dyDescent="0.3">
      <c r="B1650" s="725" t="s">
        <v>735</v>
      </c>
      <c r="C1650" s="722" t="s">
        <v>107</v>
      </c>
      <c r="D1650" t="s">
        <v>108</v>
      </c>
      <c r="E1650" s="148">
        <v>0.10685</v>
      </c>
      <c r="F1650" s="148">
        <v>0.105</v>
      </c>
      <c r="G1650" s="148">
        <v>1.8500000000000001E-3</v>
      </c>
      <c r="H1650" s="148">
        <v>1.7619047619047619</v>
      </c>
      <c r="I1650" s="728"/>
      <c r="J1650" s="148">
        <v>0.10685</v>
      </c>
      <c r="K1650" s="148">
        <v>0</v>
      </c>
      <c r="L1650" s="148">
        <v>1.1573500000000001</v>
      </c>
      <c r="M1650" s="148">
        <v>1.26</v>
      </c>
      <c r="N1650" s="148">
        <v>-0.10265000000000001</v>
      </c>
      <c r="O1650" s="148">
        <v>-8.1468253968253972</v>
      </c>
      <c r="P1650" s="148">
        <v>0.52424999999999999</v>
      </c>
      <c r="Q1650" s="148">
        <v>0.6331</v>
      </c>
      <c r="R1650" s="148">
        <v>120.76299475441107</v>
      </c>
    </row>
    <row r="1651" spans="2:18" ht="15.75" hidden="1" thickBot="1" x14ac:dyDescent="0.3">
      <c r="B1651" s="725" t="s">
        <v>735</v>
      </c>
      <c r="C1651" s="722" t="s">
        <v>109</v>
      </c>
      <c r="D1651" t="s">
        <v>110</v>
      </c>
      <c r="E1651" s="147">
        <v>0.107</v>
      </c>
      <c r="F1651" s="147">
        <v>0.1</v>
      </c>
      <c r="G1651" s="147">
        <v>7.0000000000000001E-3</v>
      </c>
      <c r="H1651" s="147">
        <v>7</v>
      </c>
      <c r="I1651" s="729"/>
      <c r="J1651" s="147">
        <v>0.107</v>
      </c>
      <c r="K1651" s="147">
        <v>0</v>
      </c>
      <c r="L1651" s="147">
        <v>0.92534000000000005</v>
      </c>
      <c r="M1651" s="147">
        <v>1.2</v>
      </c>
      <c r="N1651" s="147">
        <v>-0.27466000000000002</v>
      </c>
      <c r="O1651" s="147">
        <v>-22.888333333333332</v>
      </c>
      <c r="P1651" s="147">
        <v>0.60446999999999995</v>
      </c>
      <c r="Q1651" s="147">
        <v>0.32086999999999999</v>
      </c>
      <c r="R1651" s="147">
        <v>53.082865981769153</v>
      </c>
    </row>
    <row r="1652" spans="2:18" ht="15.75" hidden="1" thickBot="1" x14ac:dyDescent="0.3">
      <c r="B1652" s="725" t="s">
        <v>735</v>
      </c>
      <c r="C1652" s="722" t="s">
        <v>111</v>
      </c>
      <c r="D1652" t="s">
        <v>112</v>
      </c>
      <c r="E1652" s="728"/>
      <c r="F1652" s="728"/>
      <c r="G1652" s="728"/>
      <c r="H1652" s="728"/>
      <c r="I1652" s="728"/>
      <c r="J1652" s="728"/>
      <c r="K1652" s="728"/>
      <c r="L1652" s="148">
        <v>0.55254000000000003</v>
      </c>
      <c r="M1652" s="728"/>
      <c r="N1652" s="148">
        <v>0.55254000000000003</v>
      </c>
      <c r="O1652" s="148">
        <v>0</v>
      </c>
      <c r="P1652" s="148">
        <v>0.27627000000000002</v>
      </c>
      <c r="Q1652" s="148">
        <v>0.27627000000000002</v>
      </c>
      <c r="R1652" s="148">
        <v>100</v>
      </c>
    </row>
    <row r="1653" spans="2:18" ht="15.75" hidden="1" thickBot="1" x14ac:dyDescent="0.3">
      <c r="B1653" s="725" t="s">
        <v>735</v>
      </c>
      <c r="C1653" s="722" t="s">
        <v>145</v>
      </c>
      <c r="D1653" t="s">
        <v>146</v>
      </c>
      <c r="E1653" s="729"/>
      <c r="F1653" s="729"/>
      <c r="G1653" s="729"/>
      <c r="H1653" s="729"/>
      <c r="I1653" s="729"/>
      <c r="J1653" s="729"/>
      <c r="K1653" s="729"/>
      <c r="L1653" s="147">
        <v>6.8400000000000002E-2</v>
      </c>
      <c r="M1653" s="729"/>
      <c r="N1653" s="147">
        <v>6.8400000000000002E-2</v>
      </c>
      <c r="O1653" s="147">
        <v>0</v>
      </c>
      <c r="P1653" s="147">
        <v>0.04</v>
      </c>
      <c r="Q1653" s="147">
        <v>2.8400000000000002E-2</v>
      </c>
      <c r="R1653" s="147">
        <v>71</v>
      </c>
    </row>
    <row r="1654" spans="2:18" ht="15.75" hidden="1" thickBot="1" x14ac:dyDescent="0.3">
      <c r="B1654" s="725" t="s">
        <v>735</v>
      </c>
      <c r="C1654" s="722" t="s">
        <v>149</v>
      </c>
      <c r="D1654" t="s">
        <v>150</v>
      </c>
      <c r="E1654" s="148">
        <v>1.47411</v>
      </c>
      <c r="F1654" s="148">
        <v>1.5</v>
      </c>
      <c r="G1654" s="148">
        <v>-2.589E-2</v>
      </c>
      <c r="H1654" s="148">
        <v>-1.726</v>
      </c>
      <c r="I1654" s="728"/>
      <c r="J1654" s="148">
        <v>1.47411</v>
      </c>
      <c r="K1654" s="148">
        <v>0</v>
      </c>
      <c r="L1654" s="148">
        <v>30.380549999999999</v>
      </c>
      <c r="M1654" s="148">
        <v>43.5</v>
      </c>
      <c r="N1654" s="148">
        <v>-13.119450000000001</v>
      </c>
      <c r="O1654" s="148">
        <v>-30.159655172413792</v>
      </c>
      <c r="P1654" s="148">
        <v>8.8815000000000008</v>
      </c>
      <c r="Q1654" s="148">
        <v>21.49905</v>
      </c>
      <c r="R1654" s="148">
        <v>242.06552947137308</v>
      </c>
    </row>
    <row r="1655" spans="2:18" ht="15.75" hidden="1" thickBot="1" x14ac:dyDescent="0.3">
      <c r="B1655" s="725" t="s">
        <v>735</v>
      </c>
      <c r="C1655" s="722" t="s">
        <v>649</v>
      </c>
      <c r="D1655" t="s">
        <v>650</v>
      </c>
      <c r="E1655" s="147">
        <v>299.78473000000002</v>
      </c>
      <c r="F1655" s="147">
        <v>293.67057</v>
      </c>
      <c r="G1655" s="147">
        <v>6.11416</v>
      </c>
      <c r="H1655" s="147">
        <v>2.0819791373715111</v>
      </c>
      <c r="I1655" s="729"/>
      <c r="J1655" s="147">
        <v>299.78473000000002</v>
      </c>
      <c r="K1655" s="147">
        <v>0</v>
      </c>
      <c r="L1655" s="147">
        <v>3712.2107500000002</v>
      </c>
      <c r="M1655" s="147">
        <v>3551.9383800000001</v>
      </c>
      <c r="N1655" s="147">
        <v>160.27237</v>
      </c>
      <c r="O1655" s="147">
        <v>4.5122508572347471</v>
      </c>
      <c r="P1655" s="147">
        <v>1701.61808</v>
      </c>
      <c r="Q1655" s="147">
        <v>2010.59267</v>
      </c>
      <c r="R1655" s="147">
        <v>118.15769317636776</v>
      </c>
    </row>
    <row r="1656" spans="2:18" ht="15.75" hidden="1" thickBot="1" x14ac:dyDescent="0.3">
      <c r="B1656" s="725" t="s">
        <v>735</v>
      </c>
      <c r="C1656" s="722" t="s">
        <v>119</v>
      </c>
      <c r="D1656" t="s">
        <v>120</v>
      </c>
      <c r="E1656" s="728"/>
      <c r="F1656" s="728"/>
      <c r="G1656" s="728"/>
      <c r="H1656" s="728"/>
      <c r="I1656" s="728"/>
      <c r="J1656" s="728"/>
      <c r="K1656" s="728"/>
      <c r="L1656" s="148">
        <v>0</v>
      </c>
      <c r="M1656" s="728"/>
      <c r="N1656" s="148">
        <v>0</v>
      </c>
      <c r="O1656" s="148">
        <v>0</v>
      </c>
      <c r="P1656" s="148">
        <v>0</v>
      </c>
      <c r="Q1656" s="148">
        <v>0</v>
      </c>
      <c r="R1656" s="148">
        <v>0</v>
      </c>
    </row>
    <row r="1657" spans="2:18" ht="15.75" hidden="1" thickBot="1" x14ac:dyDescent="0.3">
      <c r="B1657" s="725" t="s">
        <v>735</v>
      </c>
      <c r="C1657" s="722" t="s">
        <v>479</v>
      </c>
      <c r="D1657" t="s">
        <v>480</v>
      </c>
      <c r="E1657" s="147">
        <v>57.436320000000002</v>
      </c>
      <c r="F1657" s="147">
        <v>47.807279999999999</v>
      </c>
      <c r="G1657" s="147">
        <v>9.6290399999999998</v>
      </c>
      <c r="H1657" s="147">
        <v>20.141367590877373</v>
      </c>
      <c r="I1657" s="729"/>
      <c r="J1657" s="147">
        <v>57.436320000000002</v>
      </c>
      <c r="K1657" s="147">
        <v>0</v>
      </c>
      <c r="L1657" s="147">
        <v>605.24513999999999</v>
      </c>
      <c r="M1657" s="147">
        <v>564.96960000000001</v>
      </c>
      <c r="N1657" s="147">
        <v>40.275539999999999</v>
      </c>
      <c r="O1657" s="147">
        <v>7.1287977264617419</v>
      </c>
      <c r="P1657" s="147">
        <v>292.15688999999998</v>
      </c>
      <c r="Q1657" s="147">
        <v>313.08825000000002</v>
      </c>
      <c r="R1657" s="147">
        <v>107.16442456654026</v>
      </c>
    </row>
    <row r="1658" spans="2:18" ht="15.75" hidden="1" thickBot="1" x14ac:dyDescent="0.3">
      <c r="B1658" s="725" t="s">
        <v>735</v>
      </c>
      <c r="C1658" s="722" t="s">
        <v>661</v>
      </c>
      <c r="D1658" t="s">
        <v>662</v>
      </c>
      <c r="E1658" s="148">
        <v>1.5129300000000001</v>
      </c>
      <c r="F1658" s="728"/>
      <c r="G1658" s="148">
        <v>1.5129300000000001</v>
      </c>
      <c r="H1658" s="148">
        <v>0</v>
      </c>
      <c r="I1658" s="728"/>
      <c r="J1658" s="148">
        <v>1.5129300000000001</v>
      </c>
      <c r="K1658" s="148">
        <v>0</v>
      </c>
      <c r="L1658" s="148">
        <v>539.68318999999997</v>
      </c>
      <c r="M1658" s="728"/>
      <c r="N1658" s="148">
        <v>539.68318999999997</v>
      </c>
      <c r="O1658" s="148">
        <v>0</v>
      </c>
      <c r="P1658" s="728"/>
      <c r="Q1658" s="148">
        <v>539.68318999999997</v>
      </c>
      <c r="R1658" s="148">
        <v>0</v>
      </c>
    </row>
    <row r="1659" spans="2:18" ht="15.75" hidden="1" thickBot="1" x14ac:dyDescent="0.3">
      <c r="B1659" s="725" t="s">
        <v>735</v>
      </c>
      <c r="C1659" s="722" t="s">
        <v>75</v>
      </c>
      <c r="D1659" t="s">
        <v>76</v>
      </c>
      <c r="E1659" s="147">
        <v>0.44328000000000001</v>
      </c>
      <c r="F1659" s="147">
        <v>0.3</v>
      </c>
      <c r="G1659" s="147">
        <v>0.14327999999999999</v>
      </c>
      <c r="H1659" s="147">
        <v>47.76</v>
      </c>
      <c r="I1659" s="729"/>
      <c r="J1659" s="147">
        <v>0.44328000000000001</v>
      </c>
      <c r="K1659" s="147">
        <v>0</v>
      </c>
      <c r="L1659" s="147">
        <v>3.2988499999999998</v>
      </c>
      <c r="M1659" s="147">
        <v>3.6</v>
      </c>
      <c r="N1659" s="147">
        <v>-0.30114999999999997</v>
      </c>
      <c r="O1659" s="147">
        <v>-8.3652777777777771</v>
      </c>
      <c r="P1659" s="147">
        <v>1.60659</v>
      </c>
      <c r="Q1659" s="147">
        <v>1.6922600000000001</v>
      </c>
      <c r="R1659" s="147">
        <v>105.33241212754966</v>
      </c>
    </row>
    <row r="1660" spans="2:18" ht="15.75" hidden="1" thickBot="1" x14ac:dyDescent="0.3">
      <c r="B1660" s="725" t="s">
        <v>735</v>
      </c>
      <c r="C1660" s="722" t="s">
        <v>121</v>
      </c>
      <c r="D1660" t="s">
        <v>122</v>
      </c>
      <c r="E1660" s="728"/>
      <c r="F1660" s="728"/>
      <c r="G1660" s="728"/>
      <c r="H1660" s="728"/>
      <c r="I1660" s="728"/>
      <c r="J1660" s="728"/>
      <c r="K1660" s="728"/>
      <c r="L1660" s="148">
        <v>1.91831</v>
      </c>
      <c r="M1660" s="728"/>
      <c r="N1660" s="148">
        <v>1.91831</v>
      </c>
      <c r="O1660" s="148">
        <v>0</v>
      </c>
      <c r="P1660" s="148">
        <v>1.91831</v>
      </c>
      <c r="Q1660" s="148">
        <v>0</v>
      </c>
      <c r="R1660" s="148">
        <v>0</v>
      </c>
    </row>
    <row r="1661" spans="2:18" ht="15.75" hidden="1" thickBot="1" x14ac:dyDescent="0.3">
      <c r="B1661" s="725" t="s">
        <v>735</v>
      </c>
      <c r="C1661" s="722" t="s">
        <v>77</v>
      </c>
      <c r="D1661" t="s">
        <v>78</v>
      </c>
      <c r="E1661" s="729"/>
      <c r="F1661" s="147">
        <v>0</v>
      </c>
      <c r="G1661" s="147">
        <v>0</v>
      </c>
      <c r="H1661" s="147">
        <v>0</v>
      </c>
      <c r="I1661" s="729"/>
      <c r="J1661" s="729"/>
      <c r="K1661" s="729"/>
      <c r="L1661" s="147">
        <v>2.6695000000000002</v>
      </c>
      <c r="M1661" s="147">
        <v>9</v>
      </c>
      <c r="N1661" s="147">
        <v>-6.3304999999999998</v>
      </c>
      <c r="O1661" s="147">
        <v>-70.338888888888889</v>
      </c>
      <c r="P1661" s="147">
        <v>2.0617899999999998</v>
      </c>
      <c r="Q1661" s="147">
        <v>0.60770999999999997</v>
      </c>
      <c r="R1661" s="147">
        <v>29.474873774729726</v>
      </c>
    </row>
    <row r="1662" spans="2:18" ht="15.75" hidden="1" thickBot="1" x14ac:dyDescent="0.3">
      <c r="B1662" s="725" t="s">
        <v>735</v>
      </c>
      <c r="C1662" s="722" t="s">
        <v>79</v>
      </c>
      <c r="D1662" t="s">
        <v>80</v>
      </c>
      <c r="E1662" s="728"/>
      <c r="F1662" s="728"/>
      <c r="G1662" s="728"/>
      <c r="H1662" s="728"/>
      <c r="I1662" s="728"/>
      <c r="J1662" s="728"/>
      <c r="K1662" s="728"/>
      <c r="L1662" s="148">
        <v>0.63480000000000003</v>
      </c>
      <c r="M1662" s="728"/>
      <c r="N1662" s="148">
        <v>0.63480000000000003</v>
      </c>
      <c r="O1662" s="148">
        <v>0</v>
      </c>
      <c r="P1662" s="728"/>
      <c r="Q1662" s="148">
        <v>0.63480000000000003</v>
      </c>
      <c r="R1662" s="148">
        <v>0</v>
      </c>
    </row>
    <row r="1663" spans="2:18" ht="15.75" hidden="1" thickBot="1" x14ac:dyDescent="0.3">
      <c r="B1663" s="725" t="s">
        <v>735</v>
      </c>
      <c r="C1663" s="722" t="s">
        <v>81</v>
      </c>
      <c r="D1663" t="s">
        <v>82</v>
      </c>
      <c r="E1663" s="729"/>
      <c r="F1663" s="729"/>
      <c r="G1663" s="729"/>
      <c r="H1663" s="729"/>
      <c r="I1663" s="729"/>
      <c r="J1663" s="729"/>
      <c r="K1663" s="729"/>
      <c r="L1663" s="147">
        <v>0.27500000000000002</v>
      </c>
      <c r="M1663" s="729"/>
      <c r="N1663" s="147">
        <v>0.27500000000000002</v>
      </c>
      <c r="O1663" s="147">
        <v>0</v>
      </c>
      <c r="P1663" s="147">
        <v>0.27500000000000002</v>
      </c>
      <c r="Q1663" s="147">
        <v>0</v>
      </c>
      <c r="R1663" s="147">
        <v>0</v>
      </c>
    </row>
    <row r="1664" spans="2:18" ht="15.75" hidden="1" thickBot="1" x14ac:dyDescent="0.3">
      <c r="B1664" s="725" t="s">
        <v>735</v>
      </c>
      <c r="C1664" s="722" t="s">
        <v>123</v>
      </c>
      <c r="D1664" t="s">
        <v>124</v>
      </c>
      <c r="E1664" s="728"/>
      <c r="F1664" s="728"/>
      <c r="G1664" s="728"/>
      <c r="H1664" s="728"/>
      <c r="I1664" s="728"/>
      <c r="J1664" s="728"/>
      <c r="K1664" s="728"/>
      <c r="L1664" s="148">
        <v>0.10795</v>
      </c>
      <c r="M1664" s="728"/>
      <c r="N1664" s="148">
        <v>0.10795</v>
      </c>
      <c r="O1664" s="148">
        <v>0</v>
      </c>
      <c r="P1664" s="728"/>
      <c r="Q1664" s="148">
        <v>0.10795</v>
      </c>
      <c r="R1664" s="148">
        <v>0</v>
      </c>
    </row>
    <row r="1665" spans="2:18" ht="15.75" hidden="1" thickBot="1" x14ac:dyDescent="0.3">
      <c r="B1665" s="725" t="s">
        <v>735</v>
      </c>
      <c r="C1665" s="149" t="s">
        <v>85</v>
      </c>
      <c r="D1665" t="s">
        <v>86</v>
      </c>
      <c r="E1665" s="147">
        <v>379.97861999999998</v>
      </c>
      <c r="F1665" s="147">
        <v>343.58285000000001</v>
      </c>
      <c r="G1665" s="147">
        <v>36.395769999999999</v>
      </c>
      <c r="H1665" s="147">
        <v>10.593011263513299</v>
      </c>
      <c r="I1665" s="729"/>
      <c r="J1665" s="147">
        <v>379.97861999999998</v>
      </c>
      <c r="K1665" s="147">
        <v>0</v>
      </c>
      <c r="L1665" s="147">
        <v>4976.5797899999998</v>
      </c>
      <c r="M1665" s="147">
        <v>4184.1679800000002</v>
      </c>
      <c r="N1665" s="147">
        <v>792.41180999999995</v>
      </c>
      <c r="O1665" s="147">
        <v>18.938336457514787</v>
      </c>
      <c r="P1665" s="147">
        <v>2029.6998599999999</v>
      </c>
      <c r="Q1665" s="147">
        <v>2946.8799300000001</v>
      </c>
      <c r="R1665" s="147">
        <v>145.18796537730461</v>
      </c>
    </row>
    <row r="1666" spans="2:18" ht="15.75" hidden="1" thickBot="1" x14ac:dyDescent="0.3">
      <c r="B1666" s="725" t="s">
        <v>735</v>
      </c>
      <c r="C1666" s="144" t="s">
        <v>87</v>
      </c>
      <c r="D1666" t="s">
        <v>87</v>
      </c>
      <c r="E1666" s="148">
        <v>465.29825</v>
      </c>
      <c r="F1666" s="148">
        <v>467.61759999999998</v>
      </c>
      <c r="G1666" s="148">
        <v>-2.31935</v>
      </c>
      <c r="H1666" s="148">
        <v>-0.49599287965209177</v>
      </c>
      <c r="I1666" s="728"/>
      <c r="J1666" s="148">
        <v>465.29825</v>
      </c>
      <c r="K1666" s="148">
        <v>0</v>
      </c>
      <c r="L1666" s="148">
        <v>6154.4603200000001</v>
      </c>
      <c r="M1666" s="148">
        <v>5655.6453600000004</v>
      </c>
      <c r="N1666" s="148">
        <v>498.81495999999999</v>
      </c>
      <c r="O1666" s="148">
        <v>8.8197708351359569</v>
      </c>
      <c r="P1666" s="148">
        <v>2652.50902</v>
      </c>
      <c r="Q1666" s="148">
        <v>3501.9513000000002</v>
      </c>
      <c r="R1666" s="148">
        <v>132.02410523753846</v>
      </c>
    </row>
    <row r="1667" spans="2:18" ht="15.75" hidden="1" thickBot="1" x14ac:dyDescent="0.3">
      <c r="B1667" s="725" t="s">
        <v>736</v>
      </c>
      <c r="C1667" s="722" t="s">
        <v>59</v>
      </c>
      <c r="D1667" t="s">
        <v>60</v>
      </c>
      <c r="E1667" s="147">
        <v>191.99612999999999</v>
      </c>
      <c r="F1667" s="147">
        <v>258.15660000000003</v>
      </c>
      <c r="G1667" s="147">
        <v>-66.160470000000004</v>
      </c>
      <c r="H1667" s="147">
        <v>-25.628037400554547</v>
      </c>
      <c r="I1667" s="729"/>
      <c r="J1667" s="147">
        <v>191.99612999999999</v>
      </c>
      <c r="K1667" s="147">
        <v>0</v>
      </c>
      <c r="L1667" s="147">
        <v>2743.9601200000002</v>
      </c>
      <c r="M1667" s="147">
        <v>3081.6272199999999</v>
      </c>
      <c r="N1667" s="147">
        <v>-337.6671</v>
      </c>
      <c r="O1667" s="147">
        <v>-10.95742852375246</v>
      </c>
      <c r="P1667" s="147">
        <v>1440.5389700000001</v>
      </c>
      <c r="Q1667" s="147">
        <v>1303.4211499999999</v>
      </c>
      <c r="R1667" s="147">
        <v>90.481491798864695</v>
      </c>
    </row>
    <row r="1668" spans="2:18" ht="15.75" hidden="1" thickBot="1" x14ac:dyDescent="0.3">
      <c r="B1668" s="725" t="s">
        <v>736</v>
      </c>
      <c r="C1668" s="722" t="s">
        <v>134</v>
      </c>
      <c r="D1668" t="s">
        <v>135</v>
      </c>
      <c r="E1668" s="728"/>
      <c r="F1668" s="728"/>
      <c r="G1668" s="728"/>
      <c r="H1668" s="728"/>
      <c r="I1668" s="728"/>
      <c r="J1668" s="728"/>
      <c r="K1668" s="728"/>
      <c r="L1668" s="148">
        <v>9.1799900000000001</v>
      </c>
      <c r="M1668" s="728"/>
      <c r="N1668" s="148">
        <v>9.1799900000000001</v>
      </c>
      <c r="O1668" s="148">
        <v>0</v>
      </c>
      <c r="P1668" s="148">
        <v>9.1799900000000001</v>
      </c>
      <c r="Q1668" s="148">
        <v>0</v>
      </c>
      <c r="R1668" s="148">
        <v>0</v>
      </c>
    </row>
    <row r="1669" spans="2:18" ht="15.75" hidden="1" thickBot="1" x14ac:dyDescent="0.3">
      <c r="B1669" s="725" t="s">
        <v>736</v>
      </c>
      <c r="C1669" s="722" t="s">
        <v>61</v>
      </c>
      <c r="D1669" t="s">
        <v>62</v>
      </c>
      <c r="E1669" s="147">
        <v>34.284860000000002</v>
      </c>
      <c r="F1669" s="147">
        <v>40.014270000000003</v>
      </c>
      <c r="G1669" s="147">
        <v>-5.7294099999999997</v>
      </c>
      <c r="H1669" s="147">
        <v>-14.318416904769224</v>
      </c>
      <c r="I1669" s="729"/>
      <c r="J1669" s="147">
        <v>34.284860000000002</v>
      </c>
      <c r="K1669" s="147">
        <v>0</v>
      </c>
      <c r="L1669" s="147">
        <v>419.84766000000002</v>
      </c>
      <c r="M1669" s="147">
        <v>477.65217999999999</v>
      </c>
      <c r="N1669" s="147">
        <v>-57.804519999999997</v>
      </c>
      <c r="O1669" s="147">
        <v>-12.101801775509536</v>
      </c>
      <c r="P1669" s="147">
        <v>213.13033999999999</v>
      </c>
      <c r="Q1669" s="147">
        <v>206.71732</v>
      </c>
      <c r="R1669" s="147">
        <v>96.991033749582527</v>
      </c>
    </row>
    <row r="1670" spans="2:18" ht="15.75" hidden="1" thickBot="1" x14ac:dyDescent="0.3">
      <c r="B1670" s="725" t="s">
        <v>736</v>
      </c>
      <c r="C1670" s="722" t="s">
        <v>63</v>
      </c>
      <c r="D1670" t="s">
        <v>64</v>
      </c>
      <c r="E1670" s="148">
        <v>133.19421</v>
      </c>
      <c r="F1670" s="148">
        <v>155.66843</v>
      </c>
      <c r="G1670" s="148">
        <v>-22.474219999999999</v>
      </c>
      <c r="H1670" s="148">
        <v>-14.437236888687064</v>
      </c>
      <c r="I1670" s="728"/>
      <c r="J1670" s="148">
        <v>133.19421</v>
      </c>
      <c r="K1670" s="148">
        <v>0</v>
      </c>
      <c r="L1670" s="148">
        <v>1631.9345499999999</v>
      </c>
      <c r="M1670" s="148">
        <v>1858.2212199999999</v>
      </c>
      <c r="N1670" s="148">
        <v>-226.28666999999999</v>
      </c>
      <c r="O1670" s="148">
        <v>-12.177595840822439</v>
      </c>
      <c r="P1670" s="148">
        <v>828.85164999999995</v>
      </c>
      <c r="Q1670" s="148">
        <v>803.0829</v>
      </c>
      <c r="R1670" s="148">
        <v>96.891029896604536</v>
      </c>
    </row>
    <row r="1671" spans="2:18" ht="15.75" hidden="1" thickBot="1" x14ac:dyDescent="0.3">
      <c r="B1671" s="725" t="s">
        <v>736</v>
      </c>
      <c r="C1671" s="722" t="s">
        <v>65</v>
      </c>
      <c r="D1671" t="s">
        <v>66</v>
      </c>
      <c r="E1671" s="147">
        <v>-79.259079999999997</v>
      </c>
      <c r="F1671" s="147">
        <v>-64.906120000000001</v>
      </c>
      <c r="G1671" s="147">
        <v>-14.352959999999999</v>
      </c>
      <c r="H1671" s="147">
        <v>-22.113415499185592</v>
      </c>
      <c r="I1671" s="729"/>
      <c r="J1671" s="147">
        <v>-79.259079999999997</v>
      </c>
      <c r="K1671" s="147">
        <v>0</v>
      </c>
      <c r="L1671" s="147">
        <v>-744.43056999999999</v>
      </c>
      <c r="M1671" s="147">
        <v>-774.78733999999997</v>
      </c>
      <c r="N1671" s="147">
        <v>30.356770000000001</v>
      </c>
      <c r="O1671" s="147">
        <v>3.9180777011663612</v>
      </c>
      <c r="P1671" s="147">
        <v>-242.06783999999999</v>
      </c>
      <c r="Q1671" s="147">
        <v>-502.36273</v>
      </c>
      <c r="R1671" s="147">
        <v>-207.52972802996052</v>
      </c>
    </row>
    <row r="1672" spans="2:18" ht="15.75" hidden="1" thickBot="1" x14ac:dyDescent="0.3">
      <c r="B1672" s="725" t="s">
        <v>736</v>
      </c>
      <c r="C1672" s="149" t="s">
        <v>67</v>
      </c>
      <c r="D1672" t="s">
        <v>68</v>
      </c>
      <c r="E1672" s="148">
        <v>280.21611999999999</v>
      </c>
      <c r="F1672" s="148">
        <v>388.93317999999999</v>
      </c>
      <c r="G1672" s="148">
        <v>-108.71706</v>
      </c>
      <c r="H1672" s="148">
        <v>-27.952631863396174</v>
      </c>
      <c r="I1672" s="728"/>
      <c r="J1672" s="148">
        <v>280.21611999999999</v>
      </c>
      <c r="K1672" s="148">
        <v>0</v>
      </c>
      <c r="L1672" s="148">
        <v>4060.4917500000001</v>
      </c>
      <c r="M1672" s="148">
        <v>4642.7132799999999</v>
      </c>
      <c r="N1672" s="148">
        <v>-582.22153000000003</v>
      </c>
      <c r="O1672" s="148">
        <v>-12.540544610155207</v>
      </c>
      <c r="P1672" s="148">
        <v>2249.6331100000002</v>
      </c>
      <c r="Q1672" s="148">
        <v>1810.8586399999999</v>
      </c>
      <c r="R1672" s="148">
        <v>80.495732035167279</v>
      </c>
    </row>
    <row r="1673" spans="2:18" ht="15.75" hidden="1" thickBot="1" x14ac:dyDescent="0.3">
      <c r="B1673" s="725" t="s">
        <v>736</v>
      </c>
      <c r="C1673" s="722" t="s">
        <v>69</v>
      </c>
      <c r="D1673" t="s">
        <v>70</v>
      </c>
      <c r="E1673" s="147">
        <v>0.45</v>
      </c>
      <c r="F1673" s="147">
        <v>3.3727299999999998</v>
      </c>
      <c r="G1673" s="147">
        <v>-2.9227300000000001</v>
      </c>
      <c r="H1673" s="147">
        <v>-86.657692729628522</v>
      </c>
      <c r="I1673" s="729"/>
      <c r="J1673" s="147">
        <v>0.45</v>
      </c>
      <c r="K1673" s="147">
        <v>0</v>
      </c>
      <c r="L1673" s="147">
        <v>18.441970000000001</v>
      </c>
      <c r="M1673" s="147">
        <v>37.100029999999997</v>
      </c>
      <c r="N1673" s="147">
        <v>-18.658059999999999</v>
      </c>
      <c r="O1673" s="147">
        <v>-50.291226179601473</v>
      </c>
      <c r="P1673" s="147">
        <v>11.759</v>
      </c>
      <c r="Q1673" s="147">
        <v>6.6829700000000001</v>
      </c>
      <c r="R1673" s="147">
        <v>56.832808912322477</v>
      </c>
    </row>
    <row r="1674" spans="2:18" ht="15.75" hidden="1" thickBot="1" x14ac:dyDescent="0.3">
      <c r="B1674" s="725" t="s">
        <v>736</v>
      </c>
      <c r="C1674" s="722" t="s">
        <v>137</v>
      </c>
      <c r="D1674" t="s">
        <v>138</v>
      </c>
      <c r="E1674" s="728"/>
      <c r="F1674" s="728"/>
      <c r="G1674" s="728"/>
      <c r="H1674" s="728"/>
      <c r="I1674" s="728"/>
      <c r="J1674" s="728"/>
      <c r="K1674" s="728"/>
      <c r="L1674" s="148">
        <v>0.49492000000000003</v>
      </c>
      <c r="M1674" s="728"/>
      <c r="N1674" s="148">
        <v>0.49492000000000003</v>
      </c>
      <c r="O1674" s="148">
        <v>0</v>
      </c>
      <c r="P1674" s="148">
        <v>0.30346000000000001</v>
      </c>
      <c r="Q1674" s="148">
        <v>0.19145999999999999</v>
      </c>
      <c r="R1674" s="148">
        <v>63.092335068872337</v>
      </c>
    </row>
    <row r="1675" spans="2:18" ht="15.75" hidden="1" thickBot="1" x14ac:dyDescent="0.3">
      <c r="B1675" s="725" t="s">
        <v>736</v>
      </c>
      <c r="C1675" s="722" t="s">
        <v>139</v>
      </c>
      <c r="D1675" t="s">
        <v>140</v>
      </c>
      <c r="E1675" s="147">
        <v>2.4249999999999998</v>
      </c>
      <c r="F1675" s="729"/>
      <c r="G1675" s="147">
        <v>2.4249999999999998</v>
      </c>
      <c r="H1675" s="147">
        <v>0</v>
      </c>
      <c r="I1675" s="729"/>
      <c r="J1675" s="147">
        <v>2.4249999999999998</v>
      </c>
      <c r="K1675" s="147">
        <v>0</v>
      </c>
      <c r="L1675" s="147">
        <v>2.4249999999999998</v>
      </c>
      <c r="M1675" s="729"/>
      <c r="N1675" s="147">
        <v>2.4249999999999998</v>
      </c>
      <c r="O1675" s="147">
        <v>0</v>
      </c>
      <c r="P1675" s="729"/>
      <c r="Q1675" s="147">
        <v>2.4249999999999998</v>
      </c>
      <c r="R1675" s="147">
        <v>0</v>
      </c>
    </row>
    <row r="1676" spans="2:18" ht="15.75" hidden="1" thickBot="1" x14ac:dyDescent="0.3">
      <c r="B1676" s="725" t="s">
        <v>736</v>
      </c>
      <c r="C1676" s="722" t="s">
        <v>169</v>
      </c>
      <c r="D1676" t="s">
        <v>170</v>
      </c>
      <c r="E1676" s="728"/>
      <c r="F1676" s="148">
        <v>0</v>
      </c>
      <c r="G1676" s="148">
        <v>0</v>
      </c>
      <c r="H1676" s="148">
        <v>0</v>
      </c>
      <c r="I1676" s="728"/>
      <c r="J1676" s="728"/>
      <c r="K1676" s="728"/>
      <c r="L1676" s="728"/>
      <c r="M1676" s="148">
        <v>0</v>
      </c>
      <c r="N1676" s="148">
        <v>0</v>
      </c>
      <c r="O1676" s="148">
        <v>0</v>
      </c>
      <c r="P1676" s="728"/>
      <c r="Q1676" s="728"/>
      <c r="R1676" s="728"/>
    </row>
    <row r="1677" spans="2:18" ht="15.75" hidden="1" thickBot="1" x14ac:dyDescent="0.3">
      <c r="B1677" s="725" t="s">
        <v>736</v>
      </c>
      <c r="C1677" s="722" t="s">
        <v>101</v>
      </c>
      <c r="D1677" t="s">
        <v>102</v>
      </c>
      <c r="E1677" s="147">
        <v>14.00464</v>
      </c>
      <c r="F1677" s="147">
        <v>2.57</v>
      </c>
      <c r="G1677" s="147">
        <v>11.43464</v>
      </c>
      <c r="H1677" s="147">
        <v>444.92762645914399</v>
      </c>
      <c r="I1677" s="729"/>
      <c r="J1677" s="147">
        <v>14.00464</v>
      </c>
      <c r="K1677" s="147">
        <v>0</v>
      </c>
      <c r="L1677" s="147">
        <v>75.257940000000005</v>
      </c>
      <c r="M1677" s="147">
        <v>30.84</v>
      </c>
      <c r="N1677" s="147">
        <v>44.417940000000002</v>
      </c>
      <c r="O1677" s="147">
        <v>144.02704280155643</v>
      </c>
      <c r="P1677" s="147">
        <v>33.489339999999999</v>
      </c>
      <c r="Q1677" s="147">
        <v>41.768599999999999</v>
      </c>
      <c r="R1677" s="147">
        <v>124.72207574111643</v>
      </c>
    </row>
    <row r="1678" spans="2:18" ht="15.75" hidden="1" thickBot="1" x14ac:dyDescent="0.3">
      <c r="B1678" s="725" t="s">
        <v>736</v>
      </c>
      <c r="C1678" s="722" t="s">
        <v>103</v>
      </c>
      <c r="D1678" t="s">
        <v>104</v>
      </c>
      <c r="E1678" s="728"/>
      <c r="F1678" s="728"/>
      <c r="G1678" s="728"/>
      <c r="H1678" s="728"/>
      <c r="I1678" s="728"/>
      <c r="J1678" s="728"/>
      <c r="K1678" s="728"/>
      <c r="L1678" s="148">
        <v>5.8999999999999997E-2</v>
      </c>
      <c r="M1678" s="728"/>
      <c r="N1678" s="148">
        <v>5.8999999999999997E-2</v>
      </c>
      <c r="O1678" s="148">
        <v>0</v>
      </c>
      <c r="P1678" s="728"/>
      <c r="Q1678" s="148">
        <v>5.8999999999999997E-2</v>
      </c>
      <c r="R1678" s="148">
        <v>0</v>
      </c>
    </row>
    <row r="1679" spans="2:18" ht="15.75" hidden="1" thickBot="1" x14ac:dyDescent="0.3">
      <c r="B1679" s="725" t="s">
        <v>736</v>
      </c>
      <c r="C1679" s="722" t="s">
        <v>71</v>
      </c>
      <c r="D1679" t="s">
        <v>72</v>
      </c>
      <c r="E1679" s="147">
        <v>0</v>
      </c>
      <c r="F1679" s="729"/>
      <c r="G1679" s="147">
        <v>0</v>
      </c>
      <c r="H1679" s="147">
        <v>0</v>
      </c>
      <c r="I1679" s="729"/>
      <c r="J1679" s="147">
        <v>0</v>
      </c>
      <c r="K1679" s="147">
        <v>0</v>
      </c>
      <c r="L1679" s="147">
        <v>0</v>
      </c>
      <c r="M1679" s="729"/>
      <c r="N1679" s="147">
        <v>0</v>
      </c>
      <c r="O1679" s="147">
        <v>0</v>
      </c>
      <c r="P1679" s="729"/>
      <c r="Q1679" s="147">
        <v>0</v>
      </c>
      <c r="R1679" s="147">
        <v>0</v>
      </c>
    </row>
    <row r="1680" spans="2:18" ht="15.75" hidden="1" thickBot="1" x14ac:dyDescent="0.3">
      <c r="B1680" s="725" t="s">
        <v>736</v>
      </c>
      <c r="C1680" s="722" t="s">
        <v>109</v>
      </c>
      <c r="D1680" t="s">
        <v>110</v>
      </c>
      <c r="E1680" s="728"/>
      <c r="F1680" s="728"/>
      <c r="G1680" s="728"/>
      <c r="H1680" s="728"/>
      <c r="I1680" s="728"/>
      <c r="J1680" s="728"/>
      <c r="K1680" s="728"/>
      <c r="L1680" s="148">
        <v>0.21251999999999999</v>
      </c>
      <c r="M1680" s="728"/>
      <c r="N1680" s="148">
        <v>0.21251999999999999</v>
      </c>
      <c r="O1680" s="148">
        <v>0</v>
      </c>
      <c r="P1680" s="148">
        <v>2.4979999999999999E-2</v>
      </c>
      <c r="Q1680" s="148">
        <v>0.18754000000000001</v>
      </c>
      <c r="R1680" s="148">
        <v>750.76060848678947</v>
      </c>
    </row>
    <row r="1681" spans="2:18" ht="15.75" hidden="1" thickBot="1" x14ac:dyDescent="0.3">
      <c r="B1681" s="725" t="s">
        <v>736</v>
      </c>
      <c r="C1681" s="722" t="s">
        <v>141</v>
      </c>
      <c r="D1681" t="s">
        <v>142</v>
      </c>
      <c r="E1681" s="729"/>
      <c r="F1681" s="729"/>
      <c r="G1681" s="729"/>
      <c r="H1681" s="729"/>
      <c r="I1681" s="729"/>
      <c r="J1681" s="729"/>
      <c r="K1681" s="729"/>
      <c r="L1681" s="147">
        <v>0.29563</v>
      </c>
      <c r="M1681" s="729"/>
      <c r="N1681" s="147">
        <v>0.29563</v>
      </c>
      <c r="O1681" s="147">
        <v>0</v>
      </c>
      <c r="P1681" s="147">
        <v>0.24016999999999999</v>
      </c>
      <c r="Q1681" s="147">
        <v>5.5460000000000002E-2</v>
      </c>
      <c r="R1681" s="147">
        <v>23.091976516634052</v>
      </c>
    </row>
    <row r="1682" spans="2:18" ht="15.75" hidden="1" thickBot="1" x14ac:dyDescent="0.3">
      <c r="B1682" s="725" t="s">
        <v>736</v>
      </c>
      <c r="C1682" s="722" t="s">
        <v>113</v>
      </c>
      <c r="D1682" t="s">
        <v>114</v>
      </c>
      <c r="E1682" s="728"/>
      <c r="F1682" s="728"/>
      <c r="G1682" s="728"/>
      <c r="H1682" s="728"/>
      <c r="I1682" s="728"/>
      <c r="J1682" s="728"/>
      <c r="K1682" s="728"/>
      <c r="L1682" s="148">
        <v>0.27861999999999998</v>
      </c>
      <c r="M1682" s="728"/>
      <c r="N1682" s="148">
        <v>0.27861999999999998</v>
      </c>
      <c r="O1682" s="148">
        <v>0</v>
      </c>
      <c r="P1682" s="728"/>
      <c r="Q1682" s="148">
        <v>0.27861999999999998</v>
      </c>
      <c r="R1682" s="148">
        <v>0</v>
      </c>
    </row>
    <row r="1683" spans="2:18" ht="15.75" hidden="1" thickBot="1" x14ac:dyDescent="0.3">
      <c r="B1683" s="725" t="s">
        <v>736</v>
      </c>
      <c r="C1683" s="722" t="s">
        <v>145</v>
      </c>
      <c r="D1683" t="s">
        <v>146</v>
      </c>
      <c r="E1683" s="729"/>
      <c r="F1683" s="729"/>
      <c r="G1683" s="729"/>
      <c r="H1683" s="729"/>
      <c r="I1683" s="729"/>
      <c r="J1683" s="729"/>
      <c r="K1683" s="729"/>
      <c r="L1683" s="147">
        <v>0.17599999999999999</v>
      </c>
      <c r="M1683" s="729"/>
      <c r="N1683" s="147">
        <v>0.17599999999999999</v>
      </c>
      <c r="O1683" s="147">
        <v>0</v>
      </c>
      <c r="P1683" s="729"/>
      <c r="Q1683" s="147">
        <v>0.17599999999999999</v>
      </c>
      <c r="R1683" s="147">
        <v>0</v>
      </c>
    </row>
    <row r="1684" spans="2:18" ht="15.75" hidden="1" thickBot="1" x14ac:dyDescent="0.3">
      <c r="B1684" s="725" t="s">
        <v>736</v>
      </c>
      <c r="C1684" s="722" t="s">
        <v>149</v>
      </c>
      <c r="D1684" t="s">
        <v>150</v>
      </c>
      <c r="E1684" s="728"/>
      <c r="F1684" s="728"/>
      <c r="G1684" s="728"/>
      <c r="H1684" s="728"/>
      <c r="I1684" s="728"/>
      <c r="J1684" s="728"/>
      <c r="K1684" s="728"/>
      <c r="L1684" s="148">
        <v>37</v>
      </c>
      <c r="M1684" s="728"/>
      <c r="N1684" s="148">
        <v>37</v>
      </c>
      <c r="O1684" s="148">
        <v>0</v>
      </c>
      <c r="P1684" s="148">
        <v>19</v>
      </c>
      <c r="Q1684" s="148">
        <v>18</v>
      </c>
      <c r="R1684" s="148">
        <v>94.736842105263165</v>
      </c>
    </row>
    <row r="1685" spans="2:18" ht="15.75" hidden="1" thickBot="1" x14ac:dyDescent="0.3">
      <c r="B1685" s="725" t="s">
        <v>736</v>
      </c>
      <c r="C1685" s="722" t="s">
        <v>75</v>
      </c>
      <c r="D1685" t="s">
        <v>76</v>
      </c>
      <c r="E1685" s="147">
        <v>1.13381</v>
      </c>
      <c r="F1685" s="147">
        <v>0.7</v>
      </c>
      <c r="G1685" s="147">
        <v>0.43380999999999997</v>
      </c>
      <c r="H1685" s="147">
        <v>61.972857142857144</v>
      </c>
      <c r="I1685" s="729"/>
      <c r="J1685" s="147">
        <v>1.13381</v>
      </c>
      <c r="K1685" s="147">
        <v>0</v>
      </c>
      <c r="L1685" s="147">
        <v>12.590120000000001</v>
      </c>
      <c r="M1685" s="147">
        <v>8.4</v>
      </c>
      <c r="N1685" s="147">
        <v>4.1901200000000003</v>
      </c>
      <c r="O1685" s="147">
        <v>49.882380952380956</v>
      </c>
      <c r="P1685" s="147">
        <v>4.2163300000000001</v>
      </c>
      <c r="Q1685" s="147">
        <v>8.3737899999999996</v>
      </c>
      <c r="R1685" s="147">
        <v>198.6037620394988</v>
      </c>
    </row>
    <row r="1686" spans="2:18" ht="15.75" hidden="1" thickBot="1" x14ac:dyDescent="0.3">
      <c r="B1686" s="725" t="s">
        <v>736</v>
      </c>
      <c r="C1686" s="722" t="s">
        <v>121</v>
      </c>
      <c r="D1686" t="s">
        <v>122</v>
      </c>
      <c r="E1686" s="728"/>
      <c r="F1686" s="728"/>
      <c r="G1686" s="728"/>
      <c r="H1686" s="728"/>
      <c r="I1686" s="728"/>
      <c r="J1686" s="728"/>
      <c r="K1686" s="728"/>
      <c r="L1686" s="148">
        <v>4.15557</v>
      </c>
      <c r="M1686" s="728"/>
      <c r="N1686" s="148">
        <v>4.15557</v>
      </c>
      <c r="O1686" s="148">
        <v>0</v>
      </c>
      <c r="P1686" s="148">
        <v>1.8333600000000001</v>
      </c>
      <c r="Q1686" s="148">
        <v>2.3222100000000001</v>
      </c>
      <c r="R1686" s="148">
        <v>126.66415761225291</v>
      </c>
    </row>
    <row r="1687" spans="2:18" ht="15.75" hidden="1" thickBot="1" x14ac:dyDescent="0.3">
      <c r="B1687" s="725" t="s">
        <v>736</v>
      </c>
      <c r="C1687" s="722" t="s">
        <v>77</v>
      </c>
      <c r="D1687" t="s">
        <v>78</v>
      </c>
      <c r="E1687" s="147">
        <v>0.74624999999999997</v>
      </c>
      <c r="F1687" s="147">
        <v>0</v>
      </c>
      <c r="G1687" s="147">
        <v>0.74624999999999997</v>
      </c>
      <c r="H1687" s="147">
        <v>0</v>
      </c>
      <c r="I1687" s="729"/>
      <c r="J1687" s="147">
        <v>0.74624999999999997</v>
      </c>
      <c r="K1687" s="147">
        <v>0</v>
      </c>
      <c r="L1687" s="147">
        <v>31.724550000000001</v>
      </c>
      <c r="M1687" s="147">
        <v>6.5499900000000002</v>
      </c>
      <c r="N1687" s="147">
        <v>25.17456</v>
      </c>
      <c r="O1687" s="147">
        <v>384.34501426719737</v>
      </c>
      <c r="P1687" s="147">
        <v>13.355399999999999</v>
      </c>
      <c r="Q1687" s="147">
        <v>18.369150000000001</v>
      </c>
      <c r="R1687" s="147">
        <v>137.54099465384789</v>
      </c>
    </row>
    <row r="1688" spans="2:18" ht="15.75" hidden="1" thickBot="1" x14ac:dyDescent="0.3">
      <c r="B1688" s="725" t="s">
        <v>736</v>
      </c>
      <c r="C1688" s="722" t="s">
        <v>79</v>
      </c>
      <c r="D1688" t="s">
        <v>80</v>
      </c>
      <c r="E1688" s="728"/>
      <c r="F1688" s="728"/>
      <c r="G1688" s="728"/>
      <c r="H1688" s="728"/>
      <c r="I1688" s="728"/>
      <c r="J1688" s="728"/>
      <c r="K1688" s="728"/>
      <c r="L1688" s="148">
        <v>4.5712599999999997</v>
      </c>
      <c r="M1688" s="728"/>
      <c r="N1688" s="148">
        <v>4.5712599999999997</v>
      </c>
      <c r="O1688" s="148">
        <v>0</v>
      </c>
      <c r="P1688" s="148">
        <v>3.07552</v>
      </c>
      <c r="Q1688" s="148">
        <v>1.4957400000000001</v>
      </c>
      <c r="R1688" s="148">
        <v>48.633726979502654</v>
      </c>
    </row>
    <row r="1689" spans="2:18" ht="15.75" hidden="1" thickBot="1" x14ac:dyDescent="0.3">
      <c r="B1689" s="725" t="s">
        <v>736</v>
      </c>
      <c r="C1689" s="149" t="s">
        <v>85</v>
      </c>
      <c r="D1689" t="s">
        <v>86</v>
      </c>
      <c r="E1689" s="147">
        <v>18.759699999999999</v>
      </c>
      <c r="F1689" s="147">
        <v>6.6427300000000002</v>
      </c>
      <c r="G1689" s="147">
        <v>12.11697</v>
      </c>
      <c r="H1689" s="147">
        <v>182.40949127843521</v>
      </c>
      <c r="I1689" s="729"/>
      <c r="J1689" s="147">
        <v>18.759699999999999</v>
      </c>
      <c r="K1689" s="147">
        <v>0</v>
      </c>
      <c r="L1689" s="147">
        <v>187.6831</v>
      </c>
      <c r="M1689" s="147">
        <v>82.890020000000007</v>
      </c>
      <c r="N1689" s="147">
        <v>104.79308</v>
      </c>
      <c r="O1689" s="147">
        <v>126.42424262896787</v>
      </c>
      <c r="P1689" s="147">
        <v>87.297560000000004</v>
      </c>
      <c r="Q1689" s="147">
        <v>100.38554000000001</v>
      </c>
      <c r="R1689" s="147">
        <v>114.99237779383525</v>
      </c>
    </row>
    <row r="1690" spans="2:18" ht="15.75" hidden="1" thickBot="1" x14ac:dyDescent="0.3">
      <c r="B1690" s="725" t="s">
        <v>736</v>
      </c>
      <c r="C1690" s="144" t="s">
        <v>87</v>
      </c>
      <c r="D1690" t="s">
        <v>87</v>
      </c>
      <c r="E1690" s="148">
        <v>298.97582</v>
      </c>
      <c r="F1690" s="148">
        <v>395.57591000000002</v>
      </c>
      <c r="G1690" s="148">
        <v>-96.600089999999994</v>
      </c>
      <c r="H1690" s="148">
        <v>-24.420114460458425</v>
      </c>
      <c r="I1690" s="728"/>
      <c r="J1690" s="148">
        <v>298.97582</v>
      </c>
      <c r="K1690" s="148">
        <v>0</v>
      </c>
      <c r="L1690" s="148">
        <v>4248.1748500000003</v>
      </c>
      <c r="M1690" s="148">
        <v>4725.6032999999998</v>
      </c>
      <c r="N1690" s="148">
        <v>-477.42845</v>
      </c>
      <c r="O1690" s="148">
        <v>-10.103015841384739</v>
      </c>
      <c r="P1690" s="148">
        <v>2336.9306700000002</v>
      </c>
      <c r="Q1690" s="148">
        <v>1911.2441799999999</v>
      </c>
      <c r="R1690" s="148">
        <v>81.784376598557799</v>
      </c>
    </row>
    <row r="1691" spans="2:18" ht="15.75" hidden="1" thickBot="1" x14ac:dyDescent="0.3">
      <c r="B1691" s="725" t="s">
        <v>737</v>
      </c>
      <c r="C1691" s="722" t="s">
        <v>59</v>
      </c>
      <c r="D1691" t="s">
        <v>60</v>
      </c>
      <c r="E1691" s="147">
        <v>58.85069</v>
      </c>
      <c r="F1691" s="147">
        <v>52.342840000000002</v>
      </c>
      <c r="G1691" s="147">
        <v>6.5078500000000004</v>
      </c>
      <c r="H1691" s="147">
        <v>12.433123613468432</v>
      </c>
      <c r="I1691" s="729"/>
      <c r="J1691" s="147">
        <v>58.85069</v>
      </c>
      <c r="K1691" s="147">
        <v>0</v>
      </c>
      <c r="L1691" s="147">
        <v>594.46894999999995</v>
      </c>
      <c r="M1691" s="147">
        <v>624.81888000000004</v>
      </c>
      <c r="N1691" s="147">
        <v>-30.349930000000001</v>
      </c>
      <c r="O1691" s="147">
        <v>-4.8573964346275833</v>
      </c>
      <c r="P1691" s="147">
        <v>240.88028</v>
      </c>
      <c r="Q1691" s="147">
        <v>353.58866999999998</v>
      </c>
      <c r="R1691" s="147">
        <v>146.79021047302004</v>
      </c>
    </row>
    <row r="1692" spans="2:18" ht="15.75" hidden="1" thickBot="1" x14ac:dyDescent="0.3">
      <c r="B1692" s="725" t="s">
        <v>737</v>
      </c>
      <c r="C1692" s="722" t="s">
        <v>134</v>
      </c>
      <c r="D1692" t="s">
        <v>135</v>
      </c>
      <c r="E1692" s="148">
        <v>1.5802499999999999</v>
      </c>
      <c r="F1692" s="728"/>
      <c r="G1692" s="148">
        <v>1.5802499999999999</v>
      </c>
      <c r="H1692" s="148">
        <v>0</v>
      </c>
      <c r="I1692" s="728"/>
      <c r="J1692" s="148">
        <v>1.5802499999999999</v>
      </c>
      <c r="K1692" s="148">
        <v>0</v>
      </c>
      <c r="L1692" s="148">
        <v>42.858130000000003</v>
      </c>
      <c r="M1692" s="728"/>
      <c r="N1692" s="148">
        <v>42.858130000000003</v>
      </c>
      <c r="O1692" s="148">
        <v>0</v>
      </c>
      <c r="P1692" s="148">
        <v>7.6266299999999996</v>
      </c>
      <c r="Q1692" s="148">
        <v>35.231499999999997</v>
      </c>
      <c r="R1692" s="148">
        <v>461.9537069452694</v>
      </c>
    </row>
    <row r="1693" spans="2:18" ht="15.75" hidden="1" thickBot="1" x14ac:dyDescent="0.3">
      <c r="B1693" s="725" t="s">
        <v>737</v>
      </c>
      <c r="C1693" s="722" t="s">
        <v>61</v>
      </c>
      <c r="D1693" t="s">
        <v>62</v>
      </c>
      <c r="E1693" s="147">
        <v>9.7309300000000007</v>
      </c>
      <c r="F1693" s="147">
        <v>8.1131399999999996</v>
      </c>
      <c r="G1693" s="147">
        <v>1.6177900000000001</v>
      </c>
      <c r="H1693" s="147">
        <v>19.94036834074107</v>
      </c>
      <c r="I1693" s="729"/>
      <c r="J1693" s="147">
        <v>9.7309300000000007</v>
      </c>
      <c r="K1693" s="147">
        <v>0</v>
      </c>
      <c r="L1693" s="147">
        <v>89.161090000000002</v>
      </c>
      <c r="M1693" s="147">
        <v>96.846919999999997</v>
      </c>
      <c r="N1693" s="147">
        <v>-7.6858300000000002</v>
      </c>
      <c r="O1693" s="147">
        <v>-7.936060331087452</v>
      </c>
      <c r="P1693" s="147">
        <v>35.265590000000003</v>
      </c>
      <c r="Q1693" s="147">
        <v>53.895499999999998</v>
      </c>
      <c r="R1693" s="147">
        <v>152.82744454296667</v>
      </c>
    </row>
    <row r="1694" spans="2:18" ht="15.75" hidden="1" thickBot="1" x14ac:dyDescent="0.3">
      <c r="B1694" s="725" t="s">
        <v>737</v>
      </c>
      <c r="C1694" s="722" t="s">
        <v>63</v>
      </c>
      <c r="D1694" t="s">
        <v>64</v>
      </c>
      <c r="E1694" s="148">
        <v>37.961939999999998</v>
      </c>
      <c r="F1694" s="148">
        <v>31.562729999999998</v>
      </c>
      <c r="G1694" s="148">
        <v>6.3992100000000001</v>
      </c>
      <c r="H1694" s="148">
        <v>20.274577009022984</v>
      </c>
      <c r="I1694" s="728"/>
      <c r="J1694" s="148">
        <v>37.961939999999998</v>
      </c>
      <c r="K1694" s="148">
        <v>0</v>
      </c>
      <c r="L1694" s="148">
        <v>349.09568000000002</v>
      </c>
      <c r="M1694" s="148">
        <v>376.76576</v>
      </c>
      <c r="N1694" s="148">
        <v>-27.670079999999999</v>
      </c>
      <c r="O1694" s="148">
        <v>-7.3441068530218878</v>
      </c>
      <c r="P1694" s="148">
        <v>136.76737</v>
      </c>
      <c r="Q1694" s="148">
        <v>212.32830999999999</v>
      </c>
      <c r="R1694" s="148">
        <v>155.2477831517854</v>
      </c>
    </row>
    <row r="1695" spans="2:18" ht="15.75" hidden="1" thickBot="1" x14ac:dyDescent="0.3">
      <c r="B1695" s="725" t="s">
        <v>737</v>
      </c>
      <c r="C1695" s="149" t="s">
        <v>67</v>
      </c>
      <c r="D1695" t="s">
        <v>68</v>
      </c>
      <c r="E1695" s="147">
        <v>108.12381000000001</v>
      </c>
      <c r="F1695" s="147">
        <v>92.018709999999999</v>
      </c>
      <c r="G1695" s="147">
        <v>16.1051</v>
      </c>
      <c r="H1695" s="147">
        <v>17.501984107362514</v>
      </c>
      <c r="I1695" s="729"/>
      <c r="J1695" s="147">
        <v>108.12381000000001</v>
      </c>
      <c r="K1695" s="147">
        <v>0</v>
      </c>
      <c r="L1695" s="147">
        <v>1075.58385</v>
      </c>
      <c r="M1695" s="147">
        <v>1098.43156</v>
      </c>
      <c r="N1695" s="147">
        <v>-22.847709999999999</v>
      </c>
      <c r="O1695" s="147">
        <v>-2.0800303662068851</v>
      </c>
      <c r="P1695" s="147">
        <v>420.53987000000001</v>
      </c>
      <c r="Q1695" s="147">
        <v>655.04398000000003</v>
      </c>
      <c r="R1695" s="147">
        <v>155.76263434903331</v>
      </c>
    </row>
    <row r="1696" spans="2:18" ht="15.75" hidden="1" thickBot="1" x14ac:dyDescent="0.3">
      <c r="B1696" s="725" t="s">
        <v>737</v>
      </c>
      <c r="C1696" s="722" t="s">
        <v>69</v>
      </c>
      <c r="D1696" t="s">
        <v>70</v>
      </c>
      <c r="E1696" s="148">
        <v>7.2</v>
      </c>
      <c r="F1696" s="148">
        <v>3.0363600000000002</v>
      </c>
      <c r="G1696" s="148">
        <v>4.16364</v>
      </c>
      <c r="H1696" s="148">
        <v>137.12603248626644</v>
      </c>
      <c r="I1696" s="728"/>
      <c r="J1696" s="148">
        <v>7.2</v>
      </c>
      <c r="K1696" s="148">
        <v>0</v>
      </c>
      <c r="L1696" s="148">
        <v>122.74609</v>
      </c>
      <c r="M1696" s="148">
        <v>33.39996</v>
      </c>
      <c r="N1696" s="148">
        <v>89.346130000000002</v>
      </c>
      <c r="O1696" s="148">
        <v>267.5037035972498</v>
      </c>
      <c r="P1696" s="148">
        <v>40.084040000000002</v>
      </c>
      <c r="Q1696" s="148">
        <v>82.662049999999994</v>
      </c>
      <c r="R1696" s="148">
        <v>206.22185288708422</v>
      </c>
    </row>
    <row r="1697" spans="2:18" ht="15.75" hidden="1" thickBot="1" x14ac:dyDescent="0.3">
      <c r="B1697" s="725" t="s">
        <v>737</v>
      </c>
      <c r="C1697" s="722" t="s">
        <v>99</v>
      </c>
      <c r="D1697" t="s">
        <v>100</v>
      </c>
      <c r="E1697" s="729"/>
      <c r="F1697" s="729"/>
      <c r="G1697" s="729"/>
      <c r="H1697" s="729"/>
      <c r="I1697" s="729"/>
      <c r="J1697" s="729"/>
      <c r="K1697" s="729"/>
      <c r="L1697" s="147">
        <v>-0.48208000000000001</v>
      </c>
      <c r="M1697" s="729"/>
      <c r="N1697" s="147">
        <v>-0.48208000000000001</v>
      </c>
      <c r="O1697" s="147">
        <v>0</v>
      </c>
      <c r="P1697" s="147">
        <v>-0.48208000000000001</v>
      </c>
      <c r="Q1697" s="147">
        <v>0</v>
      </c>
      <c r="R1697" s="147">
        <v>0</v>
      </c>
    </row>
    <row r="1698" spans="2:18" ht="15.75" hidden="1" thickBot="1" x14ac:dyDescent="0.3">
      <c r="B1698" s="725" t="s">
        <v>737</v>
      </c>
      <c r="C1698" s="722" t="s">
        <v>165</v>
      </c>
      <c r="D1698" t="s">
        <v>166</v>
      </c>
      <c r="E1698" s="728"/>
      <c r="F1698" s="728"/>
      <c r="G1698" s="728"/>
      <c r="H1698" s="728"/>
      <c r="I1698" s="728"/>
      <c r="J1698" s="728"/>
      <c r="K1698" s="728"/>
      <c r="L1698" s="148">
        <v>8.0229999999999996E-2</v>
      </c>
      <c r="M1698" s="728"/>
      <c r="N1698" s="148">
        <v>8.0229999999999996E-2</v>
      </c>
      <c r="O1698" s="148">
        <v>0</v>
      </c>
      <c r="P1698" s="148">
        <v>4.308E-2</v>
      </c>
      <c r="Q1698" s="148">
        <v>3.7150000000000002E-2</v>
      </c>
      <c r="R1698" s="148">
        <v>86.234911792014856</v>
      </c>
    </row>
    <row r="1699" spans="2:18" ht="15.75" hidden="1" thickBot="1" x14ac:dyDescent="0.3">
      <c r="B1699" s="725" t="s">
        <v>737</v>
      </c>
      <c r="C1699" s="722" t="s">
        <v>190</v>
      </c>
      <c r="D1699" t="s">
        <v>191</v>
      </c>
      <c r="E1699" s="729"/>
      <c r="F1699" s="729"/>
      <c r="G1699" s="729"/>
      <c r="H1699" s="729"/>
      <c r="I1699" s="729"/>
      <c r="J1699" s="729"/>
      <c r="K1699" s="729"/>
      <c r="L1699" s="147">
        <v>0</v>
      </c>
      <c r="M1699" s="729"/>
      <c r="N1699" s="147">
        <v>0</v>
      </c>
      <c r="O1699" s="147">
        <v>0</v>
      </c>
      <c r="P1699" s="729"/>
      <c r="Q1699" s="147">
        <v>0</v>
      </c>
      <c r="R1699" s="147">
        <v>0</v>
      </c>
    </row>
    <row r="1700" spans="2:18" ht="15.75" hidden="1" thickBot="1" x14ac:dyDescent="0.3">
      <c r="B1700" s="725" t="s">
        <v>737</v>
      </c>
      <c r="C1700" s="722" t="s">
        <v>598</v>
      </c>
      <c r="D1700" t="s">
        <v>168</v>
      </c>
      <c r="E1700" s="148">
        <v>0.11508</v>
      </c>
      <c r="F1700" s="728"/>
      <c r="G1700" s="148">
        <v>0.11508</v>
      </c>
      <c r="H1700" s="148">
        <v>0</v>
      </c>
      <c r="I1700" s="728"/>
      <c r="J1700" s="148">
        <v>0.11508</v>
      </c>
      <c r="K1700" s="148">
        <v>0</v>
      </c>
      <c r="L1700" s="148">
        <v>0.13900000000000001</v>
      </c>
      <c r="M1700" s="728"/>
      <c r="N1700" s="148">
        <v>0.13900000000000001</v>
      </c>
      <c r="O1700" s="148">
        <v>0</v>
      </c>
      <c r="P1700" s="148">
        <v>2.392E-2</v>
      </c>
      <c r="Q1700" s="148">
        <v>0.11508</v>
      </c>
      <c r="R1700" s="148">
        <v>481.10367892976586</v>
      </c>
    </row>
    <row r="1701" spans="2:18" ht="15.75" hidden="1" thickBot="1" x14ac:dyDescent="0.3">
      <c r="B1701" s="725" t="s">
        <v>737</v>
      </c>
      <c r="C1701" s="722" t="s">
        <v>139</v>
      </c>
      <c r="D1701" t="s">
        <v>140</v>
      </c>
      <c r="E1701" s="729"/>
      <c r="F1701" s="729"/>
      <c r="G1701" s="729"/>
      <c r="H1701" s="729"/>
      <c r="I1701" s="729"/>
      <c r="J1701" s="729"/>
      <c r="K1701" s="729"/>
      <c r="L1701" s="147">
        <v>1.2410000000000001</v>
      </c>
      <c r="M1701" s="729"/>
      <c r="N1701" s="147">
        <v>1.2410000000000001</v>
      </c>
      <c r="O1701" s="147">
        <v>0</v>
      </c>
      <c r="P1701" s="147">
        <v>0.496</v>
      </c>
      <c r="Q1701" s="147">
        <v>0.745</v>
      </c>
      <c r="R1701" s="147">
        <v>150.20161290322579</v>
      </c>
    </row>
    <row r="1702" spans="2:18" ht="15.75" hidden="1" thickBot="1" x14ac:dyDescent="0.3">
      <c r="B1702" s="725" t="s">
        <v>737</v>
      </c>
      <c r="C1702" s="722" t="s">
        <v>101</v>
      </c>
      <c r="D1702" t="s">
        <v>102</v>
      </c>
      <c r="E1702" s="148">
        <v>96.221879999999999</v>
      </c>
      <c r="F1702" s="148">
        <v>34.941630000000004</v>
      </c>
      <c r="G1702" s="148">
        <v>61.280250000000002</v>
      </c>
      <c r="H1702" s="148">
        <v>175.37891048585885</v>
      </c>
      <c r="I1702" s="728"/>
      <c r="J1702" s="148">
        <v>96.221879999999999</v>
      </c>
      <c r="K1702" s="148">
        <v>0</v>
      </c>
      <c r="L1702" s="148">
        <v>1164.1268</v>
      </c>
      <c r="M1702" s="148">
        <v>419.3</v>
      </c>
      <c r="N1702" s="148">
        <v>744.82680000000005</v>
      </c>
      <c r="O1702" s="148">
        <v>177.63577390889577</v>
      </c>
      <c r="P1702" s="148">
        <v>497.24540999999999</v>
      </c>
      <c r="Q1702" s="148">
        <v>666.88139000000001</v>
      </c>
      <c r="R1702" s="148">
        <v>134.11514246054077</v>
      </c>
    </row>
    <row r="1703" spans="2:18" ht="15.75" hidden="1" thickBot="1" x14ac:dyDescent="0.3">
      <c r="B1703" s="725" t="s">
        <v>737</v>
      </c>
      <c r="C1703" s="722" t="s">
        <v>103</v>
      </c>
      <c r="D1703" t="s">
        <v>104</v>
      </c>
      <c r="E1703" s="729"/>
      <c r="F1703" s="729"/>
      <c r="G1703" s="729"/>
      <c r="H1703" s="729"/>
      <c r="I1703" s="729"/>
      <c r="J1703" s="729"/>
      <c r="K1703" s="729"/>
      <c r="L1703" s="147">
        <v>1.3654299999999999</v>
      </c>
      <c r="M1703" s="729"/>
      <c r="N1703" s="147">
        <v>1.3654299999999999</v>
      </c>
      <c r="O1703" s="147">
        <v>0</v>
      </c>
      <c r="P1703" s="147">
        <v>1.0407299999999999</v>
      </c>
      <c r="Q1703" s="147">
        <v>0.32469999999999999</v>
      </c>
      <c r="R1703" s="147">
        <v>31.199254369529079</v>
      </c>
    </row>
    <row r="1704" spans="2:18" ht="15.75" hidden="1" thickBot="1" x14ac:dyDescent="0.3">
      <c r="B1704" s="725" t="s">
        <v>737</v>
      </c>
      <c r="C1704" s="722" t="s">
        <v>109</v>
      </c>
      <c r="D1704" t="s">
        <v>110</v>
      </c>
      <c r="E1704" s="148">
        <v>1.137E-2</v>
      </c>
      <c r="F1704" s="148">
        <v>0.1</v>
      </c>
      <c r="G1704" s="148">
        <v>-8.863E-2</v>
      </c>
      <c r="H1704" s="148">
        <v>-88.63</v>
      </c>
      <c r="I1704" s="728"/>
      <c r="J1704" s="148">
        <v>1.137E-2</v>
      </c>
      <c r="K1704" s="148">
        <v>0</v>
      </c>
      <c r="L1704" s="148">
        <v>0.14304</v>
      </c>
      <c r="M1704" s="148">
        <v>1.2</v>
      </c>
      <c r="N1704" s="148">
        <v>-1.0569599999999999</v>
      </c>
      <c r="O1704" s="148">
        <v>-88.08</v>
      </c>
      <c r="P1704" s="728"/>
      <c r="Q1704" s="148">
        <v>0.14304</v>
      </c>
      <c r="R1704" s="148">
        <v>0</v>
      </c>
    </row>
    <row r="1705" spans="2:18" ht="15.75" hidden="1" thickBot="1" x14ac:dyDescent="0.3">
      <c r="B1705" s="725" t="s">
        <v>737</v>
      </c>
      <c r="C1705" s="722" t="s">
        <v>73</v>
      </c>
      <c r="D1705" t="s">
        <v>74</v>
      </c>
      <c r="E1705" s="147">
        <v>0.77756999999999998</v>
      </c>
      <c r="F1705" s="147">
        <v>0.5</v>
      </c>
      <c r="G1705" s="147">
        <v>0.27756999999999998</v>
      </c>
      <c r="H1705" s="147">
        <v>55.514000000000003</v>
      </c>
      <c r="I1705" s="729"/>
      <c r="J1705" s="147">
        <v>0.77756999999999998</v>
      </c>
      <c r="K1705" s="147">
        <v>0</v>
      </c>
      <c r="L1705" s="147">
        <v>6.1632400000000001</v>
      </c>
      <c r="M1705" s="147">
        <v>6</v>
      </c>
      <c r="N1705" s="147">
        <v>0.16324</v>
      </c>
      <c r="O1705" s="147">
        <v>2.7206666666666668</v>
      </c>
      <c r="P1705" s="147">
        <v>1.6778299999999999</v>
      </c>
      <c r="Q1705" s="147">
        <v>4.4854099999999999</v>
      </c>
      <c r="R1705" s="147">
        <v>267.33399688883856</v>
      </c>
    </row>
    <row r="1706" spans="2:18" ht="15.75" hidden="1" thickBot="1" x14ac:dyDescent="0.3">
      <c r="B1706" s="725" t="s">
        <v>737</v>
      </c>
      <c r="C1706" s="722" t="s">
        <v>141</v>
      </c>
      <c r="D1706" t="s">
        <v>142</v>
      </c>
      <c r="E1706" s="148">
        <v>8.9709999999999998E-2</v>
      </c>
      <c r="F1706" s="728"/>
      <c r="G1706" s="148">
        <v>8.9709999999999998E-2</v>
      </c>
      <c r="H1706" s="148">
        <v>0</v>
      </c>
      <c r="I1706" s="728"/>
      <c r="J1706" s="148">
        <v>8.9709999999999998E-2</v>
      </c>
      <c r="K1706" s="148">
        <v>0</v>
      </c>
      <c r="L1706" s="148">
        <v>1.1932</v>
      </c>
      <c r="M1706" s="728"/>
      <c r="N1706" s="148">
        <v>1.1932</v>
      </c>
      <c r="O1706" s="148">
        <v>0</v>
      </c>
      <c r="P1706" s="148">
        <v>0.92630000000000001</v>
      </c>
      <c r="Q1706" s="148">
        <v>0.26690000000000003</v>
      </c>
      <c r="R1706" s="148">
        <v>28.8135593220339</v>
      </c>
    </row>
    <row r="1707" spans="2:18" ht="15.75" hidden="1" thickBot="1" x14ac:dyDescent="0.3">
      <c r="B1707" s="725" t="s">
        <v>737</v>
      </c>
      <c r="C1707" s="722" t="s">
        <v>113</v>
      </c>
      <c r="D1707" t="s">
        <v>114</v>
      </c>
      <c r="E1707" s="147">
        <v>0.14129</v>
      </c>
      <c r="F1707" s="147">
        <v>0.6</v>
      </c>
      <c r="G1707" s="147">
        <v>-0.45871000000000001</v>
      </c>
      <c r="H1707" s="147">
        <v>-76.451666666666668</v>
      </c>
      <c r="I1707" s="729"/>
      <c r="J1707" s="147">
        <v>0.14129</v>
      </c>
      <c r="K1707" s="147">
        <v>0</v>
      </c>
      <c r="L1707" s="147">
        <v>5.7134200000000002</v>
      </c>
      <c r="M1707" s="147">
        <v>7.2</v>
      </c>
      <c r="N1707" s="147">
        <v>-1.48658</v>
      </c>
      <c r="O1707" s="147">
        <v>-20.646944444444443</v>
      </c>
      <c r="P1707" s="147">
        <v>4.1514699999999998</v>
      </c>
      <c r="Q1707" s="147">
        <v>1.5619499999999999</v>
      </c>
      <c r="R1707" s="147">
        <v>37.624022334257504</v>
      </c>
    </row>
    <row r="1708" spans="2:18" ht="15.75" hidden="1" thickBot="1" x14ac:dyDescent="0.3">
      <c r="B1708" s="725" t="s">
        <v>737</v>
      </c>
      <c r="C1708" s="722" t="s">
        <v>145</v>
      </c>
      <c r="D1708" t="s">
        <v>146</v>
      </c>
      <c r="E1708" s="148">
        <v>0.22</v>
      </c>
      <c r="F1708" s="148">
        <v>0.14000000000000001</v>
      </c>
      <c r="G1708" s="148">
        <v>0.08</v>
      </c>
      <c r="H1708" s="148">
        <v>57.142857142857146</v>
      </c>
      <c r="I1708" s="728"/>
      <c r="J1708" s="148">
        <v>0.22</v>
      </c>
      <c r="K1708" s="148">
        <v>0</v>
      </c>
      <c r="L1708" s="148">
        <v>1.966</v>
      </c>
      <c r="M1708" s="148">
        <v>1.68</v>
      </c>
      <c r="N1708" s="148">
        <v>0.28599999999999998</v>
      </c>
      <c r="O1708" s="148">
        <v>17.023809523809526</v>
      </c>
      <c r="P1708" s="148">
        <v>0.72</v>
      </c>
      <c r="Q1708" s="148">
        <v>1.246</v>
      </c>
      <c r="R1708" s="148">
        <v>173.05555555555554</v>
      </c>
    </row>
    <row r="1709" spans="2:18" ht="15.75" hidden="1" thickBot="1" x14ac:dyDescent="0.3">
      <c r="B1709" s="725" t="s">
        <v>737</v>
      </c>
      <c r="C1709" s="722" t="s">
        <v>149</v>
      </c>
      <c r="D1709" t="s">
        <v>150</v>
      </c>
      <c r="E1709" s="729"/>
      <c r="F1709" s="147">
        <v>0</v>
      </c>
      <c r="G1709" s="147">
        <v>0</v>
      </c>
      <c r="H1709" s="147">
        <v>0</v>
      </c>
      <c r="I1709" s="729"/>
      <c r="J1709" s="729"/>
      <c r="K1709" s="729"/>
      <c r="L1709" s="147">
        <v>191.09470999999999</v>
      </c>
      <c r="M1709" s="147">
        <v>156.19999999999999</v>
      </c>
      <c r="N1709" s="147">
        <v>34.894710000000003</v>
      </c>
      <c r="O1709" s="147">
        <v>22.339763124199745</v>
      </c>
      <c r="P1709" s="147">
        <v>127.55</v>
      </c>
      <c r="Q1709" s="147">
        <v>63.544710000000002</v>
      </c>
      <c r="R1709" s="147">
        <v>49.819451195609567</v>
      </c>
    </row>
    <row r="1710" spans="2:18" ht="15.75" hidden="1" thickBot="1" x14ac:dyDescent="0.3">
      <c r="B1710" s="725" t="s">
        <v>737</v>
      </c>
      <c r="C1710" s="722" t="s">
        <v>661</v>
      </c>
      <c r="D1710" t="s">
        <v>662</v>
      </c>
      <c r="E1710" s="728"/>
      <c r="F1710" s="728"/>
      <c r="G1710" s="728"/>
      <c r="H1710" s="728"/>
      <c r="I1710" s="728"/>
      <c r="J1710" s="728"/>
      <c r="K1710" s="728"/>
      <c r="L1710" s="148">
        <v>45.404020000000003</v>
      </c>
      <c r="M1710" s="728"/>
      <c r="N1710" s="148">
        <v>45.404020000000003</v>
      </c>
      <c r="O1710" s="148">
        <v>0</v>
      </c>
      <c r="P1710" s="148">
        <v>45.404020000000003</v>
      </c>
      <c r="Q1710" s="148">
        <v>0</v>
      </c>
      <c r="R1710" s="148">
        <v>0</v>
      </c>
    </row>
    <row r="1711" spans="2:18" ht="15.75" hidden="1" thickBot="1" x14ac:dyDescent="0.3">
      <c r="B1711" s="725" t="s">
        <v>737</v>
      </c>
      <c r="C1711" s="722" t="s">
        <v>75</v>
      </c>
      <c r="D1711" t="s">
        <v>76</v>
      </c>
      <c r="E1711" s="147">
        <v>0.46165</v>
      </c>
      <c r="F1711" s="147">
        <v>0.55000000000000004</v>
      </c>
      <c r="G1711" s="147">
        <v>-8.8349999999999998E-2</v>
      </c>
      <c r="H1711" s="147">
        <v>-16.063636363636363</v>
      </c>
      <c r="I1711" s="729"/>
      <c r="J1711" s="147">
        <v>0.46165</v>
      </c>
      <c r="K1711" s="147">
        <v>0</v>
      </c>
      <c r="L1711" s="147">
        <v>4.2633900000000002</v>
      </c>
      <c r="M1711" s="147">
        <v>6.6</v>
      </c>
      <c r="N1711" s="147">
        <v>-2.3366099999999999</v>
      </c>
      <c r="O1711" s="147">
        <v>-35.403181818181821</v>
      </c>
      <c r="P1711" s="147">
        <v>1.83684</v>
      </c>
      <c r="Q1711" s="147">
        <v>2.4265500000000002</v>
      </c>
      <c r="R1711" s="147">
        <v>132.10459267002025</v>
      </c>
    </row>
    <row r="1712" spans="2:18" ht="15.75" hidden="1" thickBot="1" x14ac:dyDescent="0.3">
      <c r="B1712" s="725" t="s">
        <v>737</v>
      </c>
      <c r="C1712" s="722" t="s">
        <v>77</v>
      </c>
      <c r="D1712" t="s">
        <v>78</v>
      </c>
      <c r="E1712" s="148">
        <v>0</v>
      </c>
      <c r="F1712" s="148">
        <v>3.90909</v>
      </c>
      <c r="G1712" s="148">
        <v>-3.90909</v>
      </c>
      <c r="H1712" s="148">
        <v>-100</v>
      </c>
      <c r="I1712" s="728"/>
      <c r="J1712" s="148">
        <v>0</v>
      </c>
      <c r="K1712" s="148">
        <v>0</v>
      </c>
      <c r="L1712" s="148">
        <v>16.854959999999998</v>
      </c>
      <c r="M1712" s="148">
        <v>42.999989999999997</v>
      </c>
      <c r="N1712" s="148">
        <v>-26.145029999999998</v>
      </c>
      <c r="O1712" s="148">
        <v>-60.80240948893244</v>
      </c>
      <c r="P1712" s="148">
        <v>7.0763499999999997</v>
      </c>
      <c r="Q1712" s="148">
        <v>9.7786100000000005</v>
      </c>
      <c r="R1712" s="148">
        <v>138.18720102877896</v>
      </c>
    </row>
    <row r="1713" spans="2:18" ht="15.75" hidden="1" thickBot="1" x14ac:dyDescent="0.3">
      <c r="B1713" s="725" t="s">
        <v>737</v>
      </c>
      <c r="C1713" s="722" t="s">
        <v>79</v>
      </c>
      <c r="D1713" t="s">
        <v>80</v>
      </c>
      <c r="E1713" s="729"/>
      <c r="F1713" s="729"/>
      <c r="G1713" s="729"/>
      <c r="H1713" s="729"/>
      <c r="I1713" s="729"/>
      <c r="J1713" s="729"/>
      <c r="K1713" s="729"/>
      <c r="L1713" s="147">
        <v>0.42903000000000002</v>
      </c>
      <c r="M1713" s="729"/>
      <c r="N1713" s="147">
        <v>0.42903000000000002</v>
      </c>
      <c r="O1713" s="147">
        <v>0</v>
      </c>
      <c r="P1713" s="147">
        <v>0.21990999999999999</v>
      </c>
      <c r="Q1713" s="147">
        <v>0.20912</v>
      </c>
      <c r="R1713" s="147">
        <v>95.093447319357921</v>
      </c>
    </row>
    <row r="1714" spans="2:18" ht="15.75" hidden="1" thickBot="1" x14ac:dyDescent="0.3">
      <c r="B1714" s="725" t="s">
        <v>737</v>
      </c>
      <c r="C1714" s="722" t="s">
        <v>81</v>
      </c>
      <c r="D1714" t="s">
        <v>82</v>
      </c>
      <c r="E1714" s="148">
        <v>0.69120000000000004</v>
      </c>
      <c r="F1714" s="148">
        <v>0.6</v>
      </c>
      <c r="G1714" s="148">
        <v>9.1200000000000003E-2</v>
      </c>
      <c r="H1714" s="148">
        <v>15.2</v>
      </c>
      <c r="I1714" s="728"/>
      <c r="J1714" s="148">
        <v>0.69120000000000004</v>
      </c>
      <c r="K1714" s="148">
        <v>0</v>
      </c>
      <c r="L1714" s="148">
        <v>0.96569000000000005</v>
      </c>
      <c r="M1714" s="148">
        <v>7.2</v>
      </c>
      <c r="N1714" s="148">
        <v>-6.2343099999999998</v>
      </c>
      <c r="O1714" s="148">
        <v>-86.58763888888889</v>
      </c>
      <c r="P1714" s="148">
        <v>0.20799000000000001</v>
      </c>
      <c r="Q1714" s="148">
        <v>0.75770000000000004</v>
      </c>
      <c r="R1714" s="148">
        <v>364.29636040194242</v>
      </c>
    </row>
    <row r="1715" spans="2:18" ht="15.75" hidden="1" thickBot="1" x14ac:dyDescent="0.3">
      <c r="B1715" s="725" t="s">
        <v>737</v>
      </c>
      <c r="C1715" s="722" t="s">
        <v>123</v>
      </c>
      <c r="D1715" t="s">
        <v>124</v>
      </c>
      <c r="E1715" s="147">
        <v>5.1832099999999999</v>
      </c>
      <c r="F1715" s="147">
        <v>5</v>
      </c>
      <c r="G1715" s="147">
        <v>0.18321000000000001</v>
      </c>
      <c r="H1715" s="147">
        <v>3.6642000000000001</v>
      </c>
      <c r="I1715" s="729"/>
      <c r="J1715" s="147">
        <v>5.1832099999999999</v>
      </c>
      <c r="K1715" s="147">
        <v>0</v>
      </c>
      <c r="L1715" s="147">
        <v>8.5560399999999994</v>
      </c>
      <c r="M1715" s="147">
        <v>9</v>
      </c>
      <c r="N1715" s="147">
        <v>-0.44396000000000002</v>
      </c>
      <c r="O1715" s="147">
        <v>-4.9328888888888889</v>
      </c>
      <c r="P1715" s="147">
        <v>1.0353600000000001</v>
      </c>
      <c r="Q1715" s="147">
        <v>7.5206799999999996</v>
      </c>
      <c r="R1715" s="147">
        <v>726.3830938031216</v>
      </c>
    </row>
    <row r="1716" spans="2:18" ht="15.75" hidden="1" thickBot="1" x14ac:dyDescent="0.3">
      <c r="B1716" s="725" t="s">
        <v>737</v>
      </c>
      <c r="C1716" s="722" t="s">
        <v>125</v>
      </c>
      <c r="D1716" t="s">
        <v>126</v>
      </c>
      <c r="E1716" s="148">
        <v>7.4999999999999997E-2</v>
      </c>
      <c r="F1716" s="728"/>
      <c r="G1716" s="148">
        <v>7.4999999999999997E-2</v>
      </c>
      <c r="H1716" s="148">
        <v>0</v>
      </c>
      <c r="I1716" s="728"/>
      <c r="J1716" s="148">
        <v>7.4999999999999997E-2</v>
      </c>
      <c r="K1716" s="148">
        <v>0</v>
      </c>
      <c r="L1716" s="148">
        <v>7.4999999999999997E-2</v>
      </c>
      <c r="M1716" s="728"/>
      <c r="N1716" s="148">
        <v>7.4999999999999997E-2</v>
      </c>
      <c r="O1716" s="148">
        <v>0</v>
      </c>
      <c r="P1716" s="728"/>
      <c r="Q1716" s="148">
        <v>7.4999999999999997E-2</v>
      </c>
      <c r="R1716" s="148">
        <v>0</v>
      </c>
    </row>
    <row r="1717" spans="2:18" ht="15.75" hidden="1" thickBot="1" x14ac:dyDescent="0.3">
      <c r="B1717" s="725" t="s">
        <v>737</v>
      </c>
      <c r="C1717" s="149" t="s">
        <v>85</v>
      </c>
      <c r="D1717" t="s">
        <v>86</v>
      </c>
      <c r="E1717" s="147">
        <v>111.18796</v>
      </c>
      <c r="F1717" s="147">
        <v>49.377079999999999</v>
      </c>
      <c r="G1717" s="147">
        <v>61.810879999999997</v>
      </c>
      <c r="H1717" s="147">
        <v>125.18131894393107</v>
      </c>
      <c r="I1717" s="729"/>
      <c r="J1717" s="147">
        <v>111.18796</v>
      </c>
      <c r="K1717" s="147">
        <v>0</v>
      </c>
      <c r="L1717" s="147">
        <v>1572.0382099999999</v>
      </c>
      <c r="M1717" s="147">
        <v>690.77994999999999</v>
      </c>
      <c r="N1717" s="147">
        <v>881.25825999999995</v>
      </c>
      <c r="O1717" s="147">
        <v>127.57438313025733</v>
      </c>
      <c r="P1717" s="147">
        <v>729.25716999999997</v>
      </c>
      <c r="Q1717" s="147">
        <v>842.78103999999996</v>
      </c>
      <c r="R1717" s="147">
        <v>115.56705572054918</v>
      </c>
    </row>
    <row r="1718" spans="2:18" ht="15.75" hidden="1" thickBot="1" x14ac:dyDescent="0.3">
      <c r="B1718" s="725" t="s">
        <v>737</v>
      </c>
      <c r="C1718" s="144" t="s">
        <v>87</v>
      </c>
      <c r="D1718" t="s">
        <v>87</v>
      </c>
      <c r="E1718" s="148">
        <v>219.31177</v>
      </c>
      <c r="F1718" s="148">
        <v>141.39579000000001</v>
      </c>
      <c r="G1718" s="148">
        <v>77.915980000000005</v>
      </c>
      <c r="H1718" s="148">
        <v>55.104879713886817</v>
      </c>
      <c r="I1718" s="728"/>
      <c r="J1718" s="148">
        <v>219.31177</v>
      </c>
      <c r="K1718" s="148">
        <v>0</v>
      </c>
      <c r="L1718" s="148">
        <v>2647.6220600000001</v>
      </c>
      <c r="M1718" s="148">
        <v>1789.2115100000001</v>
      </c>
      <c r="N1718" s="148">
        <v>858.41054999999994</v>
      </c>
      <c r="O1718" s="148">
        <v>47.977030395920046</v>
      </c>
      <c r="P1718" s="148">
        <v>1149.7970399999999</v>
      </c>
      <c r="Q1718" s="148">
        <v>1497.82502</v>
      </c>
      <c r="R1718" s="148">
        <v>130.26864462966438</v>
      </c>
    </row>
    <row r="1719" spans="2:18" ht="15.75" hidden="1" thickBot="1" x14ac:dyDescent="0.3">
      <c r="B1719" s="725" t="s">
        <v>738</v>
      </c>
      <c r="C1719" s="722" t="s">
        <v>77</v>
      </c>
      <c r="D1719" t="s">
        <v>78</v>
      </c>
      <c r="E1719" s="729"/>
      <c r="F1719" s="729"/>
      <c r="G1719" s="729"/>
      <c r="H1719" s="729"/>
      <c r="I1719" s="729"/>
      <c r="J1719" s="729"/>
      <c r="K1719" s="729"/>
      <c r="L1719" s="147">
        <v>2.1163699999999999</v>
      </c>
      <c r="M1719" s="729"/>
      <c r="N1719" s="147">
        <v>2.1163699999999999</v>
      </c>
      <c r="O1719" s="147">
        <v>0</v>
      </c>
      <c r="P1719" s="147">
        <v>1.1614</v>
      </c>
      <c r="Q1719" s="147">
        <v>0.95496999999999999</v>
      </c>
      <c r="R1719" s="147">
        <v>82.225762011365589</v>
      </c>
    </row>
    <row r="1720" spans="2:18" ht="15.75" hidden="1" thickBot="1" x14ac:dyDescent="0.3">
      <c r="B1720" s="725" t="s">
        <v>738</v>
      </c>
      <c r="C1720" s="149" t="s">
        <v>85</v>
      </c>
      <c r="D1720" t="s">
        <v>86</v>
      </c>
      <c r="E1720" s="728"/>
      <c r="F1720" s="728"/>
      <c r="G1720" s="728"/>
      <c r="H1720" s="728"/>
      <c r="I1720" s="728"/>
      <c r="J1720" s="728"/>
      <c r="K1720" s="728"/>
      <c r="L1720" s="148">
        <v>2.1163699999999999</v>
      </c>
      <c r="M1720" s="728"/>
      <c r="N1720" s="148">
        <v>2.1163699999999999</v>
      </c>
      <c r="O1720" s="148">
        <v>0</v>
      </c>
      <c r="P1720" s="148">
        <v>1.1614</v>
      </c>
      <c r="Q1720" s="148">
        <v>0.95496999999999999</v>
      </c>
      <c r="R1720" s="148">
        <v>82.225762011365589</v>
      </c>
    </row>
    <row r="1721" spans="2:18" ht="15.75" hidden="1" thickBot="1" x14ac:dyDescent="0.3">
      <c r="B1721" s="725" t="s">
        <v>738</v>
      </c>
      <c r="C1721" s="144" t="s">
        <v>87</v>
      </c>
      <c r="D1721" t="s">
        <v>87</v>
      </c>
      <c r="E1721" s="729"/>
      <c r="F1721" s="729"/>
      <c r="G1721" s="729"/>
      <c r="H1721" s="729"/>
      <c r="I1721" s="729"/>
      <c r="J1721" s="729"/>
      <c r="K1721" s="729"/>
      <c r="L1721" s="147">
        <v>2.1163699999999999</v>
      </c>
      <c r="M1721" s="729"/>
      <c r="N1721" s="147">
        <v>2.1163699999999999</v>
      </c>
      <c r="O1721" s="147">
        <v>0</v>
      </c>
      <c r="P1721" s="147">
        <v>1.1614</v>
      </c>
      <c r="Q1721" s="147">
        <v>0.95496999999999999</v>
      </c>
      <c r="R1721" s="147">
        <v>82.225762011365589</v>
      </c>
    </row>
    <row r="1722" spans="2:18" ht="15.75" hidden="1" thickBot="1" x14ac:dyDescent="0.3">
      <c r="B1722" s="725" t="s">
        <v>739</v>
      </c>
      <c r="C1722" s="722" t="s">
        <v>59</v>
      </c>
      <c r="D1722" t="s">
        <v>60</v>
      </c>
      <c r="E1722" s="148">
        <v>129.00322</v>
      </c>
      <c r="F1722" s="148">
        <v>117.59623999999999</v>
      </c>
      <c r="G1722" s="148">
        <v>11.406980000000001</v>
      </c>
      <c r="H1722" s="148">
        <v>9.700123065159227</v>
      </c>
      <c r="I1722" s="728"/>
      <c r="J1722" s="148">
        <v>129.00322</v>
      </c>
      <c r="K1722" s="148">
        <v>0</v>
      </c>
      <c r="L1722" s="148">
        <v>1424.9113299999999</v>
      </c>
      <c r="M1722" s="148">
        <v>1403.75172</v>
      </c>
      <c r="N1722" s="148">
        <v>21.159610000000001</v>
      </c>
      <c r="O1722" s="148">
        <v>1.5073612875074518</v>
      </c>
      <c r="P1722" s="148">
        <v>705.97556999999995</v>
      </c>
      <c r="Q1722" s="148">
        <v>718.93575999999996</v>
      </c>
      <c r="R1722" s="148">
        <v>101.83578448755671</v>
      </c>
    </row>
    <row r="1723" spans="2:18" ht="15.75" hidden="1" thickBot="1" x14ac:dyDescent="0.3">
      <c r="B1723" s="725" t="s">
        <v>739</v>
      </c>
      <c r="C1723" s="722" t="s">
        <v>134</v>
      </c>
      <c r="D1723" t="s">
        <v>135</v>
      </c>
      <c r="E1723" s="147">
        <v>2.8741500000000002</v>
      </c>
      <c r="F1723" s="729"/>
      <c r="G1723" s="147">
        <v>2.8741500000000002</v>
      </c>
      <c r="H1723" s="147">
        <v>0</v>
      </c>
      <c r="I1723" s="729"/>
      <c r="J1723" s="147">
        <v>2.8741500000000002</v>
      </c>
      <c r="K1723" s="147">
        <v>0</v>
      </c>
      <c r="L1723" s="147">
        <v>1.9741500000000001</v>
      </c>
      <c r="M1723" s="729"/>
      <c r="N1723" s="147">
        <v>1.9741500000000001</v>
      </c>
      <c r="O1723" s="147">
        <v>0</v>
      </c>
      <c r="P1723" s="147">
        <v>-0.9</v>
      </c>
      <c r="Q1723" s="147">
        <v>2.8741500000000002</v>
      </c>
      <c r="R1723" s="147">
        <v>319.35000000000002</v>
      </c>
    </row>
    <row r="1724" spans="2:18" ht="15.75" hidden="1" thickBot="1" x14ac:dyDescent="0.3">
      <c r="B1724" s="725" t="s">
        <v>739</v>
      </c>
      <c r="C1724" s="722" t="s">
        <v>61</v>
      </c>
      <c r="D1724" t="s">
        <v>62</v>
      </c>
      <c r="E1724" s="148">
        <v>21.940100000000001</v>
      </c>
      <c r="F1724" s="148">
        <v>18.227419999999999</v>
      </c>
      <c r="G1724" s="148">
        <v>3.7126800000000002</v>
      </c>
      <c r="H1724" s="148">
        <v>20.368653380456475</v>
      </c>
      <c r="I1724" s="728"/>
      <c r="J1724" s="148">
        <v>21.940100000000001</v>
      </c>
      <c r="K1724" s="148">
        <v>0</v>
      </c>
      <c r="L1724" s="148">
        <v>221.8349</v>
      </c>
      <c r="M1724" s="148">
        <v>217.58153999999999</v>
      </c>
      <c r="N1724" s="148">
        <v>4.2533599999999998</v>
      </c>
      <c r="O1724" s="148">
        <v>1.9548349552080566</v>
      </c>
      <c r="P1724" s="148">
        <v>107.26006</v>
      </c>
      <c r="Q1724" s="148">
        <v>114.57483999999999</v>
      </c>
      <c r="R1724" s="148">
        <v>106.81966801062762</v>
      </c>
    </row>
    <row r="1725" spans="2:18" ht="15.75" hidden="1" thickBot="1" x14ac:dyDescent="0.3">
      <c r="B1725" s="725" t="s">
        <v>739</v>
      </c>
      <c r="C1725" s="722" t="s">
        <v>63</v>
      </c>
      <c r="D1725" t="s">
        <v>64</v>
      </c>
      <c r="E1725" s="147">
        <v>85.439850000000007</v>
      </c>
      <c r="F1725" s="147">
        <v>70.910529999999994</v>
      </c>
      <c r="G1725" s="147">
        <v>14.52932</v>
      </c>
      <c r="H1725" s="147">
        <v>20.489650831829913</v>
      </c>
      <c r="I1725" s="729"/>
      <c r="J1725" s="147">
        <v>85.439850000000007</v>
      </c>
      <c r="K1725" s="147">
        <v>0</v>
      </c>
      <c r="L1725" s="147">
        <v>861.92675999999994</v>
      </c>
      <c r="M1725" s="147">
        <v>846.46226000000001</v>
      </c>
      <c r="N1725" s="147">
        <v>15.464499999999999</v>
      </c>
      <c r="O1725" s="147">
        <v>1.8269568214417498</v>
      </c>
      <c r="P1725" s="147">
        <v>416.60721000000001</v>
      </c>
      <c r="Q1725" s="147">
        <v>445.31954999999999</v>
      </c>
      <c r="R1725" s="147">
        <v>106.89194505299128</v>
      </c>
    </row>
    <row r="1726" spans="2:18" ht="15.75" hidden="1" thickBot="1" x14ac:dyDescent="0.3">
      <c r="B1726" s="725" t="s">
        <v>739</v>
      </c>
      <c r="C1726" s="722" t="s">
        <v>156</v>
      </c>
      <c r="D1726" t="s">
        <v>157</v>
      </c>
      <c r="E1726" s="728"/>
      <c r="F1726" s="728"/>
      <c r="G1726" s="728"/>
      <c r="H1726" s="728"/>
      <c r="I1726" s="728"/>
      <c r="J1726" s="728"/>
      <c r="K1726" s="728"/>
      <c r="L1726" s="148">
        <v>17.063639999999999</v>
      </c>
      <c r="M1726" s="728"/>
      <c r="N1726" s="148">
        <v>17.063639999999999</v>
      </c>
      <c r="O1726" s="148">
        <v>0</v>
      </c>
      <c r="P1726" s="148">
        <v>16.771350000000002</v>
      </c>
      <c r="Q1726" s="148">
        <v>0.29228999999999999</v>
      </c>
      <c r="R1726" s="148">
        <v>1.7427935139389494</v>
      </c>
    </row>
    <row r="1727" spans="2:18" ht="15.75" hidden="1" thickBot="1" x14ac:dyDescent="0.3">
      <c r="B1727" s="725" t="s">
        <v>739</v>
      </c>
      <c r="C1727" s="722" t="s">
        <v>65</v>
      </c>
      <c r="D1727" t="s">
        <v>66</v>
      </c>
      <c r="E1727" s="147">
        <v>-24.366669999999999</v>
      </c>
      <c r="F1727" s="147">
        <v>-16.189319999999999</v>
      </c>
      <c r="G1727" s="147">
        <v>-8.1773500000000006</v>
      </c>
      <c r="H1727" s="147">
        <v>-50.510768827844529</v>
      </c>
      <c r="I1727" s="729"/>
      <c r="J1727" s="147">
        <v>-24.366669999999999</v>
      </c>
      <c r="K1727" s="147">
        <v>0</v>
      </c>
      <c r="L1727" s="147">
        <v>-257.87810000000002</v>
      </c>
      <c r="M1727" s="147">
        <v>-193.25265999999999</v>
      </c>
      <c r="N1727" s="147">
        <v>-64.625439999999998</v>
      </c>
      <c r="O1727" s="147">
        <v>-33.44090580693689</v>
      </c>
      <c r="P1727" s="147">
        <v>-110.57028</v>
      </c>
      <c r="Q1727" s="147">
        <v>-147.30781999999999</v>
      </c>
      <c r="R1727" s="147">
        <v>-133.22551050788692</v>
      </c>
    </row>
    <row r="1728" spans="2:18" ht="15.75" hidden="1" thickBot="1" x14ac:dyDescent="0.3">
      <c r="B1728" s="725" t="s">
        <v>739</v>
      </c>
      <c r="C1728" s="149" t="s">
        <v>67</v>
      </c>
      <c r="D1728" t="s">
        <v>68</v>
      </c>
      <c r="E1728" s="148">
        <v>214.89064999999999</v>
      </c>
      <c r="F1728" s="148">
        <v>190.54487</v>
      </c>
      <c r="G1728" s="148">
        <v>24.345780000000001</v>
      </c>
      <c r="H1728" s="148">
        <v>12.776927555173749</v>
      </c>
      <c r="I1728" s="728"/>
      <c r="J1728" s="148">
        <v>214.89064999999999</v>
      </c>
      <c r="K1728" s="148">
        <v>0</v>
      </c>
      <c r="L1728" s="148">
        <v>2269.83268</v>
      </c>
      <c r="M1728" s="148">
        <v>2274.54286</v>
      </c>
      <c r="N1728" s="148">
        <v>-4.7101800000000003</v>
      </c>
      <c r="O1728" s="148">
        <v>-0.20708249041304061</v>
      </c>
      <c r="P1728" s="148">
        <v>1135.14391</v>
      </c>
      <c r="Q1728" s="148">
        <v>1134.68877</v>
      </c>
      <c r="R1728" s="148">
        <v>99.959904643279984</v>
      </c>
    </row>
    <row r="1729" spans="2:18" ht="15.75" hidden="1" thickBot="1" x14ac:dyDescent="0.3">
      <c r="B1729" s="725" t="s">
        <v>739</v>
      </c>
      <c r="C1729" s="722" t="s">
        <v>69</v>
      </c>
      <c r="D1729" t="s">
        <v>70</v>
      </c>
      <c r="E1729" s="729"/>
      <c r="F1729" s="147">
        <v>1.2272700000000001</v>
      </c>
      <c r="G1729" s="147">
        <v>-1.2272700000000001</v>
      </c>
      <c r="H1729" s="147">
        <v>-100</v>
      </c>
      <c r="I1729" s="729"/>
      <c r="J1729" s="729"/>
      <c r="K1729" s="729"/>
      <c r="L1729" s="147">
        <v>22.92</v>
      </c>
      <c r="M1729" s="147">
        <v>13.499969999999999</v>
      </c>
      <c r="N1729" s="147">
        <v>9.4200300000000006</v>
      </c>
      <c r="O1729" s="147">
        <v>69.77815506256681</v>
      </c>
      <c r="P1729" s="147">
        <v>22.92</v>
      </c>
      <c r="Q1729" s="147">
        <v>0</v>
      </c>
      <c r="R1729" s="147">
        <v>0</v>
      </c>
    </row>
    <row r="1730" spans="2:18" ht="15.75" hidden="1" thickBot="1" x14ac:dyDescent="0.3">
      <c r="B1730" s="725" t="s">
        <v>739</v>
      </c>
      <c r="C1730" s="722" t="s">
        <v>99</v>
      </c>
      <c r="D1730" t="s">
        <v>100</v>
      </c>
      <c r="E1730" s="728"/>
      <c r="F1730" s="728"/>
      <c r="G1730" s="728"/>
      <c r="H1730" s="728"/>
      <c r="I1730" s="728"/>
      <c r="J1730" s="728"/>
      <c r="K1730" s="728"/>
      <c r="L1730" s="148">
        <v>5.9049999999999998E-2</v>
      </c>
      <c r="M1730" s="728"/>
      <c r="N1730" s="148">
        <v>5.9049999999999998E-2</v>
      </c>
      <c r="O1730" s="148">
        <v>0</v>
      </c>
      <c r="P1730" s="148">
        <v>5.9049999999999998E-2</v>
      </c>
      <c r="Q1730" s="148">
        <v>0</v>
      </c>
      <c r="R1730" s="148">
        <v>0</v>
      </c>
    </row>
    <row r="1731" spans="2:18" ht="15.75" hidden="1" thickBot="1" x14ac:dyDescent="0.3">
      <c r="B1731" s="725" t="s">
        <v>739</v>
      </c>
      <c r="C1731" s="722" t="s">
        <v>137</v>
      </c>
      <c r="D1731" t="s">
        <v>138</v>
      </c>
      <c r="E1731" s="729"/>
      <c r="F1731" s="729"/>
      <c r="G1731" s="729"/>
      <c r="H1731" s="729"/>
      <c r="I1731" s="729"/>
      <c r="J1731" s="729"/>
      <c r="K1731" s="729"/>
      <c r="L1731" s="147">
        <v>5.5590000000000001E-2</v>
      </c>
      <c r="M1731" s="729"/>
      <c r="N1731" s="147">
        <v>5.5590000000000001E-2</v>
      </c>
      <c r="O1731" s="147">
        <v>0</v>
      </c>
      <c r="P1731" s="729"/>
      <c r="Q1731" s="147">
        <v>5.5590000000000001E-2</v>
      </c>
      <c r="R1731" s="147">
        <v>0</v>
      </c>
    </row>
    <row r="1732" spans="2:18" ht="15.75" hidden="1" thickBot="1" x14ac:dyDescent="0.3">
      <c r="B1732" s="725" t="s">
        <v>739</v>
      </c>
      <c r="C1732" s="722" t="s">
        <v>190</v>
      </c>
      <c r="D1732" t="s">
        <v>191</v>
      </c>
      <c r="E1732" s="728"/>
      <c r="F1732" s="728"/>
      <c r="G1732" s="728"/>
      <c r="H1732" s="728"/>
      <c r="I1732" s="728"/>
      <c r="J1732" s="728"/>
      <c r="K1732" s="728"/>
      <c r="L1732" s="148">
        <v>0.19263</v>
      </c>
      <c r="M1732" s="728"/>
      <c r="N1732" s="148">
        <v>0.19263</v>
      </c>
      <c r="O1732" s="148">
        <v>0</v>
      </c>
      <c r="P1732" s="148">
        <v>0.16400000000000001</v>
      </c>
      <c r="Q1732" s="148">
        <v>2.8629999999999999E-2</v>
      </c>
      <c r="R1732" s="148">
        <v>17.457317073170731</v>
      </c>
    </row>
    <row r="1733" spans="2:18" ht="15.75" hidden="1" thickBot="1" x14ac:dyDescent="0.3">
      <c r="B1733" s="725" t="s">
        <v>739</v>
      </c>
      <c r="C1733" s="722" t="s">
        <v>139</v>
      </c>
      <c r="D1733" t="s">
        <v>140</v>
      </c>
      <c r="E1733" s="729"/>
      <c r="F1733" s="729"/>
      <c r="G1733" s="729"/>
      <c r="H1733" s="729"/>
      <c r="I1733" s="729"/>
      <c r="J1733" s="729"/>
      <c r="K1733" s="729"/>
      <c r="L1733" s="147">
        <v>0.19</v>
      </c>
      <c r="M1733" s="729"/>
      <c r="N1733" s="147">
        <v>0.19</v>
      </c>
      <c r="O1733" s="147">
        <v>0</v>
      </c>
      <c r="P1733" s="729"/>
      <c r="Q1733" s="147">
        <v>0.19</v>
      </c>
      <c r="R1733" s="147">
        <v>0</v>
      </c>
    </row>
    <row r="1734" spans="2:18" ht="15.75" hidden="1" thickBot="1" x14ac:dyDescent="0.3">
      <c r="B1734" s="725" t="s">
        <v>739</v>
      </c>
      <c r="C1734" s="722" t="s">
        <v>71</v>
      </c>
      <c r="D1734" t="s">
        <v>72</v>
      </c>
      <c r="E1734" s="728"/>
      <c r="F1734" s="728"/>
      <c r="G1734" s="728"/>
      <c r="H1734" s="728"/>
      <c r="I1734" s="728"/>
      <c r="J1734" s="728"/>
      <c r="K1734" s="728"/>
      <c r="L1734" s="148">
        <v>0</v>
      </c>
      <c r="M1734" s="728"/>
      <c r="N1734" s="148">
        <v>0</v>
      </c>
      <c r="O1734" s="148">
        <v>0</v>
      </c>
      <c r="P1734" s="148">
        <v>0.44972000000000001</v>
      </c>
      <c r="Q1734" s="148">
        <v>-0.44972000000000001</v>
      </c>
      <c r="R1734" s="148">
        <v>-100</v>
      </c>
    </row>
    <row r="1735" spans="2:18" ht="15.75" hidden="1" thickBot="1" x14ac:dyDescent="0.3">
      <c r="B1735" s="725" t="s">
        <v>739</v>
      </c>
      <c r="C1735" s="722" t="s">
        <v>73</v>
      </c>
      <c r="D1735" t="s">
        <v>74</v>
      </c>
      <c r="E1735" s="729"/>
      <c r="F1735" s="729"/>
      <c r="G1735" s="729"/>
      <c r="H1735" s="729"/>
      <c r="I1735" s="729"/>
      <c r="J1735" s="729"/>
      <c r="K1735" s="729"/>
      <c r="L1735" s="147">
        <v>3.7429999999999998E-2</v>
      </c>
      <c r="M1735" s="729"/>
      <c r="N1735" s="147">
        <v>3.7429999999999998E-2</v>
      </c>
      <c r="O1735" s="147">
        <v>0</v>
      </c>
      <c r="P1735" s="729"/>
      <c r="Q1735" s="147">
        <v>3.7429999999999998E-2</v>
      </c>
      <c r="R1735" s="147">
        <v>0</v>
      </c>
    </row>
    <row r="1736" spans="2:18" ht="15.75" hidden="1" thickBot="1" x14ac:dyDescent="0.3">
      <c r="B1736" s="725" t="s">
        <v>739</v>
      </c>
      <c r="C1736" s="722" t="s">
        <v>141</v>
      </c>
      <c r="D1736" t="s">
        <v>142</v>
      </c>
      <c r="E1736" s="728"/>
      <c r="F1736" s="728"/>
      <c r="G1736" s="728"/>
      <c r="H1736" s="728"/>
      <c r="I1736" s="728"/>
      <c r="J1736" s="728"/>
      <c r="K1736" s="728"/>
      <c r="L1736" s="148">
        <v>0.13441</v>
      </c>
      <c r="M1736" s="728"/>
      <c r="N1736" s="148">
        <v>0.13441</v>
      </c>
      <c r="O1736" s="148">
        <v>0</v>
      </c>
      <c r="P1736" s="728"/>
      <c r="Q1736" s="148">
        <v>0.13441</v>
      </c>
      <c r="R1736" s="148">
        <v>0</v>
      </c>
    </row>
    <row r="1737" spans="2:18" ht="15.75" hidden="1" thickBot="1" x14ac:dyDescent="0.3">
      <c r="B1737" s="725" t="s">
        <v>739</v>
      </c>
      <c r="C1737" s="722" t="s">
        <v>113</v>
      </c>
      <c r="D1737" t="s">
        <v>114</v>
      </c>
      <c r="E1737" s="147">
        <v>4.0899999999999999E-2</v>
      </c>
      <c r="F1737" s="729"/>
      <c r="G1737" s="147">
        <v>4.0899999999999999E-2</v>
      </c>
      <c r="H1737" s="147">
        <v>0</v>
      </c>
      <c r="I1737" s="729"/>
      <c r="J1737" s="147">
        <v>4.0899999999999999E-2</v>
      </c>
      <c r="K1737" s="147">
        <v>0</v>
      </c>
      <c r="L1737" s="147">
        <v>0.18579000000000001</v>
      </c>
      <c r="M1737" s="729"/>
      <c r="N1737" s="147">
        <v>0.18579000000000001</v>
      </c>
      <c r="O1737" s="147">
        <v>0</v>
      </c>
      <c r="P1737" s="147">
        <v>9.7350000000000006E-2</v>
      </c>
      <c r="Q1737" s="147">
        <v>8.8440000000000005E-2</v>
      </c>
      <c r="R1737" s="147">
        <v>90.847457627118644</v>
      </c>
    </row>
    <row r="1738" spans="2:18" ht="15.75" hidden="1" thickBot="1" x14ac:dyDescent="0.3">
      <c r="B1738" s="725" t="s">
        <v>739</v>
      </c>
      <c r="C1738" s="722" t="s">
        <v>145</v>
      </c>
      <c r="D1738" t="s">
        <v>146</v>
      </c>
      <c r="E1738" s="728"/>
      <c r="F1738" s="728"/>
      <c r="G1738" s="728"/>
      <c r="H1738" s="728"/>
      <c r="I1738" s="728"/>
      <c r="J1738" s="728"/>
      <c r="K1738" s="728"/>
      <c r="L1738" s="148">
        <v>5.1999999999999998E-2</v>
      </c>
      <c r="M1738" s="728"/>
      <c r="N1738" s="148">
        <v>5.1999999999999998E-2</v>
      </c>
      <c r="O1738" s="148">
        <v>0</v>
      </c>
      <c r="P1738" s="728"/>
      <c r="Q1738" s="148">
        <v>5.1999999999999998E-2</v>
      </c>
      <c r="R1738" s="148">
        <v>0</v>
      </c>
    </row>
    <row r="1739" spans="2:18" ht="15.75" hidden="1" thickBot="1" x14ac:dyDescent="0.3">
      <c r="B1739" s="725" t="s">
        <v>739</v>
      </c>
      <c r="C1739" s="722" t="s">
        <v>75</v>
      </c>
      <c r="D1739" t="s">
        <v>76</v>
      </c>
      <c r="E1739" s="147">
        <v>5.7750000000000003E-2</v>
      </c>
      <c r="F1739" s="147">
        <v>0.2</v>
      </c>
      <c r="G1739" s="147">
        <v>-0.14224999999999999</v>
      </c>
      <c r="H1739" s="147">
        <v>-71.125</v>
      </c>
      <c r="I1739" s="729"/>
      <c r="J1739" s="147">
        <v>5.7750000000000003E-2</v>
      </c>
      <c r="K1739" s="147">
        <v>0</v>
      </c>
      <c r="L1739" s="147">
        <v>1.93811</v>
      </c>
      <c r="M1739" s="147">
        <v>2.4</v>
      </c>
      <c r="N1739" s="147">
        <v>-0.46189000000000002</v>
      </c>
      <c r="O1739" s="147">
        <v>-19.245416666666667</v>
      </c>
      <c r="P1739" s="147">
        <v>0.69245000000000001</v>
      </c>
      <c r="Q1739" s="147">
        <v>1.24566</v>
      </c>
      <c r="R1739" s="147">
        <v>179.89168893060869</v>
      </c>
    </row>
    <row r="1740" spans="2:18" ht="15.75" hidden="1" thickBot="1" x14ac:dyDescent="0.3">
      <c r="B1740" s="725" t="s">
        <v>739</v>
      </c>
      <c r="C1740" s="722" t="s">
        <v>121</v>
      </c>
      <c r="D1740" t="s">
        <v>122</v>
      </c>
      <c r="E1740" s="728"/>
      <c r="F1740" s="728"/>
      <c r="G1740" s="728"/>
      <c r="H1740" s="728"/>
      <c r="I1740" s="728"/>
      <c r="J1740" s="728"/>
      <c r="K1740" s="728"/>
      <c r="L1740" s="148">
        <v>1.8675999999999999</v>
      </c>
      <c r="M1740" s="728"/>
      <c r="N1740" s="148">
        <v>1.8675999999999999</v>
      </c>
      <c r="O1740" s="148">
        <v>0</v>
      </c>
      <c r="P1740" s="148">
        <v>0.01</v>
      </c>
      <c r="Q1740" s="148">
        <v>1.8575999999999999</v>
      </c>
      <c r="R1740" s="148">
        <v>18576</v>
      </c>
    </row>
    <row r="1741" spans="2:18" ht="15.75" hidden="1" thickBot="1" x14ac:dyDescent="0.3">
      <c r="B1741" s="725" t="s">
        <v>739</v>
      </c>
      <c r="C1741" s="722" t="s">
        <v>77</v>
      </c>
      <c r="D1741" t="s">
        <v>78</v>
      </c>
      <c r="E1741" s="729"/>
      <c r="F1741" s="147">
        <v>3.1909100000000001</v>
      </c>
      <c r="G1741" s="147">
        <v>-3.1909100000000001</v>
      </c>
      <c r="H1741" s="147">
        <v>-100</v>
      </c>
      <c r="I1741" s="729"/>
      <c r="J1741" s="729"/>
      <c r="K1741" s="729"/>
      <c r="L1741" s="147">
        <v>6.54413</v>
      </c>
      <c r="M1741" s="147">
        <v>35.100009999999997</v>
      </c>
      <c r="N1741" s="147">
        <v>-28.555879999999998</v>
      </c>
      <c r="O1741" s="147">
        <v>-81.35576029750419</v>
      </c>
      <c r="P1741" s="147">
        <v>4.0385499999999999</v>
      </c>
      <c r="Q1741" s="147">
        <v>2.5055800000000001</v>
      </c>
      <c r="R1741" s="147">
        <v>62.041574327419497</v>
      </c>
    </row>
    <row r="1742" spans="2:18" ht="15.75" hidden="1" thickBot="1" x14ac:dyDescent="0.3">
      <c r="B1742" s="725" t="s">
        <v>739</v>
      </c>
      <c r="C1742" s="722" t="s">
        <v>79</v>
      </c>
      <c r="D1742" t="s">
        <v>80</v>
      </c>
      <c r="E1742" s="728"/>
      <c r="F1742" s="728"/>
      <c r="G1742" s="728"/>
      <c r="H1742" s="728"/>
      <c r="I1742" s="728"/>
      <c r="J1742" s="728"/>
      <c r="K1742" s="728"/>
      <c r="L1742" s="148">
        <v>4.52386</v>
      </c>
      <c r="M1742" s="728"/>
      <c r="N1742" s="148">
        <v>4.52386</v>
      </c>
      <c r="O1742" s="148">
        <v>0</v>
      </c>
      <c r="P1742" s="148">
        <v>2.8670499999999999</v>
      </c>
      <c r="Q1742" s="148">
        <v>1.6568099999999999</v>
      </c>
      <c r="R1742" s="148">
        <v>57.787970213285433</v>
      </c>
    </row>
    <row r="1743" spans="2:18" ht="15.75" hidden="1" thickBot="1" x14ac:dyDescent="0.3">
      <c r="B1743" s="725" t="s">
        <v>739</v>
      </c>
      <c r="C1743" s="149" t="s">
        <v>85</v>
      </c>
      <c r="D1743" t="s">
        <v>86</v>
      </c>
      <c r="E1743" s="147">
        <v>9.8650000000000002E-2</v>
      </c>
      <c r="F1743" s="147">
        <v>4.6181799999999997</v>
      </c>
      <c r="G1743" s="147">
        <v>-4.5195299999999996</v>
      </c>
      <c r="H1743" s="147">
        <v>-97.863877111762648</v>
      </c>
      <c r="I1743" s="729"/>
      <c r="J1743" s="147">
        <v>9.8650000000000002E-2</v>
      </c>
      <c r="K1743" s="147">
        <v>0</v>
      </c>
      <c r="L1743" s="147">
        <v>38.700600000000001</v>
      </c>
      <c r="M1743" s="147">
        <v>50.999980000000001</v>
      </c>
      <c r="N1743" s="147">
        <v>-12.299379999999999</v>
      </c>
      <c r="O1743" s="147">
        <v>-24.116440829976796</v>
      </c>
      <c r="P1743" s="147">
        <v>31.298169999999999</v>
      </c>
      <c r="Q1743" s="147">
        <v>7.4024299999999998</v>
      </c>
      <c r="R1743" s="147">
        <v>23.651318910977864</v>
      </c>
    </row>
    <row r="1744" spans="2:18" ht="15.75" hidden="1" thickBot="1" x14ac:dyDescent="0.3">
      <c r="B1744" s="725" t="s">
        <v>739</v>
      </c>
      <c r="C1744" s="144" t="s">
        <v>87</v>
      </c>
      <c r="D1744" t="s">
        <v>87</v>
      </c>
      <c r="E1744" s="148">
        <v>214.98929999999999</v>
      </c>
      <c r="F1744" s="148">
        <v>195.16305</v>
      </c>
      <c r="G1744" s="148">
        <v>19.826250000000002</v>
      </c>
      <c r="H1744" s="148">
        <v>10.158813361443162</v>
      </c>
      <c r="I1744" s="728"/>
      <c r="J1744" s="148">
        <v>214.98929999999999</v>
      </c>
      <c r="K1744" s="148">
        <v>0</v>
      </c>
      <c r="L1744" s="148">
        <v>2308.5332800000001</v>
      </c>
      <c r="M1744" s="148">
        <v>2325.5428400000001</v>
      </c>
      <c r="N1744" s="148">
        <v>-17.00956</v>
      </c>
      <c r="O1744" s="148">
        <v>-0.73142320611904965</v>
      </c>
      <c r="P1744" s="148">
        <v>1166.44208</v>
      </c>
      <c r="Q1744" s="148">
        <v>1142.0912000000001</v>
      </c>
      <c r="R1744" s="148">
        <v>97.912379841440568</v>
      </c>
    </row>
    <row r="1745" spans="2:18" ht="15.75" hidden="1" thickBot="1" x14ac:dyDescent="0.3">
      <c r="B1745" s="725" t="s">
        <v>740</v>
      </c>
      <c r="C1745" s="722" t="s">
        <v>101</v>
      </c>
      <c r="D1745" t="s">
        <v>102</v>
      </c>
      <c r="E1745" s="729"/>
      <c r="F1745" s="729"/>
      <c r="G1745" s="729"/>
      <c r="H1745" s="729"/>
      <c r="I1745" s="729"/>
      <c r="J1745" s="729"/>
      <c r="K1745" s="729"/>
      <c r="L1745" s="147">
        <v>2.8399299999999998</v>
      </c>
      <c r="M1745" s="729"/>
      <c r="N1745" s="147">
        <v>2.8399299999999998</v>
      </c>
      <c r="O1745" s="147">
        <v>0</v>
      </c>
      <c r="P1745" s="729"/>
      <c r="Q1745" s="147">
        <v>2.8399299999999998</v>
      </c>
      <c r="R1745" s="147">
        <v>0</v>
      </c>
    </row>
    <row r="1746" spans="2:18" ht="15.75" hidden="1" thickBot="1" x14ac:dyDescent="0.3">
      <c r="B1746" s="725" t="s">
        <v>740</v>
      </c>
      <c r="C1746" s="149" t="s">
        <v>85</v>
      </c>
      <c r="D1746" t="s">
        <v>86</v>
      </c>
      <c r="E1746" s="728"/>
      <c r="F1746" s="728"/>
      <c r="G1746" s="728"/>
      <c r="H1746" s="728"/>
      <c r="I1746" s="728"/>
      <c r="J1746" s="728"/>
      <c r="K1746" s="728"/>
      <c r="L1746" s="148">
        <v>2.8399299999999998</v>
      </c>
      <c r="M1746" s="728"/>
      <c r="N1746" s="148">
        <v>2.8399299999999998</v>
      </c>
      <c r="O1746" s="148">
        <v>0</v>
      </c>
      <c r="P1746" s="728"/>
      <c r="Q1746" s="148">
        <v>2.8399299999999998</v>
      </c>
      <c r="R1746" s="148">
        <v>0</v>
      </c>
    </row>
    <row r="1747" spans="2:18" ht="15.75" hidden="1" thickBot="1" x14ac:dyDescent="0.3">
      <c r="B1747" s="725" t="s">
        <v>740</v>
      </c>
      <c r="C1747" s="144" t="s">
        <v>87</v>
      </c>
      <c r="D1747" t="s">
        <v>87</v>
      </c>
      <c r="E1747" s="729"/>
      <c r="F1747" s="729"/>
      <c r="G1747" s="729"/>
      <c r="H1747" s="729"/>
      <c r="I1747" s="729"/>
      <c r="J1747" s="729"/>
      <c r="K1747" s="729"/>
      <c r="L1747" s="147">
        <v>2.8399299999999998</v>
      </c>
      <c r="M1747" s="729"/>
      <c r="N1747" s="147">
        <v>2.8399299999999998</v>
      </c>
      <c r="O1747" s="147">
        <v>0</v>
      </c>
      <c r="P1747" s="729"/>
      <c r="Q1747" s="147">
        <v>2.8399299999999998</v>
      </c>
      <c r="R1747" s="147">
        <v>0</v>
      </c>
    </row>
    <row r="1748" spans="2:18" ht="15.75" hidden="1" thickBot="1" x14ac:dyDescent="0.3">
      <c r="B1748" s="145" t="s">
        <v>741</v>
      </c>
      <c r="C1748" s="722" t="s">
        <v>59</v>
      </c>
      <c r="D1748" t="s">
        <v>60</v>
      </c>
      <c r="E1748" s="148">
        <v>187.59976</v>
      </c>
      <c r="F1748" s="148">
        <v>219.92974000000001</v>
      </c>
      <c r="G1748" s="148">
        <v>-32.329979999999999</v>
      </c>
      <c r="H1748" s="148">
        <v>-14.700140144757139</v>
      </c>
      <c r="I1748" s="728"/>
      <c r="J1748" s="148">
        <v>187.59976</v>
      </c>
      <c r="K1748" s="148">
        <v>0</v>
      </c>
      <c r="L1748" s="148">
        <v>2553.86193</v>
      </c>
      <c r="M1748" s="148">
        <v>2623.5878299999999</v>
      </c>
      <c r="N1748" s="148">
        <v>-69.725899999999996</v>
      </c>
      <c r="O1748" s="148">
        <v>-2.6576544990300555</v>
      </c>
      <c r="P1748" s="148">
        <v>1336.30123</v>
      </c>
      <c r="Q1748" s="148">
        <v>1217.5607</v>
      </c>
      <c r="R1748" s="148">
        <v>91.114239264750211</v>
      </c>
    </row>
    <row r="1749" spans="2:18" ht="15.75" hidden="1" thickBot="1" x14ac:dyDescent="0.3">
      <c r="B1749" s="145" t="s">
        <v>741</v>
      </c>
      <c r="C1749" s="722" t="s">
        <v>566</v>
      </c>
      <c r="D1749" t="s">
        <v>567</v>
      </c>
      <c r="E1749" s="147">
        <v>0.40084999999999998</v>
      </c>
      <c r="F1749" s="729"/>
      <c r="G1749" s="147">
        <v>0.40084999999999998</v>
      </c>
      <c r="H1749" s="147">
        <v>0</v>
      </c>
      <c r="I1749" s="729"/>
      <c r="J1749" s="147">
        <v>0.40084999999999998</v>
      </c>
      <c r="K1749" s="147">
        <v>0</v>
      </c>
      <c r="L1749" s="147">
        <v>3.4233199999999999</v>
      </c>
      <c r="M1749" s="729"/>
      <c r="N1749" s="147">
        <v>3.4233199999999999</v>
      </c>
      <c r="O1749" s="147">
        <v>0</v>
      </c>
      <c r="P1749" s="147">
        <v>1.5098800000000001</v>
      </c>
      <c r="Q1749" s="147">
        <v>1.91344</v>
      </c>
      <c r="R1749" s="147">
        <v>126.72795189021645</v>
      </c>
    </row>
    <row r="1750" spans="2:18" ht="15.75" hidden="1" thickBot="1" x14ac:dyDescent="0.3">
      <c r="B1750" s="145" t="s">
        <v>741</v>
      </c>
      <c r="C1750" s="722" t="s">
        <v>91</v>
      </c>
      <c r="D1750" t="s">
        <v>92</v>
      </c>
      <c r="E1750" s="148">
        <v>4.2927999999999997</v>
      </c>
      <c r="F1750" s="148">
        <v>4.7763400000000003</v>
      </c>
      <c r="G1750" s="148">
        <v>-0.48354000000000003</v>
      </c>
      <c r="H1750" s="148">
        <v>-10.123651163861869</v>
      </c>
      <c r="I1750" s="728"/>
      <c r="J1750" s="148">
        <v>4.2927999999999997</v>
      </c>
      <c r="K1750" s="148">
        <v>0</v>
      </c>
      <c r="L1750" s="148">
        <v>55.389969999999998</v>
      </c>
      <c r="M1750" s="148">
        <v>55.785760000000003</v>
      </c>
      <c r="N1750" s="148">
        <v>-0.39578999999999998</v>
      </c>
      <c r="O1750" s="148">
        <v>-0.70948213307482055</v>
      </c>
      <c r="P1750" s="148">
        <v>27.475850000000001</v>
      </c>
      <c r="Q1750" s="148">
        <v>27.91412</v>
      </c>
      <c r="R1750" s="148">
        <v>101.59510988741022</v>
      </c>
    </row>
    <row r="1751" spans="2:18" ht="15.75" hidden="1" thickBot="1" x14ac:dyDescent="0.3">
      <c r="B1751" s="145" t="s">
        <v>741</v>
      </c>
      <c r="C1751" s="722" t="s">
        <v>93</v>
      </c>
      <c r="D1751" t="s">
        <v>94</v>
      </c>
      <c r="E1751" s="147">
        <v>1.1939999999999999E-2</v>
      </c>
      <c r="F1751" s="147">
        <v>0.42436000000000001</v>
      </c>
      <c r="G1751" s="147">
        <v>-0.41242000000000001</v>
      </c>
      <c r="H1751" s="147">
        <v>-97.186351211235745</v>
      </c>
      <c r="I1751" s="729"/>
      <c r="J1751" s="147">
        <v>1.1939999999999999E-2</v>
      </c>
      <c r="K1751" s="147">
        <v>0</v>
      </c>
      <c r="L1751" s="147">
        <v>0.18815999999999999</v>
      </c>
      <c r="M1751" s="147">
        <v>4.9563600000000001</v>
      </c>
      <c r="N1751" s="147">
        <v>-4.7682000000000002</v>
      </c>
      <c r="O1751" s="147">
        <v>-96.203665593298311</v>
      </c>
      <c r="P1751" s="147">
        <v>0.14318</v>
      </c>
      <c r="Q1751" s="147">
        <v>4.4979999999999999E-2</v>
      </c>
      <c r="R1751" s="147">
        <v>31.4150020952647</v>
      </c>
    </row>
    <row r="1752" spans="2:18" ht="15.75" hidden="1" thickBot="1" x14ac:dyDescent="0.3">
      <c r="B1752" s="145" t="s">
        <v>741</v>
      </c>
      <c r="C1752" s="722" t="s">
        <v>134</v>
      </c>
      <c r="D1752" t="s">
        <v>135</v>
      </c>
      <c r="E1752" s="148">
        <v>5.5929399999999996</v>
      </c>
      <c r="F1752" s="728"/>
      <c r="G1752" s="148">
        <v>5.5929399999999996</v>
      </c>
      <c r="H1752" s="148">
        <v>0</v>
      </c>
      <c r="I1752" s="728"/>
      <c r="J1752" s="148">
        <v>5.5929399999999996</v>
      </c>
      <c r="K1752" s="148">
        <v>0</v>
      </c>
      <c r="L1752" s="148">
        <v>57.877270000000003</v>
      </c>
      <c r="M1752" s="728"/>
      <c r="N1752" s="148">
        <v>57.877270000000003</v>
      </c>
      <c r="O1752" s="148">
        <v>0</v>
      </c>
      <c r="P1752" s="148">
        <v>19.406870000000001</v>
      </c>
      <c r="Q1752" s="148">
        <v>38.470399999999998</v>
      </c>
      <c r="R1752" s="148">
        <v>198.23083268966093</v>
      </c>
    </row>
    <row r="1753" spans="2:18" ht="15.75" hidden="1" thickBot="1" x14ac:dyDescent="0.3">
      <c r="B1753" s="145" t="s">
        <v>741</v>
      </c>
      <c r="C1753" s="722" t="s">
        <v>568</v>
      </c>
      <c r="D1753" t="s">
        <v>569</v>
      </c>
      <c r="E1753" s="147">
        <v>4.3165899999999997</v>
      </c>
      <c r="F1753" s="147">
        <v>4.2801</v>
      </c>
      <c r="G1753" s="147">
        <v>3.6490000000000002E-2</v>
      </c>
      <c r="H1753" s="147">
        <v>0.85255017406135369</v>
      </c>
      <c r="I1753" s="729"/>
      <c r="J1753" s="147">
        <v>4.3165899999999997</v>
      </c>
      <c r="K1753" s="147">
        <v>0</v>
      </c>
      <c r="L1753" s="147">
        <v>66.105770000000007</v>
      </c>
      <c r="M1753" s="147">
        <v>51.091760000000001</v>
      </c>
      <c r="N1753" s="147">
        <v>15.014010000000001</v>
      </c>
      <c r="O1753" s="147">
        <v>29.38636288904512</v>
      </c>
      <c r="P1753" s="147">
        <v>39.221670000000003</v>
      </c>
      <c r="Q1753" s="147">
        <v>26.8841</v>
      </c>
      <c r="R1753" s="147">
        <v>68.543996214337639</v>
      </c>
    </row>
    <row r="1754" spans="2:18" ht="15.75" hidden="1" thickBot="1" x14ac:dyDescent="0.3">
      <c r="B1754" s="145" t="s">
        <v>741</v>
      </c>
      <c r="C1754" s="722" t="s">
        <v>61</v>
      </c>
      <c r="D1754" t="s">
        <v>62</v>
      </c>
      <c r="E1754" s="148">
        <v>33.32338</v>
      </c>
      <c r="F1754" s="148">
        <v>35.492849999999997</v>
      </c>
      <c r="G1754" s="148">
        <v>-2.16947</v>
      </c>
      <c r="H1754" s="148">
        <v>-6.1124141904637135</v>
      </c>
      <c r="I1754" s="728"/>
      <c r="J1754" s="148">
        <v>33.32338</v>
      </c>
      <c r="K1754" s="148">
        <v>0</v>
      </c>
      <c r="L1754" s="148">
        <v>405.67484000000002</v>
      </c>
      <c r="M1754" s="148">
        <v>423.22208000000001</v>
      </c>
      <c r="N1754" s="148">
        <v>-17.547239999999999</v>
      </c>
      <c r="O1754" s="148">
        <v>-4.1461069327951892</v>
      </c>
      <c r="P1754" s="148">
        <v>206.43769</v>
      </c>
      <c r="Q1754" s="148">
        <v>199.23715000000001</v>
      </c>
      <c r="R1754" s="148">
        <v>96.512003210266499</v>
      </c>
    </row>
    <row r="1755" spans="2:18" ht="15.75" hidden="1" thickBot="1" x14ac:dyDescent="0.3">
      <c r="B1755" s="145" t="s">
        <v>741</v>
      </c>
      <c r="C1755" s="722" t="s">
        <v>63</v>
      </c>
      <c r="D1755" t="s">
        <v>64</v>
      </c>
      <c r="E1755" s="147">
        <v>129.94964999999999</v>
      </c>
      <c r="F1755" s="147">
        <v>138.07866000000001</v>
      </c>
      <c r="G1755" s="147">
        <v>-8.1290099999999992</v>
      </c>
      <c r="H1755" s="147">
        <v>-5.8872312347179498</v>
      </c>
      <c r="I1755" s="729"/>
      <c r="J1755" s="147">
        <v>129.94964999999999</v>
      </c>
      <c r="K1755" s="147">
        <v>0</v>
      </c>
      <c r="L1755" s="147">
        <v>1581.6513500000001</v>
      </c>
      <c r="M1755" s="147">
        <v>1646.4705200000001</v>
      </c>
      <c r="N1755" s="147">
        <v>-64.81917</v>
      </c>
      <c r="O1755" s="147">
        <v>-3.936855790166228</v>
      </c>
      <c r="P1755" s="147">
        <v>803.66389000000004</v>
      </c>
      <c r="Q1755" s="147">
        <v>777.98746000000006</v>
      </c>
      <c r="R1755" s="147">
        <v>96.805078550935022</v>
      </c>
    </row>
    <row r="1756" spans="2:18" ht="15.75" hidden="1" thickBot="1" x14ac:dyDescent="0.3">
      <c r="B1756" s="145" t="s">
        <v>741</v>
      </c>
      <c r="C1756" s="722" t="s">
        <v>156</v>
      </c>
      <c r="D1756" t="s">
        <v>157</v>
      </c>
      <c r="E1756" s="148">
        <v>8.6260000000000003E-2</v>
      </c>
      <c r="F1756" s="728"/>
      <c r="G1756" s="148">
        <v>8.6260000000000003E-2</v>
      </c>
      <c r="H1756" s="148">
        <v>0</v>
      </c>
      <c r="I1756" s="728"/>
      <c r="J1756" s="148">
        <v>8.6260000000000003E-2</v>
      </c>
      <c r="K1756" s="148">
        <v>0</v>
      </c>
      <c r="L1756" s="148">
        <v>3.5366599999999999</v>
      </c>
      <c r="M1756" s="728"/>
      <c r="N1756" s="148">
        <v>3.5366599999999999</v>
      </c>
      <c r="O1756" s="148">
        <v>0</v>
      </c>
      <c r="P1756" s="148">
        <v>3.4504000000000001</v>
      </c>
      <c r="Q1756" s="148">
        <v>8.6260000000000003E-2</v>
      </c>
      <c r="R1756" s="148">
        <v>2.5</v>
      </c>
    </row>
    <row r="1757" spans="2:18" ht="15.75" hidden="1" thickBot="1" x14ac:dyDescent="0.3">
      <c r="B1757" s="145" t="s">
        <v>741</v>
      </c>
      <c r="C1757" s="722" t="s">
        <v>184</v>
      </c>
      <c r="D1757" t="s">
        <v>185</v>
      </c>
      <c r="E1757" s="729"/>
      <c r="F1757" s="729"/>
      <c r="G1757" s="729"/>
      <c r="H1757" s="729"/>
      <c r="I1757" s="729"/>
      <c r="J1757" s="729"/>
      <c r="K1757" s="729"/>
      <c r="L1757" s="147">
        <v>2.14656</v>
      </c>
      <c r="M1757" s="729"/>
      <c r="N1757" s="147">
        <v>2.14656</v>
      </c>
      <c r="O1757" s="147">
        <v>0</v>
      </c>
      <c r="P1757" s="147">
        <v>1.6566399999999999</v>
      </c>
      <c r="Q1757" s="147">
        <v>0.48992000000000002</v>
      </c>
      <c r="R1757" s="147">
        <v>29.573111840834461</v>
      </c>
    </row>
    <row r="1758" spans="2:18" ht="15.75" hidden="1" thickBot="1" x14ac:dyDescent="0.3">
      <c r="B1758" s="145" t="s">
        <v>741</v>
      </c>
      <c r="C1758" s="722" t="s">
        <v>65</v>
      </c>
      <c r="D1758" t="s">
        <v>66</v>
      </c>
      <c r="E1758" s="148">
        <v>-1.4920899999999999</v>
      </c>
      <c r="F1758" s="148">
        <v>-1.7058500000000001</v>
      </c>
      <c r="G1758" s="148">
        <v>0.21376000000000001</v>
      </c>
      <c r="H1758" s="148">
        <v>12.530996277515609</v>
      </c>
      <c r="I1758" s="728"/>
      <c r="J1758" s="148">
        <v>-1.4920899999999999</v>
      </c>
      <c r="K1758" s="148">
        <v>0</v>
      </c>
      <c r="L1758" s="148">
        <v>-20.907509999999998</v>
      </c>
      <c r="M1758" s="148">
        <v>-19.88411</v>
      </c>
      <c r="N1758" s="148">
        <v>-1.0234000000000001</v>
      </c>
      <c r="O1758" s="148">
        <v>-5.1468232674230832</v>
      </c>
      <c r="P1758" s="148">
        <v>-7.1198399999999999</v>
      </c>
      <c r="Q1758" s="148">
        <v>-13.78767</v>
      </c>
      <c r="R1758" s="148">
        <v>-193.6514022787029</v>
      </c>
    </row>
    <row r="1759" spans="2:18" ht="15.75" hidden="1" thickBot="1" x14ac:dyDescent="0.3">
      <c r="B1759" s="145" t="s">
        <v>741</v>
      </c>
      <c r="C1759" s="722" t="s">
        <v>163</v>
      </c>
      <c r="D1759" t="s">
        <v>164</v>
      </c>
      <c r="E1759" s="147">
        <v>-0.16836000000000001</v>
      </c>
      <c r="F1759" s="729"/>
      <c r="G1759" s="147">
        <v>-0.16836000000000001</v>
      </c>
      <c r="H1759" s="147">
        <v>0</v>
      </c>
      <c r="I1759" s="729"/>
      <c r="J1759" s="147">
        <v>-0.16836000000000001</v>
      </c>
      <c r="K1759" s="147">
        <v>0</v>
      </c>
      <c r="L1759" s="147">
        <v>-2.9476800000000001</v>
      </c>
      <c r="M1759" s="729"/>
      <c r="N1759" s="147">
        <v>-2.9476800000000001</v>
      </c>
      <c r="O1759" s="147">
        <v>0</v>
      </c>
      <c r="P1759" s="147">
        <v>-1.7983199999999999</v>
      </c>
      <c r="Q1759" s="147">
        <v>-1.1493599999999999</v>
      </c>
      <c r="R1759" s="147">
        <v>-63.912985453089547</v>
      </c>
    </row>
    <row r="1760" spans="2:18" ht="15.75" hidden="1" thickBot="1" x14ac:dyDescent="0.3">
      <c r="B1760" s="145" t="s">
        <v>741</v>
      </c>
      <c r="C1760" s="149" t="s">
        <v>67</v>
      </c>
      <c r="D1760" t="s">
        <v>68</v>
      </c>
      <c r="E1760" s="148">
        <v>363.91372000000001</v>
      </c>
      <c r="F1760" s="148">
        <v>401.27620000000002</v>
      </c>
      <c r="G1760" s="148">
        <v>-37.362479999999998</v>
      </c>
      <c r="H1760" s="148">
        <v>-9.3109135303813186</v>
      </c>
      <c r="I1760" s="728"/>
      <c r="J1760" s="148">
        <v>363.91372000000001</v>
      </c>
      <c r="K1760" s="148">
        <v>0</v>
      </c>
      <c r="L1760" s="148">
        <v>4706.0006400000002</v>
      </c>
      <c r="M1760" s="148">
        <v>4785.2302</v>
      </c>
      <c r="N1760" s="148">
        <v>-79.229560000000006</v>
      </c>
      <c r="O1760" s="148">
        <v>-1.6557105236023963</v>
      </c>
      <c r="P1760" s="148">
        <v>2430.3491399999998</v>
      </c>
      <c r="Q1760" s="148">
        <v>2275.6514999999999</v>
      </c>
      <c r="R1760" s="148">
        <v>93.634756527204146</v>
      </c>
    </row>
    <row r="1761" spans="2:18" ht="15.75" hidden="1" thickBot="1" x14ac:dyDescent="0.3">
      <c r="B1761" s="145" t="s">
        <v>741</v>
      </c>
      <c r="C1761" s="722" t="s">
        <v>69</v>
      </c>
      <c r="D1761" t="s">
        <v>70</v>
      </c>
      <c r="E1761" s="147">
        <v>31.28753</v>
      </c>
      <c r="F1761" s="147">
        <v>31.15</v>
      </c>
      <c r="G1761" s="147">
        <v>0.13753000000000001</v>
      </c>
      <c r="H1761" s="147">
        <v>0.44150882825040128</v>
      </c>
      <c r="I1761" s="729"/>
      <c r="J1761" s="147">
        <v>31.28753</v>
      </c>
      <c r="K1761" s="147">
        <v>0</v>
      </c>
      <c r="L1761" s="147">
        <v>242.16664</v>
      </c>
      <c r="M1761" s="147">
        <v>263.44499999999999</v>
      </c>
      <c r="N1761" s="147">
        <v>-21.278359999999999</v>
      </c>
      <c r="O1761" s="147">
        <v>-8.0769648313689757</v>
      </c>
      <c r="P1761" s="147">
        <v>162.90011999999999</v>
      </c>
      <c r="Q1761" s="147">
        <v>79.26652</v>
      </c>
      <c r="R1761" s="147">
        <v>48.659583553406833</v>
      </c>
    </row>
    <row r="1762" spans="2:18" ht="15.75" hidden="1" thickBot="1" x14ac:dyDescent="0.3">
      <c r="B1762" s="145" t="s">
        <v>741</v>
      </c>
      <c r="C1762" s="722" t="s">
        <v>99</v>
      </c>
      <c r="D1762" t="s">
        <v>100</v>
      </c>
      <c r="E1762" s="148">
        <v>3.5569799999999998</v>
      </c>
      <c r="F1762" s="148">
        <v>5.4349999999999996</v>
      </c>
      <c r="G1762" s="148">
        <v>-1.87802</v>
      </c>
      <c r="H1762" s="148">
        <v>-34.554185832566695</v>
      </c>
      <c r="I1762" s="728"/>
      <c r="J1762" s="148">
        <v>3.5569799999999998</v>
      </c>
      <c r="K1762" s="148">
        <v>0</v>
      </c>
      <c r="L1762" s="148">
        <v>41.114359999999998</v>
      </c>
      <c r="M1762" s="148">
        <v>65.935000000000002</v>
      </c>
      <c r="N1762" s="148">
        <v>-24.820640000000001</v>
      </c>
      <c r="O1762" s="148">
        <v>-37.644104041859407</v>
      </c>
      <c r="P1762" s="148">
        <v>13.16839</v>
      </c>
      <c r="Q1762" s="148">
        <v>27.945969999999999</v>
      </c>
      <c r="R1762" s="148">
        <v>212.22009676201876</v>
      </c>
    </row>
    <row r="1763" spans="2:18" ht="15.75" hidden="1" thickBot="1" x14ac:dyDescent="0.3">
      <c r="B1763" s="145" t="s">
        <v>741</v>
      </c>
      <c r="C1763" s="722" t="s">
        <v>165</v>
      </c>
      <c r="D1763" t="s">
        <v>166</v>
      </c>
      <c r="E1763" s="147">
        <v>0.57686999999999999</v>
      </c>
      <c r="F1763" s="729"/>
      <c r="G1763" s="147">
        <v>0.57686999999999999</v>
      </c>
      <c r="H1763" s="147">
        <v>0</v>
      </c>
      <c r="I1763" s="729"/>
      <c r="J1763" s="147">
        <v>0.57686999999999999</v>
      </c>
      <c r="K1763" s="147">
        <v>0</v>
      </c>
      <c r="L1763" s="147">
        <v>10.14659</v>
      </c>
      <c r="M1763" s="729"/>
      <c r="N1763" s="147">
        <v>10.14659</v>
      </c>
      <c r="O1763" s="147">
        <v>0</v>
      </c>
      <c r="P1763" s="147">
        <v>1.4070199999999999</v>
      </c>
      <c r="Q1763" s="147">
        <v>8.7395700000000005</v>
      </c>
      <c r="R1763" s="147">
        <v>621.1404244431493</v>
      </c>
    </row>
    <row r="1764" spans="2:18" ht="15.75" hidden="1" thickBot="1" x14ac:dyDescent="0.3">
      <c r="B1764" s="145" t="s">
        <v>741</v>
      </c>
      <c r="C1764" s="722" t="s">
        <v>137</v>
      </c>
      <c r="D1764" t="s">
        <v>138</v>
      </c>
      <c r="E1764" s="148">
        <v>0.37930999999999998</v>
      </c>
      <c r="F1764" s="148">
        <v>0.125</v>
      </c>
      <c r="G1764" s="148">
        <v>0.25430999999999998</v>
      </c>
      <c r="H1764" s="148">
        <v>203.44800000000001</v>
      </c>
      <c r="I1764" s="728"/>
      <c r="J1764" s="148">
        <v>0.37930999999999998</v>
      </c>
      <c r="K1764" s="148">
        <v>0</v>
      </c>
      <c r="L1764" s="148">
        <v>1.7905599999999999</v>
      </c>
      <c r="M1764" s="148">
        <v>1.5</v>
      </c>
      <c r="N1764" s="148">
        <v>0.29055999999999998</v>
      </c>
      <c r="O1764" s="148">
        <v>19.370666666666665</v>
      </c>
      <c r="P1764" s="148">
        <v>0.90632000000000001</v>
      </c>
      <c r="Q1764" s="148">
        <v>0.88424000000000003</v>
      </c>
      <c r="R1764" s="148">
        <v>97.563774384323423</v>
      </c>
    </row>
    <row r="1765" spans="2:18" ht="15.75" hidden="1" thickBot="1" x14ac:dyDescent="0.3">
      <c r="B1765" s="145" t="s">
        <v>741</v>
      </c>
      <c r="C1765" s="722" t="s">
        <v>190</v>
      </c>
      <c r="D1765" t="s">
        <v>191</v>
      </c>
      <c r="E1765" s="147">
        <v>13.25869</v>
      </c>
      <c r="F1765" s="147">
        <v>13.254</v>
      </c>
      <c r="G1765" s="147">
        <v>4.6899999999999997E-3</v>
      </c>
      <c r="H1765" s="147">
        <v>3.5385543986720988E-2</v>
      </c>
      <c r="I1765" s="729"/>
      <c r="J1765" s="147">
        <v>13.25869</v>
      </c>
      <c r="K1765" s="147">
        <v>0</v>
      </c>
      <c r="L1765" s="147">
        <v>151.18536</v>
      </c>
      <c r="M1765" s="147">
        <v>153.048</v>
      </c>
      <c r="N1765" s="147">
        <v>-1.8626400000000001</v>
      </c>
      <c r="O1765" s="147">
        <v>-1.2170299513878</v>
      </c>
      <c r="P1765" s="147">
        <v>73.450410000000005</v>
      </c>
      <c r="Q1765" s="147">
        <v>77.734949999999998</v>
      </c>
      <c r="R1765" s="147">
        <v>105.83324177496083</v>
      </c>
    </row>
    <row r="1766" spans="2:18" ht="15.75" hidden="1" thickBot="1" x14ac:dyDescent="0.3">
      <c r="B1766" s="145" t="s">
        <v>741</v>
      </c>
      <c r="C1766" s="722" t="s">
        <v>36</v>
      </c>
      <c r="D1766" t="s">
        <v>192</v>
      </c>
      <c r="E1766" s="728"/>
      <c r="F1766" s="728"/>
      <c r="G1766" s="728"/>
      <c r="H1766" s="728"/>
      <c r="I1766" s="728"/>
      <c r="J1766" s="728"/>
      <c r="K1766" s="728"/>
      <c r="L1766" s="148">
        <v>6.4019999999999994E-2</v>
      </c>
      <c r="M1766" s="728"/>
      <c r="N1766" s="148">
        <v>6.4019999999999994E-2</v>
      </c>
      <c r="O1766" s="148">
        <v>0</v>
      </c>
      <c r="P1766" s="148">
        <v>4.9410000000000003E-2</v>
      </c>
      <c r="Q1766" s="148">
        <v>1.461E-2</v>
      </c>
      <c r="R1766" s="148">
        <v>29.568913175470552</v>
      </c>
    </row>
    <row r="1767" spans="2:18" ht="15.75" hidden="1" thickBot="1" x14ac:dyDescent="0.3">
      <c r="B1767" s="145" t="s">
        <v>741</v>
      </c>
      <c r="C1767" s="722" t="s">
        <v>598</v>
      </c>
      <c r="D1767" t="s">
        <v>168</v>
      </c>
      <c r="E1767" s="729"/>
      <c r="F1767" s="729"/>
      <c r="G1767" s="729"/>
      <c r="H1767" s="729"/>
      <c r="I1767" s="729"/>
      <c r="J1767" s="729"/>
      <c r="K1767" s="729"/>
      <c r="L1767" s="729"/>
      <c r="M1767" s="147">
        <v>0</v>
      </c>
      <c r="N1767" s="147">
        <v>0</v>
      </c>
      <c r="O1767" s="147">
        <v>0</v>
      </c>
      <c r="P1767" s="729"/>
      <c r="Q1767" s="729"/>
      <c r="R1767" s="729"/>
    </row>
    <row r="1768" spans="2:18" ht="15.75" hidden="1" thickBot="1" x14ac:dyDescent="0.3">
      <c r="B1768" s="145" t="s">
        <v>741</v>
      </c>
      <c r="C1768" s="722" t="s">
        <v>139</v>
      </c>
      <c r="D1768" t="s">
        <v>140</v>
      </c>
      <c r="E1768" s="148">
        <v>1.379</v>
      </c>
      <c r="F1768" s="148">
        <v>0.88300000000000001</v>
      </c>
      <c r="G1768" s="148">
        <v>0.496</v>
      </c>
      <c r="H1768" s="148">
        <v>56.172140430351078</v>
      </c>
      <c r="I1768" s="728"/>
      <c r="J1768" s="148">
        <v>1.379</v>
      </c>
      <c r="K1768" s="148">
        <v>0</v>
      </c>
      <c r="L1768" s="148">
        <v>9.39649</v>
      </c>
      <c r="M1768" s="148">
        <v>13.464</v>
      </c>
      <c r="N1768" s="148">
        <v>-4.0675100000000004</v>
      </c>
      <c r="O1768" s="148">
        <v>-30.210264408793819</v>
      </c>
      <c r="P1768" s="148">
        <v>4.7510000000000003</v>
      </c>
      <c r="Q1768" s="148">
        <v>4.6454899999999997</v>
      </c>
      <c r="R1768" s="148">
        <v>97.779204378025682</v>
      </c>
    </row>
    <row r="1769" spans="2:18" ht="15.75" hidden="1" thickBot="1" x14ac:dyDescent="0.3">
      <c r="B1769" s="145" t="s">
        <v>741</v>
      </c>
      <c r="C1769" s="722" t="s">
        <v>169</v>
      </c>
      <c r="D1769" t="s">
        <v>170</v>
      </c>
      <c r="E1769" s="147">
        <v>4.1449999999999996</v>
      </c>
      <c r="F1769" s="147">
        <v>1.8</v>
      </c>
      <c r="G1769" s="147">
        <v>2.3450000000000002</v>
      </c>
      <c r="H1769" s="147">
        <v>130.27777777777777</v>
      </c>
      <c r="I1769" s="729"/>
      <c r="J1769" s="147">
        <v>4.1449999999999996</v>
      </c>
      <c r="K1769" s="147">
        <v>0</v>
      </c>
      <c r="L1769" s="147">
        <v>79.175210000000007</v>
      </c>
      <c r="M1769" s="147">
        <v>30.35</v>
      </c>
      <c r="N1769" s="147">
        <v>48.825209999999998</v>
      </c>
      <c r="O1769" s="147">
        <v>160.87383855024711</v>
      </c>
      <c r="P1769" s="147">
        <v>31.69539</v>
      </c>
      <c r="Q1769" s="147">
        <v>47.479819999999997</v>
      </c>
      <c r="R1769" s="147">
        <v>149.80039684004518</v>
      </c>
    </row>
    <row r="1770" spans="2:18" ht="15.75" hidden="1" thickBot="1" x14ac:dyDescent="0.3">
      <c r="B1770" s="145" t="s">
        <v>741</v>
      </c>
      <c r="C1770" s="722" t="s">
        <v>101</v>
      </c>
      <c r="D1770" t="s">
        <v>102</v>
      </c>
      <c r="E1770" s="148">
        <v>3.0260500000000001</v>
      </c>
      <c r="F1770" s="148">
        <v>6</v>
      </c>
      <c r="G1770" s="148">
        <v>-2.9739499999999999</v>
      </c>
      <c r="H1770" s="148">
        <v>-49.56583333333333</v>
      </c>
      <c r="I1770" s="728"/>
      <c r="J1770" s="148">
        <v>3.0260500000000001</v>
      </c>
      <c r="K1770" s="148">
        <v>0</v>
      </c>
      <c r="L1770" s="148">
        <v>82.485910000000004</v>
      </c>
      <c r="M1770" s="148">
        <v>125.675</v>
      </c>
      <c r="N1770" s="148">
        <v>-43.18909</v>
      </c>
      <c r="O1770" s="148">
        <v>-34.365697234931368</v>
      </c>
      <c r="P1770" s="148">
        <v>42.045999999999999</v>
      </c>
      <c r="Q1770" s="148">
        <v>40.439909999999998</v>
      </c>
      <c r="R1770" s="148">
        <v>96.18015982495362</v>
      </c>
    </row>
    <row r="1771" spans="2:18" ht="15.75" hidden="1" thickBot="1" x14ac:dyDescent="0.3">
      <c r="B1771" s="145" t="s">
        <v>741</v>
      </c>
      <c r="C1771" s="722" t="s">
        <v>485</v>
      </c>
      <c r="D1771" t="s">
        <v>486</v>
      </c>
      <c r="E1771" s="147">
        <v>5.0285200000000003</v>
      </c>
      <c r="F1771" s="147">
        <v>2.5</v>
      </c>
      <c r="G1771" s="147">
        <v>2.5285199999999999</v>
      </c>
      <c r="H1771" s="147">
        <v>101.1408</v>
      </c>
      <c r="I1771" s="729"/>
      <c r="J1771" s="147">
        <v>5.0285200000000003</v>
      </c>
      <c r="K1771" s="147">
        <v>0</v>
      </c>
      <c r="L1771" s="147">
        <v>41.817700000000002</v>
      </c>
      <c r="M1771" s="147">
        <v>67</v>
      </c>
      <c r="N1771" s="147">
        <v>-25.182300000000001</v>
      </c>
      <c r="O1771" s="147">
        <v>-37.585522388059701</v>
      </c>
      <c r="P1771" s="147">
        <v>-10.52749</v>
      </c>
      <c r="Q1771" s="147">
        <v>52.345190000000002</v>
      </c>
      <c r="R1771" s="147">
        <v>497.22383968068362</v>
      </c>
    </row>
    <row r="1772" spans="2:18" ht="15.75" hidden="1" thickBot="1" x14ac:dyDescent="0.3">
      <c r="B1772" s="145" t="s">
        <v>741</v>
      </c>
      <c r="C1772" s="722" t="s">
        <v>464</v>
      </c>
      <c r="D1772" t="s">
        <v>465</v>
      </c>
      <c r="E1772" s="728"/>
      <c r="F1772" s="728"/>
      <c r="G1772" s="728"/>
      <c r="H1772" s="728"/>
      <c r="I1772" s="728"/>
      <c r="J1772" s="728"/>
      <c r="K1772" s="728"/>
      <c r="L1772" s="148">
        <v>0.67564000000000002</v>
      </c>
      <c r="M1772" s="728"/>
      <c r="N1772" s="148">
        <v>0.67564000000000002</v>
      </c>
      <c r="O1772" s="148">
        <v>0</v>
      </c>
      <c r="P1772" s="148">
        <v>0.27245000000000003</v>
      </c>
      <c r="Q1772" s="148">
        <v>0.40318999999999999</v>
      </c>
      <c r="R1772" s="148">
        <v>147.98678656634246</v>
      </c>
    </row>
    <row r="1773" spans="2:18" ht="15.75" hidden="1" thickBot="1" x14ac:dyDescent="0.3">
      <c r="B1773" s="145" t="s">
        <v>741</v>
      </c>
      <c r="C1773" s="722" t="s">
        <v>103</v>
      </c>
      <c r="D1773" t="s">
        <v>104</v>
      </c>
      <c r="E1773" s="147">
        <v>0.61434</v>
      </c>
      <c r="F1773" s="729"/>
      <c r="G1773" s="147">
        <v>0.61434</v>
      </c>
      <c r="H1773" s="147">
        <v>0</v>
      </c>
      <c r="I1773" s="729"/>
      <c r="J1773" s="147">
        <v>0.61434</v>
      </c>
      <c r="K1773" s="147">
        <v>0</v>
      </c>
      <c r="L1773" s="147">
        <v>1.7443599999999999</v>
      </c>
      <c r="M1773" s="729"/>
      <c r="N1773" s="147">
        <v>1.7443599999999999</v>
      </c>
      <c r="O1773" s="147">
        <v>0</v>
      </c>
      <c r="P1773" s="147">
        <v>0.46437</v>
      </c>
      <c r="Q1773" s="147">
        <v>1.27999</v>
      </c>
      <c r="R1773" s="147">
        <v>275.64011456381763</v>
      </c>
    </row>
    <row r="1774" spans="2:18" ht="15.75" hidden="1" thickBot="1" x14ac:dyDescent="0.3">
      <c r="B1774" s="145" t="s">
        <v>741</v>
      </c>
      <c r="C1774" s="722" t="s">
        <v>71</v>
      </c>
      <c r="D1774" t="s">
        <v>72</v>
      </c>
      <c r="E1774" s="148">
        <v>1.63045</v>
      </c>
      <c r="F1774" s="728"/>
      <c r="G1774" s="148">
        <v>1.63045</v>
      </c>
      <c r="H1774" s="148">
        <v>0</v>
      </c>
      <c r="I1774" s="728"/>
      <c r="J1774" s="148">
        <v>1.63045</v>
      </c>
      <c r="K1774" s="148">
        <v>0</v>
      </c>
      <c r="L1774" s="148">
        <v>1.75644</v>
      </c>
      <c r="M1774" s="728"/>
      <c r="N1774" s="148">
        <v>1.75644</v>
      </c>
      <c r="O1774" s="148">
        <v>0</v>
      </c>
      <c r="P1774" s="148">
        <v>1.5511200000000001</v>
      </c>
      <c r="Q1774" s="148">
        <v>0.20532</v>
      </c>
      <c r="R1774" s="148">
        <v>13.236886894630976</v>
      </c>
    </row>
    <row r="1775" spans="2:18" ht="15.75" hidden="1" thickBot="1" x14ac:dyDescent="0.3">
      <c r="B1775" s="145" t="s">
        <v>741</v>
      </c>
      <c r="C1775" s="722" t="s">
        <v>109</v>
      </c>
      <c r="D1775" t="s">
        <v>110</v>
      </c>
      <c r="E1775" s="147">
        <v>4.1660000000000003E-2</v>
      </c>
      <c r="F1775" s="147">
        <v>0</v>
      </c>
      <c r="G1775" s="147">
        <v>4.1660000000000003E-2</v>
      </c>
      <c r="H1775" s="147">
        <v>0</v>
      </c>
      <c r="I1775" s="729"/>
      <c r="J1775" s="147">
        <v>4.1660000000000003E-2</v>
      </c>
      <c r="K1775" s="147">
        <v>0</v>
      </c>
      <c r="L1775" s="147">
        <v>0.61140000000000005</v>
      </c>
      <c r="M1775" s="147">
        <v>0.2</v>
      </c>
      <c r="N1775" s="147">
        <v>0.41139999999999999</v>
      </c>
      <c r="O1775" s="147">
        <v>205.7</v>
      </c>
      <c r="P1775" s="147">
        <v>0.40215000000000001</v>
      </c>
      <c r="Q1775" s="147">
        <v>0.20924999999999999</v>
      </c>
      <c r="R1775" s="147">
        <v>52.032823573293548</v>
      </c>
    </row>
    <row r="1776" spans="2:18" ht="15.75" hidden="1" thickBot="1" x14ac:dyDescent="0.3">
      <c r="B1776" s="145" t="s">
        <v>741</v>
      </c>
      <c r="C1776" s="722" t="s">
        <v>73</v>
      </c>
      <c r="D1776" t="s">
        <v>74</v>
      </c>
      <c r="E1776" s="148">
        <v>0.59811999999999999</v>
      </c>
      <c r="F1776" s="148">
        <v>1.825</v>
      </c>
      <c r="G1776" s="148">
        <v>-1.22688</v>
      </c>
      <c r="H1776" s="148">
        <v>-67.226301369863009</v>
      </c>
      <c r="I1776" s="728"/>
      <c r="J1776" s="148">
        <v>0.59811999999999999</v>
      </c>
      <c r="K1776" s="148">
        <v>0</v>
      </c>
      <c r="L1776" s="148">
        <v>19.398599999999998</v>
      </c>
      <c r="M1776" s="148">
        <v>22.23</v>
      </c>
      <c r="N1776" s="148">
        <v>-2.8313999999999999</v>
      </c>
      <c r="O1776" s="148">
        <v>-12.736842105263158</v>
      </c>
      <c r="P1776" s="148">
        <v>9.67971</v>
      </c>
      <c r="Q1776" s="148">
        <v>9.71889</v>
      </c>
      <c r="R1776" s="148">
        <v>100.40476419231568</v>
      </c>
    </row>
    <row r="1777" spans="2:18" ht="15.75" hidden="1" thickBot="1" x14ac:dyDescent="0.3">
      <c r="B1777" s="145" t="s">
        <v>741</v>
      </c>
      <c r="C1777" s="722" t="s">
        <v>111</v>
      </c>
      <c r="D1777" t="s">
        <v>112</v>
      </c>
      <c r="E1777" s="147">
        <v>0.12531999999999999</v>
      </c>
      <c r="F1777" s="729"/>
      <c r="G1777" s="147">
        <v>0.12531999999999999</v>
      </c>
      <c r="H1777" s="147">
        <v>0</v>
      </c>
      <c r="I1777" s="729"/>
      <c r="J1777" s="147">
        <v>0.12531999999999999</v>
      </c>
      <c r="K1777" s="147">
        <v>0</v>
      </c>
      <c r="L1777" s="147">
        <v>0.87450000000000006</v>
      </c>
      <c r="M1777" s="147">
        <v>2.75</v>
      </c>
      <c r="N1777" s="147">
        <v>-1.8754999999999999</v>
      </c>
      <c r="O1777" s="147">
        <v>-68.2</v>
      </c>
      <c r="P1777" s="147">
        <v>0.74917999999999996</v>
      </c>
      <c r="Q1777" s="147">
        <v>0.12531999999999999</v>
      </c>
      <c r="R1777" s="147">
        <v>16.727622200272297</v>
      </c>
    </row>
    <row r="1778" spans="2:18" ht="15.75" hidden="1" thickBot="1" x14ac:dyDescent="0.3">
      <c r="B1778" s="145" t="s">
        <v>741</v>
      </c>
      <c r="C1778" s="722" t="s">
        <v>141</v>
      </c>
      <c r="D1778" t="s">
        <v>142</v>
      </c>
      <c r="E1778" s="148">
        <v>0.19592999999999999</v>
      </c>
      <c r="F1778" s="148">
        <v>0.15</v>
      </c>
      <c r="G1778" s="148">
        <v>4.5929999999999999E-2</v>
      </c>
      <c r="H1778" s="148">
        <v>30.62</v>
      </c>
      <c r="I1778" s="728"/>
      <c r="J1778" s="148">
        <v>0.19592999999999999</v>
      </c>
      <c r="K1778" s="148">
        <v>0</v>
      </c>
      <c r="L1778" s="148">
        <v>2.6774200000000001</v>
      </c>
      <c r="M1778" s="148">
        <v>3.5249999999999999</v>
      </c>
      <c r="N1778" s="148">
        <v>-0.84758</v>
      </c>
      <c r="O1778" s="148">
        <v>-24.04482269503546</v>
      </c>
      <c r="P1778" s="148">
        <v>1.7207399999999999</v>
      </c>
      <c r="Q1778" s="148">
        <v>0.95667999999999997</v>
      </c>
      <c r="R1778" s="148">
        <v>55.597010588467754</v>
      </c>
    </row>
    <row r="1779" spans="2:18" ht="15.75" hidden="1" thickBot="1" x14ac:dyDescent="0.3">
      <c r="B1779" s="145" t="s">
        <v>741</v>
      </c>
      <c r="C1779" s="722" t="s">
        <v>113</v>
      </c>
      <c r="D1779" t="s">
        <v>114</v>
      </c>
      <c r="E1779" s="147">
        <v>0.23760000000000001</v>
      </c>
      <c r="F1779" s="147">
        <v>0.54</v>
      </c>
      <c r="G1779" s="147">
        <v>-0.3024</v>
      </c>
      <c r="H1779" s="147">
        <v>-56</v>
      </c>
      <c r="I1779" s="729"/>
      <c r="J1779" s="147">
        <v>0.23760000000000001</v>
      </c>
      <c r="K1779" s="147">
        <v>0</v>
      </c>
      <c r="L1779" s="147">
        <v>2.4625400000000002</v>
      </c>
      <c r="M1779" s="147">
        <v>16.93</v>
      </c>
      <c r="N1779" s="147">
        <v>-14.467460000000001</v>
      </c>
      <c r="O1779" s="147">
        <v>-85.454577672770228</v>
      </c>
      <c r="P1779" s="147">
        <v>1.6015900000000001</v>
      </c>
      <c r="Q1779" s="147">
        <v>0.86094999999999999</v>
      </c>
      <c r="R1779" s="147">
        <v>53.755955019699172</v>
      </c>
    </row>
    <row r="1780" spans="2:18" ht="15.75" hidden="1" thickBot="1" x14ac:dyDescent="0.3">
      <c r="B1780" s="145" t="s">
        <v>741</v>
      </c>
      <c r="C1780" s="722" t="s">
        <v>201</v>
      </c>
      <c r="D1780" t="s">
        <v>202</v>
      </c>
      <c r="E1780" s="728"/>
      <c r="F1780" s="728"/>
      <c r="G1780" s="728"/>
      <c r="H1780" s="728"/>
      <c r="I1780" s="728"/>
      <c r="J1780" s="728"/>
      <c r="K1780" s="728"/>
      <c r="L1780" s="148">
        <v>0.52200000000000002</v>
      </c>
      <c r="M1780" s="728"/>
      <c r="N1780" s="148">
        <v>0.52200000000000002</v>
      </c>
      <c r="O1780" s="148">
        <v>0</v>
      </c>
      <c r="P1780" s="728"/>
      <c r="Q1780" s="148">
        <v>0.52200000000000002</v>
      </c>
      <c r="R1780" s="148">
        <v>0</v>
      </c>
    </row>
    <row r="1781" spans="2:18" ht="15.75" hidden="1" thickBot="1" x14ac:dyDescent="0.3">
      <c r="B1781" s="145" t="s">
        <v>741</v>
      </c>
      <c r="C1781" s="722" t="s">
        <v>633</v>
      </c>
      <c r="D1781" t="s">
        <v>634</v>
      </c>
      <c r="E1781" s="147">
        <v>0.04</v>
      </c>
      <c r="F1781" s="729"/>
      <c r="G1781" s="147">
        <v>0.04</v>
      </c>
      <c r="H1781" s="147">
        <v>0</v>
      </c>
      <c r="I1781" s="729"/>
      <c r="J1781" s="147">
        <v>0.04</v>
      </c>
      <c r="K1781" s="147">
        <v>0</v>
      </c>
      <c r="L1781" s="147">
        <v>0.04</v>
      </c>
      <c r="M1781" s="729"/>
      <c r="N1781" s="147">
        <v>0.04</v>
      </c>
      <c r="O1781" s="147">
        <v>0</v>
      </c>
      <c r="P1781" s="729"/>
      <c r="Q1781" s="147">
        <v>0.04</v>
      </c>
      <c r="R1781" s="147">
        <v>0</v>
      </c>
    </row>
    <row r="1782" spans="2:18" ht="15.75" hidden="1" thickBot="1" x14ac:dyDescent="0.3">
      <c r="B1782" s="145" t="s">
        <v>741</v>
      </c>
      <c r="C1782" s="722" t="s">
        <v>143</v>
      </c>
      <c r="D1782" t="s">
        <v>144</v>
      </c>
      <c r="E1782" s="728"/>
      <c r="F1782" s="728"/>
      <c r="G1782" s="728"/>
      <c r="H1782" s="728"/>
      <c r="I1782" s="728"/>
      <c r="J1782" s="728"/>
      <c r="K1782" s="728"/>
      <c r="L1782" s="148">
        <v>0.26632</v>
      </c>
      <c r="M1782" s="728"/>
      <c r="N1782" s="148">
        <v>0.26632</v>
      </c>
      <c r="O1782" s="148">
        <v>0</v>
      </c>
      <c r="P1782" s="148">
        <v>0.26632</v>
      </c>
      <c r="Q1782" s="148">
        <v>0</v>
      </c>
      <c r="R1782" s="148">
        <v>0</v>
      </c>
    </row>
    <row r="1783" spans="2:18" ht="15.75" hidden="1" thickBot="1" x14ac:dyDescent="0.3">
      <c r="B1783" s="145" t="s">
        <v>741</v>
      </c>
      <c r="C1783" s="722" t="s">
        <v>145</v>
      </c>
      <c r="D1783" t="s">
        <v>146</v>
      </c>
      <c r="E1783" s="147">
        <v>3.6499999999999998E-2</v>
      </c>
      <c r="F1783" s="147">
        <v>0.5</v>
      </c>
      <c r="G1783" s="147">
        <v>-0.46350000000000002</v>
      </c>
      <c r="H1783" s="147">
        <v>-92.7</v>
      </c>
      <c r="I1783" s="729"/>
      <c r="J1783" s="147">
        <v>3.6499999999999998E-2</v>
      </c>
      <c r="K1783" s="147">
        <v>0</v>
      </c>
      <c r="L1783" s="147">
        <v>2.8466900000000002</v>
      </c>
      <c r="M1783" s="147">
        <v>3</v>
      </c>
      <c r="N1783" s="147">
        <v>-0.15331</v>
      </c>
      <c r="O1783" s="147">
        <v>-5.1103333333333332</v>
      </c>
      <c r="P1783" s="147">
        <v>0.92479</v>
      </c>
      <c r="Q1783" s="147">
        <v>1.9218999999999999</v>
      </c>
      <c r="R1783" s="147">
        <v>207.82015376463846</v>
      </c>
    </row>
    <row r="1784" spans="2:18" ht="15.75" hidden="1" thickBot="1" x14ac:dyDescent="0.3">
      <c r="B1784" s="145" t="s">
        <v>741</v>
      </c>
      <c r="C1784" s="722" t="s">
        <v>147</v>
      </c>
      <c r="D1784" t="s">
        <v>148</v>
      </c>
      <c r="E1784" s="148">
        <v>1.9E-2</v>
      </c>
      <c r="F1784" s="728"/>
      <c r="G1784" s="148">
        <v>1.9E-2</v>
      </c>
      <c r="H1784" s="148">
        <v>0</v>
      </c>
      <c r="I1784" s="728"/>
      <c r="J1784" s="148">
        <v>1.9E-2</v>
      </c>
      <c r="K1784" s="148">
        <v>0</v>
      </c>
      <c r="L1784" s="148">
        <v>0.59175</v>
      </c>
      <c r="M1784" s="728"/>
      <c r="N1784" s="148">
        <v>0.59175</v>
      </c>
      <c r="O1784" s="148">
        <v>0</v>
      </c>
      <c r="P1784" s="148">
        <v>0.30675000000000002</v>
      </c>
      <c r="Q1784" s="148">
        <v>0.28499999999999998</v>
      </c>
      <c r="R1784" s="148">
        <v>92.909535452322743</v>
      </c>
    </row>
    <row r="1785" spans="2:18" ht="15.75" hidden="1" thickBot="1" x14ac:dyDescent="0.3">
      <c r="B1785" s="145" t="s">
        <v>741</v>
      </c>
      <c r="C1785" s="722" t="s">
        <v>203</v>
      </c>
      <c r="D1785" t="s">
        <v>204</v>
      </c>
      <c r="E1785" s="147">
        <v>8.3320900000000009</v>
      </c>
      <c r="F1785" s="147">
        <v>8.3369999999999997</v>
      </c>
      <c r="G1785" s="147">
        <v>-4.9100000000000003E-3</v>
      </c>
      <c r="H1785" s="147">
        <v>-5.8894086601895164E-2</v>
      </c>
      <c r="I1785" s="729"/>
      <c r="J1785" s="147">
        <v>8.3320900000000009</v>
      </c>
      <c r="K1785" s="147">
        <v>0</v>
      </c>
      <c r="L1785" s="147">
        <v>104.90052</v>
      </c>
      <c r="M1785" s="147">
        <v>100</v>
      </c>
      <c r="N1785" s="147">
        <v>4.9005200000000002</v>
      </c>
      <c r="O1785" s="147">
        <v>4.9005200000000002</v>
      </c>
      <c r="P1785" s="147">
        <v>53.540790000000001</v>
      </c>
      <c r="Q1785" s="147">
        <v>51.359729999999999</v>
      </c>
      <c r="R1785" s="147">
        <v>95.926358202783334</v>
      </c>
    </row>
    <row r="1786" spans="2:18" ht="15.75" hidden="1" thickBot="1" x14ac:dyDescent="0.3">
      <c r="B1786" s="145" t="s">
        <v>741</v>
      </c>
      <c r="C1786" s="722" t="s">
        <v>641</v>
      </c>
      <c r="D1786" t="s">
        <v>642</v>
      </c>
      <c r="E1786" s="148">
        <v>0.22500000000000001</v>
      </c>
      <c r="F1786" s="728"/>
      <c r="G1786" s="148">
        <v>0.22500000000000001</v>
      </c>
      <c r="H1786" s="148">
        <v>0</v>
      </c>
      <c r="I1786" s="728"/>
      <c r="J1786" s="148">
        <v>0.22500000000000001</v>
      </c>
      <c r="K1786" s="148">
        <v>0</v>
      </c>
      <c r="L1786" s="148">
        <v>0.95450999999999997</v>
      </c>
      <c r="M1786" s="728"/>
      <c r="N1786" s="148">
        <v>0.95450999999999997</v>
      </c>
      <c r="O1786" s="148">
        <v>0</v>
      </c>
      <c r="P1786" s="148">
        <v>0.41982999999999998</v>
      </c>
      <c r="Q1786" s="148">
        <v>0.53468000000000004</v>
      </c>
      <c r="R1786" s="148">
        <v>127.35631088774028</v>
      </c>
    </row>
    <row r="1787" spans="2:18" ht="15.75" hidden="1" thickBot="1" x14ac:dyDescent="0.3">
      <c r="B1787" s="145" t="s">
        <v>741</v>
      </c>
      <c r="C1787" s="722" t="s">
        <v>149</v>
      </c>
      <c r="D1787" t="s">
        <v>150</v>
      </c>
      <c r="E1787" s="147">
        <v>84.900810000000007</v>
      </c>
      <c r="F1787" s="147">
        <v>20.021339999999999</v>
      </c>
      <c r="G1787" s="147">
        <v>64.879469999999998</v>
      </c>
      <c r="H1787" s="147">
        <v>324.05158695671719</v>
      </c>
      <c r="I1787" s="729"/>
      <c r="J1787" s="147">
        <v>84.900810000000007</v>
      </c>
      <c r="K1787" s="147">
        <v>0</v>
      </c>
      <c r="L1787" s="147">
        <v>467.39398</v>
      </c>
      <c r="M1787" s="147">
        <v>502.41167000000002</v>
      </c>
      <c r="N1787" s="147">
        <v>-35.017690000000002</v>
      </c>
      <c r="O1787" s="147">
        <v>-6.9699197074781321</v>
      </c>
      <c r="P1787" s="147">
        <v>237.86435</v>
      </c>
      <c r="Q1787" s="147">
        <v>229.52963</v>
      </c>
      <c r="R1787" s="147">
        <v>96.496019685169301</v>
      </c>
    </row>
    <row r="1788" spans="2:18" ht="15.75" hidden="1" thickBot="1" x14ac:dyDescent="0.3">
      <c r="B1788" s="145" t="s">
        <v>741</v>
      </c>
      <c r="C1788" s="722" t="s">
        <v>645</v>
      </c>
      <c r="D1788" t="s">
        <v>646</v>
      </c>
      <c r="E1788" s="148">
        <v>2.9569999999999999</v>
      </c>
      <c r="F1788" s="148">
        <v>2.5</v>
      </c>
      <c r="G1788" s="148">
        <v>0.45700000000000002</v>
      </c>
      <c r="H1788" s="148">
        <v>18.28</v>
      </c>
      <c r="I1788" s="728"/>
      <c r="J1788" s="148">
        <v>2.9569999999999999</v>
      </c>
      <c r="K1788" s="148">
        <v>0</v>
      </c>
      <c r="L1788" s="148">
        <v>58.799860000000002</v>
      </c>
      <c r="M1788" s="148">
        <v>38.85</v>
      </c>
      <c r="N1788" s="148">
        <v>19.949860000000001</v>
      </c>
      <c r="O1788" s="148">
        <v>51.350990990990994</v>
      </c>
      <c r="P1788" s="148">
        <v>45.489789999999999</v>
      </c>
      <c r="Q1788" s="148">
        <v>13.31007</v>
      </c>
      <c r="R1788" s="148">
        <v>29.259466794636776</v>
      </c>
    </row>
    <row r="1789" spans="2:18" ht="15.75" hidden="1" thickBot="1" x14ac:dyDescent="0.3">
      <c r="B1789" s="145" t="s">
        <v>741</v>
      </c>
      <c r="C1789" s="722" t="s">
        <v>649</v>
      </c>
      <c r="D1789" t="s">
        <v>650</v>
      </c>
      <c r="E1789" s="729"/>
      <c r="F1789" s="729"/>
      <c r="G1789" s="729"/>
      <c r="H1789" s="729"/>
      <c r="I1789" s="729"/>
      <c r="J1789" s="729"/>
      <c r="K1789" s="729"/>
      <c r="L1789" s="147">
        <v>6.9000000000000006E-2</v>
      </c>
      <c r="M1789" s="729"/>
      <c r="N1789" s="147">
        <v>6.9000000000000006E-2</v>
      </c>
      <c r="O1789" s="147">
        <v>0</v>
      </c>
      <c r="P1789" s="147">
        <v>6.9000000000000006E-2</v>
      </c>
      <c r="Q1789" s="147">
        <v>0</v>
      </c>
      <c r="R1789" s="147">
        <v>0</v>
      </c>
    </row>
    <row r="1790" spans="2:18" ht="15.75" hidden="1" thickBot="1" x14ac:dyDescent="0.3">
      <c r="B1790" s="145" t="s">
        <v>741</v>
      </c>
      <c r="C1790" s="722" t="s">
        <v>173</v>
      </c>
      <c r="D1790" t="s">
        <v>174</v>
      </c>
      <c r="E1790" s="728"/>
      <c r="F1790" s="728"/>
      <c r="G1790" s="728"/>
      <c r="H1790" s="728"/>
      <c r="I1790" s="728"/>
      <c r="J1790" s="728"/>
      <c r="K1790" s="728"/>
      <c r="L1790" s="148">
        <v>0.24</v>
      </c>
      <c r="M1790" s="728"/>
      <c r="N1790" s="148">
        <v>0.24</v>
      </c>
      <c r="O1790" s="148">
        <v>0</v>
      </c>
      <c r="P1790" s="728"/>
      <c r="Q1790" s="148">
        <v>0.24</v>
      </c>
      <c r="R1790" s="148">
        <v>0</v>
      </c>
    </row>
    <row r="1791" spans="2:18" ht="15.75" hidden="1" thickBot="1" x14ac:dyDescent="0.3">
      <c r="B1791" s="145" t="s">
        <v>741</v>
      </c>
      <c r="C1791" s="722" t="s">
        <v>651</v>
      </c>
      <c r="D1791" t="s">
        <v>652</v>
      </c>
      <c r="E1791" s="147">
        <v>-47.197920000000003</v>
      </c>
      <c r="F1791" s="729"/>
      <c r="G1791" s="147">
        <v>-47.197920000000003</v>
      </c>
      <c r="H1791" s="147">
        <v>0</v>
      </c>
      <c r="I1791" s="729"/>
      <c r="J1791" s="147">
        <v>-47.197920000000003</v>
      </c>
      <c r="K1791" s="147">
        <v>0</v>
      </c>
      <c r="L1791" s="147">
        <v>-47.197920000000003</v>
      </c>
      <c r="M1791" s="729"/>
      <c r="N1791" s="147">
        <v>-47.197920000000003</v>
      </c>
      <c r="O1791" s="147">
        <v>0</v>
      </c>
      <c r="P1791" s="729"/>
      <c r="Q1791" s="147">
        <v>-47.197920000000003</v>
      </c>
      <c r="R1791" s="147">
        <v>0</v>
      </c>
    </row>
    <row r="1792" spans="2:18" ht="15.75" hidden="1" thickBot="1" x14ac:dyDescent="0.3">
      <c r="B1792" s="145" t="s">
        <v>741</v>
      </c>
      <c r="C1792" s="722" t="s">
        <v>151</v>
      </c>
      <c r="D1792" t="s">
        <v>152</v>
      </c>
      <c r="E1792" s="728"/>
      <c r="F1792" s="728"/>
      <c r="G1792" s="728"/>
      <c r="H1792" s="728"/>
      <c r="I1792" s="728"/>
      <c r="J1792" s="728"/>
      <c r="K1792" s="728"/>
      <c r="L1792" s="148">
        <v>0.45</v>
      </c>
      <c r="M1792" s="728"/>
      <c r="N1792" s="148">
        <v>0.45</v>
      </c>
      <c r="O1792" s="148">
        <v>0</v>
      </c>
      <c r="P1792" s="728"/>
      <c r="Q1792" s="148">
        <v>0.45</v>
      </c>
      <c r="R1792" s="148">
        <v>0</v>
      </c>
    </row>
    <row r="1793" spans="2:18" ht="15.75" hidden="1" thickBot="1" x14ac:dyDescent="0.3">
      <c r="B1793" s="145" t="s">
        <v>741</v>
      </c>
      <c r="C1793" s="722" t="s">
        <v>483</v>
      </c>
      <c r="D1793" t="s">
        <v>484</v>
      </c>
      <c r="E1793" s="147">
        <v>0.05</v>
      </c>
      <c r="F1793" s="729"/>
      <c r="G1793" s="147">
        <v>0.05</v>
      </c>
      <c r="H1793" s="147">
        <v>0</v>
      </c>
      <c r="I1793" s="729"/>
      <c r="J1793" s="147">
        <v>0.05</v>
      </c>
      <c r="K1793" s="147">
        <v>0</v>
      </c>
      <c r="L1793" s="147">
        <v>1.55</v>
      </c>
      <c r="M1793" s="147">
        <v>5.7</v>
      </c>
      <c r="N1793" s="147">
        <v>-4.1500000000000004</v>
      </c>
      <c r="O1793" s="147">
        <v>-72.807017543859644</v>
      </c>
      <c r="P1793" s="147">
        <v>1.5</v>
      </c>
      <c r="Q1793" s="147">
        <v>0.05</v>
      </c>
      <c r="R1793" s="147">
        <v>3.3333333333333335</v>
      </c>
    </row>
    <row r="1794" spans="2:18" ht="15.75" hidden="1" thickBot="1" x14ac:dyDescent="0.3">
      <c r="B1794" s="145" t="s">
        <v>741</v>
      </c>
      <c r="C1794" s="722" t="s">
        <v>153</v>
      </c>
      <c r="D1794" t="s">
        <v>154</v>
      </c>
      <c r="E1794" s="148">
        <v>0.33933000000000002</v>
      </c>
      <c r="F1794" s="148">
        <v>0.9</v>
      </c>
      <c r="G1794" s="148">
        <v>-0.56067</v>
      </c>
      <c r="H1794" s="148">
        <v>-62.296666666666667</v>
      </c>
      <c r="I1794" s="728"/>
      <c r="J1794" s="148">
        <v>0.33933000000000002</v>
      </c>
      <c r="K1794" s="148">
        <v>0</v>
      </c>
      <c r="L1794" s="148">
        <v>70.688980000000001</v>
      </c>
      <c r="M1794" s="148">
        <v>15.6</v>
      </c>
      <c r="N1794" s="148">
        <v>55.088979999999999</v>
      </c>
      <c r="O1794" s="148">
        <v>353.13448717948717</v>
      </c>
      <c r="P1794" s="148">
        <v>8.8351400000000009</v>
      </c>
      <c r="Q1794" s="148">
        <v>61.853839999999998</v>
      </c>
      <c r="R1794" s="148">
        <v>700.08896293663713</v>
      </c>
    </row>
    <row r="1795" spans="2:18" ht="15.75" hidden="1" thickBot="1" x14ac:dyDescent="0.3">
      <c r="B1795" s="145" t="s">
        <v>741</v>
      </c>
      <c r="C1795" s="722" t="s">
        <v>671</v>
      </c>
      <c r="D1795" t="s">
        <v>672</v>
      </c>
      <c r="E1795" s="729"/>
      <c r="F1795" s="729"/>
      <c r="G1795" s="729"/>
      <c r="H1795" s="729"/>
      <c r="I1795" s="729"/>
      <c r="J1795" s="729"/>
      <c r="K1795" s="729"/>
      <c r="L1795" s="147">
        <v>0.01</v>
      </c>
      <c r="M1795" s="729"/>
      <c r="N1795" s="147">
        <v>0.01</v>
      </c>
      <c r="O1795" s="147">
        <v>0</v>
      </c>
      <c r="P1795" s="147">
        <v>0.01</v>
      </c>
      <c r="Q1795" s="147">
        <v>0</v>
      </c>
      <c r="R1795" s="147">
        <v>0</v>
      </c>
    </row>
    <row r="1796" spans="2:18" ht="15.75" hidden="1" thickBot="1" x14ac:dyDescent="0.3">
      <c r="B1796" s="145" t="s">
        <v>741</v>
      </c>
      <c r="C1796" s="722" t="s">
        <v>75</v>
      </c>
      <c r="D1796" t="s">
        <v>76</v>
      </c>
      <c r="E1796" s="148">
        <v>6.2355499999999999</v>
      </c>
      <c r="F1796" s="148">
        <v>2.9249999999999998</v>
      </c>
      <c r="G1796" s="148">
        <v>3.3105500000000001</v>
      </c>
      <c r="H1796" s="148">
        <v>113.18119658119659</v>
      </c>
      <c r="I1796" s="728"/>
      <c r="J1796" s="148">
        <v>6.2355499999999999</v>
      </c>
      <c r="K1796" s="148">
        <v>0</v>
      </c>
      <c r="L1796" s="148">
        <v>33.863079999999997</v>
      </c>
      <c r="M1796" s="148">
        <v>33.299999999999997</v>
      </c>
      <c r="N1796" s="148">
        <v>0.56308000000000002</v>
      </c>
      <c r="O1796" s="148">
        <v>1.6909309309309308</v>
      </c>
      <c r="P1796" s="148">
        <v>12.254569999999999</v>
      </c>
      <c r="Q1796" s="148">
        <v>21.608509999999999</v>
      </c>
      <c r="R1796" s="148">
        <v>176.33021803294608</v>
      </c>
    </row>
    <row r="1797" spans="2:18" ht="15.75" hidden="1" thickBot="1" x14ac:dyDescent="0.3">
      <c r="B1797" s="145" t="s">
        <v>741</v>
      </c>
      <c r="C1797" s="722" t="s">
        <v>121</v>
      </c>
      <c r="D1797" t="s">
        <v>122</v>
      </c>
      <c r="E1797" s="147">
        <v>9.5159999999999995E-2</v>
      </c>
      <c r="F1797" s="147">
        <v>0.24</v>
      </c>
      <c r="G1797" s="147">
        <v>-0.14484</v>
      </c>
      <c r="H1797" s="147">
        <v>-60.35</v>
      </c>
      <c r="I1797" s="729"/>
      <c r="J1797" s="147">
        <v>9.5159999999999995E-2</v>
      </c>
      <c r="K1797" s="147">
        <v>0</v>
      </c>
      <c r="L1797" s="147">
        <v>4.6789899999999998</v>
      </c>
      <c r="M1797" s="147">
        <v>3.73</v>
      </c>
      <c r="N1797" s="147">
        <v>0.94899</v>
      </c>
      <c r="O1797" s="147">
        <v>25.442091152815014</v>
      </c>
      <c r="P1797" s="147">
        <v>2.6656499999999999</v>
      </c>
      <c r="Q1797" s="147">
        <v>2.0133399999999999</v>
      </c>
      <c r="R1797" s="147">
        <v>75.529045448577264</v>
      </c>
    </row>
    <row r="1798" spans="2:18" ht="15.75" hidden="1" thickBot="1" x14ac:dyDescent="0.3">
      <c r="B1798" s="145" t="s">
        <v>741</v>
      </c>
      <c r="C1798" s="722" t="s">
        <v>77</v>
      </c>
      <c r="D1798" t="s">
        <v>78</v>
      </c>
      <c r="E1798" s="148">
        <v>5.0350000000000001</v>
      </c>
      <c r="F1798" s="148">
        <v>2.6</v>
      </c>
      <c r="G1798" s="148">
        <v>2.4350000000000001</v>
      </c>
      <c r="H1798" s="148">
        <v>93.65384615384616</v>
      </c>
      <c r="I1798" s="728"/>
      <c r="J1798" s="148">
        <v>5.0350000000000001</v>
      </c>
      <c r="K1798" s="148">
        <v>0</v>
      </c>
      <c r="L1798" s="148">
        <v>49.730249999999998</v>
      </c>
      <c r="M1798" s="148">
        <v>93.8</v>
      </c>
      <c r="N1798" s="148">
        <v>-44.069749999999999</v>
      </c>
      <c r="O1798" s="148">
        <v>-46.982675906183367</v>
      </c>
      <c r="P1798" s="148">
        <v>35.150910000000003</v>
      </c>
      <c r="Q1798" s="148">
        <v>14.57934</v>
      </c>
      <c r="R1798" s="148">
        <v>41.476422658759049</v>
      </c>
    </row>
    <row r="1799" spans="2:18" ht="15.75" hidden="1" thickBot="1" x14ac:dyDescent="0.3">
      <c r="B1799" s="145" t="s">
        <v>741</v>
      </c>
      <c r="C1799" s="722" t="s">
        <v>79</v>
      </c>
      <c r="D1799" t="s">
        <v>80</v>
      </c>
      <c r="E1799" s="729"/>
      <c r="F1799" s="147">
        <v>0.875</v>
      </c>
      <c r="G1799" s="147">
        <v>-0.875</v>
      </c>
      <c r="H1799" s="147">
        <v>-100</v>
      </c>
      <c r="I1799" s="729"/>
      <c r="J1799" s="729"/>
      <c r="K1799" s="729"/>
      <c r="L1799" s="147">
        <v>4.7410399999999999</v>
      </c>
      <c r="M1799" s="147">
        <v>6.0750000000000002</v>
      </c>
      <c r="N1799" s="147">
        <v>-1.33396</v>
      </c>
      <c r="O1799" s="147">
        <v>-21.958189300411522</v>
      </c>
      <c r="P1799" s="147">
        <v>2.4593400000000001</v>
      </c>
      <c r="Q1799" s="147">
        <v>2.2816999999999998</v>
      </c>
      <c r="R1799" s="147">
        <v>92.776923890149391</v>
      </c>
    </row>
    <row r="1800" spans="2:18" ht="15.75" hidden="1" thickBot="1" x14ac:dyDescent="0.3">
      <c r="B1800" s="145" t="s">
        <v>741</v>
      </c>
      <c r="C1800" s="722" t="s">
        <v>81</v>
      </c>
      <c r="D1800" t="s">
        <v>82</v>
      </c>
      <c r="E1800" s="148">
        <v>38.209890000000001</v>
      </c>
      <c r="F1800" s="148">
        <v>17.5</v>
      </c>
      <c r="G1800" s="148">
        <v>20.709890000000001</v>
      </c>
      <c r="H1800" s="148">
        <v>118.34222857142858</v>
      </c>
      <c r="I1800" s="728"/>
      <c r="J1800" s="148">
        <v>38.209890000000001</v>
      </c>
      <c r="K1800" s="148">
        <v>0</v>
      </c>
      <c r="L1800" s="148">
        <v>322.83586000000003</v>
      </c>
      <c r="M1800" s="148">
        <v>307.01499999999999</v>
      </c>
      <c r="N1800" s="148">
        <v>15.82086</v>
      </c>
      <c r="O1800" s="148">
        <v>5.15312281158901</v>
      </c>
      <c r="P1800" s="148">
        <v>189.85491999999999</v>
      </c>
      <c r="Q1800" s="148">
        <v>132.98094</v>
      </c>
      <c r="R1800" s="148">
        <v>70.043452126497428</v>
      </c>
    </row>
    <row r="1801" spans="2:18" ht="15.75" hidden="1" thickBot="1" x14ac:dyDescent="0.3">
      <c r="B1801" s="145" t="s">
        <v>741</v>
      </c>
      <c r="C1801" s="722" t="s">
        <v>123</v>
      </c>
      <c r="D1801" t="s">
        <v>124</v>
      </c>
      <c r="E1801" s="147">
        <v>0.74751999999999996</v>
      </c>
      <c r="F1801" s="147">
        <v>0.25</v>
      </c>
      <c r="G1801" s="147">
        <v>0.49752000000000002</v>
      </c>
      <c r="H1801" s="147">
        <v>199.00800000000001</v>
      </c>
      <c r="I1801" s="729"/>
      <c r="J1801" s="147">
        <v>0.74751999999999996</v>
      </c>
      <c r="K1801" s="147">
        <v>0</v>
      </c>
      <c r="L1801" s="147">
        <v>5.9067499999999997</v>
      </c>
      <c r="M1801" s="147">
        <v>3</v>
      </c>
      <c r="N1801" s="147">
        <v>2.9067500000000002</v>
      </c>
      <c r="O1801" s="147">
        <v>96.891666666666666</v>
      </c>
      <c r="P1801" s="147">
        <v>2.5885500000000001</v>
      </c>
      <c r="Q1801" s="147">
        <v>3.3182</v>
      </c>
      <c r="R1801" s="147">
        <v>128.18759537192636</v>
      </c>
    </row>
    <row r="1802" spans="2:18" ht="15.75" hidden="1" thickBot="1" x14ac:dyDescent="0.3">
      <c r="B1802" s="145" t="s">
        <v>741</v>
      </c>
      <c r="C1802" s="722" t="s">
        <v>125</v>
      </c>
      <c r="D1802" t="s">
        <v>126</v>
      </c>
      <c r="E1802" s="728"/>
      <c r="F1802" s="728"/>
      <c r="G1802" s="728"/>
      <c r="H1802" s="728"/>
      <c r="I1802" s="728"/>
      <c r="J1802" s="728"/>
      <c r="K1802" s="728"/>
      <c r="L1802" s="148">
        <v>0.11804000000000001</v>
      </c>
      <c r="M1802" s="728"/>
      <c r="N1802" s="148">
        <v>0.11804000000000001</v>
      </c>
      <c r="O1802" s="148">
        <v>0</v>
      </c>
      <c r="P1802" s="148">
        <v>1.8540000000000001E-2</v>
      </c>
      <c r="Q1802" s="148">
        <v>9.9500000000000005E-2</v>
      </c>
      <c r="R1802" s="148">
        <v>536.67745415318234</v>
      </c>
    </row>
    <row r="1803" spans="2:18" ht="15.75" hidden="1" thickBot="1" x14ac:dyDescent="0.3">
      <c r="B1803" s="145" t="s">
        <v>741</v>
      </c>
      <c r="C1803" s="722" t="s">
        <v>83</v>
      </c>
      <c r="D1803" t="s">
        <v>84</v>
      </c>
      <c r="E1803" s="729"/>
      <c r="F1803" s="147">
        <v>0.96</v>
      </c>
      <c r="G1803" s="147">
        <v>-0.96</v>
      </c>
      <c r="H1803" s="147">
        <v>-100</v>
      </c>
      <c r="I1803" s="729"/>
      <c r="J1803" s="729"/>
      <c r="K1803" s="729"/>
      <c r="L1803" s="729"/>
      <c r="M1803" s="147">
        <v>11.103</v>
      </c>
      <c r="N1803" s="147">
        <v>-11.103</v>
      </c>
      <c r="O1803" s="147">
        <v>-100</v>
      </c>
      <c r="P1803" s="729"/>
      <c r="Q1803" s="729"/>
      <c r="R1803" s="729"/>
    </row>
    <row r="1804" spans="2:18" ht="15.75" hidden="1" thickBot="1" x14ac:dyDescent="0.3">
      <c r="B1804" s="145" t="s">
        <v>741</v>
      </c>
      <c r="C1804" s="149" t="s">
        <v>85</v>
      </c>
      <c r="D1804" t="s">
        <v>86</v>
      </c>
      <c r="E1804" s="148">
        <v>166.1063</v>
      </c>
      <c r="F1804" s="148">
        <v>121.27034</v>
      </c>
      <c r="G1804" s="148">
        <v>44.83596</v>
      </c>
      <c r="H1804" s="148">
        <v>36.971909207148258</v>
      </c>
      <c r="I1804" s="728"/>
      <c r="J1804" s="148">
        <v>166.1063</v>
      </c>
      <c r="K1804" s="148">
        <v>0</v>
      </c>
      <c r="L1804" s="148">
        <v>1773.5434399999999</v>
      </c>
      <c r="M1804" s="148">
        <v>1889.6366700000001</v>
      </c>
      <c r="N1804" s="148">
        <v>-116.09323000000001</v>
      </c>
      <c r="O1804" s="148">
        <v>-6.1436799911381907</v>
      </c>
      <c r="P1804" s="148">
        <v>930.50711999999999</v>
      </c>
      <c r="Q1804" s="148">
        <v>843.03632000000005</v>
      </c>
      <c r="R1804" s="148">
        <v>90.599663546905475</v>
      </c>
    </row>
    <row r="1805" spans="2:18" ht="15.75" hidden="1" thickBot="1" x14ac:dyDescent="0.3">
      <c r="B1805" s="145" t="s">
        <v>741</v>
      </c>
      <c r="C1805" s="144" t="s">
        <v>87</v>
      </c>
      <c r="D1805" t="s">
        <v>87</v>
      </c>
      <c r="E1805" s="147">
        <v>530.02002000000005</v>
      </c>
      <c r="F1805" s="147">
        <v>522.54654000000005</v>
      </c>
      <c r="G1805" s="147">
        <v>7.4734800000000003</v>
      </c>
      <c r="H1805" s="147">
        <v>1.4302037097021061</v>
      </c>
      <c r="I1805" s="729"/>
      <c r="J1805" s="147">
        <v>530.02002000000005</v>
      </c>
      <c r="K1805" s="147">
        <v>0</v>
      </c>
      <c r="L1805" s="147">
        <v>6479.5440799999997</v>
      </c>
      <c r="M1805" s="147">
        <v>6674.8668699999998</v>
      </c>
      <c r="N1805" s="147">
        <v>-195.32279</v>
      </c>
      <c r="O1805" s="147">
        <v>-2.9262424824961339</v>
      </c>
      <c r="P1805" s="147">
        <v>3360.85626</v>
      </c>
      <c r="Q1805" s="147">
        <v>3118.6878200000001</v>
      </c>
      <c r="R1805" s="147">
        <v>92.794442211580929</v>
      </c>
    </row>
    <row r="1806" spans="2:18" ht="15.75" hidden="1" thickBot="1" x14ac:dyDescent="0.3">
      <c r="B1806" s="723" t="s">
        <v>742</v>
      </c>
      <c r="C1806" s="722" t="s">
        <v>59</v>
      </c>
      <c r="D1806" t="s">
        <v>60</v>
      </c>
      <c r="E1806" s="148">
        <v>40.631889999999999</v>
      </c>
      <c r="F1806" s="148">
        <v>46.064320000000002</v>
      </c>
      <c r="G1806" s="148">
        <v>-5.4324300000000001</v>
      </c>
      <c r="H1806" s="148">
        <v>-11.793140547825301</v>
      </c>
      <c r="I1806" s="728"/>
      <c r="J1806" s="148">
        <v>40.631889999999999</v>
      </c>
      <c r="K1806" s="148">
        <v>0</v>
      </c>
      <c r="L1806" s="148">
        <v>536.67220999999995</v>
      </c>
      <c r="M1806" s="148">
        <v>549.87189999999998</v>
      </c>
      <c r="N1806" s="148">
        <v>-13.19969</v>
      </c>
      <c r="O1806" s="148">
        <v>-2.4005027352734336</v>
      </c>
      <c r="P1806" s="148">
        <v>259.48534999999998</v>
      </c>
      <c r="Q1806" s="148">
        <v>277.18686000000002</v>
      </c>
      <c r="R1806" s="148">
        <v>106.82177625827431</v>
      </c>
    </row>
    <row r="1807" spans="2:18" ht="15.75" hidden="1" thickBot="1" x14ac:dyDescent="0.3">
      <c r="B1807" s="723" t="s">
        <v>742</v>
      </c>
      <c r="C1807" s="722" t="s">
        <v>134</v>
      </c>
      <c r="D1807" t="s">
        <v>135</v>
      </c>
      <c r="E1807" s="147">
        <v>0.24482000000000001</v>
      </c>
      <c r="F1807" s="729"/>
      <c r="G1807" s="147">
        <v>0.24482000000000001</v>
      </c>
      <c r="H1807" s="147">
        <v>0</v>
      </c>
      <c r="I1807" s="729"/>
      <c r="J1807" s="147">
        <v>0.24482000000000001</v>
      </c>
      <c r="K1807" s="147">
        <v>0</v>
      </c>
      <c r="L1807" s="147">
        <v>0.53554999999999997</v>
      </c>
      <c r="M1807" s="729"/>
      <c r="N1807" s="147">
        <v>0.53554999999999997</v>
      </c>
      <c r="O1807" s="147">
        <v>0</v>
      </c>
      <c r="P1807" s="147">
        <v>0.29072999999999999</v>
      </c>
      <c r="Q1807" s="147">
        <v>0.24482000000000001</v>
      </c>
      <c r="R1807" s="147">
        <v>84.208715990781826</v>
      </c>
    </row>
    <row r="1808" spans="2:18" ht="15.75" hidden="1" thickBot="1" x14ac:dyDescent="0.3">
      <c r="B1808" s="723" t="s">
        <v>742</v>
      </c>
      <c r="C1808" s="722" t="s">
        <v>61</v>
      </c>
      <c r="D1808" t="s">
        <v>62</v>
      </c>
      <c r="E1808" s="148">
        <v>7.3494099999999998</v>
      </c>
      <c r="F1808" s="148">
        <v>7.1399699999999999</v>
      </c>
      <c r="G1808" s="148">
        <v>0.20943999999999999</v>
      </c>
      <c r="H1808" s="148">
        <v>2.933345658315091</v>
      </c>
      <c r="I1808" s="728"/>
      <c r="J1808" s="148">
        <v>7.3494099999999998</v>
      </c>
      <c r="K1808" s="148">
        <v>0</v>
      </c>
      <c r="L1808" s="148">
        <v>82.430409999999995</v>
      </c>
      <c r="M1808" s="148">
        <v>85.230140000000006</v>
      </c>
      <c r="N1808" s="148">
        <v>-2.7997299999999998</v>
      </c>
      <c r="O1808" s="148">
        <v>-3.2849060203350597</v>
      </c>
      <c r="P1808" s="148">
        <v>38.333930000000002</v>
      </c>
      <c r="Q1808" s="148">
        <v>44.09648</v>
      </c>
      <c r="R1808" s="148">
        <v>115.03250514622425</v>
      </c>
    </row>
    <row r="1809" spans="2:18" ht="15.75" hidden="1" thickBot="1" x14ac:dyDescent="0.3">
      <c r="B1809" s="723" t="s">
        <v>742</v>
      </c>
      <c r="C1809" s="722" t="s">
        <v>63</v>
      </c>
      <c r="D1809" t="s">
        <v>64</v>
      </c>
      <c r="E1809" s="147">
        <v>28.5519</v>
      </c>
      <c r="F1809" s="147">
        <v>27.776779999999999</v>
      </c>
      <c r="G1809" s="147">
        <v>0.77512000000000003</v>
      </c>
      <c r="H1809" s="147">
        <v>2.7905322359179143</v>
      </c>
      <c r="I1809" s="729"/>
      <c r="J1809" s="147">
        <v>28.5519</v>
      </c>
      <c r="K1809" s="147">
        <v>0</v>
      </c>
      <c r="L1809" s="147">
        <v>320.2448</v>
      </c>
      <c r="M1809" s="147">
        <v>331.5727</v>
      </c>
      <c r="N1809" s="147">
        <v>-11.3279</v>
      </c>
      <c r="O1809" s="147">
        <v>-3.4164151632507744</v>
      </c>
      <c r="P1809" s="147">
        <v>148.93339</v>
      </c>
      <c r="Q1809" s="147">
        <v>171.31141</v>
      </c>
      <c r="R1809" s="147">
        <v>115.0255224835747</v>
      </c>
    </row>
    <row r="1810" spans="2:18" ht="15.75" hidden="1" thickBot="1" x14ac:dyDescent="0.3">
      <c r="B1810" s="723" t="s">
        <v>742</v>
      </c>
      <c r="C1810" s="722" t="s">
        <v>184</v>
      </c>
      <c r="D1810" t="s">
        <v>185</v>
      </c>
      <c r="E1810" s="728"/>
      <c r="F1810" s="728"/>
      <c r="G1810" s="728"/>
      <c r="H1810" s="728"/>
      <c r="I1810" s="728"/>
      <c r="J1810" s="728"/>
      <c r="K1810" s="728"/>
      <c r="L1810" s="148">
        <v>2.14656</v>
      </c>
      <c r="M1810" s="728"/>
      <c r="N1810" s="148">
        <v>2.14656</v>
      </c>
      <c r="O1810" s="148">
        <v>0</v>
      </c>
      <c r="P1810" s="148">
        <v>1.6566399999999999</v>
      </c>
      <c r="Q1810" s="148">
        <v>0.48992000000000002</v>
      </c>
      <c r="R1810" s="148">
        <v>29.573111840834461</v>
      </c>
    </row>
    <row r="1811" spans="2:18" ht="15.75" hidden="1" thickBot="1" x14ac:dyDescent="0.3">
      <c r="B1811" s="723" t="s">
        <v>742</v>
      </c>
      <c r="C1811" s="722" t="s">
        <v>65</v>
      </c>
      <c r="D1811" t="s">
        <v>66</v>
      </c>
      <c r="E1811" s="729"/>
      <c r="F1811" s="147">
        <v>-0.55469999999999997</v>
      </c>
      <c r="G1811" s="147">
        <v>0.55469999999999997</v>
      </c>
      <c r="H1811" s="147">
        <v>100</v>
      </c>
      <c r="I1811" s="729"/>
      <c r="J1811" s="729"/>
      <c r="K1811" s="729"/>
      <c r="L1811" s="147">
        <v>-5.3481199999999998</v>
      </c>
      <c r="M1811" s="147">
        <v>-6.62148</v>
      </c>
      <c r="N1811" s="147">
        <v>1.27336</v>
      </c>
      <c r="O1811" s="147">
        <v>19.23074599636335</v>
      </c>
      <c r="P1811" s="147">
        <v>-1.03512</v>
      </c>
      <c r="Q1811" s="147">
        <v>-4.3129999999999997</v>
      </c>
      <c r="R1811" s="147">
        <v>-416.66666666666669</v>
      </c>
    </row>
    <row r="1812" spans="2:18" ht="15.75" hidden="1" thickBot="1" x14ac:dyDescent="0.3">
      <c r="B1812" s="723" t="s">
        <v>742</v>
      </c>
      <c r="C1812" s="149" t="s">
        <v>67</v>
      </c>
      <c r="D1812" t="s">
        <v>68</v>
      </c>
      <c r="E1812" s="148">
        <v>76.778019999999998</v>
      </c>
      <c r="F1812" s="148">
        <v>80.426370000000006</v>
      </c>
      <c r="G1812" s="148">
        <v>-3.6483500000000002</v>
      </c>
      <c r="H1812" s="148">
        <v>-4.5362609303391412</v>
      </c>
      <c r="I1812" s="728"/>
      <c r="J1812" s="148">
        <v>76.778019999999998</v>
      </c>
      <c r="K1812" s="148">
        <v>0</v>
      </c>
      <c r="L1812" s="148">
        <v>936.68141000000003</v>
      </c>
      <c r="M1812" s="148">
        <v>960.05326000000002</v>
      </c>
      <c r="N1812" s="148">
        <v>-23.371849999999998</v>
      </c>
      <c r="O1812" s="148">
        <v>-2.434432648038714</v>
      </c>
      <c r="P1812" s="148">
        <v>447.66492</v>
      </c>
      <c r="Q1812" s="148">
        <v>489.01648999999998</v>
      </c>
      <c r="R1812" s="148">
        <v>109.23717006907756</v>
      </c>
    </row>
    <row r="1813" spans="2:18" ht="15.75" hidden="1" thickBot="1" x14ac:dyDescent="0.3">
      <c r="B1813" s="723" t="s">
        <v>742</v>
      </c>
      <c r="C1813" s="722" t="s">
        <v>69</v>
      </c>
      <c r="D1813" t="s">
        <v>70</v>
      </c>
      <c r="E1813" s="147">
        <v>2.6715300000000002</v>
      </c>
      <c r="F1813" s="147">
        <v>0.9</v>
      </c>
      <c r="G1813" s="147">
        <v>1.77153</v>
      </c>
      <c r="H1813" s="147">
        <v>196.83666666666667</v>
      </c>
      <c r="I1813" s="729"/>
      <c r="J1813" s="147">
        <v>2.6715300000000002</v>
      </c>
      <c r="K1813" s="147">
        <v>0</v>
      </c>
      <c r="L1813" s="147">
        <v>11.456009999999999</v>
      </c>
      <c r="M1813" s="147">
        <v>12.595000000000001</v>
      </c>
      <c r="N1813" s="147">
        <v>-1.1389899999999999</v>
      </c>
      <c r="O1813" s="147">
        <v>-9.0431917427550612</v>
      </c>
      <c r="P1813" s="147">
        <v>1.389</v>
      </c>
      <c r="Q1813" s="147">
        <v>10.06701</v>
      </c>
      <c r="R1813" s="147">
        <v>724.76673866090709</v>
      </c>
    </row>
    <row r="1814" spans="2:18" ht="15.75" hidden="1" thickBot="1" x14ac:dyDescent="0.3">
      <c r="B1814" s="723" t="s">
        <v>742</v>
      </c>
      <c r="C1814" s="722" t="s">
        <v>99</v>
      </c>
      <c r="D1814" t="s">
        <v>100</v>
      </c>
      <c r="E1814" s="148">
        <v>1.0244800000000001</v>
      </c>
      <c r="F1814" s="148">
        <v>1.7350000000000001</v>
      </c>
      <c r="G1814" s="148">
        <v>-0.71052000000000004</v>
      </c>
      <c r="H1814" s="148">
        <v>-40.952161383285301</v>
      </c>
      <c r="I1814" s="728"/>
      <c r="J1814" s="148">
        <v>1.0244800000000001</v>
      </c>
      <c r="K1814" s="148">
        <v>0</v>
      </c>
      <c r="L1814" s="148">
        <v>10.514720000000001</v>
      </c>
      <c r="M1814" s="148">
        <v>30.734999999999999</v>
      </c>
      <c r="N1814" s="148">
        <v>-20.220279999999999</v>
      </c>
      <c r="O1814" s="148">
        <v>-65.789100374166253</v>
      </c>
      <c r="P1814" s="148">
        <v>4.1194699999999997</v>
      </c>
      <c r="Q1814" s="148">
        <v>6.3952499999999999</v>
      </c>
      <c r="R1814" s="148">
        <v>155.24448533427844</v>
      </c>
    </row>
    <row r="1815" spans="2:18" ht="15.75" hidden="1" thickBot="1" x14ac:dyDescent="0.3">
      <c r="B1815" s="723" t="s">
        <v>742</v>
      </c>
      <c r="C1815" s="722" t="s">
        <v>165</v>
      </c>
      <c r="D1815" t="s">
        <v>166</v>
      </c>
      <c r="E1815" s="147">
        <v>0.57686999999999999</v>
      </c>
      <c r="F1815" s="729"/>
      <c r="G1815" s="147">
        <v>0.57686999999999999</v>
      </c>
      <c r="H1815" s="147">
        <v>0</v>
      </c>
      <c r="I1815" s="729"/>
      <c r="J1815" s="147">
        <v>0.57686999999999999</v>
      </c>
      <c r="K1815" s="147">
        <v>0</v>
      </c>
      <c r="L1815" s="147">
        <v>10.14659</v>
      </c>
      <c r="M1815" s="729"/>
      <c r="N1815" s="147">
        <v>10.14659</v>
      </c>
      <c r="O1815" s="147">
        <v>0</v>
      </c>
      <c r="P1815" s="147">
        <v>1.4070199999999999</v>
      </c>
      <c r="Q1815" s="147">
        <v>8.7395700000000005</v>
      </c>
      <c r="R1815" s="147">
        <v>621.1404244431493</v>
      </c>
    </row>
    <row r="1816" spans="2:18" ht="15.75" hidden="1" thickBot="1" x14ac:dyDescent="0.3">
      <c r="B1816" s="723" t="s">
        <v>742</v>
      </c>
      <c r="C1816" s="722" t="s">
        <v>137</v>
      </c>
      <c r="D1816" t="s">
        <v>138</v>
      </c>
      <c r="E1816" s="148">
        <v>0.1406</v>
      </c>
      <c r="F1816" s="148">
        <v>0.125</v>
      </c>
      <c r="G1816" s="148">
        <v>1.5599999999999999E-2</v>
      </c>
      <c r="H1816" s="148">
        <v>12.48</v>
      </c>
      <c r="I1816" s="728"/>
      <c r="J1816" s="148">
        <v>0.1406</v>
      </c>
      <c r="K1816" s="148">
        <v>0</v>
      </c>
      <c r="L1816" s="148">
        <v>0.70542000000000005</v>
      </c>
      <c r="M1816" s="148">
        <v>1.5</v>
      </c>
      <c r="N1816" s="148">
        <v>-0.79457999999999995</v>
      </c>
      <c r="O1816" s="148">
        <v>-52.972000000000001</v>
      </c>
      <c r="P1816" s="148">
        <v>0.42014000000000001</v>
      </c>
      <c r="Q1816" s="148">
        <v>0.28527999999999998</v>
      </c>
      <c r="R1816" s="148">
        <v>67.901175798543349</v>
      </c>
    </row>
    <row r="1817" spans="2:18" ht="15.75" hidden="1" thickBot="1" x14ac:dyDescent="0.3">
      <c r="B1817" s="723" t="s">
        <v>742</v>
      </c>
      <c r="C1817" s="722" t="s">
        <v>190</v>
      </c>
      <c r="D1817" t="s">
        <v>191</v>
      </c>
      <c r="E1817" s="147">
        <v>0.754</v>
      </c>
      <c r="F1817" s="147">
        <v>0.754</v>
      </c>
      <c r="G1817" s="147">
        <v>0</v>
      </c>
      <c r="H1817" s="147">
        <v>0</v>
      </c>
      <c r="I1817" s="729"/>
      <c r="J1817" s="147">
        <v>0.754</v>
      </c>
      <c r="K1817" s="147">
        <v>0</v>
      </c>
      <c r="L1817" s="147">
        <v>9.048</v>
      </c>
      <c r="M1817" s="147">
        <v>9.048</v>
      </c>
      <c r="N1817" s="147">
        <v>0</v>
      </c>
      <c r="O1817" s="147">
        <v>0</v>
      </c>
      <c r="P1817" s="147">
        <v>4.524</v>
      </c>
      <c r="Q1817" s="147">
        <v>4.524</v>
      </c>
      <c r="R1817" s="147">
        <v>100</v>
      </c>
    </row>
    <row r="1818" spans="2:18" ht="15.75" hidden="1" thickBot="1" x14ac:dyDescent="0.3">
      <c r="B1818" s="723" t="s">
        <v>742</v>
      </c>
      <c r="C1818" s="722" t="s">
        <v>36</v>
      </c>
      <c r="D1818" t="s">
        <v>192</v>
      </c>
      <c r="E1818" s="728"/>
      <c r="F1818" s="728"/>
      <c r="G1818" s="728"/>
      <c r="H1818" s="728"/>
      <c r="I1818" s="728"/>
      <c r="J1818" s="728"/>
      <c r="K1818" s="728"/>
      <c r="L1818" s="148">
        <v>6.4019999999999994E-2</v>
      </c>
      <c r="M1818" s="728"/>
      <c r="N1818" s="148">
        <v>6.4019999999999994E-2</v>
      </c>
      <c r="O1818" s="148">
        <v>0</v>
      </c>
      <c r="P1818" s="148">
        <v>4.9410000000000003E-2</v>
      </c>
      <c r="Q1818" s="148">
        <v>1.461E-2</v>
      </c>
      <c r="R1818" s="148">
        <v>29.568913175470552</v>
      </c>
    </row>
    <row r="1819" spans="2:18" ht="15.75" hidden="1" thickBot="1" x14ac:dyDescent="0.3">
      <c r="B1819" s="723" t="s">
        <v>742</v>
      </c>
      <c r="C1819" s="722" t="s">
        <v>139</v>
      </c>
      <c r="D1819" t="s">
        <v>140</v>
      </c>
      <c r="E1819" s="147">
        <v>1.17</v>
      </c>
      <c r="F1819" s="147">
        <v>0.3</v>
      </c>
      <c r="G1819" s="147">
        <v>0.87</v>
      </c>
      <c r="H1819" s="147">
        <v>290</v>
      </c>
      <c r="I1819" s="729"/>
      <c r="J1819" s="147">
        <v>1.17</v>
      </c>
      <c r="K1819" s="147">
        <v>0</v>
      </c>
      <c r="L1819" s="147">
        <v>4.9709899999999996</v>
      </c>
      <c r="M1819" s="147">
        <v>8.1</v>
      </c>
      <c r="N1819" s="147">
        <v>-3.1290100000000001</v>
      </c>
      <c r="O1819" s="147">
        <v>-38.629753086419754</v>
      </c>
      <c r="P1819" s="147">
        <v>2.0790000000000002</v>
      </c>
      <c r="Q1819" s="147">
        <v>2.8919899999999998</v>
      </c>
      <c r="R1819" s="147">
        <v>139.1048581048581</v>
      </c>
    </row>
    <row r="1820" spans="2:18" ht="15.75" hidden="1" thickBot="1" x14ac:dyDescent="0.3">
      <c r="B1820" s="723" t="s">
        <v>742</v>
      </c>
      <c r="C1820" s="722" t="s">
        <v>101</v>
      </c>
      <c r="D1820" t="s">
        <v>102</v>
      </c>
      <c r="E1820" s="728"/>
      <c r="F1820" s="148">
        <v>0.1</v>
      </c>
      <c r="G1820" s="148">
        <v>-0.1</v>
      </c>
      <c r="H1820" s="148">
        <v>-100</v>
      </c>
      <c r="I1820" s="728"/>
      <c r="J1820" s="728"/>
      <c r="K1820" s="728"/>
      <c r="L1820" s="148">
        <v>37.274709999999999</v>
      </c>
      <c r="M1820" s="148">
        <v>87</v>
      </c>
      <c r="N1820" s="148">
        <v>-49.725290000000001</v>
      </c>
      <c r="O1820" s="148">
        <v>-57.155505747126433</v>
      </c>
      <c r="P1820" s="148">
        <v>18.367599999999999</v>
      </c>
      <c r="Q1820" s="148">
        <v>18.907109999999999</v>
      </c>
      <c r="R1820" s="148">
        <v>102.93729175286919</v>
      </c>
    </row>
    <row r="1821" spans="2:18" ht="15.75" hidden="1" thickBot="1" x14ac:dyDescent="0.3">
      <c r="B1821" s="723" t="s">
        <v>742</v>
      </c>
      <c r="C1821" s="722" t="s">
        <v>464</v>
      </c>
      <c r="D1821" t="s">
        <v>465</v>
      </c>
      <c r="E1821" s="729"/>
      <c r="F1821" s="729"/>
      <c r="G1821" s="729"/>
      <c r="H1821" s="729"/>
      <c r="I1821" s="729"/>
      <c r="J1821" s="729"/>
      <c r="K1821" s="729"/>
      <c r="L1821" s="147">
        <v>0.67564000000000002</v>
      </c>
      <c r="M1821" s="729"/>
      <c r="N1821" s="147">
        <v>0.67564000000000002</v>
      </c>
      <c r="O1821" s="147">
        <v>0</v>
      </c>
      <c r="P1821" s="147">
        <v>0.27245000000000003</v>
      </c>
      <c r="Q1821" s="147">
        <v>0.40318999999999999</v>
      </c>
      <c r="R1821" s="147">
        <v>147.98678656634246</v>
      </c>
    </row>
    <row r="1822" spans="2:18" ht="15.75" hidden="1" thickBot="1" x14ac:dyDescent="0.3">
      <c r="B1822" s="723" t="s">
        <v>742</v>
      </c>
      <c r="C1822" s="722" t="s">
        <v>103</v>
      </c>
      <c r="D1822" t="s">
        <v>104</v>
      </c>
      <c r="E1822" s="728"/>
      <c r="F1822" s="728"/>
      <c r="G1822" s="728"/>
      <c r="H1822" s="728"/>
      <c r="I1822" s="728"/>
      <c r="J1822" s="728"/>
      <c r="K1822" s="728"/>
      <c r="L1822" s="148">
        <v>-8.0990000000000006E-2</v>
      </c>
      <c r="M1822" s="728"/>
      <c r="N1822" s="148">
        <v>-8.0990000000000006E-2</v>
      </c>
      <c r="O1822" s="148">
        <v>0</v>
      </c>
      <c r="P1822" s="728"/>
      <c r="Q1822" s="148">
        <v>-8.0990000000000006E-2</v>
      </c>
      <c r="R1822" s="148">
        <v>0</v>
      </c>
    </row>
    <row r="1823" spans="2:18" ht="15.75" hidden="1" thickBot="1" x14ac:dyDescent="0.3">
      <c r="B1823" s="723" t="s">
        <v>742</v>
      </c>
      <c r="C1823" s="722" t="s">
        <v>71</v>
      </c>
      <c r="D1823" t="s">
        <v>72</v>
      </c>
      <c r="E1823" s="729"/>
      <c r="F1823" s="729"/>
      <c r="G1823" s="729"/>
      <c r="H1823" s="729"/>
      <c r="I1823" s="729"/>
      <c r="J1823" s="729"/>
      <c r="K1823" s="729"/>
      <c r="L1823" s="147">
        <v>8.0990000000000006E-2</v>
      </c>
      <c r="M1823" s="729"/>
      <c r="N1823" s="147">
        <v>8.0990000000000006E-2</v>
      </c>
      <c r="O1823" s="147">
        <v>0</v>
      </c>
      <c r="P1823" s="147">
        <v>0.97836999999999996</v>
      </c>
      <c r="Q1823" s="147">
        <v>-0.89737999999999996</v>
      </c>
      <c r="R1823" s="147">
        <v>-91.721945685170226</v>
      </c>
    </row>
    <row r="1824" spans="2:18" ht="15.75" hidden="1" thickBot="1" x14ac:dyDescent="0.3">
      <c r="B1824" s="723" t="s">
        <v>742</v>
      </c>
      <c r="C1824" s="722" t="s">
        <v>109</v>
      </c>
      <c r="D1824" t="s">
        <v>110</v>
      </c>
      <c r="E1824" s="728"/>
      <c r="F1824" s="148">
        <v>0</v>
      </c>
      <c r="G1824" s="148">
        <v>0</v>
      </c>
      <c r="H1824" s="148">
        <v>0</v>
      </c>
      <c r="I1824" s="728"/>
      <c r="J1824" s="728"/>
      <c r="K1824" s="728"/>
      <c r="L1824" s="148">
        <v>0.14044999999999999</v>
      </c>
      <c r="M1824" s="148">
        <v>0.2</v>
      </c>
      <c r="N1824" s="148">
        <v>-5.9549999999999999E-2</v>
      </c>
      <c r="O1824" s="148">
        <v>-29.774999999999999</v>
      </c>
      <c r="P1824" s="148">
        <v>0.11348</v>
      </c>
      <c r="Q1824" s="148">
        <v>2.6970000000000001E-2</v>
      </c>
      <c r="R1824" s="148">
        <v>23.766302432146635</v>
      </c>
    </row>
    <row r="1825" spans="2:18" ht="15.75" hidden="1" thickBot="1" x14ac:dyDescent="0.3">
      <c r="B1825" s="723" t="s">
        <v>742</v>
      </c>
      <c r="C1825" s="722" t="s">
        <v>73</v>
      </c>
      <c r="D1825" t="s">
        <v>74</v>
      </c>
      <c r="E1825" s="147">
        <v>8.1659999999999996E-2</v>
      </c>
      <c r="F1825" s="147">
        <v>0.16500000000000001</v>
      </c>
      <c r="G1825" s="147">
        <v>-8.3339999999999997E-2</v>
      </c>
      <c r="H1825" s="147">
        <v>-50.509090909090908</v>
      </c>
      <c r="I1825" s="729"/>
      <c r="J1825" s="147">
        <v>8.1659999999999996E-2</v>
      </c>
      <c r="K1825" s="147">
        <v>0</v>
      </c>
      <c r="L1825" s="147">
        <v>1.73915</v>
      </c>
      <c r="M1825" s="147">
        <v>1.98</v>
      </c>
      <c r="N1825" s="147">
        <v>-0.24085000000000001</v>
      </c>
      <c r="O1825" s="147">
        <v>-12.164141414141413</v>
      </c>
      <c r="P1825" s="147">
        <v>1.2174799999999999</v>
      </c>
      <c r="Q1825" s="147">
        <v>0.52166999999999997</v>
      </c>
      <c r="R1825" s="147">
        <v>42.848342477905184</v>
      </c>
    </row>
    <row r="1826" spans="2:18" ht="15.75" hidden="1" thickBot="1" x14ac:dyDescent="0.3">
      <c r="B1826" s="723" t="s">
        <v>742</v>
      </c>
      <c r="C1826" s="722" t="s">
        <v>141</v>
      </c>
      <c r="D1826" t="s">
        <v>142</v>
      </c>
      <c r="E1826" s="728"/>
      <c r="F1826" s="148">
        <v>0</v>
      </c>
      <c r="G1826" s="148">
        <v>0</v>
      </c>
      <c r="H1826" s="148">
        <v>0</v>
      </c>
      <c r="I1826" s="728"/>
      <c r="J1826" s="728"/>
      <c r="K1826" s="728"/>
      <c r="L1826" s="148">
        <v>0.49271999999999999</v>
      </c>
      <c r="M1826" s="148">
        <v>0.7</v>
      </c>
      <c r="N1826" s="148">
        <v>-0.20727999999999999</v>
      </c>
      <c r="O1826" s="148">
        <v>-29.611428571428572</v>
      </c>
      <c r="P1826" s="148">
        <v>0.49271999999999999</v>
      </c>
      <c r="Q1826" s="148">
        <v>0</v>
      </c>
      <c r="R1826" s="148">
        <v>0</v>
      </c>
    </row>
    <row r="1827" spans="2:18" ht="15.75" hidden="1" thickBot="1" x14ac:dyDescent="0.3">
      <c r="B1827" s="723" t="s">
        <v>742</v>
      </c>
      <c r="C1827" s="722" t="s">
        <v>113</v>
      </c>
      <c r="D1827" t="s">
        <v>114</v>
      </c>
      <c r="E1827" s="147">
        <v>2.9600000000000001E-2</v>
      </c>
      <c r="F1827" s="147">
        <v>0.24</v>
      </c>
      <c r="G1827" s="147">
        <v>-0.2104</v>
      </c>
      <c r="H1827" s="147">
        <v>-87.666666666666671</v>
      </c>
      <c r="I1827" s="729"/>
      <c r="J1827" s="147">
        <v>2.9600000000000001E-2</v>
      </c>
      <c r="K1827" s="147">
        <v>0</v>
      </c>
      <c r="L1827" s="147">
        <v>0.27589999999999998</v>
      </c>
      <c r="M1827" s="147">
        <v>2.88</v>
      </c>
      <c r="N1827" s="147">
        <v>-2.6040999999999999</v>
      </c>
      <c r="O1827" s="147">
        <v>-90.420138888888886</v>
      </c>
      <c r="P1827" s="147">
        <v>9.5189999999999997E-2</v>
      </c>
      <c r="Q1827" s="147">
        <v>0.18071000000000001</v>
      </c>
      <c r="R1827" s="147">
        <v>189.84136989179535</v>
      </c>
    </row>
    <row r="1828" spans="2:18" ht="15.75" hidden="1" thickBot="1" x14ac:dyDescent="0.3">
      <c r="B1828" s="723" t="s">
        <v>742</v>
      </c>
      <c r="C1828" s="722" t="s">
        <v>145</v>
      </c>
      <c r="D1828" t="s">
        <v>146</v>
      </c>
      <c r="E1828" s="728"/>
      <c r="F1828" s="728"/>
      <c r="G1828" s="728"/>
      <c r="H1828" s="728"/>
      <c r="I1828" s="728"/>
      <c r="J1828" s="728"/>
      <c r="K1828" s="728"/>
      <c r="L1828" s="148">
        <v>0.188</v>
      </c>
      <c r="M1828" s="728"/>
      <c r="N1828" s="148">
        <v>0.188</v>
      </c>
      <c r="O1828" s="148">
        <v>0</v>
      </c>
      <c r="P1828" s="148">
        <v>0.128</v>
      </c>
      <c r="Q1828" s="148">
        <v>0.06</v>
      </c>
      <c r="R1828" s="148">
        <v>46.875</v>
      </c>
    </row>
    <row r="1829" spans="2:18" ht="15.75" hidden="1" thickBot="1" x14ac:dyDescent="0.3">
      <c r="B1829" s="723" t="s">
        <v>742</v>
      </c>
      <c r="C1829" s="722" t="s">
        <v>147</v>
      </c>
      <c r="D1829" t="s">
        <v>148</v>
      </c>
      <c r="E1829" s="729"/>
      <c r="F1829" s="729"/>
      <c r="G1829" s="729"/>
      <c r="H1829" s="729"/>
      <c r="I1829" s="729"/>
      <c r="J1829" s="729"/>
      <c r="K1829" s="729"/>
      <c r="L1829" s="147">
        <v>4.4999999999999998E-2</v>
      </c>
      <c r="M1829" s="729"/>
      <c r="N1829" s="147">
        <v>4.4999999999999998E-2</v>
      </c>
      <c r="O1829" s="147">
        <v>0</v>
      </c>
      <c r="P1829" s="729"/>
      <c r="Q1829" s="147">
        <v>4.4999999999999998E-2</v>
      </c>
      <c r="R1829" s="147">
        <v>0</v>
      </c>
    </row>
    <row r="1830" spans="2:18" ht="15.75" hidden="1" thickBot="1" x14ac:dyDescent="0.3">
      <c r="B1830" s="723" t="s">
        <v>742</v>
      </c>
      <c r="C1830" s="722" t="s">
        <v>203</v>
      </c>
      <c r="D1830" t="s">
        <v>204</v>
      </c>
      <c r="E1830" s="148">
        <v>8.3320900000000009</v>
      </c>
      <c r="F1830" s="148">
        <v>8.3369999999999997</v>
      </c>
      <c r="G1830" s="148">
        <v>-4.9100000000000003E-3</v>
      </c>
      <c r="H1830" s="148">
        <v>-5.8894086601895164E-2</v>
      </c>
      <c r="I1830" s="728"/>
      <c r="J1830" s="148">
        <v>8.3320900000000009</v>
      </c>
      <c r="K1830" s="148">
        <v>0</v>
      </c>
      <c r="L1830" s="148">
        <v>104.85552</v>
      </c>
      <c r="M1830" s="148">
        <v>100</v>
      </c>
      <c r="N1830" s="148">
        <v>4.8555200000000003</v>
      </c>
      <c r="O1830" s="148">
        <v>4.8555200000000003</v>
      </c>
      <c r="P1830" s="148">
        <v>53.540790000000001</v>
      </c>
      <c r="Q1830" s="148">
        <v>51.314729999999997</v>
      </c>
      <c r="R1830" s="148">
        <v>95.842310134011839</v>
      </c>
    </row>
    <row r="1831" spans="2:18" ht="15.75" hidden="1" thickBot="1" x14ac:dyDescent="0.3">
      <c r="B1831" s="723" t="s">
        <v>742</v>
      </c>
      <c r="C1831" s="722" t="s">
        <v>641</v>
      </c>
      <c r="D1831" t="s">
        <v>642</v>
      </c>
      <c r="E1831" s="147">
        <v>0.22500000000000001</v>
      </c>
      <c r="F1831" s="729"/>
      <c r="G1831" s="147">
        <v>0.22500000000000001</v>
      </c>
      <c r="H1831" s="147">
        <v>0</v>
      </c>
      <c r="I1831" s="729"/>
      <c r="J1831" s="147">
        <v>0.22500000000000001</v>
      </c>
      <c r="K1831" s="147">
        <v>0</v>
      </c>
      <c r="L1831" s="147">
        <v>0.95450999999999997</v>
      </c>
      <c r="M1831" s="729"/>
      <c r="N1831" s="147">
        <v>0.95450999999999997</v>
      </c>
      <c r="O1831" s="147">
        <v>0</v>
      </c>
      <c r="P1831" s="147">
        <v>0.41982999999999998</v>
      </c>
      <c r="Q1831" s="147">
        <v>0.53468000000000004</v>
      </c>
      <c r="R1831" s="147">
        <v>127.35631088774028</v>
      </c>
    </row>
    <row r="1832" spans="2:18" ht="15.75" hidden="1" thickBot="1" x14ac:dyDescent="0.3">
      <c r="B1832" s="723" t="s">
        <v>742</v>
      </c>
      <c r="C1832" s="722" t="s">
        <v>149</v>
      </c>
      <c r="D1832" t="s">
        <v>150</v>
      </c>
      <c r="E1832" s="148">
        <v>37.293909999999997</v>
      </c>
      <c r="F1832" s="148">
        <v>3.6120000000000001</v>
      </c>
      <c r="G1832" s="148">
        <v>33.681910000000002</v>
      </c>
      <c r="H1832" s="148">
        <v>932.50027685492796</v>
      </c>
      <c r="I1832" s="728"/>
      <c r="J1832" s="148">
        <v>37.293909999999997</v>
      </c>
      <c r="K1832" s="148">
        <v>0</v>
      </c>
      <c r="L1832" s="148">
        <v>223.30213000000001</v>
      </c>
      <c r="M1832" s="148">
        <v>196.54499999999999</v>
      </c>
      <c r="N1832" s="148">
        <v>26.75713</v>
      </c>
      <c r="O1832" s="148">
        <v>13.613742399959296</v>
      </c>
      <c r="P1832" s="148">
        <v>107.31511999999999</v>
      </c>
      <c r="Q1832" s="148">
        <v>115.98701</v>
      </c>
      <c r="R1832" s="148">
        <v>108.08077184277481</v>
      </c>
    </row>
    <row r="1833" spans="2:18" ht="15.75" hidden="1" thickBot="1" x14ac:dyDescent="0.3">
      <c r="B1833" s="723" t="s">
        <v>742</v>
      </c>
      <c r="C1833" s="722" t="s">
        <v>173</v>
      </c>
      <c r="D1833" t="s">
        <v>174</v>
      </c>
      <c r="E1833" s="729"/>
      <c r="F1833" s="729"/>
      <c r="G1833" s="729"/>
      <c r="H1833" s="729"/>
      <c r="I1833" s="729"/>
      <c r="J1833" s="729"/>
      <c r="K1833" s="729"/>
      <c r="L1833" s="147">
        <v>0.24</v>
      </c>
      <c r="M1833" s="729"/>
      <c r="N1833" s="147">
        <v>0.24</v>
      </c>
      <c r="O1833" s="147">
        <v>0</v>
      </c>
      <c r="P1833" s="729"/>
      <c r="Q1833" s="147">
        <v>0.24</v>
      </c>
      <c r="R1833" s="147">
        <v>0</v>
      </c>
    </row>
    <row r="1834" spans="2:18" ht="15.75" hidden="1" thickBot="1" x14ac:dyDescent="0.3">
      <c r="B1834" s="723" t="s">
        <v>742</v>
      </c>
      <c r="C1834" s="722" t="s">
        <v>151</v>
      </c>
      <c r="D1834" t="s">
        <v>152</v>
      </c>
      <c r="E1834" s="728"/>
      <c r="F1834" s="728"/>
      <c r="G1834" s="728"/>
      <c r="H1834" s="728"/>
      <c r="I1834" s="728"/>
      <c r="J1834" s="728"/>
      <c r="K1834" s="728"/>
      <c r="L1834" s="148">
        <v>0.45</v>
      </c>
      <c r="M1834" s="728"/>
      <c r="N1834" s="148">
        <v>0.45</v>
      </c>
      <c r="O1834" s="148">
        <v>0</v>
      </c>
      <c r="P1834" s="728"/>
      <c r="Q1834" s="148">
        <v>0.45</v>
      </c>
      <c r="R1834" s="148">
        <v>0</v>
      </c>
    </row>
    <row r="1835" spans="2:18" ht="15.75" hidden="1" thickBot="1" x14ac:dyDescent="0.3">
      <c r="B1835" s="723" t="s">
        <v>742</v>
      </c>
      <c r="C1835" s="722" t="s">
        <v>75</v>
      </c>
      <c r="D1835" t="s">
        <v>76</v>
      </c>
      <c r="E1835" s="147">
        <v>0.75011000000000005</v>
      </c>
      <c r="F1835" s="147">
        <v>0.52500000000000002</v>
      </c>
      <c r="G1835" s="147">
        <v>0.22511</v>
      </c>
      <c r="H1835" s="147">
        <v>42.878095238095241</v>
      </c>
      <c r="I1835" s="729"/>
      <c r="J1835" s="147">
        <v>0.75011000000000005</v>
      </c>
      <c r="K1835" s="147">
        <v>0</v>
      </c>
      <c r="L1835" s="147">
        <v>14.80416</v>
      </c>
      <c r="M1835" s="147">
        <v>12.225</v>
      </c>
      <c r="N1835" s="147">
        <v>2.5791599999999999</v>
      </c>
      <c r="O1835" s="147">
        <v>21.097423312883436</v>
      </c>
      <c r="P1835" s="147">
        <v>6.62399</v>
      </c>
      <c r="Q1835" s="147">
        <v>8.1801700000000004</v>
      </c>
      <c r="R1835" s="147">
        <v>123.49309102217848</v>
      </c>
    </row>
    <row r="1836" spans="2:18" ht="15.75" hidden="1" thickBot="1" x14ac:dyDescent="0.3">
      <c r="B1836" s="723" t="s">
        <v>742</v>
      </c>
      <c r="C1836" s="722" t="s">
        <v>121</v>
      </c>
      <c r="D1836" t="s">
        <v>122</v>
      </c>
      <c r="E1836" s="148">
        <v>9.3659999999999993E-2</v>
      </c>
      <c r="F1836" s="148">
        <v>0.24</v>
      </c>
      <c r="G1836" s="148">
        <v>-0.14634</v>
      </c>
      <c r="H1836" s="148">
        <v>-60.975000000000001</v>
      </c>
      <c r="I1836" s="728"/>
      <c r="J1836" s="148">
        <v>9.3659999999999993E-2</v>
      </c>
      <c r="K1836" s="148">
        <v>0</v>
      </c>
      <c r="L1836" s="148">
        <v>4.5024899999999999</v>
      </c>
      <c r="M1836" s="148">
        <v>3.43</v>
      </c>
      <c r="N1836" s="148">
        <v>1.0724899999999999</v>
      </c>
      <c r="O1836" s="148">
        <v>31.26793002915452</v>
      </c>
      <c r="P1836" s="148">
        <v>2.6656499999999999</v>
      </c>
      <c r="Q1836" s="148">
        <v>1.83684</v>
      </c>
      <c r="R1836" s="148">
        <v>68.907771087727198</v>
      </c>
    </row>
    <row r="1837" spans="2:18" ht="15.75" hidden="1" thickBot="1" x14ac:dyDescent="0.3">
      <c r="B1837" s="723" t="s">
        <v>742</v>
      </c>
      <c r="C1837" s="722" t="s">
        <v>77</v>
      </c>
      <c r="D1837" t="s">
        <v>78</v>
      </c>
      <c r="E1837" s="729"/>
      <c r="F1837" s="147">
        <v>1.5</v>
      </c>
      <c r="G1837" s="147">
        <v>-1.5</v>
      </c>
      <c r="H1837" s="147">
        <v>-100</v>
      </c>
      <c r="I1837" s="729"/>
      <c r="J1837" s="729"/>
      <c r="K1837" s="729"/>
      <c r="L1837" s="147">
        <v>10.84727</v>
      </c>
      <c r="M1837" s="147">
        <v>13.2</v>
      </c>
      <c r="N1837" s="147">
        <v>-2.3527300000000002</v>
      </c>
      <c r="O1837" s="147">
        <v>-17.823712121212122</v>
      </c>
      <c r="P1837" s="147">
        <v>7.9288699999999999</v>
      </c>
      <c r="Q1837" s="147">
        <v>2.9184000000000001</v>
      </c>
      <c r="R1837" s="147">
        <v>36.807262573355345</v>
      </c>
    </row>
    <row r="1838" spans="2:18" ht="15.75" hidden="1" thickBot="1" x14ac:dyDescent="0.3">
      <c r="B1838" s="723" t="s">
        <v>742</v>
      </c>
      <c r="C1838" s="722" t="s">
        <v>79</v>
      </c>
      <c r="D1838" t="s">
        <v>80</v>
      </c>
      <c r="E1838" s="728"/>
      <c r="F1838" s="148">
        <v>0</v>
      </c>
      <c r="G1838" s="148">
        <v>0</v>
      </c>
      <c r="H1838" s="148">
        <v>0</v>
      </c>
      <c r="I1838" s="728"/>
      <c r="J1838" s="728"/>
      <c r="K1838" s="728"/>
      <c r="L1838" s="148">
        <v>0.91168000000000005</v>
      </c>
      <c r="M1838" s="148">
        <v>1.5</v>
      </c>
      <c r="N1838" s="148">
        <v>-0.58831999999999995</v>
      </c>
      <c r="O1838" s="148">
        <v>-39.221333333333334</v>
      </c>
      <c r="P1838" s="148">
        <v>0.91168000000000005</v>
      </c>
      <c r="Q1838" s="148">
        <v>0</v>
      </c>
      <c r="R1838" s="148">
        <v>0</v>
      </c>
    </row>
    <row r="1839" spans="2:18" ht="15.75" hidden="1" thickBot="1" x14ac:dyDescent="0.3">
      <c r="B1839" s="723" t="s">
        <v>742</v>
      </c>
      <c r="C1839" s="722" t="s">
        <v>81</v>
      </c>
      <c r="D1839" t="s">
        <v>82</v>
      </c>
      <c r="E1839" s="147">
        <v>3.56365</v>
      </c>
      <c r="F1839" s="147">
        <v>0.9</v>
      </c>
      <c r="G1839" s="147">
        <v>2.6636500000000001</v>
      </c>
      <c r="H1839" s="147">
        <v>295.96111111111111</v>
      </c>
      <c r="I1839" s="729"/>
      <c r="J1839" s="147">
        <v>3.56365</v>
      </c>
      <c r="K1839" s="147">
        <v>0</v>
      </c>
      <c r="L1839" s="147">
        <v>13.05057</v>
      </c>
      <c r="M1839" s="147">
        <v>17.715</v>
      </c>
      <c r="N1839" s="147">
        <v>-4.6644300000000003</v>
      </c>
      <c r="O1839" s="147">
        <v>-26.330397967823878</v>
      </c>
      <c r="P1839" s="147">
        <v>3.6865999999999999</v>
      </c>
      <c r="Q1839" s="147">
        <v>9.3639700000000001</v>
      </c>
      <c r="R1839" s="147">
        <v>254.00016275158683</v>
      </c>
    </row>
    <row r="1840" spans="2:18" ht="15.75" hidden="1" thickBot="1" x14ac:dyDescent="0.3">
      <c r="B1840" s="723" t="s">
        <v>742</v>
      </c>
      <c r="C1840" s="722" t="s">
        <v>123</v>
      </c>
      <c r="D1840" t="s">
        <v>124</v>
      </c>
      <c r="E1840" s="728"/>
      <c r="F1840" s="148">
        <v>0.25</v>
      </c>
      <c r="G1840" s="148">
        <v>-0.25</v>
      </c>
      <c r="H1840" s="148">
        <v>-100</v>
      </c>
      <c r="I1840" s="728"/>
      <c r="J1840" s="728"/>
      <c r="K1840" s="728"/>
      <c r="L1840" s="148">
        <v>3.5493899999999998</v>
      </c>
      <c r="M1840" s="148">
        <v>3</v>
      </c>
      <c r="N1840" s="148">
        <v>0.54939000000000004</v>
      </c>
      <c r="O1840" s="148">
        <v>18.312999999999999</v>
      </c>
      <c r="P1840" s="148">
        <v>1.3693900000000001</v>
      </c>
      <c r="Q1840" s="148">
        <v>2.1800000000000002</v>
      </c>
      <c r="R1840" s="148">
        <v>159.19497002314898</v>
      </c>
    </row>
    <row r="1841" spans="2:18" ht="15.75" hidden="1" thickBot="1" x14ac:dyDescent="0.3">
      <c r="B1841" s="723" t="s">
        <v>742</v>
      </c>
      <c r="C1841" s="722" t="s">
        <v>125</v>
      </c>
      <c r="D1841" t="s">
        <v>126</v>
      </c>
      <c r="E1841" s="729"/>
      <c r="F1841" s="729"/>
      <c r="G1841" s="729"/>
      <c r="H1841" s="729"/>
      <c r="I1841" s="729"/>
      <c r="J1841" s="729"/>
      <c r="K1841" s="729"/>
      <c r="L1841" s="147">
        <v>9.9500000000000005E-2</v>
      </c>
      <c r="M1841" s="729"/>
      <c r="N1841" s="147">
        <v>9.9500000000000005E-2</v>
      </c>
      <c r="O1841" s="147">
        <v>0</v>
      </c>
      <c r="P1841" s="729"/>
      <c r="Q1841" s="147">
        <v>9.9500000000000005E-2</v>
      </c>
      <c r="R1841" s="147">
        <v>0</v>
      </c>
    </row>
    <row r="1842" spans="2:18" ht="15.75" hidden="1" thickBot="1" x14ac:dyDescent="0.3">
      <c r="B1842" s="723" t="s">
        <v>742</v>
      </c>
      <c r="C1842" s="722" t="s">
        <v>83</v>
      </c>
      <c r="D1842" t="s">
        <v>84</v>
      </c>
      <c r="E1842" s="728"/>
      <c r="F1842" s="728"/>
      <c r="G1842" s="728"/>
      <c r="H1842" s="728"/>
      <c r="I1842" s="728"/>
      <c r="J1842" s="728"/>
      <c r="K1842" s="728"/>
      <c r="L1842" s="728"/>
      <c r="M1842" s="148">
        <v>0.45</v>
      </c>
      <c r="N1842" s="148">
        <v>-0.45</v>
      </c>
      <c r="O1842" s="148">
        <v>-100</v>
      </c>
      <c r="P1842" s="728"/>
      <c r="Q1842" s="728"/>
      <c r="R1842" s="728"/>
    </row>
    <row r="1843" spans="2:18" ht="15.75" hidden="1" thickBot="1" x14ac:dyDescent="0.3">
      <c r="B1843" s="723" t="s">
        <v>742</v>
      </c>
      <c r="C1843" s="149" t="s">
        <v>85</v>
      </c>
      <c r="D1843" t="s">
        <v>86</v>
      </c>
      <c r="E1843" s="147">
        <v>56.707160000000002</v>
      </c>
      <c r="F1843" s="147">
        <v>19.683</v>
      </c>
      <c r="G1843" s="147">
        <v>37.024160000000002</v>
      </c>
      <c r="H1843" s="147">
        <v>188.10222019001168</v>
      </c>
      <c r="I1843" s="729"/>
      <c r="J1843" s="147">
        <v>56.707160000000002</v>
      </c>
      <c r="K1843" s="147">
        <v>0</v>
      </c>
      <c r="L1843" s="147">
        <v>465.30453999999997</v>
      </c>
      <c r="M1843" s="147">
        <v>502.803</v>
      </c>
      <c r="N1843" s="147">
        <v>-37.498460000000001</v>
      </c>
      <c r="O1843" s="147">
        <v>-7.4578831073004732</v>
      </c>
      <c r="P1843" s="147">
        <v>220.11525</v>
      </c>
      <c r="Q1843" s="147">
        <v>245.18929</v>
      </c>
      <c r="R1843" s="147">
        <v>111.39132340898688</v>
      </c>
    </row>
    <row r="1844" spans="2:18" ht="15.75" hidden="1" thickBot="1" x14ac:dyDescent="0.3">
      <c r="B1844" s="723" t="s">
        <v>742</v>
      </c>
      <c r="C1844" s="144" t="s">
        <v>87</v>
      </c>
      <c r="D1844" t="s">
        <v>87</v>
      </c>
      <c r="E1844" s="148">
        <v>133.48518000000001</v>
      </c>
      <c r="F1844" s="148">
        <v>100.10937</v>
      </c>
      <c r="G1844" s="148">
        <v>33.375810000000001</v>
      </c>
      <c r="H1844" s="148">
        <v>33.339346756452471</v>
      </c>
      <c r="I1844" s="728"/>
      <c r="J1844" s="148">
        <v>133.48518000000001</v>
      </c>
      <c r="K1844" s="148">
        <v>0</v>
      </c>
      <c r="L1844" s="148">
        <v>1401.98595</v>
      </c>
      <c r="M1844" s="148">
        <v>1462.85626</v>
      </c>
      <c r="N1844" s="148">
        <v>-60.870310000000003</v>
      </c>
      <c r="O1844" s="148">
        <v>-4.1610588589202875</v>
      </c>
      <c r="P1844" s="148">
        <v>667.78017</v>
      </c>
      <c r="Q1844" s="148">
        <v>734.20578</v>
      </c>
      <c r="R1844" s="148">
        <v>109.94722709420977</v>
      </c>
    </row>
    <row r="1845" spans="2:18" ht="15.75" hidden="1" thickBot="1" x14ac:dyDescent="0.3">
      <c r="B1845" s="723" t="s">
        <v>743</v>
      </c>
      <c r="C1845" s="722" t="s">
        <v>59</v>
      </c>
      <c r="D1845" t="s">
        <v>60</v>
      </c>
      <c r="E1845" s="147">
        <v>146.96787</v>
      </c>
      <c r="F1845" s="147">
        <v>173.86542</v>
      </c>
      <c r="G1845" s="147">
        <v>-26.897549999999999</v>
      </c>
      <c r="H1845" s="147">
        <v>-15.470327567149351</v>
      </c>
      <c r="I1845" s="729"/>
      <c r="J1845" s="147">
        <v>146.96787</v>
      </c>
      <c r="K1845" s="147">
        <v>0</v>
      </c>
      <c r="L1845" s="147">
        <v>2017.1897200000001</v>
      </c>
      <c r="M1845" s="147">
        <v>2073.7159299999998</v>
      </c>
      <c r="N1845" s="147">
        <v>-56.526209999999999</v>
      </c>
      <c r="O1845" s="147">
        <v>-2.7258415283524391</v>
      </c>
      <c r="P1845" s="147">
        <v>1076.8158800000001</v>
      </c>
      <c r="Q1845" s="147">
        <v>940.37383999999997</v>
      </c>
      <c r="R1845" s="147">
        <v>87.329120740678533</v>
      </c>
    </row>
    <row r="1846" spans="2:18" ht="15.75" hidden="1" thickBot="1" x14ac:dyDescent="0.3">
      <c r="B1846" s="723" t="s">
        <v>743</v>
      </c>
      <c r="C1846" s="722" t="s">
        <v>566</v>
      </c>
      <c r="D1846" t="s">
        <v>567</v>
      </c>
      <c r="E1846" s="148">
        <v>0.40084999999999998</v>
      </c>
      <c r="F1846" s="728"/>
      <c r="G1846" s="148">
        <v>0.40084999999999998</v>
      </c>
      <c r="H1846" s="148">
        <v>0</v>
      </c>
      <c r="I1846" s="728"/>
      <c r="J1846" s="148">
        <v>0.40084999999999998</v>
      </c>
      <c r="K1846" s="148">
        <v>0</v>
      </c>
      <c r="L1846" s="148">
        <v>3.4233199999999999</v>
      </c>
      <c r="M1846" s="728"/>
      <c r="N1846" s="148">
        <v>3.4233199999999999</v>
      </c>
      <c r="O1846" s="148">
        <v>0</v>
      </c>
      <c r="P1846" s="148">
        <v>1.5098800000000001</v>
      </c>
      <c r="Q1846" s="148">
        <v>1.91344</v>
      </c>
      <c r="R1846" s="148">
        <v>126.72795189021645</v>
      </c>
    </row>
    <row r="1847" spans="2:18" ht="15.75" hidden="1" thickBot="1" x14ac:dyDescent="0.3">
      <c r="B1847" s="723" t="s">
        <v>743</v>
      </c>
      <c r="C1847" s="722" t="s">
        <v>91</v>
      </c>
      <c r="D1847" t="s">
        <v>92</v>
      </c>
      <c r="E1847" s="147">
        <v>4.2927999999999997</v>
      </c>
      <c r="F1847" s="147">
        <v>4.7763400000000003</v>
      </c>
      <c r="G1847" s="147">
        <v>-0.48354000000000003</v>
      </c>
      <c r="H1847" s="147">
        <v>-10.123651163861869</v>
      </c>
      <c r="I1847" s="729"/>
      <c r="J1847" s="147">
        <v>4.2927999999999997</v>
      </c>
      <c r="K1847" s="147">
        <v>0</v>
      </c>
      <c r="L1847" s="147">
        <v>55.389969999999998</v>
      </c>
      <c r="M1847" s="147">
        <v>55.785760000000003</v>
      </c>
      <c r="N1847" s="147">
        <v>-0.39578999999999998</v>
      </c>
      <c r="O1847" s="147">
        <v>-0.70948213307482055</v>
      </c>
      <c r="P1847" s="147">
        <v>27.475850000000001</v>
      </c>
      <c r="Q1847" s="147">
        <v>27.91412</v>
      </c>
      <c r="R1847" s="147">
        <v>101.59510988741022</v>
      </c>
    </row>
    <row r="1848" spans="2:18" ht="15.75" hidden="1" thickBot="1" x14ac:dyDescent="0.3">
      <c r="B1848" s="723" t="s">
        <v>743</v>
      </c>
      <c r="C1848" s="722" t="s">
        <v>93</v>
      </c>
      <c r="D1848" t="s">
        <v>94</v>
      </c>
      <c r="E1848" s="148">
        <v>1.1939999999999999E-2</v>
      </c>
      <c r="F1848" s="148">
        <v>0.42436000000000001</v>
      </c>
      <c r="G1848" s="148">
        <v>-0.41242000000000001</v>
      </c>
      <c r="H1848" s="148">
        <v>-97.186351211235745</v>
      </c>
      <c r="I1848" s="728"/>
      <c r="J1848" s="148">
        <v>1.1939999999999999E-2</v>
      </c>
      <c r="K1848" s="148">
        <v>0</v>
      </c>
      <c r="L1848" s="148">
        <v>0.18815999999999999</v>
      </c>
      <c r="M1848" s="148">
        <v>4.9563600000000001</v>
      </c>
      <c r="N1848" s="148">
        <v>-4.7682000000000002</v>
      </c>
      <c r="O1848" s="148">
        <v>-96.203665593298311</v>
      </c>
      <c r="P1848" s="148">
        <v>0.14318</v>
      </c>
      <c r="Q1848" s="148">
        <v>4.4979999999999999E-2</v>
      </c>
      <c r="R1848" s="148">
        <v>31.4150020952647</v>
      </c>
    </row>
    <row r="1849" spans="2:18" ht="15.75" hidden="1" thickBot="1" x14ac:dyDescent="0.3">
      <c r="B1849" s="723" t="s">
        <v>743</v>
      </c>
      <c r="C1849" s="722" t="s">
        <v>134</v>
      </c>
      <c r="D1849" t="s">
        <v>135</v>
      </c>
      <c r="E1849" s="147">
        <v>5.3481199999999998</v>
      </c>
      <c r="F1849" s="729"/>
      <c r="G1849" s="147">
        <v>5.3481199999999998</v>
      </c>
      <c r="H1849" s="147">
        <v>0</v>
      </c>
      <c r="I1849" s="729"/>
      <c r="J1849" s="147">
        <v>5.3481199999999998</v>
      </c>
      <c r="K1849" s="147">
        <v>0</v>
      </c>
      <c r="L1849" s="147">
        <v>57.341720000000002</v>
      </c>
      <c r="M1849" s="729"/>
      <c r="N1849" s="147">
        <v>57.341720000000002</v>
      </c>
      <c r="O1849" s="147">
        <v>0</v>
      </c>
      <c r="P1849" s="147">
        <v>19.116140000000001</v>
      </c>
      <c r="Q1849" s="147">
        <v>38.225580000000001</v>
      </c>
      <c r="R1849" s="147">
        <v>199.96495108322077</v>
      </c>
    </row>
    <row r="1850" spans="2:18" ht="15.75" hidden="1" thickBot="1" x14ac:dyDescent="0.3">
      <c r="B1850" s="723" t="s">
        <v>743</v>
      </c>
      <c r="C1850" s="722" t="s">
        <v>568</v>
      </c>
      <c r="D1850" t="s">
        <v>569</v>
      </c>
      <c r="E1850" s="148">
        <v>4.3165899999999997</v>
      </c>
      <c r="F1850" s="148">
        <v>4.2801</v>
      </c>
      <c r="G1850" s="148">
        <v>3.6490000000000002E-2</v>
      </c>
      <c r="H1850" s="148">
        <v>0.85255017406135369</v>
      </c>
      <c r="I1850" s="728"/>
      <c r="J1850" s="148">
        <v>4.3165899999999997</v>
      </c>
      <c r="K1850" s="148">
        <v>0</v>
      </c>
      <c r="L1850" s="148">
        <v>66.105770000000007</v>
      </c>
      <c r="M1850" s="148">
        <v>51.091760000000001</v>
      </c>
      <c r="N1850" s="148">
        <v>15.014010000000001</v>
      </c>
      <c r="O1850" s="148">
        <v>29.38636288904512</v>
      </c>
      <c r="P1850" s="148">
        <v>39.221670000000003</v>
      </c>
      <c r="Q1850" s="148">
        <v>26.8841</v>
      </c>
      <c r="R1850" s="148">
        <v>68.543996214337639</v>
      </c>
    </row>
    <row r="1851" spans="2:18" ht="15.75" hidden="1" thickBot="1" x14ac:dyDescent="0.3">
      <c r="B1851" s="723" t="s">
        <v>743</v>
      </c>
      <c r="C1851" s="722" t="s">
        <v>61</v>
      </c>
      <c r="D1851" t="s">
        <v>62</v>
      </c>
      <c r="E1851" s="147">
        <v>25.973970000000001</v>
      </c>
      <c r="F1851" s="147">
        <v>28.352879999999999</v>
      </c>
      <c r="G1851" s="147">
        <v>-2.3789099999999999</v>
      </c>
      <c r="H1851" s="147">
        <v>-8.3903645767202484</v>
      </c>
      <c r="I1851" s="729"/>
      <c r="J1851" s="147">
        <v>25.973970000000001</v>
      </c>
      <c r="K1851" s="147">
        <v>0</v>
      </c>
      <c r="L1851" s="147">
        <v>323.24443000000002</v>
      </c>
      <c r="M1851" s="147">
        <v>337.99194</v>
      </c>
      <c r="N1851" s="147">
        <v>-14.74751</v>
      </c>
      <c r="O1851" s="147">
        <v>-4.3632726863250051</v>
      </c>
      <c r="P1851" s="147">
        <v>168.10375999999999</v>
      </c>
      <c r="Q1851" s="147">
        <v>155.14067</v>
      </c>
      <c r="R1851" s="147">
        <v>92.288637684249295</v>
      </c>
    </row>
    <row r="1852" spans="2:18" ht="15.75" hidden="1" thickBot="1" x14ac:dyDescent="0.3">
      <c r="B1852" s="723" t="s">
        <v>743</v>
      </c>
      <c r="C1852" s="722" t="s">
        <v>63</v>
      </c>
      <c r="D1852" t="s">
        <v>64</v>
      </c>
      <c r="E1852" s="148">
        <v>101.39775</v>
      </c>
      <c r="F1852" s="148">
        <v>110.30188</v>
      </c>
      <c r="G1852" s="148">
        <v>-8.9041300000000003</v>
      </c>
      <c r="H1852" s="148">
        <v>-8.0725097341949201</v>
      </c>
      <c r="I1852" s="728"/>
      <c r="J1852" s="148">
        <v>101.39775</v>
      </c>
      <c r="K1852" s="148">
        <v>0</v>
      </c>
      <c r="L1852" s="148">
        <v>1261.4065499999999</v>
      </c>
      <c r="M1852" s="148">
        <v>1314.8978199999999</v>
      </c>
      <c r="N1852" s="148">
        <v>-53.49127</v>
      </c>
      <c r="O1852" s="148">
        <v>-4.0680932910817358</v>
      </c>
      <c r="P1852" s="148">
        <v>654.73050000000001</v>
      </c>
      <c r="Q1852" s="148">
        <v>606.67605000000003</v>
      </c>
      <c r="R1852" s="148">
        <v>92.660422876282681</v>
      </c>
    </row>
    <row r="1853" spans="2:18" ht="15.75" hidden="1" thickBot="1" x14ac:dyDescent="0.3">
      <c r="B1853" s="723" t="s">
        <v>743</v>
      </c>
      <c r="C1853" s="722" t="s">
        <v>156</v>
      </c>
      <c r="D1853" t="s">
        <v>157</v>
      </c>
      <c r="E1853" s="147">
        <v>8.6260000000000003E-2</v>
      </c>
      <c r="F1853" s="729"/>
      <c r="G1853" s="147">
        <v>8.6260000000000003E-2</v>
      </c>
      <c r="H1853" s="147">
        <v>0</v>
      </c>
      <c r="I1853" s="729"/>
      <c r="J1853" s="147">
        <v>8.6260000000000003E-2</v>
      </c>
      <c r="K1853" s="147">
        <v>0</v>
      </c>
      <c r="L1853" s="147">
        <v>3.5366599999999999</v>
      </c>
      <c r="M1853" s="729"/>
      <c r="N1853" s="147">
        <v>3.5366599999999999</v>
      </c>
      <c r="O1853" s="147">
        <v>0</v>
      </c>
      <c r="P1853" s="147">
        <v>3.4504000000000001</v>
      </c>
      <c r="Q1853" s="147">
        <v>8.6260000000000003E-2</v>
      </c>
      <c r="R1853" s="147">
        <v>2.5</v>
      </c>
    </row>
    <row r="1854" spans="2:18" ht="15.75" hidden="1" thickBot="1" x14ac:dyDescent="0.3">
      <c r="B1854" s="723" t="s">
        <v>743</v>
      </c>
      <c r="C1854" s="722" t="s">
        <v>65</v>
      </c>
      <c r="D1854" t="s">
        <v>66</v>
      </c>
      <c r="E1854" s="148">
        <v>-1.4920899999999999</v>
      </c>
      <c r="F1854" s="148">
        <v>-1.1511499999999999</v>
      </c>
      <c r="G1854" s="148">
        <v>-0.34094000000000002</v>
      </c>
      <c r="H1854" s="148">
        <v>-29.617339182556574</v>
      </c>
      <c r="I1854" s="728"/>
      <c r="J1854" s="148">
        <v>-1.4920899999999999</v>
      </c>
      <c r="K1854" s="148">
        <v>0</v>
      </c>
      <c r="L1854" s="148">
        <v>-15.55939</v>
      </c>
      <c r="M1854" s="148">
        <v>-13.26263</v>
      </c>
      <c r="N1854" s="148">
        <v>-2.2967599999999999</v>
      </c>
      <c r="O1854" s="148">
        <v>-17.317530535044707</v>
      </c>
      <c r="P1854" s="148">
        <v>-6.0847199999999999</v>
      </c>
      <c r="Q1854" s="148">
        <v>-9.4746699999999997</v>
      </c>
      <c r="R1854" s="148">
        <v>-155.7125060808057</v>
      </c>
    </row>
    <row r="1855" spans="2:18" ht="15.75" hidden="1" thickBot="1" x14ac:dyDescent="0.3">
      <c r="B1855" s="723" t="s">
        <v>743</v>
      </c>
      <c r="C1855" s="722" t="s">
        <v>163</v>
      </c>
      <c r="D1855" t="s">
        <v>164</v>
      </c>
      <c r="E1855" s="147">
        <v>-0.16836000000000001</v>
      </c>
      <c r="F1855" s="729"/>
      <c r="G1855" s="147">
        <v>-0.16836000000000001</v>
      </c>
      <c r="H1855" s="147">
        <v>0</v>
      </c>
      <c r="I1855" s="729"/>
      <c r="J1855" s="147">
        <v>-0.16836000000000001</v>
      </c>
      <c r="K1855" s="147">
        <v>0</v>
      </c>
      <c r="L1855" s="147">
        <v>-2.9476800000000001</v>
      </c>
      <c r="M1855" s="729"/>
      <c r="N1855" s="147">
        <v>-2.9476800000000001</v>
      </c>
      <c r="O1855" s="147">
        <v>0</v>
      </c>
      <c r="P1855" s="147">
        <v>-1.7983199999999999</v>
      </c>
      <c r="Q1855" s="147">
        <v>-1.1493599999999999</v>
      </c>
      <c r="R1855" s="147">
        <v>-63.912985453089547</v>
      </c>
    </row>
    <row r="1856" spans="2:18" ht="15.75" hidden="1" thickBot="1" x14ac:dyDescent="0.3">
      <c r="B1856" s="723" t="s">
        <v>743</v>
      </c>
      <c r="C1856" s="149" t="s">
        <v>67</v>
      </c>
      <c r="D1856" t="s">
        <v>68</v>
      </c>
      <c r="E1856" s="148">
        <v>287.13569999999999</v>
      </c>
      <c r="F1856" s="148">
        <v>320.84983</v>
      </c>
      <c r="G1856" s="148">
        <v>-33.714129999999997</v>
      </c>
      <c r="H1856" s="148">
        <v>-10.50775996982763</v>
      </c>
      <c r="I1856" s="728"/>
      <c r="J1856" s="148">
        <v>287.13569999999999</v>
      </c>
      <c r="K1856" s="148">
        <v>0</v>
      </c>
      <c r="L1856" s="148">
        <v>3769.3192300000001</v>
      </c>
      <c r="M1856" s="148">
        <v>3825.1769399999998</v>
      </c>
      <c r="N1856" s="148">
        <v>-55.857709999999997</v>
      </c>
      <c r="O1856" s="148">
        <v>-1.4602647374529032</v>
      </c>
      <c r="P1856" s="148">
        <v>1982.6842200000001</v>
      </c>
      <c r="Q1856" s="148">
        <v>1786.63501</v>
      </c>
      <c r="R1856" s="148">
        <v>90.111929674812259</v>
      </c>
    </row>
    <row r="1857" spans="2:18" ht="15.75" hidden="1" thickBot="1" x14ac:dyDescent="0.3">
      <c r="B1857" s="723" t="s">
        <v>743</v>
      </c>
      <c r="C1857" s="722" t="s">
        <v>69</v>
      </c>
      <c r="D1857" t="s">
        <v>70</v>
      </c>
      <c r="E1857" s="147">
        <v>28.616</v>
      </c>
      <c r="F1857" s="147">
        <v>30.25</v>
      </c>
      <c r="G1857" s="147">
        <v>-1.6339999999999999</v>
      </c>
      <c r="H1857" s="147">
        <v>-5.4016528925619838</v>
      </c>
      <c r="I1857" s="729"/>
      <c r="J1857" s="147">
        <v>28.616</v>
      </c>
      <c r="K1857" s="147">
        <v>0</v>
      </c>
      <c r="L1857" s="147">
        <v>230.71063000000001</v>
      </c>
      <c r="M1857" s="147">
        <v>250.85</v>
      </c>
      <c r="N1857" s="147">
        <v>-20.13937</v>
      </c>
      <c r="O1857" s="147">
        <v>-8.0284512656966314</v>
      </c>
      <c r="P1857" s="147">
        <v>161.51112000000001</v>
      </c>
      <c r="Q1857" s="147">
        <v>69.199510000000004</v>
      </c>
      <c r="R1857" s="147">
        <v>42.845043734449987</v>
      </c>
    </row>
    <row r="1858" spans="2:18" ht="15.75" hidden="1" thickBot="1" x14ac:dyDescent="0.3">
      <c r="B1858" s="723" t="s">
        <v>743</v>
      </c>
      <c r="C1858" s="722" t="s">
        <v>99</v>
      </c>
      <c r="D1858" t="s">
        <v>100</v>
      </c>
      <c r="E1858" s="148">
        <v>2.5325000000000002</v>
      </c>
      <c r="F1858" s="148">
        <v>3.7</v>
      </c>
      <c r="G1858" s="148">
        <v>-1.1675</v>
      </c>
      <c r="H1858" s="148">
        <v>-31.554054054054053</v>
      </c>
      <c r="I1858" s="728"/>
      <c r="J1858" s="148">
        <v>2.5325000000000002</v>
      </c>
      <c r="K1858" s="148">
        <v>0</v>
      </c>
      <c r="L1858" s="148">
        <v>30.599640000000001</v>
      </c>
      <c r="M1858" s="148">
        <v>35.200000000000003</v>
      </c>
      <c r="N1858" s="148">
        <v>-4.6003600000000002</v>
      </c>
      <c r="O1858" s="148">
        <v>-13.069204545454545</v>
      </c>
      <c r="P1858" s="148">
        <v>9.0489200000000007</v>
      </c>
      <c r="Q1858" s="148">
        <v>21.550719999999998</v>
      </c>
      <c r="R1858" s="148">
        <v>238.15792381853305</v>
      </c>
    </row>
    <row r="1859" spans="2:18" ht="15.75" hidden="1" thickBot="1" x14ac:dyDescent="0.3">
      <c r="B1859" s="723" t="s">
        <v>743</v>
      </c>
      <c r="C1859" s="722" t="s">
        <v>137</v>
      </c>
      <c r="D1859" t="s">
        <v>138</v>
      </c>
      <c r="E1859" s="147">
        <v>0.23871000000000001</v>
      </c>
      <c r="F1859" s="729"/>
      <c r="G1859" s="147">
        <v>0.23871000000000001</v>
      </c>
      <c r="H1859" s="147">
        <v>0</v>
      </c>
      <c r="I1859" s="729"/>
      <c r="J1859" s="147">
        <v>0.23871000000000001</v>
      </c>
      <c r="K1859" s="147">
        <v>0</v>
      </c>
      <c r="L1859" s="147">
        <v>1.08514</v>
      </c>
      <c r="M1859" s="729"/>
      <c r="N1859" s="147">
        <v>1.08514</v>
      </c>
      <c r="O1859" s="147">
        <v>0</v>
      </c>
      <c r="P1859" s="147">
        <v>0.48618</v>
      </c>
      <c r="Q1859" s="147">
        <v>0.59896000000000005</v>
      </c>
      <c r="R1859" s="147">
        <v>123.19716977251224</v>
      </c>
    </row>
    <row r="1860" spans="2:18" ht="15.75" hidden="1" thickBot="1" x14ac:dyDescent="0.3">
      <c r="B1860" s="723" t="s">
        <v>743</v>
      </c>
      <c r="C1860" s="722" t="s">
        <v>190</v>
      </c>
      <c r="D1860" t="s">
        <v>191</v>
      </c>
      <c r="E1860" s="148">
        <v>12.50469</v>
      </c>
      <c r="F1860" s="148">
        <v>12.5</v>
      </c>
      <c r="G1860" s="148">
        <v>4.6899999999999997E-3</v>
      </c>
      <c r="H1860" s="148">
        <v>3.7519999999999998E-2</v>
      </c>
      <c r="I1860" s="728"/>
      <c r="J1860" s="148">
        <v>12.50469</v>
      </c>
      <c r="K1860" s="148">
        <v>0</v>
      </c>
      <c r="L1860" s="148">
        <v>142.13736</v>
      </c>
      <c r="M1860" s="148">
        <v>144</v>
      </c>
      <c r="N1860" s="148">
        <v>-1.8626400000000001</v>
      </c>
      <c r="O1860" s="148">
        <v>-1.2935000000000001</v>
      </c>
      <c r="P1860" s="148">
        <v>68.926410000000004</v>
      </c>
      <c r="Q1860" s="148">
        <v>73.210949999999997</v>
      </c>
      <c r="R1860" s="148">
        <v>106.21610787505109</v>
      </c>
    </row>
    <row r="1861" spans="2:18" ht="15.75" hidden="1" thickBot="1" x14ac:dyDescent="0.3">
      <c r="B1861" s="723" t="s">
        <v>743</v>
      </c>
      <c r="C1861" s="722" t="s">
        <v>598</v>
      </c>
      <c r="D1861" t="s">
        <v>168</v>
      </c>
      <c r="E1861" s="729"/>
      <c r="F1861" s="729"/>
      <c r="G1861" s="729"/>
      <c r="H1861" s="729"/>
      <c r="I1861" s="729"/>
      <c r="J1861" s="729"/>
      <c r="K1861" s="729"/>
      <c r="L1861" s="729"/>
      <c r="M1861" s="147">
        <v>0</v>
      </c>
      <c r="N1861" s="147">
        <v>0</v>
      </c>
      <c r="O1861" s="147">
        <v>0</v>
      </c>
      <c r="P1861" s="729"/>
      <c r="Q1861" s="729"/>
      <c r="R1861" s="729"/>
    </row>
    <row r="1862" spans="2:18" ht="15.75" hidden="1" thickBot="1" x14ac:dyDescent="0.3">
      <c r="B1862" s="723" t="s">
        <v>743</v>
      </c>
      <c r="C1862" s="722" t="s">
        <v>139</v>
      </c>
      <c r="D1862" t="s">
        <v>140</v>
      </c>
      <c r="E1862" s="148">
        <v>0.20899999999999999</v>
      </c>
      <c r="F1862" s="148">
        <v>0.58299999999999996</v>
      </c>
      <c r="G1862" s="148">
        <v>-0.374</v>
      </c>
      <c r="H1862" s="148">
        <v>-64.15094339622641</v>
      </c>
      <c r="I1862" s="728"/>
      <c r="J1862" s="148">
        <v>0.20899999999999999</v>
      </c>
      <c r="K1862" s="148">
        <v>0</v>
      </c>
      <c r="L1862" s="148">
        <v>4.4255000000000004</v>
      </c>
      <c r="M1862" s="148">
        <v>5.3639999999999999</v>
      </c>
      <c r="N1862" s="148">
        <v>-0.9385</v>
      </c>
      <c r="O1862" s="148">
        <v>-17.496271439224458</v>
      </c>
      <c r="P1862" s="148">
        <v>2.6720000000000002</v>
      </c>
      <c r="Q1862" s="148">
        <v>1.7535000000000001</v>
      </c>
      <c r="R1862" s="148">
        <v>65.625</v>
      </c>
    </row>
    <row r="1863" spans="2:18" ht="15.75" hidden="1" thickBot="1" x14ac:dyDescent="0.3">
      <c r="B1863" s="723" t="s">
        <v>743</v>
      </c>
      <c r="C1863" s="722" t="s">
        <v>169</v>
      </c>
      <c r="D1863" t="s">
        <v>170</v>
      </c>
      <c r="E1863" s="147">
        <v>4.1449999999999996</v>
      </c>
      <c r="F1863" s="147">
        <v>1.8</v>
      </c>
      <c r="G1863" s="147">
        <v>2.3450000000000002</v>
      </c>
      <c r="H1863" s="147">
        <v>130.27777777777777</v>
      </c>
      <c r="I1863" s="729"/>
      <c r="J1863" s="147">
        <v>4.1449999999999996</v>
      </c>
      <c r="K1863" s="147">
        <v>0</v>
      </c>
      <c r="L1863" s="147">
        <v>79.175210000000007</v>
      </c>
      <c r="M1863" s="147">
        <v>30.35</v>
      </c>
      <c r="N1863" s="147">
        <v>48.825209999999998</v>
      </c>
      <c r="O1863" s="147">
        <v>160.87383855024711</v>
      </c>
      <c r="P1863" s="147">
        <v>31.69539</v>
      </c>
      <c r="Q1863" s="147">
        <v>47.479819999999997</v>
      </c>
      <c r="R1863" s="147">
        <v>149.80039684004518</v>
      </c>
    </row>
    <row r="1864" spans="2:18" ht="15.75" hidden="1" thickBot="1" x14ac:dyDescent="0.3">
      <c r="B1864" s="723" t="s">
        <v>743</v>
      </c>
      <c r="C1864" s="722" t="s">
        <v>101</v>
      </c>
      <c r="D1864" t="s">
        <v>102</v>
      </c>
      <c r="E1864" s="148">
        <v>3.0260500000000001</v>
      </c>
      <c r="F1864" s="148">
        <v>5.9</v>
      </c>
      <c r="G1864" s="148">
        <v>-2.8739499999999998</v>
      </c>
      <c r="H1864" s="148">
        <v>-48.711016949152544</v>
      </c>
      <c r="I1864" s="728"/>
      <c r="J1864" s="148">
        <v>3.0260500000000001</v>
      </c>
      <c r="K1864" s="148">
        <v>0</v>
      </c>
      <c r="L1864" s="148">
        <v>45.211199999999998</v>
      </c>
      <c r="M1864" s="148">
        <v>38.674999999999997</v>
      </c>
      <c r="N1864" s="148">
        <v>6.5362</v>
      </c>
      <c r="O1864" s="148">
        <v>16.90032320620556</v>
      </c>
      <c r="P1864" s="148">
        <v>23.6784</v>
      </c>
      <c r="Q1864" s="148">
        <v>21.532800000000002</v>
      </c>
      <c r="R1864" s="148">
        <v>90.938576930873708</v>
      </c>
    </row>
    <row r="1865" spans="2:18" ht="15.75" hidden="1" thickBot="1" x14ac:dyDescent="0.3">
      <c r="B1865" s="723" t="s">
        <v>743</v>
      </c>
      <c r="C1865" s="722" t="s">
        <v>485</v>
      </c>
      <c r="D1865" t="s">
        <v>486</v>
      </c>
      <c r="E1865" s="147">
        <v>5.0285200000000003</v>
      </c>
      <c r="F1865" s="147">
        <v>2.5</v>
      </c>
      <c r="G1865" s="147">
        <v>2.5285199999999999</v>
      </c>
      <c r="H1865" s="147">
        <v>101.1408</v>
      </c>
      <c r="I1865" s="729"/>
      <c r="J1865" s="147">
        <v>5.0285200000000003</v>
      </c>
      <c r="K1865" s="147">
        <v>0</v>
      </c>
      <c r="L1865" s="147">
        <v>41.817700000000002</v>
      </c>
      <c r="M1865" s="147">
        <v>67</v>
      </c>
      <c r="N1865" s="147">
        <v>-25.182300000000001</v>
      </c>
      <c r="O1865" s="147">
        <v>-37.585522388059701</v>
      </c>
      <c r="P1865" s="147">
        <v>-10.52749</v>
      </c>
      <c r="Q1865" s="147">
        <v>52.345190000000002</v>
      </c>
      <c r="R1865" s="147">
        <v>497.22383968068362</v>
      </c>
    </row>
    <row r="1866" spans="2:18" ht="15.75" hidden="1" thickBot="1" x14ac:dyDescent="0.3">
      <c r="B1866" s="723" t="s">
        <v>743</v>
      </c>
      <c r="C1866" s="722" t="s">
        <v>103</v>
      </c>
      <c r="D1866" t="s">
        <v>104</v>
      </c>
      <c r="E1866" s="148">
        <v>0.61434</v>
      </c>
      <c r="F1866" s="728"/>
      <c r="G1866" s="148">
        <v>0.61434</v>
      </c>
      <c r="H1866" s="148">
        <v>0</v>
      </c>
      <c r="I1866" s="728"/>
      <c r="J1866" s="148">
        <v>0.61434</v>
      </c>
      <c r="K1866" s="148">
        <v>0</v>
      </c>
      <c r="L1866" s="148">
        <v>1.82535</v>
      </c>
      <c r="M1866" s="728"/>
      <c r="N1866" s="148">
        <v>1.82535</v>
      </c>
      <c r="O1866" s="148">
        <v>0</v>
      </c>
      <c r="P1866" s="148">
        <v>0.46437</v>
      </c>
      <c r="Q1866" s="148">
        <v>1.3609800000000001</v>
      </c>
      <c r="R1866" s="148">
        <v>293.08094838167841</v>
      </c>
    </row>
    <row r="1867" spans="2:18" ht="15.75" hidden="1" thickBot="1" x14ac:dyDescent="0.3">
      <c r="B1867" s="723" t="s">
        <v>743</v>
      </c>
      <c r="C1867" s="722" t="s">
        <v>71</v>
      </c>
      <c r="D1867" t="s">
        <v>72</v>
      </c>
      <c r="E1867" s="147">
        <v>1.63045</v>
      </c>
      <c r="F1867" s="729"/>
      <c r="G1867" s="147">
        <v>1.63045</v>
      </c>
      <c r="H1867" s="147">
        <v>0</v>
      </c>
      <c r="I1867" s="729"/>
      <c r="J1867" s="147">
        <v>1.63045</v>
      </c>
      <c r="K1867" s="147">
        <v>0</v>
      </c>
      <c r="L1867" s="147">
        <v>1.6754500000000001</v>
      </c>
      <c r="M1867" s="729"/>
      <c r="N1867" s="147">
        <v>1.6754500000000001</v>
      </c>
      <c r="O1867" s="147">
        <v>0</v>
      </c>
      <c r="P1867" s="147">
        <v>0.57274999999999998</v>
      </c>
      <c r="Q1867" s="147">
        <v>1.1027</v>
      </c>
      <c r="R1867" s="147">
        <v>192.52728066346575</v>
      </c>
    </row>
    <row r="1868" spans="2:18" ht="15.75" hidden="1" thickBot="1" x14ac:dyDescent="0.3">
      <c r="B1868" s="723" t="s">
        <v>743</v>
      </c>
      <c r="C1868" s="722" t="s">
        <v>109</v>
      </c>
      <c r="D1868" t="s">
        <v>110</v>
      </c>
      <c r="E1868" s="148">
        <v>4.1660000000000003E-2</v>
      </c>
      <c r="F1868" s="728"/>
      <c r="G1868" s="148">
        <v>4.1660000000000003E-2</v>
      </c>
      <c r="H1868" s="148">
        <v>0</v>
      </c>
      <c r="I1868" s="728"/>
      <c r="J1868" s="148">
        <v>4.1660000000000003E-2</v>
      </c>
      <c r="K1868" s="148">
        <v>0</v>
      </c>
      <c r="L1868" s="148">
        <v>0.47094999999999998</v>
      </c>
      <c r="M1868" s="728"/>
      <c r="N1868" s="148">
        <v>0.47094999999999998</v>
      </c>
      <c r="O1868" s="148">
        <v>0</v>
      </c>
      <c r="P1868" s="148">
        <v>0.28866999999999998</v>
      </c>
      <c r="Q1868" s="148">
        <v>0.18228</v>
      </c>
      <c r="R1868" s="148">
        <v>63.14476738143901</v>
      </c>
    </row>
    <row r="1869" spans="2:18" ht="15.75" hidden="1" thickBot="1" x14ac:dyDescent="0.3">
      <c r="B1869" s="723" t="s">
        <v>743</v>
      </c>
      <c r="C1869" s="722" t="s">
        <v>73</v>
      </c>
      <c r="D1869" t="s">
        <v>74</v>
      </c>
      <c r="E1869" s="147">
        <v>0.51646000000000003</v>
      </c>
      <c r="F1869" s="147">
        <v>1.66</v>
      </c>
      <c r="G1869" s="147">
        <v>-1.14354</v>
      </c>
      <c r="H1869" s="147">
        <v>-68.887951807228916</v>
      </c>
      <c r="I1869" s="729"/>
      <c r="J1869" s="147">
        <v>0.51646000000000003</v>
      </c>
      <c r="K1869" s="147">
        <v>0</v>
      </c>
      <c r="L1869" s="147">
        <v>17.65945</v>
      </c>
      <c r="M1869" s="147">
        <v>20.25</v>
      </c>
      <c r="N1869" s="147">
        <v>-2.5905499999999999</v>
      </c>
      <c r="O1869" s="147">
        <v>-12.792839506172839</v>
      </c>
      <c r="P1869" s="147">
        <v>8.4622299999999999</v>
      </c>
      <c r="Q1869" s="147">
        <v>9.1972199999999997</v>
      </c>
      <c r="R1869" s="147">
        <v>108.68553560940792</v>
      </c>
    </row>
    <row r="1870" spans="2:18" ht="15.75" hidden="1" thickBot="1" x14ac:dyDescent="0.3">
      <c r="B1870" s="723" t="s">
        <v>743</v>
      </c>
      <c r="C1870" s="722" t="s">
        <v>111</v>
      </c>
      <c r="D1870" t="s">
        <v>112</v>
      </c>
      <c r="E1870" s="148">
        <v>0.12531999999999999</v>
      </c>
      <c r="F1870" s="728"/>
      <c r="G1870" s="148">
        <v>0.12531999999999999</v>
      </c>
      <c r="H1870" s="148">
        <v>0</v>
      </c>
      <c r="I1870" s="728"/>
      <c r="J1870" s="148">
        <v>0.12531999999999999</v>
      </c>
      <c r="K1870" s="148">
        <v>0</v>
      </c>
      <c r="L1870" s="148">
        <v>0.87450000000000006</v>
      </c>
      <c r="M1870" s="148">
        <v>2.75</v>
      </c>
      <c r="N1870" s="148">
        <v>-1.8754999999999999</v>
      </c>
      <c r="O1870" s="148">
        <v>-68.2</v>
      </c>
      <c r="P1870" s="148">
        <v>0.74917999999999996</v>
      </c>
      <c r="Q1870" s="148">
        <v>0.12531999999999999</v>
      </c>
      <c r="R1870" s="148">
        <v>16.727622200272297</v>
      </c>
    </row>
    <row r="1871" spans="2:18" ht="15.75" hidden="1" thickBot="1" x14ac:dyDescent="0.3">
      <c r="B1871" s="723" t="s">
        <v>743</v>
      </c>
      <c r="C1871" s="722" t="s">
        <v>141</v>
      </c>
      <c r="D1871" t="s">
        <v>142</v>
      </c>
      <c r="E1871" s="147">
        <v>0.19592999999999999</v>
      </c>
      <c r="F1871" s="147">
        <v>0.15</v>
      </c>
      <c r="G1871" s="147">
        <v>4.5929999999999999E-2</v>
      </c>
      <c r="H1871" s="147">
        <v>30.62</v>
      </c>
      <c r="I1871" s="729"/>
      <c r="J1871" s="147">
        <v>0.19592999999999999</v>
      </c>
      <c r="K1871" s="147">
        <v>0</v>
      </c>
      <c r="L1871" s="147">
        <v>2.1846999999999999</v>
      </c>
      <c r="M1871" s="147">
        <v>2.8250000000000002</v>
      </c>
      <c r="N1871" s="147">
        <v>-0.64029999999999998</v>
      </c>
      <c r="O1871" s="147">
        <v>-22.665486725663715</v>
      </c>
      <c r="P1871" s="147">
        <v>1.2280199999999999</v>
      </c>
      <c r="Q1871" s="147">
        <v>0.95667999999999997</v>
      </c>
      <c r="R1871" s="147">
        <v>77.904268660119541</v>
      </c>
    </row>
    <row r="1872" spans="2:18" ht="15.75" hidden="1" thickBot="1" x14ac:dyDescent="0.3">
      <c r="B1872" s="723" t="s">
        <v>743</v>
      </c>
      <c r="C1872" s="722" t="s">
        <v>113</v>
      </c>
      <c r="D1872" t="s">
        <v>114</v>
      </c>
      <c r="E1872" s="148">
        <v>0.20799999999999999</v>
      </c>
      <c r="F1872" s="148">
        <v>0.3</v>
      </c>
      <c r="G1872" s="148">
        <v>-9.1999999999999998E-2</v>
      </c>
      <c r="H1872" s="148">
        <v>-30.666666666666668</v>
      </c>
      <c r="I1872" s="728"/>
      <c r="J1872" s="148">
        <v>0.20799999999999999</v>
      </c>
      <c r="K1872" s="148">
        <v>0</v>
      </c>
      <c r="L1872" s="148">
        <v>2.1866400000000001</v>
      </c>
      <c r="M1872" s="148">
        <v>14.05</v>
      </c>
      <c r="N1872" s="148">
        <v>-11.86336</v>
      </c>
      <c r="O1872" s="148">
        <v>-84.436725978647686</v>
      </c>
      <c r="P1872" s="148">
        <v>1.5064</v>
      </c>
      <c r="Q1872" s="148">
        <v>0.68023999999999996</v>
      </c>
      <c r="R1872" s="148">
        <v>45.156664896441846</v>
      </c>
    </row>
    <row r="1873" spans="2:18" ht="15.75" hidden="1" thickBot="1" x14ac:dyDescent="0.3">
      <c r="B1873" s="723" t="s">
        <v>743</v>
      </c>
      <c r="C1873" s="722" t="s">
        <v>201</v>
      </c>
      <c r="D1873" t="s">
        <v>202</v>
      </c>
      <c r="E1873" s="729"/>
      <c r="F1873" s="729"/>
      <c r="G1873" s="729"/>
      <c r="H1873" s="729"/>
      <c r="I1873" s="729"/>
      <c r="J1873" s="729"/>
      <c r="K1873" s="729"/>
      <c r="L1873" s="147">
        <v>0.52200000000000002</v>
      </c>
      <c r="M1873" s="729"/>
      <c r="N1873" s="147">
        <v>0.52200000000000002</v>
      </c>
      <c r="O1873" s="147">
        <v>0</v>
      </c>
      <c r="P1873" s="729"/>
      <c r="Q1873" s="147">
        <v>0.52200000000000002</v>
      </c>
      <c r="R1873" s="147">
        <v>0</v>
      </c>
    </row>
    <row r="1874" spans="2:18" ht="15.75" hidden="1" thickBot="1" x14ac:dyDescent="0.3">
      <c r="B1874" s="723" t="s">
        <v>743</v>
      </c>
      <c r="C1874" s="722" t="s">
        <v>633</v>
      </c>
      <c r="D1874" t="s">
        <v>634</v>
      </c>
      <c r="E1874" s="148">
        <v>0.04</v>
      </c>
      <c r="F1874" s="728"/>
      <c r="G1874" s="148">
        <v>0.04</v>
      </c>
      <c r="H1874" s="148">
        <v>0</v>
      </c>
      <c r="I1874" s="728"/>
      <c r="J1874" s="148">
        <v>0.04</v>
      </c>
      <c r="K1874" s="148">
        <v>0</v>
      </c>
      <c r="L1874" s="148">
        <v>0.04</v>
      </c>
      <c r="M1874" s="728"/>
      <c r="N1874" s="148">
        <v>0.04</v>
      </c>
      <c r="O1874" s="148">
        <v>0</v>
      </c>
      <c r="P1874" s="728"/>
      <c r="Q1874" s="148">
        <v>0.04</v>
      </c>
      <c r="R1874" s="148">
        <v>0</v>
      </c>
    </row>
    <row r="1875" spans="2:18" ht="15.75" hidden="1" thickBot="1" x14ac:dyDescent="0.3">
      <c r="B1875" s="723" t="s">
        <v>743</v>
      </c>
      <c r="C1875" s="722" t="s">
        <v>143</v>
      </c>
      <c r="D1875" t="s">
        <v>144</v>
      </c>
      <c r="E1875" s="729"/>
      <c r="F1875" s="729"/>
      <c r="G1875" s="729"/>
      <c r="H1875" s="729"/>
      <c r="I1875" s="729"/>
      <c r="J1875" s="729"/>
      <c r="K1875" s="729"/>
      <c r="L1875" s="147">
        <v>0.26632</v>
      </c>
      <c r="M1875" s="729"/>
      <c r="N1875" s="147">
        <v>0.26632</v>
      </c>
      <c r="O1875" s="147">
        <v>0</v>
      </c>
      <c r="P1875" s="147">
        <v>0.26632</v>
      </c>
      <c r="Q1875" s="147">
        <v>0</v>
      </c>
      <c r="R1875" s="147">
        <v>0</v>
      </c>
    </row>
    <row r="1876" spans="2:18" ht="15.75" hidden="1" thickBot="1" x14ac:dyDescent="0.3">
      <c r="B1876" s="723" t="s">
        <v>743</v>
      </c>
      <c r="C1876" s="722" t="s">
        <v>145</v>
      </c>
      <c r="D1876" t="s">
        <v>146</v>
      </c>
      <c r="E1876" s="148">
        <v>3.6499999999999998E-2</v>
      </c>
      <c r="F1876" s="148">
        <v>0.5</v>
      </c>
      <c r="G1876" s="148">
        <v>-0.46350000000000002</v>
      </c>
      <c r="H1876" s="148">
        <v>-92.7</v>
      </c>
      <c r="I1876" s="728"/>
      <c r="J1876" s="148">
        <v>3.6499999999999998E-2</v>
      </c>
      <c r="K1876" s="148">
        <v>0</v>
      </c>
      <c r="L1876" s="148">
        <v>2.65869</v>
      </c>
      <c r="M1876" s="148">
        <v>3</v>
      </c>
      <c r="N1876" s="148">
        <v>-0.34131</v>
      </c>
      <c r="O1876" s="148">
        <v>-11.377000000000001</v>
      </c>
      <c r="P1876" s="148">
        <v>0.79679</v>
      </c>
      <c r="Q1876" s="148">
        <v>1.8619000000000001</v>
      </c>
      <c r="R1876" s="148">
        <v>233.67512142471668</v>
      </c>
    </row>
    <row r="1877" spans="2:18" ht="15.75" hidden="1" thickBot="1" x14ac:dyDescent="0.3">
      <c r="B1877" s="723" t="s">
        <v>743</v>
      </c>
      <c r="C1877" s="722" t="s">
        <v>147</v>
      </c>
      <c r="D1877" t="s">
        <v>148</v>
      </c>
      <c r="E1877" s="147">
        <v>1.9E-2</v>
      </c>
      <c r="F1877" s="729"/>
      <c r="G1877" s="147">
        <v>1.9E-2</v>
      </c>
      <c r="H1877" s="147">
        <v>0</v>
      </c>
      <c r="I1877" s="729"/>
      <c r="J1877" s="147">
        <v>1.9E-2</v>
      </c>
      <c r="K1877" s="147">
        <v>0</v>
      </c>
      <c r="L1877" s="147">
        <v>0.54674999999999996</v>
      </c>
      <c r="M1877" s="729"/>
      <c r="N1877" s="147">
        <v>0.54674999999999996</v>
      </c>
      <c r="O1877" s="147">
        <v>0</v>
      </c>
      <c r="P1877" s="147">
        <v>0.30675000000000002</v>
      </c>
      <c r="Q1877" s="147">
        <v>0.24</v>
      </c>
      <c r="R1877" s="147">
        <v>78.239608801955995</v>
      </c>
    </row>
    <row r="1878" spans="2:18" ht="15.75" hidden="1" thickBot="1" x14ac:dyDescent="0.3">
      <c r="B1878" s="723" t="s">
        <v>743</v>
      </c>
      <c r="C1878" s="722" t="s">
        <v>203</v>
      </c>
      <c r="D1878" t="s">
        <v>204</v>
      </c>
      <c r="E1878" s="728"/>
      <c r="F1878" s="728"/>
      <c r="G1878" s="728"/>
      <c r="H1878" s="728"/>
      <c r="I1878" s="728"/>
      <c r="J1878" s="728"/>
      <c r="K1878" s="728"/>
      <c r="L1878" s="148">
        <v>4.4999999999999998E-2</v>
      </c>
      <c r="M1878" s="728"/>
      <c r="N1878" s="148">
        <v>4.4999999999999998E-2</v>
      </c>
      <c r="O1878" s="148">
        <v>0</v>
      </c>
      <c r="P1878" s="728"/>
      <c r="Q1878" s="148">
        <v>4.4999999999999998E-2</v>
      </c>
      <c r="R1878" s="148">
        <v>0</v>
      </c>
    </row>
    <row r="1879" spans="2:18" ht="15.75" hidden="1" thickBot="1" x14ac:dyDescent="0.3">
      <c r="B1879" s="723" t="s">
        <v>743</v>
      </c>
      <c r="C1879" s="722" t="s">
        <v>149</v>
      </c>
      <c r="D1879" t="s">
        <v>150</v>
      </c>
      <c r="E1879" s="147">
        <v>47.606900000000003</v>
      </c>
      <c r="F1879" s="147">
        <v>16.40934</v>
      </c>
      <c r="G1879" s="147">
        <v>31.197559999999999</v>
      </c>
      <c r="H1879" s="147">
        <v>190.1207483055382</v>
      </c>
      <c r="I1879" s="729"/>
      <c r="J1879" s="147">
        <v>47.606900000000003</v>
      </c>
      <c r="K1879" s="147">
        <v>0</v>
      </c>
      <c r="L1879" s="147">
        <v>244.09184999999999</v>
      </c>
      <c r="M1879" s="147">
        <v>305.86667</v>
      </c>
      <c r="N1879" s="147">
        <v>-61.774819999999998</v>
      </c>
      <c r="O1879" s="147">
        <v>-20.196649736305037</v>
      </c>
      <c r="P1879" s="147">
        <v>130.54922999999999</v>
      </c>
      <c r="Q1879" s="147">
        <v>113.54262</v>
      </c>
      <c r="R1879" s="147">
        <v>86.97302925494084</v>
      </c>
    </row>
    <row r="1880" spans="2:18" ht="15.75" hidden="1" thickBot="1" x14ac:dyDescent="0.3">
      <c r="B1880" s="723" t="s">
        <v>743</v>
      </c>
      <c r="C1880" s="722" t="s">
        <v>645</v>
      </c>
      <c r="D1880" t="s">
        <v>646</v>
      </c>
      <c r="E1880" s="148">
        <v>2.9569999999999999</v>
      </c>
      <c r="F1880" s="148">
        <v>2.5</v>
      </c>
      <c r="G1880" s="148">
        <v>0.45700000000000002</v>
      </c>
      <c r="H1880" s="148">
        <v>18.28</v>
      </c>
      <c r="I1880" s="728"/>
      <c r="J1880" s="148">
        <v>2.9569999999999999</v>
      </c>
      <c r="K1880" s="148">
        <v>0</v>
      </c>
      <c r="L1880" s="148">
        <v>58.799860000000002</v>
      </c>
      <c r="M1880" s="148">
        <v>38.85</v>
      </c>
      <c r="N1880" s="148">
        <v>19.949860000000001</v>
      </c>
      <c r="O1880" s="148">
        <v>51.350990990990994</v>
      </c>
      <c r="P1880" s="148">
        <v>45.489789999999999</v>
      </c>
      <c r="Q1880" s="148">
        <v>13.31007</v>
      </c>
      <c r="R1880" s="148">
        <v>29.259466794636776</v>
      </c>
    </row>
    <row r="1881" spans="2:18" ht="15.75" hidden="1" thickBot="1" x14ac:dyDescent="0.3">
      <c r="B1881" s="723" t="s">
        <v>743</v>
      </c>
      <c r="C1881" s="722" t="s">
        <v>649</v>
      </c>
      <c r="D1881" t="s">
        <v>650</v>
      </c>
      <c r="E1881" s="729"/>
      <c r="F1881" s="729"/>
      <c r="G1881" s="729"/>
      <c r="H1881" s="729"/>
      <c r="I1881" s="729"/>
      <c r="J1881" s="729"/>
      <c r="K1881" s="729"/>
      <c r="L1881" s="147">
        <v>6.9000000000000006E-2</v>
      </c>
      <c r="M1881" s="729"/>
      <c r="N1881" s="147">
        <v>6.9000000000000006E-2</v>
      </c>
      <c r="O1881" s="147">
        <v>0</v>
      </c>
      <c r="P1881" s="147">
        <v>6.9000000000000006E-2</v>
      </c>
      <c r="Q1881" s="147">
        <v>0</v>
      </c>
      <c r="R1881" s="147">
        <v>0</v>
      </c>
    </row>
    <row r="1882" spans="2:18" ht="15.75" hidden="1" thickBot="1" x14ac:dyDescent="0.3">
      <c r="B1882" s="723" t="s">
        <v>743</v>
      </c>
      <c r="C1882" s="722" t="s">
        <v>651</v>
      </c>
      <c r="D1882" t="s">
        <v>652</v>
      </c>
      <c r="E1882" s="148">
        <v>-47.197920000000003</v>
      </c>
      <c r="F1882" s="728"/>
      <c r="G1882" s="148">
        <v>-47.197920000000003</v>
      </c>
      <c r="H1882" s="148">
        <v>0</v>
      </c>
      <c r="I1882" s="728"/>
      <c r="J1882" s="148">
        <v>-47.197920000000003</v>
      </c>
      <c r="K1882" s="148">
        <v>0</v>
      </c>
      <c r="L1882" s="148">
        <v>-47.197920000000003</v>
      </c>
      <c r="M1882" s="728"/>
      <c r="N1882" s="148">
        <v>-47.197920000000003</v>
      </c>
      <c r="O1882" s="148">
        <v>0</v>
      </c>
      <c r="P1882" s="728"/>
      <c r="Q1882" s="148">
        <v>-47.197920000000003</v>
      </c>
      <c r="R1882" s="148">
        <v>0</v>
      </c>
    </row>
    <row r="1883" spans="2:18" ht="15.75" hidden="1" thickBot="1" x14ac:dyDescent="0.3">
      <c r="B1883" s="723" t="s">
        <v>743</v>
      </c>
      <c r="C1883" s="722" t="s">
        <v>483</v>
      </c>
      <c r="D1883" t="s">
        <v>484</v>
      </c>
      <c r="E1883" s="147">
        <v>0.05</v>
      </c>
      <c r="F1883" s="729"/>
      <c r="G1883" s="147">
        <v>0.05</v>
      </c>
      <c r="H1883" s="147">
        <v>0</v>
      </c>
      <c r="I1883" s="729"/>
      <c r="J1883" s="147">
        <v>0.05</v>
      </c>
      <c r="K1883" s="147">
        <v>0</v>
      </c>
      <c r="L1883" s="147">
        <v>1.55</v>
      </c>
      <c r="M1883" s="147">
        <v>5.7</v>
      </c>
      <c r="N1883" s="147">
        <v>-4.1500000000000004</v>
      </c>
      <c r="O1883" s="147">
        <v>-72.807017543859644</v>
      </c>
      <c r="P1883" s="147">
        <v>1.5</v>
      </c>
      <c r="Q1883" s="147">
        <v>0.05</v>
      </c>
      <c r="R1883" s="147">
        <v>3.3333333333333335</v>
      </c>
    </row>
    <row r="1884" spans="2:18" ht="15.75" hidden="1" thickBot="1" x14ac:dyDescent="0.3">
      <c r="B1884" s="723" t="s">
        <v>743</v>
      </c>
      <c r="C1884" s="722" t="s">
        <v>153</v>
      </c>
      <c r="D1884" t="s">
        <v>154</v>
      </c>
      <c r="E1884" s="148">
        <v>0.33933000000000002</v>
      </c>
      <c r="F1884" s="148">
        <v>0.9</v>
      </c>
      <c r="G1884" s="148">
        <v>-0.56067</v>
      </c>
      <c r="H1884" s="148">
        <v>-62.296666666666667</v>
      </c>
      <c r="I1884" s="728"/>
      <c r="J1884" s="148">
        <v>0.33933000000000002</v>
      </c>
      <c r="K1884" s="148">
        <v>0</v>
      </c>
      <c r="L1884" s="148">
        <v>70.688980000000001</v>
      </c>
      <c r="M1884" s="148">
        <v>15.6</v>
      </c>
      <c r="N1884" s="148">
        <v>55.088979999999999</v>
      </c>
      <c r="O1884" s="148">
        <v>353.13448717948717</v>
      </c>
      <c r="P1884" s="148">
        <v>8.8351400000000009</v>
      </c>
      <c r="Q1884" s="148">
        <v>61.853839999999998</v>
      </c>
      <c r="R1884" s="148">
        <v>700.08896293663713</v>
      </c>
    </row>
    <row r="1885" spans="2:18" ht="15.75" hidden="1" thickBot="1" x14ac:dyDescent="0.3">
      <c r="B1885" s="723" t="s">
        <v>743</v>
      </c>
      <c r="C1885" s="722" t="s">
        <v>671</v>
      </c>
      <c r="D1885" t="s">
        <v>672</v>
      </c>
      <c r="E1885" s="729"/>
      <c r="F1885" s="729"/>
      <c r="G1885" s="729"/>
      <c r="H1885" s="729"/>
      <c r="I1885" s="729"/>
      <c r="J1885" s="729"/>
      <c r="K1885" s="729"/>
      <c r="L1885" s="147">
        <v>0.01</v>
      </c>
      <c r="M1885" s="729"/>
      <c r="N1885" s="147">
        <v>0.01</v>
      </c>
      <c r="O1885" s="147">
        <v>0</v>
      </c>
      <c r="P1885" s="147">
        <v>0.01</v>
      </c>
      <c r="Q1885" s="147">
        <v>0</v>
      </c>
      <c r="R1885" s="147">
        <v>0</v>
      </c>
    </row>
    <row r="1886" spans="2:18" ht="15.75" hidden="1" thickBot="1" x14ac:dyDescent="0.3">
      <c r="B1886" s="723" t="s">
        <v>743</v>
      </c>
      <c r="C1886" s="722" t="s">
        <v>75</v>
      </c>
      <c r="D1886" t="s">
        <v>76</v>
      </c>
      <c r="E1886" s="148">
        <v>5.4854399999999996</v>
      </c>
      <c r="F1886" s="148">
        <v>2.4</v>
      </c>
      <c r="G1886" s="148">
        <v>3.0854400000000002</v>
      </c>
      <c r="H1886" s="148">
        <v>128.56</v>
      </c>
      <c r="I1886" s="728"/>
      <c r="J1886" s="148">
        <v>5.4854399999999996</v>
      </c>
      <c r="K1886" s="148">
        <v>0</v>
      </c>
      <c r="L1886" s="148">
        <v>19.058920000000001</v>
      </c>
      <c r="M1886" s="148">
        <v>21.074999999999999</v>
      </c>
      <c r="N1886" s="148">
        <v>-2.0160800000000001</v>
      </c>
      <c r="O1886" s="148">
        <v>-9.5662158956109131</v>
      </c>
      <c r="P1886" s="148">
        <v>5.6305800000000001</v>
      </c>
      <c r="Q1886" s="148">
        <v>13.42834</v>
      </c>
      <c r="R1886" s="148">
        <v>238.48946289725038</v>
      </c>
    </row>
    <row r="1887" spans="2:18" ht="15.75" hidden="1" thickBot="1" x14ac:dyDescent="0.3">
      <c r="B1887" s="723" t="s">
        <v>743</v>
      </c>
      <c r="C1887" s="722" t="s">
        <v>121</v>
      </c>
      <c r="D1887" t="s">
        <v>122</v>
      </c>
      <c r="E1887" s="147">
        <v>1.5E-3</v>
      </c>
      <c r="F1887" s="147">
        <v>0</v>
      </c>
      <c r="G1887" s="147">
        <v>1.5E-3</v>
      </c>
      <c r="H1887" s="147">
        <v>0</v>
      </c>
      <c r="I1887" s="729"/>
      <c r="J1887" s="147">
        <v>1.5E-3</v>
      </c>
      <c r="K1887" s="147">
        <v>0</v>
      </c>
      <c r="L1887" s="147">
        <v>0.17649999999999999</v>
      </c>
      <c r="M1887" s="147">
        <v>0.3</v>
      </c>
      <c r="N1887" s="147">
        <v>-0.1235</v>
      </c>
      <c r="O1887" s="147">
        <v>-41.166666666666664</v>
      </c>
      <c r="P1887" s="729"/>
      <c r="Q1887" s="147">
        <v>0.17649999999999999</v>
      </c>
      <c r="R1887" s="147">
        <v>0</v>
      </c>
    </row>
    <row r="1888" spans="2:18" ht="15.75" hidden="1" thickBot="1" x14ac:dyDescent="0.3">
      <c r="B1888" s="723" t="s">
        <v>743</v>
      </c>
      <c r="C1888" s="722" t="s">
        <v>77</v>
      </c>
      <c r="D1888" t="s">
        <v>78</v>
      </c>
      <c r="E1888" s="148">
        <v>5.0350000000000001</v>
      </c>
      <c r="F1888" s="148">
        <v>1.1000000000000001</v>
      </c>
      <c r="G1888" s="148">
        <v>3.9350000000000001</v>
      </c>
      <c r="H1888" s="148">
        <v>357.72727272727275</v>
      </c>
      <c r="I1888" s="728"/>
      <c r="J1888" s="148">
        <v>5.0350000000000001</v>
      </c>
      <c r="K1888" s="148">
        <v>0</v>
      </c>
      <c r="L1888" s="148">
        <v>38.882980000000003</v>
      </c>
      <c r="M1888" s="148">
        <v>80.599999999999994</v>
      </c>
      <c r="N1888" s="148">
        <v>-41.717019999999998</v>
      </c>
      <c r="O1888" s="148">
        <v>-51.758089330024816</v>
      </c>
      <c r="P1888" s="148">
        <v>27.22204</v>
      </c>
      <c r="Q1888" s="148">
        <v>11.66094</v>
      </c>
      <c r="R1888" s="148">
        <v>42.83639286401754</v>
      </c>
    </row>
    <row r="1889" spans="2:18" ht="15.75" hidden="1" thickBot="1" x14ac:dyDescent="0.3">
      <c r="B1889" s="723" t="s">
        <v>743</v>
      </c>
      <c r="C1889" s="722" t="s">
        <v>79</v>
      </c>
      <c r="D1889" t="s">
        <v>80</v>
      </c>
      <c r="E1889" s="729"/>
      <c r="F1889" s="147">
        <v>0.875</v>
      </c>
      <c r="G1889" s="147">
        <v>-0.875</v>
      </c>
      <c r="H1889" s="147">
        <v>-100</v>
      </c>
      <c r="I1889" s="729"/>
      <c r="J1889" s="729"/>
      <c r="K1889" s="729"/>
      <c r="L1889" s="147">
        <v>3.8293599999999999</v>
      </c>
      <c r="M1889" s="147">
        <v>4.5750000000000002</v>
      </c>
      <c r="N1889" s="147">
        <v>-0.74563999999999997</v>
      </c>
      <c r="O1889" s="147">
        <v>-16.298142076502732</v>
      </c>
      <c r="P1889" s="147">
        <v>1.54766</v>
      </c>
      <c r="Q1889" s="147">
        <v>2.2816999999999998</v>
      </c>
      <c r="R1889" s="147">
        <v>147.4290218781903</v>
      </c>
    </row>
    <row r="1890" spans="2:18" ht="15.75" hidden="1" thickBot="1" x14ac:dyDescent="0.3">
      <c r="B1890" s="723" t="s">
        <v>743</v>
      </c>
      <c r="C1890" s="722" t="s">
        <v>81</v>
      </c>
      <c r="D1890" t="s">
        <v>82</v>
      </c>
      <c r="E1890" s="148">
        <v>34.646239999999999</v>
      </c>
      <c r="F1890" s="148">
        <v>16.600000000000001</v>
      </c>
      <c r="G1890" s="148">
        <v>18.046240000000001</v>
      </c>
      <c r="H1890" s="148">
        <v>108.71228915662651</v>
      </c>
      <c r="I1890" s="728"/>
      <c r="J1890" s="148">
        <v>34.646239999999999</v>
      </c>
      <c r="K1890" s="148">
        <v>0</v>
      </c>
      <c r="L1890" s="148">
        <v>309.78528999999997</v>
      </c>
      <c r="M1890" s="148">
        <v>289.3</v>
      </c>
      <c r="N1890" s="148">
        <v>20.485289999999999</v>
      </c>
      <c r="O1890" s="148">
        <v>7.0809851365364676</v>
      </c>
      <c r="P1890" s="148">
        <v>186.16831999999999</v>
      </c>
      <c r="Q1890" s="148">
        <v>123.61696999999999</v>
      </c>
      <c r="R1890" s="148">
        <v>66.40064754304062</v>
      </c>
    </row>
    <row r="1891" spans="2:18" ht="15.75" hidden="1" thickBot="1" x14ac:dyDescent="0.3">
      <c r="B1891" s="723" t="s">
        <v>743</v>
      </c>
      <c r="C1891" s="722" t="s">
        <v>123</v>
      </c>
      <c r="D1891" t="s">
        <v>124</v>
      </c>
      <c r="E1891" s="147">
        <v>0.74751999999999996</v>
      </c>
      <c r="F1891" s="729"/>
      <c r="G1891" s="147">
        <v>0.74751999999999996</v>
      </c>
      <c r="H1891" s="147">
        <v>0</v>
      </c>
      <c r="I1891" s="729"/>
      <c r="J1891" s="147">
        <v>0.74751999999999996</v>
      </c>
      <c r="K1891" s="147">
        <v>0</v>
      </c>
      <c r="L1891" s="147">
        <v>2.3573599999999999</v>
      </c>
      <c r="M1891" s="729"/>
      <c r="N1891" s="147">
        <v>2.3573599999999999</v>
      </c>
      <c r="O1891" s="147">
        <v>0</v>
      </c>
      <c r="P1891" s="147">
        <v>1.21916</v>
      </c>
      <c r="Q1891" s="147">
        <v>1.1382000000000001</v>
      </c>
      <c r="R1891" s="147">
        <v>93.35936218379868</v>
      </c>
    </row>
    <row r="1892" spans="2:18" ht="15.75" hidden="1" thickBot="1" x14ac:dyDescent="0.3">
      <c r="B1892" s="723" t="s">
        <v>743</v>
      </c>
      <c r="C1892" s="722" t="s">
        <v>125</v>
      </c>
      <c r="D1892" t="s">
        <v>126</v>
      </c>
      <c r="E1892" s="728"/>
      <c r="F1892" s="728"/>
      <c r="G1892" s="728"/>
      <c r="H1892" s="728"/>
      <c r="I1892" s="728"/>
      <c r="J1892" s="728"/>
      <c r="K1892" s="728"/>
      <c r="L1892" s="148">
        <v>1.8540000000000001E-2</v>
      </c>
      <c r="M1892" s="728"/>
      <c r="N1892" s="148">
        <v>1.8540000000000001E-2</v>
      </c>
      <c r="O1892" s="148">
        <v>0</v>
      </c>
      <c r="P1892" s="148">
        <v>1.8540000000000001E-2</v>
      </c>
      <c r="Q1892" s="148">
        <v>0</v>
      </c>
      <c r="R1892" s="148">
        <v>0</v>
      </c>
    </row>
    <row r="1893" spans="2:18" ht="15.75" hidden="1" thickBot="1" x14ac:dyDescent="0.3">
      <c r="B1893" s="723" t="s">
        <v>743</v>
      </c>
      <c r="C1893" s="722" t="s">
        <v>83</v>
      </c>
      <c r="D1893" t="s">
        <v>84</v>
      </c>
      <c r="E1893" s="729"/>
      <c r="F1893" s="147">
        <v>0.96</v>
      </c>
      <c r="G1893" s="147">
        <v>-0.96</v>
      </c>
      <c r="H1893" s="147">
        <v>-100</v>
      </c>
      <c r="I1893" s="729"/>
      <c r="J1893" s="729"/>
      <c r="K1893" s="729"/>
      <c r="L1893" s="729"/>
      <c r="M1893" s="147">
        <v>10.653</v>
      </c>
      <c r="N1893" s="147">
        <v>-10.653</v>
      </c>
      <c r="O1893" s="147">
        <v>-100</v>
      </c>
      <c r="P1893" s="729"/>
      <c r="Q1893" s="729"/>
      <c r="R1893" s="729"/>
    </row>
    <row r="1894" spans="2:18" ht="15.75" hidden="1" thickBot="1" x14ac:dyDescent="0.3">
      <c r="B1894" s="723" t="s">
        <v>743</v>
      </c>
      <c r="C1894" s="149" t="s">
        <v>85</v>
      </c>
      <c r="D1894" t="s">
        <v>86</v>
      </c>
      <c r="E1894" s="148">
        <v>109.39914</v>
      </c>
      <c r="F1894" s="148">
        <v>101.58734</v>
      </c>
      <c r="G1894" s="148">
        <v>7.8117999999999999</v>
      </c>
      <c r="H1894" s="148">
        <v>7.689737717317926</v>
      </c>
      <c r="I1894" s="728"/>
      <c r="J1894" s="148">
        <v>109.39914</v>
      </c>
      <c r="K1894" s="148">
        <v>0</v>
      </c>
      <c r="L1894" s="148">
        <v>1308.2389000000001</v>
      </c>
      <c r="M1894" s="148">
        <v>1386.83367</v>
      </c>
      <c r="N1894" s="148">
        <v>-78.594769999999997</v>
      </c>
      <c r="O1894" s="148">
        <v>-5.6672095363822539</v>
      </c>
      <c r="P1894" s="148">
        <v>710.39187000000004</v>
      </c>
      <c r="Q1894" s="148">
        <v>597.84703000000002</v>
      </c>
      <c r="R1894" s="148">
        <v>84.157358107152888</v>
      </c>
    </row>
    <row r="1895" spans="2:18" ht="15.75" hidden="1" thickBot="1" x14ac:dyDescent="0.3">
      <c r="B1895" s="723" t="s">
        <v>743</v>
      </c>
      <c r="C1895" s="144" t="s">
        <v>87</v>
      </c>
      <c r="D1895" t="s">
        <v>87</v>
      </c>
      <c r="E1895" s="147">
        <v>396.53483999999997</v>
      </c>
      <c r="F1895" s="147">
        <v>422.43716999999998</v>
      </c>
      <c r="G1895" s="147">
        <v>-25.902329999999999</v>
      </c>
      <c r="H1895" s="147">
        <v>-6.131640830753601</v>
      </c>
      <c r="I1895" s="729"/>
      <c r="J1895" s="147">
        <v>396.53483999999997</v>
      </c>
      <c r="K1895" s="147">
        <v>0</v>
      </c>
      <c r="L1895" s="147">
        <v>5077.5581300000003</v>
      </c>
      <c r="M1895" s="147">
        <v>5212.0106100000003</v>
      </c>
      <c r="N1895" s="147">
        <v>-134.45248000000001</v>
      </c>
      <c r="O1895" s="147">
        <v>-2.5796662758520363</v>
      </c>
      <c r="P1895" s="147">
        <v>2693.07609</v>
      </c>
      <c r="Q1895" s="147">
        <v>2384.4820399999999</v>
      </c>
      <c r="R1895" s="147">
        <v>88.541205681269858</v>
      </c>
    </row>
    <row r="1896" spans="2:18" ht="15.75" hidden="1" thickBot="1" x14ac:dyDescent="0.3">
      <c r="B1896" s="724" t="s">
        <v>485</v>
      </c>
      <c r="C1896" s="722" t="s">
        <v>59</v>
      </c>
      <c r="D1896" t="s">
        <v>60</v>
      </c>
      <c r="E1896" s="148">
        <v>46.606119999999997</v>
      </c>
      <c r="F1896" s="148">
        <v>61.980539999999998</v>
      </c>
      <c r="G1896" s="148">
        <v>-15.374420000000001</v>
      </c>
      <c r="H1896" s="148">
        <v>-24.805237256726063</v>
      </c>
      <c r="I1896" s="728"/>
      <c r="J1896" s="148">
        <v>46.606119999999997</v>
      </c>
      <c r="K1896" s="148">
        <v>0</v>
      </c>
      <c r="L1896" s="148">
        <v>677.58695999999998</v>
      </c>
      <c r="M1896" s="148">
        <v>739.86455999999998</v>
      </c>
      <c r="N1896" s="148">
        <v>-62.2776</v>
      </c>
      <c r="O1896" s="148">
        <v>-8.4174325095393137</v>
      </c>
      <c r="P1896" s="148">
        <v>391.25407000000001</v>
      </c>
      <c r="Q1896" s="148">
        <v>286.33289000000002</v>
      </c>
      <c r="R1896" s="148">
        <v>73.183363945581448</v>
      </c>
    </row>
    <row r="1897" spans="2:18" ht="15.75" hidden="1" thickBot="1" x14ac:dyDescent="0.3">
      <c r="B1897" s="724" t="s">
        <v>485</v>
      </c>
      <c r="C1897" s="722" t="s">
        <v>134</v>
      </c>
      <c r="D1897" t="s">
        <v>135</v>
      </c>
      <c r="E1897" s="147">
        <v>-0.79273000000000005</v>
      </c>
      <c r="F1897" s="729"/>
      <c r="G1897" s="147">
        <v>-0.79273000000000005</v>
      </c>
      <c r="H1897" s="147">
        <v>0</v>
      </c>
      <c r="I1897" s="729"/>
      <c r="J1897" s="147">
        <v>-0.79273000000000005</v>
      </c>
      <c r="K1897" s="147">
        <v>0</v>
      </c>
      <c r="L1897" s="147">
        <v>7.5976800000000004</v>
      </c>
      <c r="M1897" s="729"/>
      <c r="N1897" s="147">
        <v>7.5976800000000004</v>
      </c>
      <c r="O1897" s="147">
        <v>0</v>
      </c>
      <c r="P1897" s="147">
        <v>4.0479399999999996</v>
      </c>
      <c r="Q1897" s="147">
        <v>3.5497399999999999</v>
      </c>
      <c r="R1897" s="147">
        <v>87.692505323695514</v>
      </c>
    </row>
    <row r="1898" spans="2:18" ht="15.75" hidden="1" thickBot="1" x14ac:dyDescent="0.3">
      <c r="B1898" s="724" t="s">
        <v>485</v>
      </c>
      <c r="C1898" s="722" t="s">
        <v>568</v>
      </c>
      <c r="D1898" t="s">
        <v>569</v>
      </c>
      <c r="E1898" s="148">
        <v>4.3165899999999997</v>
      </c>
      <c r="F1898" s="148">
        <v>4.2801</v>
      </c>
      <c r="G1898" s="148">
        <v>3.6490000000000002E-2</v>
      </c>
      <c r="H1898" s="148">
        <v>0.85255017406135369</v>
      </c>
      <c r="I1898" s="728"/>
      <c r="J1898" s="148">
        <v>4.3165899999999997</v>
      </c>
      <c r="K1898" s="148">
        <v>0</v>
      </c>
      <c r="L1898" s="148">
        <v>66.105770000000007</v>
      </c>
      <c r="M1898" s="148">
        <v>51.091760000000001</v>
      </c>
      <c r="N1898" s="148">
        <v>15.014010000000001</v>
      </c>
      <c r="O1898" s="148">
        <v>29.38636288904512</v>
      </c>
      <c r="P1898" s="148">
        <v>39.221670000000003</v>
      </c>
      <c r="Q1898" s="148">
        <v>26.8841</v>
      </c>
      <c r="R1898" s="148">
        <v>68.543996214337639</v>
      </c>
    </row>
    <row r="1899" spans="2:18" ht="15.75" hidden="1" thickBot="1" x14ac:dyDescent="0.3">
      <c r="B1899" s="724" t="s">
        <v>485</v>
      </c>
      <c r="C1899" s="722" t="s">
        <v>61</v>
      </c>
      <c r="D1899" t="s">
        <v>62</v>
      </c>
      <c r="E1899" s="147">
        <v>8.3152399999999993</v>
      </c>
      <c r="F1899" s="147">
        <v>10.2704</v>
      </c>
      <c r="G1899" s="147">
        <v>-1.95516</v>
      </c>
      <c r="H1899" s="147">
        <v>-19.036843745131641</v>
      </c>
      <c r="I1899" s="729"/>
      <c r="J1899" s="147">
        <v>8.3152399999999993</v>
      </c>
      <c r="K1899" s="147">
        <v>0</v>
      </c>
      <c r="L1899" s="147">
        <v>112.48314000000001</v>
      </c>
      <c r="M1899" s="147">
        <v>122.59824</v>
      </c>
      <c r="N1899" s="147">
        <v>-10.1151</v>
      </c>
      <c r="O1899" s="147">
        <v>-8.2506078390684898</v>
      </c>
      <c r="P1899" s="147">
        <v>63.481769999999997</v>
      </c>
      <c r="Q1899" s="147">
        <v>49.001370000000001</v>
      </c>
      <c r="R1899" s="147">
        <v>77.189671932587885</v>
      </c>
    </row>
    <row r="1900" spans="2:18" ht="15.75" hidden="1" thickBot="1" x14ac:dyDescent="0.3">
      <c r="B1900" s="724" t="s">
        <v>485</v>
      </c>
      <c r="C1900" s="722" t="s">
        <v>63</v>
      </c>
      <c r="D1900" t="s">
        <v>64</v>
      </c>
      <c r="E1900" s="148">
        <v>32.201500000000003</v>
      </c>
      <c r="F1900" s="148">
        <v>39.955170000000003</v>
      </c>
      <c r="G1900" s="148">
        <v>-7.7536699999999996</v>
      </c>
      <c r="H1900" s="148">
        <v>-19.405924189535423</v>
      </c>
      <c r="I1900" s="728"/>
      <c r="J1900" s="148">
        <v>32.201500000000003</v>
      </c>
      <c r="K1900" s="148">
        <v>0</v>
      </c>
      <c r="L1900" s="148">
        <v>437.28960000000001</v>
      </c>
      <c r="M1900" s="148">
        <v>476.94670000000002</v>
      </c>
      <c r="N1900" s="148">
        <v>-39.6571</v>
      </c>
      <c r="O1900" s="148">
        <v>-8.3147865369442755</v>
      </c>
      <c r="P1900" s="148">
        <v>246.62253999999999</v>
      </c>
      <c r="Q1900" s="148">
        <v>190.66705999999999</v>
      </c>
      <c r="R1900" s="148">
        <v>77.311287119174096</v>
      </c>
    </row>
    <row r="1901" spans="2:18" ht="15.75" hidden="1" thickBot="1" x14ac:dyDescent="0.3">
      <c r="B1901" s="724" t="s">
        <v>485</v>
      </c>
      <c r="C1901" s="722" t="s">
        <v>65</v>
      </c>
      <c r="D1901" t="s">
        <v>66</v>
      </c>
      <c r="E1901" s="729"/>
      <c r="F1901" s="729"/>
      <c r="G1901" s="729"/>
      <c r="H1901" s="729"/>
      <c r="I1901" s="729"/>
      <c r="J1901" s="729"/>
      <c r="K1901" s="729"/>
      <c r="L1901" s="147">
        <v>-3.6085099999999999</v>
      </c>
      <c r="M1901" s="729"/>
      <c r="N1901" s="147">
        <v>-3.6085099999999999</v>
      </c>
      <c r="O1901" s="147">
        <v>0</v>
      </c>
      <c r="P1901" s="729"/>
      <c r="Q1901" s="147">
        <v>-3.6085099999999999</v>
      </c>
      <c r="R1901" s="147">
        <v>0</v>
      </c>
    </row>
    <row r="1902" spans="2:18" ht="15.75" hidden="1" thickBot="1" x14ac:dyDescent="0.3">
      <c r="B1902" s="724" t="s">
        <v>485</v>
      </c>
      <c r="C1902" s="149" t="s">
        <v>67</v>
      </c>
      <c r="D1902" t="s">
        <v>68</v>
      </c>
      <c r="E1902" s="148">
        <v>90.646720000000002</v>
      </c>
      <c r="F1902" s="148">
        <v>116.48621</v>
      </c>
      <c r="G1902" s="148">
        <v>-25.839490000000001</v>
      </c>
      <c r="H1902" s="148">
        <v>-22.182445458565439</v>
      </c>
      <c r="I1902" s="728"/>
      <c r="J1902" s="148">
        <v>90.646720000000002</v>
      </c>
      <c r="K1902" s="148">
        <v>0</v>
      </c>
      <c r="L1902" s="148">
        <v>1297.4546399999999</v>
      </c>
      <c r="M1902" s="148">
        <v>1390.50126</v>
      </c>
      <c r="N1902" s="148">
        <v>-93.046620000000004</v>
      </c>
      <c r="O1902" s="148">
        <v>-6.6915883269318286</v>
      </c>
      <c r="P1902" s="148">
        <v>744.62798999999995</v>
      </c>
      <c r="Q1902" s="148">
        <v>552.82664999999997</v>
      </c>
      <c r="R1902" s="148">
        <v>74.241991628598328</v>
      </c>
    </row>
    <row r="1903" spans="2:18" ht="15.75" hidden="1" thickBot="1" x14ac:dyDescent="0.3">
      <c r="B1903" s="724" t="s">
        <v>485</v>
      </c>
      <c r="C1903" s="722" t="s">
        <v>69</v>
      </c>
      <c r="D1903" t="s">
        <v>70</v>
      </c>
      <c r="E1903" s="729"/>
      <c r="F1903" s="147">
        <v>0.5</v>
      </c>
      <c r="G1903" s="147">
        <v>-0.5</v>
      </c>
      <c r="H1903" s="147">
        <v>-100</v>
      </c>
      <c r="I1903" s="729"/>
      <c r="J1903" s="729"/>
      <c r="K1903" s="729"/>
      <c r="L1903" s="147">
        <v>2.7832499999999998</v>
      </c>
      <c r="M1903" s="147">
        <v>5</v>
      </c>
      <c r="N1903" s="147">
        <v>-2.2167500000000002</v>
      </c>
      <c r="O1903" s="147">
        <v>-44.335000000000001</v>
      </c>
      <c r="P1903" s="147">
        <v>3.5649999999999999</v>
      </c>
      <c r="Q1903" s="147">
        <v>-0.78174999999999994</v>
      </c>
      <c r="R1903" s="147">
        <v>-21.928471248246844</v>
      </c>
    </row>
    <row r="1904" spans="2:18" ht="15.75" hidden="1" thickBot="1" x14ac:dyDescent="0.3">
      <c r="B1904" s="724" t="s">
        <v>485</v>
      </c>
      <c r="C1904" s="722" t="s">
        <v>137</v>
      </c>
      <c r="D1904" t="s">
        <v>138</v>
      </c>
      <c r="E1904" s="148">
        <v>0.23871000000000001</v>
      </c>
      <c r="F1904" s="728"/>
      <c r="G1904" s="148">
        <v>0.23871000000000001</v>
      </c>
      <c r="H1904" s="148">
        <v>0</v>
      </c>
      <c r="I1904" s="728"/>
      <c r="J1904" s="148">
        <v>0.23871000000000001</v>
      </c>
      <c r="K1904" s="148">
        <v>0</v>
      </c>
      <c r="L1904" s="148">
        <v>0.33377000000000001</v>
      </c>
      <c r="M1904" s="728"/>
      <c r="N1904" s="148">
        <v>0.33377000000000001</v>
      </c>
      <c r="O1904" s="148">
        <v>0</v>
      </c>
      <c r="P1904" s="148">
        <v>8.1430000000000002E-2</v>
      </c>
      <c r="Q1904" s="148">
        <v>0.25234000000000001</v>
      </c>
      <c r="R1904" s="148">
        <v>309.88579147734248</v>
      </c>
    </row>
    <row r="1905" spans="2:18" ht="15.75" hidden="1" thickBot="1" x14ac:dyDescent="0.3">
      <c r="B1905" s="724" t="s">
        <v>485</v>
      </c>
      <c r="C1905" s="722" t="s">
        <v>139</v>
      </c>
      <c r="D1905" t="s">
        <v>140</v>
      </c>
      <c r="E1905" s="729"/>
      <c r="F1905" s="147">
        <v>0</v>
      </c>
      <c r="G1905" s="147">
        <v>0</v>
      </c>
      <c r="H1905" s="147">
        <v>0</v>
      </c>
      <c r="I1905" s="729"/>
      <c r="J1905" s="729"/>
      <c r="K1905" s="729"/>
      <c r="L1905" s="147">
        <v>1.3280000000000001</v>
      </c>
      <c r="M1905" s="147">
        <v>1.5</v>
      </c>
      <c r="N1905" s="147">
        <v>-0.17199999999999999</v>
      </c>
      <c r="O1905" s="147">
        <v>-11.466666666666667</v>
      </c>
      <c r="P1905" s="147">
        <v>0.86899999999999999</v>
      </c>
      <c r="Q1905" s="147">
        <v>0.45900000000000002</v>
      </c>
      <c r="R1905" s="147">
        <v>52.819332566168008</v>
      </c>
    </row>
    <row r="1906" spans="2:18" ht="15.75" hidden="1" thickBot="1" x14ac:dyDescent="0.3">
      <c r="B1906" s="724" t="s">
        <v>485</v>
      </c>
      <c r="C1906" s="722" t="s">
        <v>169</v>
      </c>
      <c r="D1906" t="s">
        <v>170</v>
      </c>
      <c r="E1906" s="148">
        <v>2.8115199999999998</v>
      </c>
      <c r="F1906" s="148">
        <v>0</v>
      </c>
      <c r="G1906" s="148">
        <v>2.8115199999999998</v>
      </c>
      <c r="H1906" s="148">
        <v>0</v>
      </c>
      <c r="I1906" s="728"/>
      <c r="J1906" s="148">
        <v>2.8115199999999998</v>
      </c>
      <c r="K1906" s="148">
        <v>0</v>
      </c>
      <c r="L1906" s="148">
        <v>20.629200000000001</v>
      </c>
      <c r="M1906" s="148">
        <v>1</v>
      </c>
      <c r="N1906" s="148">
        <v>19.629200000000001</v>
      </c>
      <c r="O1906" s="148">
        <v>1962.92</v>
      </c>
      <c r="P1906" s="148">
        <v>0.30680000000000002</v>
      </c>
      <c r="Q1906" s="148">
        <v>20.322399999999998</v>
      </c>
      <c r="R1906" s="148">
        <v>6623.9895697522816</v>
      </c>
    </row>
    <row r="1907" spans="2:18" ht="15.75" hidden="1" thickBot="1" x14ac:dyDescent="0.3">
      <c r="B1907" s="724" t="s">
        <v>485</v>
      </c>
      <c r="C1907" s="722" t="s">
        <v>101</v>
      </c>
      <c r="D1907" t="s">
        <v>102</v>
      </c>
      <c r="E1907" s="147">
        <v>0.1273</v>
      </c>
      <c r="F1907" s="147">
        <v>0.4</v>
      </c>
      <c r="G1907" s="147">
        <v>-0.2727</v>
      </c>
      <c r="H1907" s="147">
        <v>-68.174999999999997</v>
      </c>
      <c r="I1907" s="729"/>
      <c r="J1907" s="147">
        <v>0.1273</v>
      </c>
      <c r="K1907" s="147">
        <v>0</v>
      </c>
      <c r="L1907" s="147">
        <v>4.7078800000000003</v>
      </c>
      <c r="M1907" s="147">
        <v>4</v>
      </c>
      <c r="N1907" s="147">
        <v>0.70787999999999995</v>
      </c>
      <c r="O1907" s="147">
        <v>17.696999999999999</v>
      </c>
      <c r="P1907" s="147">
        <v>3.2149899999999998</v>
      </c>
      <c r="Q1907" s="147">
        <v>1.4928900000000001</v>
      </c>
      <c r="R1907" s="147">
        <v>46.435292178202729</v>
      </c>
    </row>
    <row r="1908" spans="2:18" ht="15.75" hidden="1" thickBot="1" x14ac:dyDescent="0.3">
      <c r="B1908" s="724" t="s">
        <v>485</v>
      </c>
      <c r="C1908" s="722" t="s">
        <v>485</v>
      </c>
      <c r="D1908" t="s">
        <v>486</v>
      </c>
      <c r="E1908" s="148">
        <v>3.50102</v>
      </c>
      <c r="F1908" s="148">
        <v>1.5</v>
      </c>
      <c r="G1908" s="148">
        <v>2.00102</v>
      </c>
      <c r="H1908" s="148">
        <v>133.40133333333333</v>
      </c>
      <c r="I1908" s="728"/>
      <c r="J1908" s="148">
        <v>3.50102</v>
      </c>
      <c r="K1908" s="148">
        <v>0</v>
      </c>
      <c r="L1908" s="148">
        <v>31.874079999999999</v>
      </c>
      <c r="M1908" s="148">
        <v>55</v>
      </c>
      <c r="N1908" s="148">
        <v>-23.125920000000001</v>
      </c>
      <c r="O1908" s="148">
        <v>-42.047127272727273</v>
      </c>
      <c r="P1908" s="148">
        <v>-15.07499</v>
      </c>
      <c r="Q1908" s="148">
        <v>46.949069999999999</v>
      </c>
      <c r="R1908" s="148">
        <v>311.43682350701391</v>
      </c>
    </row>
    <row r="1909" spans="2:18" ht="15.75" hidden="1" thickBot="1" x14ac:dyDescent="0.3">
      <c r="B1909" s="724" t="s">
        <v>485</v>
      </c>
      <c r="C1909" s="722" t="s">
        <v>103</v>
      </c>
      <c r="D1909" t="s">
        <v>104</v>
      </c>
      <c r="E1909" s="147">
        <v>0.16200000000000001</v>
      </c>
      <c r="F1909" s="729"/>
      <c r="G1909" s="147">
        <v>0.16200000000000001</v>
      </c>
      <c r="H1909" s="147">
        <v>0</v>
      </c>
      <c r="I1909" s="729"/>
      <c r="J1909" s="147">
        <v>0.16200000000000001</v>
      </c>
      <c r="K1909" s="147">
        <v>0</v>
      </c>
      <c r="L1909" s="147">
        <v>0.49219000000000002</v>
      </c>
      <c r="M1909" s="729"/>
      <c r="N1909" s="147">
        <v>0.49219000000000002</v>
      </c>
      <c r="O1909" s="147">
        <v>0</v>
      </c>
      <c r="P1909" s="147">
        <v>0.17019000000000001</v>
      </c>
      <c r="Q1909" s="147">
        <v>0.32200000000000001</v>
      </c>
      <c r="R1909" s="147">
        <v>189.20030554086608</v>
      </c>
    </row>
    <row r="1910" spans="2:18" ht="15.75" hidden="1" thickBot="1" x14ac:dyDescent="0.3">
      <c r="B1910" s="724" t="s">
        <v>485</v>
      </c>
      <c r="C1910" s="722" t="s">
        <v>109</v>
      </c>
      <c r="D1910" t="s">
        <v>110</v>
      </c>
      <c r="E1910" s="148">
        <v>4.1660000000000003E-2</v>
      </c>
      <c r="F1910" s="728"/>
      <c r="G1910" s="148">
        <v>4.1660000000000003E-2</v>
      </c>
      <c r="H1910" s="148">
        <v>0</v>
      </c>
      <c r="I1910" s="728"/>
      <c r="J1910" s="148">
        <v>4.1660000000000003E-2</v>
      </c>
      <c r="K1910" s="148">
        <v>0</v>
      </c>
      <c r="L1910" s="148">
        <v>0.31381999999999999</v>
      </c>
      <c r="M1910" s="728"/>
      <c r="N1910" s="148">
        <v>0.31381999999999999</v>
      </c>
      <c r="O1910" s="148">
        <v>0</v>
      </c>
      <c r="P1910" s="148">
        <v>0.13153999999999999</v>
      </c>
      <c r="Q1910" s="148">
        <v>0.18228</v>
      </c>
      <c r="R1910" s="148">
        <v>138.57381785008363</v>
      </c>
    </row>
    <row r="1911" spans="2:18" ht="15.75" hidden="1" thickBot="1" x14ac:dyDescent="0.3">
      <c r="B1911" s="724" t="s">
        <v>485</v>
      </c>
      <c r="C1911" s="722" t="s">
        <v>73</v>
      </c>
      <c r="D1911" t="s">
        <v>74</v>
      </c>
      <c r="E1911" s="147">
        <v>0.43719000000000002</v>
      </c>
      <c r="F1911" s="147">
        <v>1.5</v>
      </c>
      <c r="G1911" s="147">
        <v>-1.06281</v>
      </c>
      <c r="H1911" s="147">
        <v>-70.853999999999999</v>
      </c>
      <c r="I1911" s="729"/>
      <c r="J1911" s="147">
        <v>0.43719000000000002</v>
      </c>
      <c r="K1911" s="147">
        <v>0</v>
      </c>
      <c r="L1911" s="147">
        <v>15.87804</v>
      </c>
      <c r="M1911" s="147">
        <v>18</v>
      </c>
      <c r="N1911" s="147">
        <v>-2.1219600000000001</v>
      </c>
      <c r="O1911" s="147">
        <v>-11.788666666666666</v>
      </c>
      <c r="P1911" s="147">
        <v>8.2387300000000003</v>
      </c>
      <c r="Q1911" s="147">
        <v>7.63931</v>
      </c>
      <c r="R1911" s="147">
        <v>92.724364070675946</v>
      </c>
    </row>
    <row r="1912" spans="2:18" ht="15.75" hidden="1" thickBot="1" x14ac:dyDescent="0.3">
      <c r="B1912" s="724" t="s">
        <v>485</v>
      </c>
      <c r="C1912" s="722" t="s">
        <v>111</v>
      </c>
      <c r="D1912" t="s">
        <v>112</v>
      </c>
      <c r="E1912" s="148">
        <v>0.12531999999999999</v>
      </c>
      <c r="F1912" s="728"/>
      <c r="G1912" s="148">
        <v>0.12531999999999999</v>
      </c>
      <c r="H1912" s="148">
        <v>0</v>
      </c>
      <c r="I1912" s="728"/>
      <c r="J1912" s="148">
        <v>0.12531999999999999</v>
      </c>
      <c r="K1912" s="148">
        <v>0</v>
      </c>
      <c r="L1912" s="148">
        <v>0.12531999999999999</v>
      </c>
      <c r="M1912" s="148">
        <v>0</v>
      </c>
      <c r="N1912" s="148">
        <v>0.12531999999999999</v>
      </c>
      <c r="O1912" s="148">
        <v>0</v>
      </c>
      <c r="P1912" s="728"/>
      <c r="Q1912" s="148">
        <v>0.12531999999999999</v>
      </c>
      <c r="R1912" s="148">
        <v>0</v>
      </c>
    </row>
    <row r="1913" spans="2:18" ht="15.75" hidden="1" thickBot="1" x14ac:dyDescent="0.3">
      <c r="B1913" s="724" t="s">
        <v>485</v>
      </c>
      <c r="C1913" s="722" t="s">
        <v>141</v>
      </c>
      <c r="D1913" t="s">
        <v>142</v>
      </c>
      <c r="E1913" s="147">
        <v>2.1739999999999999E-2</v>
      </c>
      <c r="F1913" s="147">
        <v>0.1</v>
      </c>
      <c r="G1913" s="147">
        <v>-7.8259999999999996E-2</v>
      </c>
      <c r="H1913" s="147">
        <v>-78.260000000000005</v>
      </c>
      <c r="I1913" s="729"/>
      <c r="J1913" s="147">
        <v>2.1739999999999999E-2</v>
      </c>
      <c r="K1913" s="147">
        <v>0</v>
      </c>
      <c r="L1913" s="147">
        <v>0.69157999999999997</v>
      </c>
      <c r="M1913" s="147">
        <v>1</v>
      </c>
      <c r="N1913" s="147">
        <v>-0.30842000000000003</v>
      </c>
      <c r="O1913" s="147">
        <v>-30.841999999999999</v>
      </c>
      <c r="P1913" s="147">
        <v>0.61680000000000001</v>
      </c>
      <c r="Q1913" s="147">
        <v>7.4779999999999999E-2</v>
      </c>
      <c r="R1913" s="147">
        <v>12.123865110246433</v>
      </c>
    </row>
    <row r="1914" spans="2:18" ht="15.75" hidden="1" thickBot="1" x14ac:dyDescent="0.3">
      <c r="B1914" s="724" t="s">
        <v>485</v>
      </c>
      <c r="C1914" s="722" t="s">
        <v>113</v>
      </c>
      <c r="D1914" t="s">
        <v>114</v>
      </c>
      <c r="E1914" s="728"/>
      <c r="F1914" s="148">
        <v>0.1</v>
      </c>
      <c r="G1914" s="148">
        <v>-0.1</v>
      </c>
      <c r="H1914" s="148">
        <v>-100</v>
      </c>
      <c r="I1914" s="728"/>
      <c r="J1914" s="728"/>
      <c r="K1914" s="728"/>
      <c r="L1914" s="148">
        <v>0.52553000000000005</v>
      </c>
      <c r="M1914" s="148">
        <v>1</v>
      </c>
      <c r="N1914" s="148">
        <v>-0.47447</v>
      </c>
      <c r="O1914" s="148">
        <v>-47.447000000000003</v>
      </c>
      <c r="P1914" s="148">
        <v>0.44433</v>
      </c>
      <c r="Q1914" s="148">
        <v>8.1199999999999994E-2</v>
      </c>
      <c r="R1914" s="148">
        <v>18.274705736727206</v>
      </c>
    </row>
    <row r="1915" spans="2:18" ht="15.75" hidden="1" thickBot="1" x14ac:dyDescent="0.3">
      <c r="B1915" s="724" t="s">
        <v>485</v>
      </c>
      <c r="C1915" s="722" t="s">
        <v>633</v>
      </c>
      <c r="D1915" t="s">
        <v>634</v>
      </c>
      <c r="E1915" s="147">
        <v>0.04</v>
      </c>
      <c r="F1915" s="729"/>
      <c r="G1915" s="147">
        <v>0.04</v>
      </c>
      <c r="H1915" s="147">
        <v>0</v>
      </c>
      <c r="I1915" s="729"/>
      <c r="J1915" s="147">
        <v>0.04</v>
      </c>
      <c r="K1915" s="147">
        <v>0</v>
      </c>
      <c r="L1915" s="147">
        <v>0.04</v>
      </c>
      <c r="M1915" s="729"/>
      <c r="N1915" s="147">
        <v>0.04</v>
      </c>
      <c r="O1915" s="147">
        <v>0</v>
      </c>
      <c r="P1915" s="729"/>
      <c r="Q1915" s="147">
        <v>0.04</v>
      </c>
      <c r="R1915" s="147">
        <v>0</v>
      </c>
    </row>
    <row r="1916" spans="2:18" ht="15.75" hidden="1" thickBot="1" x14ac:dyDescent="0.3">
      <c r="B1916" s="724" t="s">
        <v>485</v>
      </c>
      <c r="C1916" s="722" t="s">
        <v>145</v>
      </c>
      <c r="D1916" t="s">
        <v>146</v>
      </c>
      <c r="E1916" s="148">
        <v>2.5000000000000001E-2</v>
      </c>
      <c r="F1916" s="728"/>
      <c r="G1916" s="148">
        <v>2.5000000000000001E-2</v>
      </c>
      <c r="H1916" s="148">
        <v>0</v>
      </c>
      <c r="I1916" s="728"/>
      <c r="J1916" s="148">
        <v>2.5000000000000001E-2</v>
      </c>
      <c r="K1916" s="148">
        <v>0</v>
      </c>
      <c r="L1916" s="148">
        <v>0.28360000000000002</v>
      </c>
      <c r="M1916" s="728"/>
      <c r="N1916" s="148">
        <v>0.28360000000000002</v>
      </c>
      <c r="O1916" s="148">
        <v>0</v>
      </c>
      <c r="P1916" s="148">
        <v>0.17119999999999999</v>
      </c>
      <c r="Q1916" s="148">
        <v>0.1124</v>
      </c>
      <c r="R1916" s="148">
        <v>65.654205607476641</v>
      </c>
    </row>
    <row r="1917" spans="2:18" ht="15.75" hidden="1" thickBot="1" x14ac:dyDescent="0.3">
      <c r="B1917" s="724" t="s">
        <v>485</v>
      </c>
      <c r="C1917" s="722" t="s">
        <v>147</v>
      </c>
      <c r="D1917" t="s">
        <v>148</v>
      </c>
      <c r="E1917" s="729"/>
      <c r="F1917" s="729"/>
      <c r="G1917" s="729"/>
      <c r="H1917" s="729"/>
      <c r="I1917" s="729"/>
      <c r="J1917" s="729"/>
      <c r="K1917" s="729"/>
      <c r="L1917" s="147">
        <v>0.18690000000000001</v>
      </c>
      <c r="M1917" s="729"/>
      <c r="N1917" s="147">
        <v>0.18690000000000001</v>
      </c>
      <c r="O1917" s="147">
        <v>0</v>
      </c>
      <c r="P1917" s="147">
        <v>0.1229</v>
      </c>
      <c r="Q1917" s="147">
        <v>6.4000000000000001E-2</v>
      </c>
      <c r="R1917" s="147">
        <v>52.074857607811232</v>
      </c>
    </row>
    <row r="1918" spans="2:18" ht="15.75" hidden="1" thickBot="1" x14ac:dyDescent="0.3">
      <c r="B1918" s="724" t="s">
        <v>485</v>
      </c>
      <c r="C1918" s="722" t="s">
        <v>149</v>
      </c>
      <c r="D1918" t="s">
        <v>150</v>
      </c>
      <c r="E1918" s="148">
        <v>5.21</v>
      </c>
      <c r="F1918" s="148">
        <v>10</v>
      </c>
      <c r="G1918" s="148">
        <v>-4.79</v>
      </c>
      <c r="H1918" s="148">
        <v>-47.9</v>
      </c>
      <c r="I1918" s="728"/>
      <c r="J1918" s="148">
        <v>5.21</v>
      </c>
      <c r="K1918" s="148">
        <v>0</v>
      </c>
      <c r="L1918" s="148">
        <v>88.721220000000002</v>
      </c>
      <c r="M1918" s="148">
        <v>145</v>
      </c>
      <c r="N1918" s="148">
        <v>-56.278779999999998</v>
      </c>
      <c r="O1918" s="148">
        <v>-38.812951724137932</v>
      </c>
      <c r="P1918" s="148">
        <v>56.259659999999997</v>
      </c>
      <c r="Q1918" s="148">
        <v>32.461559999999999</v>
      </c>
      <c r="R1918" s="148">
        <v>57.699531067198059</v>
      </c>
    </row>
    <row r="1919" spans="2:18" ht="15.75" hidden="1" thickBot="1" x14ac:dyDescent="0.3">
      <c r="B1919" s="724" t="s">
        <v>485</v>
      </c>
      <c r="C1919" s="722" t="s">
        <v>75</v>
      </c>
      <c r="D1919" t="s">
        <v>76</v>
      </c>
      <c r="E1919" s="729"/>
      <c r="F1919" s="147">
        <v>0.25</v>
      </c>
      <c r="G1919" s="147">
        <v>-0.25</v>
      </c>
      <c r="H1919" s="147">
        <v>-100</v>
      </c>
      <c r="I1919" s="729"/>
      <c r="J1919" s="729"/>
      <c r="K1919" s="729"/>
      <c r="L1919" s="147">
        <v>1.3347599999999999</v>
      </c>
      <c r="M1919" s="147">
        <v>3</v>
      </c>
      <c r="N1919" s="147">
        <v>-1.6652400000000001</v>
      </c>
      <c r="O1919" s="147">
        <v>-55.508000000000003</v>
      </c>
      <c r="P1919" s="147">
        <v>0.82579000000000002</v>
      </c>
      <c r="Q1919" s="147">
        <v>0.50897000000000003</v>
      </c>
      <c r="R1919" s="147">
        <v>61.634313808595408</v>
      </c>
    </row>
    <row r="1920" spans="2:18" ht="15.75" hidden="1" thickBot="1" x14ac:dyDescent="0.3">
      <c r="B1920" s="724" t="s">
        <v>485</v>
      </c>
      <c r="C1920" s="722" t="s">
        <v>77</v>
      </c>
      <c r="D1920" t="s">
        <v>78</v>
      </c>
      <c r="E1920" s="728"/>
      <c r="F1920" s="148">
        <v>0.5</v>
      </c>
      <c r="G1920" s="148">
        <v>-0.5</v>
      </c>
      <c r="H1920" s="148">
        <v>-100</v>
      </c>
      <c r="I1920" s="728"/>
      <c r="J1920" s="728"/>
      <c r="K1920" s="728"/>
      <c r="L1920" s="148">
        <v>5.2345100000000002</v>
      </c>
      <c r="M1920" s="148">
        <v>5</v>
      </c>
      <c r="N1920" s="148">
        <v>0.23451</v>
      </c>
      <c r="O1920" s="148">
        <v>4.6901999999999999</v>
      </c>
      <c r="P1920" s="148">
        <v>4.5175099999999997</v>
      </c>
      <c r="Q1920" s="148">
        <v>0.71699999999999997</v>
      </c>
      <c r="R1920" s="148">
        <v>15.871575270447659</v>
      </c>
    </row>
    <row r="1921" spans="2:18" ht="15.75" hidden="1" thickBot="1" x14ac:dyDescent="0.3">
      <c r="B1921" s="724" t="s">
        <v>485</v>
      </c>
      <c r="C1921" s="722" t="s">
        <v>79</v>
      </c>
      <c r="D1921" t="s">
        <v>80</v>
      </c>
      <c r="E1921" s="729"/>
      <c r="F1921" s="729"/>
      <c r="G1921" s="729"/>
      <c r="H1921" s="729"/>
      <c r="I1921" s="729"/>
      <c r="J1921" s="729"/>
      <c r="K1921" s="729"/>
      <c r="L1921" s="147">
        <v>0.44542999999999999</v>
      </c>
      <c r="M1921" s="729"/>
      <c r="N1921" s="147">
        <v>0.44542999999999999</v>
      </c>
      <c r="O1921" s="147">
        <v>0</v>
      </c>
      <c r="P1921" s="147">
        <v>0.44542999999999999</v>
      </c>
      <c r="Q1921" s="147">
        <v>0</v>
      </c>
      <c r="R1921" s="147">
        <v>0</v>
      </c>
    </row>
    <row r="1922" spans="2:18" ht="15.75" hidden="1" thickBot="1" x14ac:dyDescent="0.3">
      <c r="B1922" s="724" t="s">
        <v>485</v>
      </c>
      <c r="C1922" s="722" t="s">
        <v>81</v>
      </c>
      <c r="D1922" t="s">
        <v>82</v>
      </c>
      <c r="E1922" s="148">
        <v>33.893430000000002</v>
      </c>
      <c r="F1922" s="148">
        <v>16.5</v>
      </c>
      <c r="G1922" s="148">
        <v>17.393429999999999</v>
      </c>
      <c r="H1922" s="148">
        <v>105.41472727272728</v>
      </c>
      <c r="I1922" s="728"/>
      <c r="J1922" s="148">
        <v>33.893430000000002</v>
      </c>
      <c r="K1922" s="148">
        <v>0</v>
      </c>
      <c r="L1922" s="148">
        <v>306.63544000000002</v>
      </c>
      <c r="M1922" s="148">
        <v>286.3</v>
      </c>
      <c r="N1922" s="148">
        <v>20.335439999999998</v>
      </c>
      <c r="O1922" s="148">
        <v>7.1028431714984279</v>
      </c>
      <c r="P1922" s="148">
        <v>184.25731999999999</v>
      </c>
      <c r="Q1922" s="148">
        <v>122.37812</v>
      </c>
      <c r="R1922" s="148">
        <v>66.416965144179883</v>
      </c>
    </row>
    <row r="1923" spans="2:18" ht="15.75" hidden="1" thickBot="1" x14ac:dyDescent="0.3">
      <c r="B1923" s="724" t="s">
        <v>485</v>
      </c>
      <c r="C1923" s="722" t="s">
        <v>123</v>
      </c>
      <c r="D1923" t="s">
        <v>124</v>
      </c>
      <c r="E1923" s="147">
        <v>0.187</v>
      </c>
      <c r="F1923" s="729"/>
      <c r="G1923" s="147">
        <v>0.187</v>
      </c>
      <c r="H1923" s="147">
        <v>0</v>
      </c>
      <c r="I1923" s="729"/>
      <c r="J1923" s="147">
        <v>0.187</v>
      </c>
      <c r="K1923" s="147">
        <v>0</v>
      </c>
      <c r="L1923" s="147">
        <v>1.4097599999999999</v>
      </c>
      <c r="M1923" s="729"/>
      <c r="N1923" s="147">
        <v>1.4097599999999999</v>
      </c>
      <c r="O1923" s="147">
        <v>0</v>
      </c>
      <c r="P1923" s="147">
        <v>1.0807599999999999</v>
      </c>
      <c r="Q1923" s="147">
        <v>0.32900000000000001</v>
      </c>
      <c r="R1923" s="147">
        <v>30.441541137717902</v>
      </c>
    </row>
    <row r="1924" spans="2:18" ht="15.75" hidden="1" thickBot="1" x14ac:dyDescent="0.3">
      <c r="B1924" s="724" t="s">
        <v>485</v>
      </c>
      <c r="C1924" s="722" t="s">
        <v>125</v>
      </c>
      <c r="D1924" t="s">
        <v>126</v>
      </c>
      <c r="E1924" s="728"/>
      <c r="F1924" s="728"/>
      <c r="G1924" s="728"/>
      <c r="H1924" s="728"/>
      <c r="I1924" s="728"/>
      <c r="J1924" s="728"/>
      <c r="K1924" s="728"/>
      <c r="L1924" s="148">
        <v>1.8540000000000001E-2</v>
      </c>
      <c r="M1924" s="728"/>
      <c r="N1924" s="148">
        <v>1.8540000000000001E-2</v>
      </c>
      <c r="O1924" s="148">
        <v>0</v>
      </c>
      <c r="P1924" s="148">
        <v>1.8540000000000001E-2</v>
      </c>
      <c r="Q1924" s="148">
        <v>0</v>
      </c>
      <c r="R1924" s="148">
        <v>0</v>
      </c>
    </row>
    <row r="1925" spans="2:18" ht="15.75" hidden="1" thickBot="1" x14ac:dyDescent="0.3">
      <c r="B1925" s="724" t="s">
        <v>485</v>
      </c>
      <c r="C1925" s="722" t="s">
        <v>83</v>
      </c>
      <c r="D1925" t="s">
        <v>84</v>
      </c>
      <c r="E1925" s="729"/>
      <c r="F1925" s="147">
        <v>0.4</v>
      </c>
      <c r="G1925" s="147">
        <v>-0.4</v>
      </c>
      <c r="H1925" s="147">
        <v>-100</v>
      </c>
      <c r="I1925" s="729"/>
      <c r="J1925" s="729"/>
      <c r="K1925" s="729"/>
      <c r="L1925" s="729"/>
      <c r="M1925" s="147">
        <v>5</v>
      </c>
      <c r="N1925" s="147">
        <v>-5</v>
      </c>
      <c r="O1925" s="147">
        <v>-100</v>
      </c>
      <c r="P1925" s="729"/>
      <c r="Q1925" s="729"/>
      <c r="R1925" s="729"/>
    </row>
    <row r="1926" spans="2:18" ht="15.75" hidden="1" thickBot="1" x14ac:dyDescent="0.3">
      <c r="B1926" s="724" t="s">
        <v>485</v>
      </c>
      <c r="C1926" s="149" t="s">
        <v>85</v>
      </c>
      <c r="D1926" t="s">
        <v>86</v>
      </c>
      <c r="E1926" s="148">
        <v>46.821890000000003</v>
      </c>
      <c r="F1926" s="148">
        <v>31.75</v>
      </c>
      <c r="G1926" s="148">
        <v>15.07189</v>
      </c>
      <c r="H1926" s="148">
        <v>47.47051968503937</v>
      </c>
      <c r="I1926" s="728"/>
      <c r="J1926" s="148">
        <v>46.821890000000003</v>
      </c>
      <c r="K1926" s="148">
        <v>0</v>
      </c>
      <c r="L1926" s="148">
        <v>483.99281999999999</v>
      </c>
      <c r="M1926" s="148">
        <v>530.79999999999995</v>
      </c>
      <c r="N1926" s="148">
        <v>-46.807180000000002</v>
      </c>
      <c r="O1926" s="148">
        <v>-8.8182328560663148</v>
      </c>
      <c r="P1926" s="148">
        <v>250.26293000000001</v>
      </c>
      <c r="Q1926" s="148">
        <v>233.72989000000001</v>
      </c>
      <c r="R1926" s="148">
        <v>93.393731944239605</v>
      </c>
    </row>
    <row r="1927" spans="2:18" ht="15.75" hidden="1" thickBot="1" x14ac:dyDescent="0.3">
      <c r="B1927" s="724" t="s">
        <v>485</v>
      </c>
      <c r="C1927" s="144" t="s">
        <v>87</v>
      </c>
      <c r="D1927" t="s">
        <v>87</v>
      </c>
      <c r="E1927" s="147">
        <v>137.46861000000001</v>
      </c>
      <c r="F1927" s="147">
        <v>148.23621</v>
      </c>
      <c r="G1927" s="147">
        <v>-10.7676</v>
      </c>
      <c r="H1927" s="147">
        <v>-7.2638122628742332</v>
      </c>
      <c r="I1927" s="729"/>
      <c r="J1927" s="147">
        <v>137.46861000000001</v>
      </c>
      <c r="K1927" s="147">
        <v>0</v>
      </c>
      <c r="L1927" s="147">
        <v>1781.4474600000001</v>
      </c>
      <c r="M1927" s="147">
        <v>1921.30126</v>
      </c>
      <c r="N1927" s="147">
        <v>-139.85380000000001</v>
      </c>
      <c r="O1927" s="147">
        <v>-7.279118736433869</v>
      </c>
      <c r="P1927" s="147">
        <v>994.89092000000005</v>
      </c>
      <c r="Q1927" s="147">
        <v>786.55654000000004</v>
      </c>
      <c r="R1927" s="147">
        <v>79.059575697002046</v>
      </c>
    </row>
    <row r="1928" spans="2:18" ht="15.75" hidden="1" thickBot="1" x14ac:dyDescent="0.3">
      <c r="B1928" s="724" t="s">
        <v>744</v>
      </c>
      <c r="C1928" s="722" t="s">
        <v>69</v>
      </c>
      <c r="D1928" t="s">
        <v>70</v>
      </c>
      <c r="E1928" s="148">
        <v>19.382000000000001</v>
      </c>
      <c r="F1928" s="148">
        <v>6</v>
      </c>
      <c r="G1928" s="148">
        <v>13.382</v>
      </c>
      <c r="H1928" s="148">
        <v>223.03333333333333</v>
      </c>
      <c r="I1928" s="728"/>
      <c r="J1928" s="148">
        <v>19.382000000000001</v>
      </c>
      <c r="K1928" s="148">
        <v>0</v>
      </c>
      <c r="L1928" s="148">
        <v>107.51237</v>
      </c>
      <c r="M1928" s="148">
        <v>90</v>
      </c>
      <c r="N1928" s="148">
        <v>17.512370000000001</v>
      </c>
      <c r="O1928" s="148">
        <v>19.458188888888888</v>
      </c>
      <c r="P1928" s="148">
        <v>54.293280000000003</v>
      </c>
      <c r="Q1928" s="148">
        <v>53.219090000000001</v>
      </c>
      <c r="R1928" s="148">
        <v>98.021504687136229</v>
      </c>
    </row>
    <row r="1929" spans="2:18" ht="15.75" hidden="1" thickBot="1" x14ac:dyDescent="0.3">
      <c r="B1929" s="724" t="s">
        <v>744</v>
      </c>
      <c r="C1929" s="722" t="s">
        <v>190</v>
      </c>
      <c r="D1929" t="s">
        <v>191</v>
      </c>
      <c r="E1929" s="147">
        <v>12.50469</v>
      </c>
      <c r="F1929" s="147">
        <v>12.5</v>
      </c>
      <c r="G1929" s="147">
        <v>4.6899999999999997E-3</v>
      </c>
      <c r="H1929" s="147">
        <v>3.7519999999999998E-2</v>
      </c>
      <c r="I1929" s="729"/>
      <c r="J1929" s="147">
        <v>12.50469</v>
      </c>
      <c r="K1929" s="147">
        <v>0</v>
      </c>
      <c r="L1929" s="147">
        <v>142.11160000000001</v>
      </c>
      <c r="M1929" s="147">
        <v>144</v>
      </c>
      <c r="N1929" s="147">
        <v>-1.8884000000000001</v>
      </c>
      <c r="O1929" s="147">
        <v>-1.3113888888888889</v>
      </c>
      <c r="P1929" s="147">
        <v>68.926410000000004</v>
      </c>
      <c r="Q1929" s="147">
        <v>73.185190000000006</v>
      </c>
      <c r="R1929" s="147">
        <v>106.17873468239533</v>
      </c>
    </row>
    <row r="1930" spans="2:18" ht="15.75" hidden="1" thickBot="1" x14ac:dyDescent="0.3">
      <c r="B1930" s="724" t="s">
        <v>744</v>
      </c>
      <c r="C1930" s="722" t="s">
        <v>485</v>
      </c>
      <c r="D1930" t="s">
        <v>486</v>
      </c>
      <c r="E1930" s="148">
        <v>1.5275000000000001</v>
      </c>
      <c r="F1930" s="148">
        <v>1</v>
      </c>
      <c r="G1930" s="148">
        <v>0.52749999999999997</v>
      </c>
      <c r="H1930" s="148">
        <v>52.75</v>
      </c>
      <c r="I1930" s="728"/>
      <c r="J1930" s="148">
        <v>1.5275000000000001</v>
      </c>
      <c r="K1930" s="148">
        <v>0</v>
      </c>
      <c r="L1930" s="148">
        <v>9.9436199999999992</v>
      </c>
      <c r="M1930" s="148">
        <v>12</v>
      </c>
      <c r="N1930" s="148">
        <v>-2.0563799999999999</v>
      </c>
      <c r="O1930" s="148">
        <v>-17.136500000000002</v>
      </c>
      <c r="P1930" s="148">
        <v>4.5475000000000003</v>
      </c>
      <c r="Q1930" s="148">
        <v>5.3961199999999998</v>
      </c>
      <c r="R1930" s="148">
        <v>118.66124244090159</v>
      </c>
    </row>
    <row r="1931" spans="2:18" ht="15.75" hidden="1" thickBot="1" x14ac:dyDescent="0.3">
      <c r="B1931" s="724" t="s">
        <v>744</v>
      </c>
      <c r="C1931" s="722" t="s">
        <v>77</v>
      </c>
      <c r="D1931" t="s">
        <v>78</v>
      </c>
      <c r="E1931" s="729"/>
      <c r="F1931" s="729"/>
      <c r="G1931" s="729"/>
      <c r="H1931" s="729"/>
      <c r="I1931" s="729"/>
      <c r="J1931" s="729"/>
      <c r="K1931" s="729"/>
      <c r="L1931" s="147">
        <v>0.74360000000000004</v>
      </c>
      <c r="M1931" s="729"/>
      <c r="N1931" s="147">
        <v>0.74360000000000004</v>
      </c>
      <c r="O1931" s="147">
        <v>0</v>
      </c>
      <c r="P1931" s="147">
        <v>0.74360000000000004</v>
      </c>
      <c r="Q1931" s="147">
        <v>0</v>
      </c>
      <c r="R1931" s="147">
        <v>0</v>
      </c>
    </row>
    <row r="1932" spans="2:18" ht="15.75" hidden="1" thickBot="1" x14ac:dyDescent="0.3">
      <c r="B1932" s="724" t="s">
        <v>744</v>
      </c>
      <c r="C1932" s="149" t="s">
        <v>85</v>
      </c>
      <c r="D1932" t="s">
        <v>86</v>
      </c>
      <c r="E1932" s="148">
        <v>33.414189999999998</v>
      </c>
      <c r="F1932" s="148">
        <v>19.5</v>
      </c>
      <c r="G1932" s="148">
        <v>13.91419</v>
      </c>
      <c r="H1932" s="148">
        <v>71.35482051282051</v>
      </c>
      <c r="I1932" s="728"/>
      <c r="J1932" s="148">
        <v>33.414189999999998</v>
      </c>
      <c r="K1932" s="148">
        <v>0</v>
      </c>
      <c r="L1932" s="148">
        <v>260.31119000000001</v>
      </c>
      <c r="M1932" s="148">
        <v>246</v>
      </c>
      <c r="N1932" s="148">
        <v>14.31119</v>
      </c>
      <c r="O1932" s="148">
        <v>5.8175569105691061</v>
      </c>
      <c r="P1932" s="148">
        <v>128.51078999999999</v>
      </c>
      <c r="Q1932" s="148">
        <v>131.8004</v>
      </c>
      <c r="R1932" s="148">
        <v>102.55979283918494</v>
      </c>
    </row>
    <row r="1933" spans="2:18" ht="15.75" hidden="1" thickBot="1" x14ac:dyDescent="0.3">
      <c r="B1933" s="724" t="s">
        <v>744</v>
      </c>
      <c r="C1933" s="144" t="s">
        <v>87</v>
      </c>
      <c r="D1933" t="s">
        <v>87</v>
      </c>
      <c r="E1933" s="147">
        <v>33.414189999999998</v>
      </c>
      <c r="F1933" s="147">
        <v>19.5</v>
      </c>
      <c r="G1933" s="147">
        <v>13.91419</v>
      </c>
      <c r="H1933" s="147">
        <v>71.35482051282051</v>
      </c>
      <c r="I1933" s="729"/>
      <c r="J1933" s="147">
        <v>33.414189999999998</v>
      </c>
      <c r="K1933" s="147">
        <v>0</v>
      </c>
      <c r="L1933" s="147">
        <v>260.31119000000001</v>
      </c>
      <c r="M1933" s="147">
        <v>246</v>
      </c>
      <c r="N1933" s="147">
        <v>14.31119</v>
      </c>
      <c r="O1933" s="147">
        <v>5.8175569105691061</v>
      </c>
      <c r="P1933" s="147">
        <v>128.51078999999999</v>
      </c>
      <c r="Q1933" s="147">
        <v>131.8004</v>
      </c>
      <c r="R1933" s="147">
        <v>102.55979283918494</v>
      </c>
    </row>
    <row r="1934" spans="2:18" ht="15.75" hidden="1" thickBot="1" x14ac:dyDescent="0.3">
      <c r="B1934" s="724" t="s">
        <v>68</v>
      </c>
      <c r="C1934" s="722" t="s">
        <v>59</v>
      </c>
      <c r="D1934" t="s">
        <v>60</v>
      </c>
      <c r="E1934" s="148">
        <v>20.912600000000001</v>
      </c>
      <c r="F1934" s="148">
        <v>23.168199999999999</v>
      </c>
      <c r="G1934" s="148">
        <v>-2.2555999999999998</v>
      </c>
      <c r="H1934" s="148">
        <v>-9.7357584965599404</v>
      </c>
      <c r="I1934" s="728"/>
      <c r="J1934" s="148">
        <v>20.912600000000001</v>
      </c>
      <c r="K1934" s="148">
        <v>0</v>
      </c>
      <c r="L1934" s="148">
        <v>268.02528999999998</v>
      </c>
      <c r="M1934" s="148">
        <v>274.83627000000001</v>
      </c>
      <c r="N1934" s="148">
        <v>-6.8109799999999998</v>
      </c>
      <c r="O1934" s="148">
        <v>-2.4781954725262425</v>
      </c>
      <c r="P1934" s="148">
        <v>136.47695999999999</v>
      </c>
      <c r="Q1934" s="148">
        <v>131.54832999999999</v>
      </c>
      <c r="R1934" s="148">
        <v>96.388672490946462</v>
      </c>
    </row>
    <row r="1935" spans="2:18" ht="15.75" hidden="1" thickBot="1" x14ac:dyDescent="0.3">
      <c r="B1935" s="724" t="s">
        <v>68</v>
      </c>
      <c r="C1935" s="722" t="s">
        <v>91</v>
      </c>
      <c r="D1935" t="s">
        <v>92</v>
      </c>
      <c r="E1935" s="147">
        <v>4.2927999999999997</v>
      </c>
      <c r="F1935" s="147">
        <v>4.7763400000000003</v>
      </c>
      <c r="G1935" s="147">
        <v>-0.48354000000000003</v>
      </c>
      <c r="H1935" s="147">
        <v>-10.123651163861869</v>
      </c>
      <c r="I1935" s="729"/>
      <c r="J1935" s="147">
        <v>4.2927999999999997</v>
      </c>
      <c r="K1935" s="147">
        <v>0</v>
      </c>
      <c r="L1935" s="147">
        <v>55.389969999999998</v>
      </c>
      <c r="M1935" s="147">
        <v>55.785760000000003</v>
      </c>
      <c r="N1935" s="147">
        <v>-0.39578999999999998</v>
      </c>
      <c r="O1935" s="147">
        <v>-0.70948213307482055</v>
      </c>
      <c r="P1935" s="147">
        <v>27.475850000000001</v>
      </c>
      <c r="Q1935" s="147">
        <v>27.91412</v>
      </c>
      <c r="R1935" s="147">
        <v>101.59510988741022</v>
      </c>
    </row>
    <row r="1936" spans="2:18" ht="15.75" hidden="1" thickBot="1" x14ac:dyDescent="0.3">
      <c r="B1936" s="724" t="s">
        <v>68</v>
      </c>
      <c r="C1936" s="722" t="s">
        <v>93</v>
      </c>
      <c r="D1936" t="s">
        <v>94</v>
      </c>
      <c r="E1936" s="148">
        <v>1.1939999999999999E-2</v>
      </c>
      <c r="F1936" s="148">
        <v>0.42436000000000001</v>
      </c>
      <c r="G1936" s="148">
        <v>-0.41242000000000001</v>
      </c>
      <c r="H1936" s="148">
        <v>-97.186351211235745</v>
      </c>
      <c r="I1936" s="728"/>
      <c r="J1936" s="148">
        <v>1.1939999999999999E-2</v>
      </c>
      <c r="K1936" s="148">
        <v>0</v>
      </c>
      <c r="L1936" s="148">
        <v>0.18815999999999999</v>
      </c>
      <c r="M1936" s="148">
        <v>4.9563600000000001</v>
      </c>
      <c r="N1936" s="148">
        <v>-4.7682000000000002</v>
      </c>
      <c r="O1936" s="148">
        <v>-96.203665593298311</v>
      </c>
      <c r="P1936" s="148">
        <v>0.14318</v>
      </c>
      <c r="Q1936" s="148">
        <v>4.4979999999999999E-2</v>
      </c>
      <c r="R1936" s="148">
        <v>31.4150020952647</v>
      </c>
    </row>
    <row r="1937" spans="2:18" ht="15.75" hidden="1" thickBot="1" x14ac:dyDescent="0.3">
      <c r="B1937" s="724" t="s">
        <v>68</v>
      </c>
      <c r="C1937" s="722" t="s">
        <v>134</v>
      </c>
      <c r="D1937" t="s">
        <v>135</v>
      </c>
      <c r="E1937" s="147">
        <v>0.21256</v>
      </c>
      <c r="F1937" s="729"/>
      <c r="G1937" s="147">
        <v>0.21256</v>
      </c>
      <c r="H1937" s="147">
        <v>0</v>
      </c>
      <c r="I1937" s="729"/>
      <c r="J1937" s="147">
        <v>0.21256</v>
      </c>
      <c r="K1937" s="147">
        <v>0</v>
      </c>
      <c r="L1937" s="147">
        <v>0.64866000000000001</v>
      </c>
      <c r="M1937" s="729"/>
      <c r="N1937" s="147">
        <v>0.64866000000000001</v>
      </c>
      <c r="O1937" s="147">
        <v>0</v>
      </c>
      <c r="P1937" s="147">
        <v>0.43609999999999999</v>
      </c>
      <c r="Q1937" s="147">
        <v>0.21256</v>
      </c>
      <c r="R1937" s="147">
        <v>48.741114423297411</v>
      </c>
    </row>
    <row r="1938" spans="2:18" ht="15.75" hidden="1" thickBot="1" x14ac:dyDescent="0.3">
      <c r="B1938" s="724" t="s">
        <v>68</v>
      </c>
      <c r="C1938" s="722" t="s">
        <v>61</v>
      </c>
      <c r="D1938" t="s">
        <v>62</v>
      </c>
      <c r="E1938" s="148">
        <v>4.2569499999999998</v>
      </c>
      <c r="F1938" s="148">
        <v>4.3314000000000004</v>
      </c>
      <c r="G1938" s="148">
        <v>-7.4450000000000002E-2</v>
      </c>
      <c r="H1938" s="148">
        <v>-1.7188437918455926</v>
      </c>
      <c r="I1938" s="728"/>
      <c r="J1938" s="148">
        <v>4.2569499999999998</v>
      </c>
      <c r="K1938" s="148">
        <v>0</v>
      </c>
      <c r="L1938" s="148">
        <v>50.502890000000001</v>
      </c>
      <c r="M1938" s="148">
        <v>51.246420000000001</v>
      </c>
      <c r="N1938" s="148">
        <v>-0.74353000000000002</v>
      </c>
      <c r="O1938" s="148">
        <v>-1.450891593988419</v>
      </c>
      <c r="P1938" s="148">
        <v>24.947410000000001</v>
      </c>
      <c r="Q1938" s="148">
        <v>25.555479999999999</v>
      </c>
      <c r="R1938" s="148">
        <v>102.43740733005951</v>
      </c>
    </row>
    <row r="1939" spans="2:18" ht="15.75" hidden="1" thickBot="1" x14ac:dyDescent="0.3">
      <c r="B1939" s="724" t="s">
        <v>68</v>
      </c>
      <c r="C1939" s="722" t="s">
        <v>63</v>
      </c>
      <c r="D1939" t="s">
        <v>64</v>
      </c>
      <c r="E1939" s="147">
        <v>16.539919999999999</v>
      </c>
      <c r="F1939" s="147">
        <v>16.850549999999998</v>
      </c>
      <c r="G1939" s="147">
        <v>-0.31063000000000002</v>
      </c>
      <c r="H1939" s="147">
        <v>-1.8434413120046527</v>
      </c>
      <c r="I1939" s="729"/>
      <c r="J1939" s="147">
        <v>16.539919999999999</v>
      </c>
      <c r="K1939" s="147">
        <v>0</v>
      </c>
      <c r="L1939" s="147">
        <v>196.22954999999999</v>
      </c>
      <c r="M1939" s="147">
        <v>199.36500000000001</v>
      </c>
      <c r="N1939" s="147">
        <v>-3.1354500000000001</v>
      </c>
      <c r="O1939" s="147">
        <v>-1.572718380859228</v>
      </c>
      <c r="P1939" s="147">
        <v>96.942160000000001</v>
      </c>
      <c r="Q1939" s="147">
        <v>99.287390000000002</v>
      </c>
      <c r="R1939" s="147">
        <v>102.41920543136237</v>
      </c>
    </row>
    <row r="1940" spans="2:18" ht="15.75" hidden="1" thickBot="1" x14ac:dyDescent="0.3">
      <c r="B1940" s="724" t="s">
        <v>68</v>
      </c>
      <c r="C1940" s="722" t="s">
        <v>65</v>
      </c>
      <c r="D1940" t="s">
        <v>66</v>
      </c>
      <c r="E1940" s="148">
        <v>-0.45696999999999999</v>
      </c>
      <c r="F1940" s="148">
        <v>-0.24432999999999999</v>
      </c>
      <c r="G1940" s="148">
        <v>-0.21264</v>
      </c>
      <c r="H1940" s="148">
        <v>-87.029836696271431</v>
      </c>
      <c r="I1940" s="728"/>
      <c r="J1940" s="148">
        <v>-0.45696999999999999</v>
      </c>
      <c r="K1940" s="148">
        <v>0</v>
      </c>
      <c r="L1940" s="148">
        <v>-4.3215199999999996</v>
      </c>
      <c r="M1940" s="148">
        <v>-2.4378700000000002</v>
      </c>
      <c r="N1940" s="148">
        <v>-1.88365</v>
      </c>
      <c r="O1940" s="148">
        <v>-77.26622010197427</v>
      </c>
      <c r="P1940" s="148">
        <v>-2.2507999999999999</v>
      </c>
      <c r="Q1940" s="148">
        <v>-2.0707200000000001</v>
      </c>
      <c r="R1940" s="148">
        <v>-91.999289141638528</v>
      </c>
    </row>
    <row r="1941" spans="2:18" ht="15.75" hidden="1" thickBot="1" x14ac:dyDescent="0.3">
      <c r="B1941" s="724" t="s">
        <v>68</v>
      </c>
      <c r="C1941" s="722" t="s">
        <v>163</v>
      </c>
      <c r="D1941" t="s">
        <v>164</v>
      </c>
      <c r="E1941" s="147">
        <v>-0.16836000000000001</v>
      </c>
      <c r="F1941" s="729"/>
      <c r="G1941" s="147">
        <v>-0.16836000000000001</v>
      </c>
      <c r="H1941" s="147">
        <v>0</v>
      </c>
      <c r="I1941" s="729"/>
      <c r="J1941" s="147">
        <v>-0.16836000000000001</v>
      </c>
      <c r="K1941" s="147">
        <v>0</v>
      </c>
      <c r="L1941" s="147">
        <v>-2.9476800000000001</v>
      </c>
      <c r="M1941" s="729"/>
      <c r="N1941" s="147">
        <v>-2.9476800000000001</v>
      </c>
      <c r="O1941" s="147">
        <v>0</v>
      </c>
      <c r="P1941" s="147">
        <v>-1.7983199999999999</v>
      </c>
      <c r="Q1941" s="147">
        <v>-1.1493599999999999</v>
      </c>
      <c r="R1941" s="147">
        <v>-63.912985453089547</v>
      </c>
    </row>
    <row r="1942" spans="2:18" ht="15.75" hidden="1" thickBot="1" x14ac:dyDescent="0.3">
      <c r="B1942" s="724" t="s">
        <v>68</v>
      </c>
      <c r="C1942" s="149" t="s">
        <v>67</v>
      </c>
      <c r="D1942" t="s">
        <v>68</v>
      </c>
      <c r="E1942" s="148">
        <v>45.601439999999997</v>
      </c>
      <c r="F1942" s="148">
        <v>49.306519999999999</v>
      </c>
      <c r="G1942" s="148">
        <v>-3.7050800000000002</v>
      </c>
      <c r="H1942" s="148">
        <v>-7.5143814651693122</v>
      </c>
      <c r="I1942" s="728"/>
      <c r="J1942" s="148">
        <v>45.601439999999997</v>
      </c>
      <c r="K1942" s="148">
        <v>0</v>
      </c>
      <c r="L1942" s="148">
        <v>563.71532000000002</v>
      </c>
      <c r="M1942" s="148">
        <v>583.75193999999999</v>
      </c>
      <c r="N1942" s="148">
        <v>-20.036619999999999</v>
      </c>
      <c r="O1942" s="148">
        <v>-3.4323860234194683</v>
      </c>
      <c r="P1942" s="148">
        <v>282.37254000000001</v>
      </c>
      <c r="Q1942" s="148">
        <v>281.34278</v>
      </c>
      <c r="R1942" s="148">
        <v>99.635318646777762</v>
      </c>
    </row>
    <row r="1943" spans="2:18" ht="15.75" hidden="1" thickBot="1" x14ac:dyDescent="0.3">
      <c r="B1943" s="724" t="s">
        <v>68</v>
      </c>
      <c r="C1943" s="722" t="s">
        <v>69</v>
      </c>
      <c r="D1943" t="s">
        <v>70</v>
      </c>
      <c r="E1943" s="729"/>
      <c r="F1943" s="729"/>
      <c r="G1943" s="729"/>
      <c r="H1943" s="729"/>
      <c r="I1943" s="729"/>
      <c r="J1943" s="729"/>
      <c r="K1943" s="729"/>
      <c r="L1943" s="147">
        <v>2.74126</v>
      </c>
      <c r="M1943" s="147">
        <v>2.9</v>
      </c>
      <c r="N1943" s="147">
        <v>-0.15873999999999999</v>
      </c>
      <c r="O1943" s="147">
        <v>-5.4737931034482763</v>
      </c>
      <c r="P1943" s="147">
        <v>1.53278</v>
      </c>
      <c r="Q1943" s="147">
        <v>1.20848</v>
      </c>
      <c r="R1943" s="147">
        <v>78.842364853403623</v>
      </c>
    </row>
    <row r="1944" spans="2:18" ht="15.75" hidden="1" thickBot="1" x14ac:dyDescent="0.3">
      <c r="B1944" s="724" t="s">
        <v>68</v>
      </c>
      <c r="C1944" s="722" t="s">
        <v>139</v>
      </c>
      <c r="D1944" t="s">
        <v>140</v>
      </c>
      <c r="E1944" s="728"/>
      <c r="F1944" s="728"/>
      <c r="G1944" s="728"/>
      <c r="H1944" s="728"/>
      <c r="I1944" s="728"/>
      <c r="J1944" s="728"/>
      <c r="K1944" s="728"/>
      <c r="L1944" s="148">
        <v>0.76300000000000001</v>
      </c>
      <c r="M1944" s="148">
        <v>0.71399999999999997</v>
      </c>
      <c r="N1944" s="148">
        <v>4.9000000000000002E-2</v>
      </c>
      <c r="O1944" s="148">
        <v>6.8627450980392153</v>
      </c>
      <c r="P1944" s="148">
        <v>0.23899999999999999</v>
      </c>
      <c r="Q1944" s="148">
        <v>0.52400000000000002</v>
      </c>
      <c r="R1944" s="148">
        <v>219.24686192468619</v>
      </c>
    </row>
    <row r="1945" spans="2:18" ht="15.75" hidden="1" thickBot="1" x14ac:dyDescent="0.3">
      <c r="B1945" s="724" t="s">
        <v>68</v>
      </c>
      <c r="C1945" s="722" t="s">
        <v>71</v>
      </c>
      <c r="D1945" t="s">
        <v>72</v>
      </c>
      <c r="E1945" s="147">
        <v>1.63045</v>
      </c>
      <c r="F1945" s="729"/>
      <c r="G1945" s="147">
        <v>1.63045</v>
      </c>
      <c r="H1945" s="147">
        <v>0</v>
      </c>
      <c r="I1945" s="729"/>
      <c r="J1945" s="147">
        <v>1.63045</v>
      </c>
      <c r="K1945" s="147">
        <v>0</v>
      </c>
      <c r="L1945" s="147">
        <v>1.63045</v>
      </c>
      <c r="M1945" s="729"/>
      <c r="N1945" s="147">
        <v>1.63045</v>
      </c>
      <c r="O1945" s="147">
        <v>0</v>
      </c>
      <c r="P1945" s="147">
        <v>0.47499999999999998</v>
      </c>
      <c r="Q1945" s="147">
        <v>1.1554500000000001</v>
      </c>
      <c r="R1945" s="147">
        <v>243.25263157894736</v>
      </c>
    </row>
    <row r="1946" spans="2:18" ht="15.75" hidden="1" thickBot="1" x14ac:dyDescent="0.3">
      <c r="B1946" s="724" t="s">
        <v>68</v>
      </c>
      <c r="C1946" s="722" t="s">
        <v>111</v>
      </c>
      <c r="D1946" t="s">
        <v>112</v>
      </c>
      <c r="E1946" s="728"/>
      <c r="F1946" s="728"/>
      <c r="G1946" s="728"/>
      <c r="H1946" s="728"/>
      <c r="I1946" s="728"/>
      <c r="J1946" s="728"/>
      <c r="K1946" s="728"/>
      <c r="L1946" s="148">
        <v>0.74917999999999996</v>
      </c>
      <c r="M1946" s="148">
        <v>2.75</v>
      </c>
      <c r="N1946" s="148">
        <v>-2.00082</v>
      </c>
      <c r="O1946" s="148">
        <v>-72.757090909090905</v>
      </c>
      <c r="P1946" s="148">
        <v>0.74917999999999996</v>
      </c>
      <c r="Q1946" s="148">
        <v>0</v>
      </c>
      <c r="R1946" s="148">
        <v>0</v>
      </c>
    </row>
    <row r="1947" spans="2:18" ht="15.75" hidden="1" thickBot="1" x14ac:dyDescent="0.3">
      <c r="B1947" s="724" t="s">
        <v>68</v>
      </c>
      <c r="C1947" s="722" t="s">
        <v>113</v>
      </c>
      <c r="D1947" t="s">
        <v>114</v>
      </c>
      <c r="E1947" s="729"/>
      <c r="F1947" s="729"/>
      <c r="G1947" s="729"/>
      <c r="H1947" s="729"/>
      <c r="I1947" s="729"/>
      <c r="J1947" s="729"/>
      <c r="K1947" s="729"/>
      <c r="L1947" s="147">
        <v>0.12255000000000001</v>
      </c>
      <c r="M1947" s="729"/>
      <c r="N1947" s="147">
        <v>0.12255000000000001</v>
      </c>
      <c r="O1947" s="147">
        <v>0</v>
      </c>
      <c r="P1947" s="147">
        <v>0.1139</v>
      </c>
      <c r="Q1947" s="147">
        <v>8.6499999999999997E-3</v>
      </c>
      <c r="R1947" s="147">
        <v>7.5943810359964878</v>
      </c>
    </row>
    <row r="1948" spans="2:18" ht="15.75" hidden="1" thickBot="1" x14ac:dyDescent="0.3">
      <c r="B1948" s="724" t="s">
        <v>68</v>
      </c>
      <c r="C1948" s="722" t="s">
        <v>145</v>
      </c>
      <c r="D1948" t="s">
        <v>146</v>
      </c>
      <c r="E1948" s="728"/>
      <c r="F1948" s="728"/>
      <c r="G1948" s="728"/>
      <c r="H1948" s="728"/>
      <c r="I1948" s="728"/>
      <c r="J1948" s="728"/>
      <c r="K1948" s="728"/>
      <c r="L1948" s="148">
        <v>1.2E-2</v>
      </c>
      <c r="M1948" s="728"/>
      <c r="N1948" s="148">
        <v>1.2E-2</v>
      </c>
      <c r="O1948" s="148">
        <v>0</v>
      </c>
      <c r="P1948" s="728"/>
      <c r="Q1948" s="148">
        <v>1.2E-2</v>
      </c>
      <c r="R1948" s="148">
        <v>0</v>
      </c>
    </row>
    <row r="1949" spans="2:18" ht="15.75" hidden="1" thickBot="1" x14ac:dyDescent="0.3">
      <c r="B1949" s="724" t="s">
        <v>68</v>
      </c>
      <c r="C1949" s="722" t="s">
        <v>649</v>
      </c>
      <c r="D1949" t="s">
        <v>650</v>
      </c>
      <c r="E1949" s="729"/>
      <c r="F1949" s="729"/>
      <c r="G1949" s="729"/>
      <c r="H1949" s="729"/>
      <c r="I1949" s="729"/>
      <c r="J1949" s="729"/>
      <c r="K1949" s="729"/>
      <c r="L1949" s="147">
        <v>6.9000000000000006E-2</v>
      </c>
      <c r="M1949" s="729"/>
      <c r="N1949" s="147">
        <v>6.9000000000000006E-2</v>
      </c>
      <c r="O1949" s="147">
        <v>0</v>
      </c>
      <c r="P1949" s="147">
        <v>6.9000000000000006E-2</v>
      </c>
      <c r="Q1949" s="147">
        <v>0</v>
      </c>
      <c r="R1949" s="147">
        <v>0</v>
      </c>
    </row>
    <row r="1950" spans="2:18" ht="15.75" hidden="1" thickBot="1" x14ac:dyDescent="0.3">
      <c r="B1950" s="724" t="s">
        <v>68</v>
      </c>
      <c r="C1950" s="722" t="s">
        <v>671</v>
      </c>
      <c r="D1950" t="s">
        <v>672</v>
      </c>
      <c r="E1950" s="728"/>
      <c r="F1950" s="728"/>
      <c r="G1950" s="728"/>
      <c r="H1950" s="728"/>
      <c r="I1950" s="728"/>
      <c r="J1950" s="728"/>
      <c r="K1950" s="728"/>
      <c r="L1950" s="148">
        <v>0.01</v>
      </c>
      <c r="M1950" s="728"/>
      <c r="N1950" s="148">
        <v>0.01</v>
      </c>
      <c r="O1950" s="148">
        <v>0</v>
      </c>
      <c r="P1950" s="148">
        <v>0.01</v>
      </c>
      <c r="Q1950" s="148">
        <v>0</v>
      </c>
      <c r="R1950" s="148">
        <v>0</v>
      </c>
    </row>
    <row r="1951" spans="2:18" ht="15.75" hidden="1" thickBot="1" x14ac:dyDescent="0.3">
      <c r="B1951" s="724" t="s">
        <v>68</v>
      </c>
      <c r="C1951" s="722" t="s">
        <v>75</v>
      </c>
      <c r="D1951" t="s">
        <v>76</v>
      </c>
      <c r="E1951" s="147">
        <v>0.16725000000000001</v>
      </c>
      <c r="F1951" s="729"/>
      <c r="G1951" s="147">
        <v>0.16725000000000001</v>
      </c>
      <c r="H1951" s="147">
        <v>0</v>
      </c>
      <c r="I1951" s="729"/>
      <c r="J1951" s="147">
        <v>0.16725000000000001</v>
      </c>
      <c r="K1951" s="147">
        <v>0</v>
      </c>
      <c r="L1951" s="147">
        <v>1.1125</v>
      </c>
      <c r="M1951" s="729"/>
      <c r="N1951" s="147">
        <v>1.1125</v>
      </c>
      <c r="O1951" s="147">
        <v>0</v>
      </c>
      <c r="P1951" s="147">
        <v>0.15723999999999999</v>
      </c>
      <c r="Q1951" s="147">
        <v>0.95526</v>
      </c>
      <c r="R1951" s="147">
        <v>607.51717120325623</v>
      </c>
    </row>
    <row r="1952" spans="2:18" ht="15.75" hidden="1" thickBot="1" x14ac:dyDescent="0.3">
      <c r="B1952" s="724" t="s">
        <v>68</v>
      </c>
      <c r="C1952" s="722" t="s">
        <v>77</v>
      </c>
      <c r="D1952" t="s">
        <v>78</v>
      </c>
      <c r="E1952" s="728"/>
      <c r="F1952" s="728"/>
      <c r="G1952" s="728"/>
      <c r="H1952" s="728"/>
      <c r="I1952" s="728"/>
      <c r="J1952" s="728"/>
      <c r="K1952" s="728"/>
      <c r="L1952" s="148">
        <v>2.8618800000000002</v>
      </c>
      <c r="M1952" s="148">
        <v>3</v>
      </c>
      <c r="N1952" s="148">
        <v>-0.13811999999999999</v>
      </c>
      <c r="O1952" s="148">
        <v>-4.6040000000000001</v>
      </c>
      <c r="P1952" s="148">
        <v>2.4437099999999998</v>
      </c>
      <c r="Q1952" s="148">
        <v>0.41816999999999999</v>
      </c>
      <c r="R1952" s="148">
        <v>17.112095952465719</v>
      </c>
    </row>
    <row r="1953" spans="2:18" ht="15.75" hidden="1" thickBot="1" x14ac:dyDescent="0.3">
      <c r="B1953" s="724" t="s">
        <v>68</v>
      </c>
      <c r="C1953" s="722" t="s">
        <v>81</v>
      </c>
      <c r="D1953" t="s">
        <v>82</v>
      </c>
      <c r="E1953" s="729"/>
      <c r="F1953" s="729"/>
      <c r="G1953" s="729"/>
      <c r="H1953" s="729"/>
      <c r="I1953" s="729"/>
      <c r="J1953" s="729"/>
      <c r="K1953" s="729"/>
      <c r="L1953" s="729"/>
      <c r="M1953" s="147">
        <v>0.6</v>
      </c>
      <c r="N1953" s="147">
        <v>-0.6</v>
      </c>
      <c r="O1953" s="147">
        <v>-100</v>
      </c>
      <c r="P1953" s="729"/>
      <c r="Q1953" s="729"/>
      <c r="R1953" s="729"/>
    </row>
    <row r="1954" spans="2:18" ht="15.75" hidden="1" thickBot="1" x14ac:dyDescent="0.3">
      <c r="B1954" s="724" t="s">
        <v>68</v>
      </c>
      <c r="C1954" s="722" t="s">
        <v>123</v>
      </c>
      <c r="D1954" t="s">
        <v>124</v>
      </c>
      <c r="E1954" s="148">
        <v>0.23980000000000001</v>
      </c>
      <c r="F1954" s="728"/>
      <c r="G1954" s="148">
        <v>0.23980000000000001</v>
      </c>
      <c r="H1954" s="148">
        <v>0</v>
      </c>
      <c r="I1954" s="728"/>
      <c r="J1954" s="148">
        <v>0.23980000000000001</v>
      </c>
      <c r="K1954" s="148">
        <v>0</v>
      </c>
      <c r="L1954" s="148">
        <v>0.33512999999999998</v>
      </c>
      <c r="M1954" s="728"/>
      <c r="N1954" s="148">
        <v>0.33512999999999998</v>
      </c>
      <c r="O1954" s="148">
        <v>0</v>
      </c>
      <c r="P1954" s="728"/>
      <c r="Q1954" s="148">
        <v>0.33512999999999998</v>
      </c>
      <c r="R1954" s="148">
        <v>0</v>
      </c>
    </row>
    <row r="1955" spans="2:18" ht="15.75" hidden="1" thickBot="1" x14ac:dyDescent="0.3">
      <c r="B1955" s="724" t="s">
        <v>68</v>
      </c>
      <c r="C1955" s="722" t="s">
        <v>83</v>
      </c>
      <c r="D1955" t="s">
        <v>84</v>
      </c>
      <c r="E1955" s="729"/>
      <c r="F1955" s="147">
        <v>0.125</v>
      </c>
      <c r="G1955" s="147">
        <v>-0.125</v>
      </c>
      <c r="H1955" s="147">
        <v>-100</v>
      </c>
      <c r="I1955" s="729"/>
      <c r="J1955" s="729"/>
      <c r="K1955" s="729"/>
      <c r="L1955" s="729"/>
      <c r="M1955" s="147">
        <v>1.5</v>
      </c>
      <c r="N1955" s="147">
        <v>-1.5</v>
      </c>
      <c r="O1955" s="147">
        <v>-100</v>
      </c>
      <c r="P1955" s="729"/>
      <c r="Q1955" s="729"/>
      <c r="R1955" s="729"/>
    </row>
    <row r="1956" spans="2:18" ht="15.75" hidden="1" thickBot="1" x14ac:dyDescent="0.3">
      <c r="B1956" s="724" t="s">
        <v>68</v>
      </c>
      <c r="C1956" s="149" t="s">
        <v>85</v>
      </c>
      <c r="D1956" t="s">
        <v>86</v>
      </c>
      <c r="E1956" s="148">
        <v>2.0375000000000001</v>
      </c>
      <c r="F1956" s="148">
        <v>0.125</v>
      </c>
      <c r="G1956" s="148">
        <v>1.9125000000000001</v>
      </c>
      <c r="H1956" s="148">
        <v>1530</v>
      </c>
      <c r="I1956" s="728"/>
      <c r="J1956" s="148">
        <v>2.0375000000000001</v>
      </c>
      <c r="K1956" s="148">
        <v>0</v>
      </c>
      <c r="L1956" s="148">
        <v>10.40695</v>
      </c>
      <c r="M1956" s="148">
        <v>11.464</v>
      </c>
      <c r="N1956" s="148">
        <v>-1.05705</v>
      </c>
      <c r="O1956" s="148">
        <v>-9.2206036287508724</v>
      </c>
      <c r="P1956" s="148">
        <v>5.7898100000000001</v>
      </c>
      <c r="Q1956" s="148">
        <v>4.61714</v>
      </c>
      <c r="R1956" s="148">
        <v>79.745967484252503</v>
      </c>
    </row>
    <row r="1957" spans="2:18" ht="15.75" hidden="1" thickBot="1" x14ac:dyDescent="0.3">
      <c r="B1957" s="724" t="s">
        <v>68</v>
      </c>
      <c r="C1957" s="144" t="s">
        <v>87</v>
      </c>
      <c r="D1957" t="s">
        <v>87</v>
      </c>
      <c r="E1957" s="147">
        <v>47.638939999999998</v>
      </c>
      <c r="F1957" s="147">
        <v>49.431519999999999</v>
      </c>
      <c r="G1957" s="147">
        <v>-1.7925800000000001</v>
      </c>
      <c r="H1957" s="147">
        <v>-3.6263906106872699</v>
      </c>
      <c r="I1957" s="729"/>
      <c r="J1957" s="147">
        <v>47.638939999999998</v>
      </c>
      <c r="K1957" s="147">
        <v>0</v>
      </c>
      <c r="L1957" s="147">
        <v>574.12226999999996</v>
      </c>
      <c r="M1957" s="147">
        <v>595.21594000000005</v>
      </c>
      <c r="N1957" s="147">
        <v>-21.093669999999999</v>
      </c>
      <c r="O1957" s="147">
        <v>-3.5438684656193851</v>
      </c>
      <c r="P1957" s="147">
        <v>288.16235</v>
      </c>
      <c r="Q1957" s="147">
        <v>285.95992000000001</v>
      </c>
      <c r="R1957" s="147">
        <v>99.235698209707138</v>
      </c>
    </row>
    <row r="1958" spans="2:18" ht="15.75" hidden="1" thickBot="1" x14ac:dyDescent="0.3">
      <c r="B1958" s="724" t="s">
        <v>745</v>
      </c>
      <c r="C1958" s="722" t="s">
        <v>59</v>
      </c>
      <c r="D1958" t="s">
        <v>60</v>
      </c>
      <c r="E1958" s="148">
        <v>25.966270000000002</v>
      </c>
      <c r="F1958" s="148">
        <v>28.76652</v>
      </c>
      <c r="G1958" s="148">
        <v>-2.8002500000000001</v>
      </c>
      <c r="H1958" s="148">
        <v>-9.7344065253635126</v>
      </c>
      <c r="I1958" s="728"/>
      <c r="J1958" s="148">
        <v>25.966270000000002</v>
      </c>
      <c r="K1958" s="148">
        <v>0</v>
      </c>
      <c r="L1958" s="148">
        <v>393.18957999999998</v>
      </c>
      <c r="M1958" s="148">
        <v>343.38727999999998</v>
      </c>
      <c r="N1958" s="148">
        <v>49.802300000000002</v>
      </c>
      <c r="O1958" s="148">
        <v>14.503245431805162</v>
      </c>
      <c r="P1958" s="148">
        <v>215.47546</v>
      </c>
      <c r="Q1958" s="148">
        <v>177.71412000000001</v>
      </c>
      <c r="R1958" s="148">
        <v>82.475340811431607</v>
      </c>
    </row>
    <row r="1959" spans="2:18" ht="15.75" hidden="1" thickBot="1" x14ac:dyDescent="0.3">
      <c r="B1959" s="724" t="s">
        <v>745</v>
      </c>
      <c r="C1959" s="722" t="s">
        <v>134</v>
      </c>
      <c r="D1959" t="s">
        <v>135</v>
      </c>
      <c r="E1959" s="147">
        <v>1.7207600000000001</v>
      </c>
      <c r="F1959" s="729"/>
      <c r="G1959" s="147">
        <v>1.7207600000000001</v>
      </c>
      <c r="H1959" s="147">
        <v>0</v>
      </c>
      <c r="I1959" s="729"/>
      <c r="J1959" s="147">
        <v>1.7207600000000001</v>
      </c>
      <c r="K1959" s="147">
        <v>0</v>
      </c>
      <c r="L1959" s="147">
        <v>12.427709999999999</v>
      </c>
      <c r="M1959" s="729"/>
      <c r="N1959" s="147">
        <v>12.427709999999999</v>
      </c>
      <c r="O1959" s="147">
        <v>0</v>
      </c>
      <c r="P1959" s="147">
        <v>3.20695</v>
      </c>
      <c r="Q1959" s="147">
        <v>9.2207600000000003</v>
      </c>
      <c r="R1959" s="147">
        <v>287.52428319743058</v>
      </c>
    </row>
    <row r="1960" spans="2:18" ht="15.75" hidden="1" thickBot="1" x14ac:dyDescent="0.3">
      <c r="B1960" s="724" t="s">
        <v>745</v>
      </c>
      <c r="C1960" s="722" t="s">
        <v>61</v>
      </c>
      <c r="D1960" t="s">
        <v>62</v>
      </c>
      <c r="E1960" s="148">
        <v>4.3351899999999999</v>
      </c>
      <c r="F1960" s="148">
        <v>4.4588099999999997</v>
      </c>
      <c r="G1960" s="148">
        <v>-0.12361999999999999</v>
      </c>
      <c r="H1960" s="148">
        <v>-2.7724886236462196</v>
      </c>
      <c r="I1960" s="728"/>
      <c r="J1960" s="148">
        <v>4.3351899999999999</v>
      </c>
      <c r="K1960" s="148">
        <v>0</v>
      </c>
      <c r="L1960" s="148">
        <v>59.476689999999998</v>
      </c>
      <c r="M1960" s="148">
        <v>53.225020000000001</v>
      </c>
      <c r="N1960" s="148">
        <v>6.2516699999999998</v>
      </c>
      <c r="O1960" s="148">
        <v>11.745735370320199</v>
      </c>
      <c r="P1960" s="148">
        <v>31.395710000000001</v>
      </c>
      <c r="Q1960" s="148">
        <v>28.08098</v>
      </c>
      <c r="R1960" s="148">
        <v>89.442092566149967</v>
      </c>
    </row>
    <row r="1961" spans="2:18" ht="15.75" hidden="1" thickBot="1" x14ac:dyDescent="0.3">
      <c r="B1961" s="724" t="s">
        <v>745</v>
      </c>
      <c r="C1961" s="722" t="s">
        <v>63</v>
      </c>
      <c r="D1961" t="s">
        <v>64</v>
      </c>
      <c r="E1961" s="147">
        <v>16.991569999999999</v>
      </c>
      <c r="F1961" s="147">
        <v>17.346209999999999</v>
      </c>
      <c r="G1961" s="147">
        <v>-0.35464000000000001</v>
      </c>
      <c r="H1961" s="147">
        <v>-2.044481186380195</v>
      </c>
      <c r="I1961" s="729"/>
      <c r="J1961" s="147">
        <v>16.991569999999999</v>
      </c>
      <c r="K1961" s="147">
        <v>0</v>
      </c>
      <c r="L1961" s="147">
        <v>232.25766999999999</v>
      </c>
      <c r="M1961" s="147">
        <v>207.06252000000001</v>
      </c>
      <c r="N1961" s="147">
        <v>25.195150000000002</v>
      </c>
      <c r="O1961" s="147">
        <v>12.167894991329188</v>
      </c>
      <c r="P1961" s="147">
        <v>122.26806000000001</v>
      </c>
      <c r="Q1961" s="147">
        <v>109.98961</v>
      </c>
      <c r="R1961" s="147">
        <v>89.957761659095596</v>
      </c>
    </row>
    <row r="1962" spans="2:18" ht="15.75" hidden="1" thickBot="1" x14ac:dyDescent="0.3">
      <c r="B1962" s="724" t="s">
        <v>745</v>
      </c>
      <c r="C1962" s="149" t="s">
        <v>67</v>
      </c>
      <c r="D1962" t="s">
        <v>68</v>
      </c>
      <c r="E1962" s="148">
        <v>49.01379</v>
      </c>
      <c r="F1962" s="148">
        <v>50.571539999999999</v>
      </c>
      <c r="G1962" s="148">
        <v>-1.55775</v>
      </c>
      <c r="H1962" s="148">
        <v>-3.0802898230902205</v>
      </c>
      <c r="I1962" s="728"/>
      <c r="J1962" s="148">
        <v>49.01379</v>
      </c>
      <c r="K1962" s="148">
        <v>0</v>
      </c>
      <c r="L1962" s="148">
        <v>697.35164999999995</v>
      </c>
      <c r="M1962" s="148">
        <v>603.67481999999995</v>
      </c>
      <c r="N1962" s="148">
        <v>93.676829999999995</v>
      </c>
      <c r="O1962" s="148">
        <v>15.517763354780973</v>
      </c>
      <c r="P1962" s="148">
        <v>372.34618</v>
      </c>
      <c r="Q1962" s="148">
        <v>325.00547</v>
      </c>
      <c r="R1962" s="148">
        <v>87.285834381327618</v>
      </c>
    </row>
    <row r="1963" spans="2:18" ht="15.75" hidden="1" thickBot="1" x14ac:dyDescent="0.3">
      <c r="B1963" s="724" t="s">
        <v>745</v>
      </c>
      <c r="C1963" s="722" t="s">
        <v>69</v>
      </c>
      <c r="D1963" t="s">
        <v>70</v>
      </c>
      <c r="E1963" s="147">
        <v>9.234</v>
      </c>
      <c r="F1963" s="147">
        <v>23</v>
      </c>
      <c r="G1963" s="147">
        <v>-13.766</v>
      </c>
      <c r="H1963" s="147">
        <v>-59.85217391304348</v>
      </c>
      <c r="I1963" s="729"/>
      <c r="J1963" s="147">
        <v>9.234</v>
      </c>
      <c r="K1963" s="147">
        <v>0</v>
      </c>
      <c r="L1963" s="147">
        <v>110.35475</v>
      </c>
      <c r="M1963" s="147">
        <v>143.5</v>
      </c>
      <c r="N1963" s="147">
        <v>-33.145249999999997</v>
      </c>
      <c r="O1963" s="147">
        <v>-23.097735191637632</v>
      </c>
      <c r="P1963" s="147">
        <v>97.49606</v>
      </c>
      <c r="Q1963" s="147">
        <v>12.858689999999999</v>
      </c>
      <c r="R1963" s="147">
        <v>13.188932968163021</v>
      </c>
    </row>
    <row r="1964" spans="2:18" ht="15.75" hidden="1" thickBot="1" x14ac:dyDescent="0.3">
      <c r="B1964" s="724" t="s">
        <v>745</v>
      </c>
      <c r="C1964" s="722" t="s">
        <v>99</v>
      </c>
      <c r="D1964" t="s">
        <v>100</v>
      </c>
      <c r="E1964" s="148">
        <v>7.8E-2</v>
      </c>
      <c r="F1964" s="148">
        <v>1.5</v>
      </c>
      <c r="G1964" s="148">
        <v>-1.4219999999999999</v>
      </c>
      <c r="H1964" s="148">
        <v>-94.8</v>
      </c>
      <c r="I1964" s="728"/>
      <c r="J1964" s="148">
        <v>7.8E-2</v>
      </c>
      <c r="K1964" s="148">
        <v>0</v>
      </c>
      <c r="L1964" s="148">
        <v>1.9262999999999999</v>
      </c>
      <c r="M1964" s="148">
        <v>5.7</v>
      </c>
      <c r="N1964" s="148">
        <v>-3.7736999999999998</v>
      </c>
      <c r="O1964" s="148">
        <v>-66.205263157894734</v>
      </c>
      <c r="P1964" s="148">
        <v>0.87155000000000005</v>
      </c>
      <c r="Q1964" s="148">
        <v>1.0547500000000001</v>
      </c>
      <c r="R1964" s="148">
        <v>121.02002180024095</v>
      </c>
    </row>
    <row r="1965" spans="2:18" ht="15.75" hidden="1" thickBot="1" x14ac:dyDescent="0.3">
      <c r="B1965" s="724" t="s">
        <v>745</v>
      </c>
      <c r="C1965" s="722" t="s">
        <v>137</v>
      </c>
      <c r="D1965" t="s">
        <v>138</v>
      </c>
      <c r="E1965" s="729"/>
      <c r="F1965" s="729"/>
      <c r="G1965" s="729"/>
      <c r="H1965" s="729"/>
      <c r="I1965" s="729"/>
      <c r="J1965" s="729"/>
      <c r="K1965" s="729"/>
      <c r="L1965" s="147">
        <v>0.38858999999999999</v>
      </c>
      <c r="M1965" s="729"/>
      <c r="N1965" s="147">
        <v>0.38858999999999999</v>
      </c>
      <c r="O1965" s="147">
        <v>0</v>
      </c>
      <c r="P1965" s="147">
        <v>0.28394999999999998</v>
      </c>
      <c r="Q1965" s="147">
        <v>0.10464</v>
      </c>
      <c r="R1965" s="147">
        <v>36.851558372952987</v>
      </c>
    </row>
    <row r="1966" spans="2:18" ht="15.75" hidden="1" thickBot="1" x14ac:dyDescent="0.3">
      <c r="B1966" s="724" t="s">
        <v>745</v>
      </c>
      <c r="C1966" s="722" t="s">
        <v>190</v>
      </c>
      <c r="D1966" t="s">
        <v>191</v>
      </c>
      <c r="E1966" s="728"/>
      <c r="F1966" s="728"/>
      <c r="G1966" s="728"/>
      <c r="H1966" s="728"/>
      <c r="I1966" s="728"/>
      <c r="J1966" s="728"/>
      <c r="K1966" s="728"/>
      <c r="L1966" s="148">
        <v>2.5760000000000002E-2</v>
      </c>
      <c r="M1966" s="728"/>
      <c r="N1966" s="148">
        <v>2.5760000000000002E-2</v>
      </c>
      <c r="O1966" s="148">
        <v>0</v>
      </c>
      <c r="P1966" s="728"/>
      <c r="Q1966" s="148">
        <v>2.5760000000000002E-2</v>
      </c>
      <c r="R1966" s="148">
        <v>0</v>
      </c>
    </row>
    <row r="1967" spans="2:18" ht="15.75" hidden="1" thickBot="1" x14ac:dyDescent="0.3">
      <c r="B1967" s="724" t="s">
        <v>745</v>
      </c>
      <c r="C1967" s="722" t="s">
        <v>139</v>
      </c>
      <c r="D1967" t="s">
        <v>140</v>
      </c>
      <c r="E1967" s="729"/>
      <c r="F1967" s="147">
        <v>0.5</v>
      </c>
      <c r="G1967" s="147">
        <v>-0.5</v>
      </c>
      <c r="H1967" s="147">
        <v>-100</v>
      </c>
      <c r="I1967" s="729"/>
      <c r="J1967" s="729"/>
      <c r="K1967" s="729"/>
      <c r="L1967" s="147">
        <v>1.327</v>
      </c>
      <c r="M1967" s="147">
        <v>1.8</v>
      </c>
      <c r="N1967" s="147">
        <v>-0.47299999999999998</v>
      </c>
      <c r="O1967" s="147">
        <v>-26.277777777777779</v>
      </c>
      <c r="P1967" s="147">
        <v>0.80300000000000005</v>
      </c>
      <c r="Q1967" s="147">
        <v>0.52400000000000002</v>
      </c>
      <c r="R1967" s="147">
        <v>65.255292652552924</v>
      </c>
    </row>
    <row r="1968" spans="2:18" ht="15.75" hidden="1" thickBot="1" x14ac:dyDescent="0.3">
      <c r="B1968" s="724" t="s">
        <v>745</v>
      </c>
      <c r="C1968" s="722" t="s">
        <v>101</v>
      </c>
      <c r="D1968" t="s">
        <v>102</v>
      </c>
      <c r="E1968" s="148">
        <v>0.10125000000000001</v>
      </c>
      <c r="F1968" s="148">
        <v>0</v>
      </c>
      <c r="G1968" s="148">
        <v>0.10125000000000001</v>
      </c>
      <c r="H1968" s="148">
        <v>0</v>
      </c>
      <c r="I1968" s="728"/>
      <c r="J1968" s="148">
        <v>0.10125000000000001</v>
      </c>
      <c r="K1968" s="148">
        <v>0</v>
      </c>
      <c r="L1968" s="148">
        <v>0.92773000000000005</v>
      </c>
      <c r="M1968" s="148">
        <v>2.1</v>
      </c>
      <c r="N1968" s="148">
        <v>-1.1722699999999999</v>
      </c>
      <c r="O1968" s="148">
        <v>-55.822380952380954</v>
      </c>
      <c r="P1968" s="148">
        <v>1.0468599999999999</v>
      </c>
      <c r="Q1968" s="148">
        <v>-0.11913</v>
      </c>
      <c r="R1968" s="148">
        <v>-11.379745142616969</v>
      </c>
    </row>
    <row r="1969" spans="2:18" ht="15.75" hidden="1" thickBot="1" x14ac:dyDescent="0.3">
      <c r="B1969" s="724" t="s">
        <v>745</v>
      </c>
      <c r="C1969" s="722" t="s">
        <v>103</v>
      </c>
      <c r="D1969" t="s">
        <v>104</v>
      </c>
      <c r="E1969" s="729"/>
      <c r="F1969" s="729"/>
      <c r="G1969" s="729"/>
      <c r="H1969" s="729"/>
      <c r="I1969" s="729"/>
      <c r="J1969" s="729"/>
      <c r="K1969" s="729"/>
      <c r="L1969" s="147">
        <v>0.64263999999999999</v>
      </c>
      <c r="M1969" s="729"/>
      <c r="N1969" s="147">
        <v>0.64263999999999999</v>
      </c>
      <c r="O1969" s="147">
        <v>0</v>
      </c>
      <c r="P1969" s="147">
        <v>0.106</v>
      </c>
      <c r="Q1969" s="147">
        <v>0.53664000000000001</v>
      </c>
      <c r="R1969" s="147">
        <v>506.2641509433962</v>
      </c>
    </row>
    <row r="1970" spans="2:18" ht="15.75" hidden="1" thickBot="1" x14ac:dyDescent="0.3">
      <c r="B1970" s="724" t="s">
        <v>745</v>
      </c>
      <c r="C1970" s="722" t="s">
        <v>71</v>
      </c>
      <c r="D1970" t="s">
        <v>72</v>
      </c>
      <c r="E1970" s="728"/>
      <c r="F1970" s="728"/>
      <c r="G1970" s="728"/>
      <c r="H1970" s="728"/>
      <c r="I1970" s="728"/>
      <c r="J1970" s="728"/>
      <c r="K1970" s="728"/>
      <c r="L1970" s="148">
        <v>0</v>
      </c>
      <c r="M1970" s="728"/>
      <c r="N1970" s="148">
        <v>0</v>
      </c>
      <c r="O1970" s="148">
        <v>0</v>
      </c>
      <c r="P1970" s="148">
        <v>0.10775</v>
      </c>
      <c r="Q1970" s="148">
        <v>-0.10775</v>
      </c>
      <c r="R1970" s="148">
        <v>-100</v>
      </c>
    </row>
    <row r="1971" spans="2:18" ht="15.75" hidden="1" thickBot="1" x14ac:dyDescent="0.3">
      <c r="B1971" s="724" t="s">
        <v>745</v>
      </c>
      <c r="C1971" s="722" t="s">
        <v>73</v>
      </c>
      <c r="D1971" t="s">
        <v>74</v>
      </c>
      <c r="E1971" s="147">
        <v>7.9269999999999993E-2</v>
      </c>
      <c r="F1971" s="147">
        <v>0.1</v>
      </c>
      <c r="G1971" s="147">
        <v>-2.0729999999999998E-2</v>
      </c>
      <c r="H1971" s="147">
        <v>-20.73</v>
      </c>
      <c r="I1971" s="729"/>
      <c r="J1971" s="147">
        <v>7.9269999999999993E-2</v>
      </c>
      <c r="K1971" s="147">
        <v>0</v>
      </c>
      <c r="L1971" s="147">
        <v>0.34277000000000002</v>
      </c>
      <c r="M1971" s="147">
        <v>1.75</v>
      </c>
      <c r="N1971" s="147">
        <v>-1.40723</v>
      </c>
      <c r="O1971" s="147">
        <v>-80.413142857142859</v>
      </c>
      <c r="P1971" s="147">
        <v>0.2135</v>
      </c>
      <c r="Q1971" s="147">
        <v>0.12927</v>
      </c>
      <c r="R1971" s="147">
        <v>60.548009367681502</v>
      </c>
    </row>
    <row r="1972" spans="2:18" ht="15.75" hidden="1" thickBot="1" x14ac:dyDescent="0.3">
      <c r="B1972" s="724" t="s">
        <v>745</v>
      </c>
      <c r="C1972" s="722" t="s">
        <v>141</v>
      </c>
      <c r="D1972" t="s">
        <v>142</v>
      </c>
      <c r="E1972" s="728"/>
      <c r="F1972" s="728"/>
      <c r="G1972" s="728"/>
      <c r="H1972" s="728"/>
      <c r="I1972" s="728"/>
      <c r="J1972" s="728"/>
      <c r="K1972" s="728"/>
      <c r="L1972" s="148">
        <v>0.86428000000000005</v>
      </c>
      <c r="M1972" s="148">
        <v>1.05</v>
      </c>
      <c r="N1972" s="148">
        <v>-0.18572</v>
      </c>
      <c r="O1972" s="148">
        <v>-17.687619047619048</v>
      </c>
      <c r="P1972" s="148">
        <v>0.47581000000000001</v>
      </c>
      <c r="Q1972" s="148">
        <v>0.38846999999999998</v>
      </c>
      <c r="R1972" s="148">
        <v>81.643933502868791</v>
      </c>
    </row>
    <row r="1973" spans="2:18" ht="15.75" hidden="1" thickBot="1" x14ac:dyDescent="0.3">
      <c r="B1973" s="724" t="s">
        <v>745</v>
      </c>
      <c r="C1973" s="722" t="s">
        <v>113</v>
      </c>
      <c r="D1973" t="s">
        <v>114</v>
      </c>
      <c r="E1973" s="147">
        <v>0.20799999999999999</v>
      </c>
      <c r="F1973" s="147">
        <v>0.2</v>
      </c>
      <c r="G1973" s="147">
        <v>8.0000000000000002E-3</v>
      </c>
      <c r="H1973" s="147">
        <v>4</v>
      </c>
      <c r="I1973" s="729"/>
      <c r="J1973" s="147">
        <v>0.20799999999999999</v>
      </c>
      <c r="K1973" s="147">
        <v>0</v>
      </c>
      <c r="L1973" s="147">
        <v>1.2768600000000001</v>
      </c>
      <c r="M1973" s="147">
        <v>13</v>
      </c>
      <c r="N1973" s="147">
        <v>-11.723140000000001</v>
      </c>
      <c r="O1973" s="147">
        <v>-90.177999999999997</v>
      </c>
      <c r="P1973" s="147">
        <v>0.79632999999999998</v>
      </c>
      <c r="Q1973" s="147">
        <v>0.48053000000000001</v>
      </c>
      <c r="R1973" s="147">
        <v>60.343073851292807</v>
      </c>
    </row>
    <row r="1974" spans="2:18" ht="15.75" hidden="1" thickBot="1" x14ac:dyDescent="0.3">
      <c r="B1974" s="724" t="s">
        <v>745</v>
      </c>
      <c r="C1974" s="722" t="s">
        <v>201</v>
      </c>
      <c r="D1974" t="s">
        <v>202</v>
      </c>
      <c r="E1974" s="728"/>
      <c r="F1974" s="728"/>
      <c r="G1974" s="728"/>
      <c r="H1974" s="728"/>
      <c r="I1974" s="728"/>
      <c r="J1974" s="728"/>
      <c r="K1974" s="728"/>
      <c r="L1974" s="148">
        <v>0.52200000000000002</v>
      </c>
      <c r="M1974" s="728"/>
      <c r="N1974" s="148">
        <v>0.52200000000000002</v>
      </c>
      <c r="O1974" s="148">
        <v>0</v>
      </c>
      <c r="P1974" s="728"/>
      <c r="Q1974" s="148">
        <v>0.52200000000000002</v>
      </c>
      <c r="R1974" s="148">
        <v>0</v>
      </c>
    </row>
    <row r="1975" spans="2:18" ht="15.75" hidden="1" thickBot="1" x14ac:dyDescent="0.3">
      <c r="B1975" s="724" t="s">
        <v>745</v>
      </c>
      <c r="C1975" s="722" t="s">
        <v>143</v>
      </c>
      <c r="D1975" t="s">
        <v>144</v>
      </c>
      <c r="E1975" s="729"/>
      <c r="F1975" s="729"/>
      <c r="G1975" s="729"/>
      <c r="H1975" s="729"/>
      <c r="I1975" s="729"/>
      <c r="J1975" s="729"/>
      <c r="K1975" s="729"/>
      <c r="L1975" s="147">
        <v>0</v>
      </c>
      <c r="M1975" s="729"/>
      <c r="N1975" s="147">
        <v>0</v>
      </c>
      <c r="O1975" s="147">
        <v>0</v>
      </c>
      <c r="P1975" s="147">
        <v>0.26632</v>
      </c>
      <c r="Q1975" s="147">
        <v>-0.26632</v>
      </c>
      <c r="R1975" s="147">
        <v>-100</v>
      </c>
    </row>
    <row r="1976" spans="2:18" ht="15.75" hidden="1" thickBot="1" x14ac:dyDescent="0.3">
      <c r="B1976" s="724" t="s">
        <v>745</v>
      </c>
      <c r="C1976" s="722" t="s">
        <v>145</v>
      </c>
      <c r="D1976" t="s">
        <v>146</v>
      </c>
      <c r="E1976" s="148">
        <v>1.15E-2</v>
      </c>
      <c r="F1976" s="148">
        <v>0.25</v>
      </c>
      <c r="G1976" s="148">
        <v>-0.23849999999999999</v>
      </c>
      <c r="H1976" s="148">
        <v>-95.4</v>
      </c>
      <c r="I1976" s="728"/>
      <c r="J1976" s="148">
        <v>1.15E-2</v>
      </c>
      <c r="K1976" s="148">
        <v>0</v>
      </c>
      <c r="L1976" s="148">
        <v>2.0585</v>
      </c>
      <c r="M1976" s="148">
        <v>1.6</v>
      </c>
      <c r="N1976" s="148">
        <v>0.45850000000000002</v>
      </c>
      <c r="O1976" s="148">
        <v>28.65625</v>
      </c>
      <c r="P1976" s="148">
        <v>0.39</v>
      </c>
      <c r="Q1976" s="148">
        <v>1.6685000000000001</v>
      </c>
      <c r="R1976" s="148">
        <v>427.82051282051282</v>
      </c>
    </row>
    <row r="1977" spans="2:18" ht="15.75" hidden="1" thickBot="1" x14ac:dyDescent="0.3">
      <c r="B1977" s="724" t="s">
        <v>745</v>
      </c>
      <c r="C1977" s="722" t="s">
        <v>147</v>
      </c>
      <c r="D1977" t="s">
        <v>148</v>
      </c>
      <c r="E1977" s="147">
        <v>1.9E-2</v>
      </c>
      <c r="F1977" s="729"/>
      <c r="G1977" s="147">
        <v>1.9E-2</v>
      </c>
      <c r="H1977" s="147">
        <v>0</v>
      </c>
      <c r="I1977" s="729"/>
      <c r="J1977" s="147">
        <v>1.9E-2</v>
      </c>
      <c r="K1977" s="147">
        <v>0</v>
      </c>
      <c r="L1977" s="147">
        <v>0.33384999999999998</v>
      </c>
      <c r="M1977" s="729"/>
      <c r="N1977" s="147">
        <v>0.33384999999999998</v>
      </c>
      <c r="O1977" s="147">
        <v>0</v>
      </c>
      <c r="P1977" s="147">
        <v>0.18385000000000001</v>
      </c>
      <c r="Q1977" s="147">
        <v>0.15</v>
      </c>
      <c r="R1977" s="147">
        <v>81.588251291813975</v>
      </c>
    </row>
    <row r="1978" spans="2:18" ht="15.75" hidden="1" thickBot="1" x14ac:dyDescent="0.3">
      <c r="B1978" s="724" t="s">
        <v>745</v>
      </c>
      <c r="C1978" s="722" t="s">
        <v>149</v>
      </c>
      <c r="D1978" t="s">
        <v>150</v>
      </c>
      <c r="E1978" s="148">
        <v>35</v>
      </c>
      <c r="F1978" s="148">
        <v>3.5833400000000002</v>
      </c>
      <c r="G1978" s="148">
        <v>31.41666</v>
      </c>
      <c r="H1978" s="148">
        <v>876.74236885140681</v>
      </c>
      <c r="I1978" s="728"/>
      <c r="J1978" s="148">
        <v>35</v>
      </c>
      <c r="K1978" s="148">
        <v>0</v>
      </c>
      <c r="L1978" s="148">
        <v>78.484499999999997</v>
      </c>
      <c r="M1978" s="148">
        <v>76.266670000000005</v>
      </c>
      <c r="N1978" s="148">
        <v>2.2178300000000002</v>
      </c>
      <c r="O1978" s="148">
        <v>2.9079937540212519</v>
      </c>
      <c r="P1978" s="148">
        <v>46.185000000000002</v>
      </c>
      <c r="Q1978" s="148">
        <v>32.299500000000002</v>
      </c>
      <c r="R1978" s="148">
        <v>69.935043845404351</v>
      </c>
    </row>
    <row r="1979" spans="2:18" ht="15.75" hidden="1" thickBot="1" x14ac:dyDescent="0.3">
      <c r="B1979" s="724" t="s">
        <v>745</v>
      </c>
      <c r="C1979" s="722" t="s">
        <v>645</v>
      </c>
      <c r="D1979" t="s">
        <v>646</v>
      </c>
      <c r="E1979" s="729"/>
      <c r="F1979" s="729"/>
      <c r="G1979" s="729"/>
      <c r="H1979" s="729"/>
      <c r="I1979" s="729"/>
      <c r="J1979" s="729"/>
      <c r="K1979" s="729"/>
      <c r="L1979" s="147">
        <v>1</v>
      </c>
      <c r="M1979" s="147">
        <v>0</v>
      </c>
      <c r="N1979" s="147">
        <v>1</v>
      </c>
      <c r="O1979" s="147">
        <v>0</v>
      </c>
      <c r="P1979" s="729"/>
      <c r="Q1979" s="147">
        <v>1</v>
      </c>
      <c r="R1979" s="147">
        <v>0</v>
      </c>
    </row>
    <row r="1980" spans="2:18" ht="15.75" hidden="1" thickBot="1" x14ac:dyDescent="0.3">
      <c r="B1980" s="724" t="s">
        <v>745</v>
      </c>
      <c r="C1980" s="722" t="s">
        <v>483</v>
      </c>
      <c r="D1980" t="s">
        <v>484</v>
      </c>
      <c r="E1980" s="728"/>
      <c r="F1980" s="728"/>
      <c r="G1980" s="728"/>
      <c r="H1980" s="728"/>
      <c r="I1980" s="728"/>
      <c r="J1980" s="728"/>
      <c r="K1980" s="728"/>
      <c r="L1980" s="148">
        <v>1.5</v>
      </c>
      <c r="M1980" s="148">
        <v>5.7</v>
      </c>
      <c r="N1980" s="148">
        <v>-4.2</v>
      </c>
      <c r="O1980" s="148">
        <v>-73.684210526315795</v>
      </c>
      <c r="P1980" s="148">
        <v>1.5</v>
      </c>
      <c r="Q1980" s="148">
        <v>0</v>
      </c>
      <c r="R1980" s="148">
        <v>0</v>
      </c>
    </row>
    <row r="1981" spans="2:18" ht="15.75" hidden="1" thickBot="1" x14ac:dyDescent="0.3">
      <c r="B1981" s="724" t="s">
        <v>745</v>
      </c>
      <c r="C1981" s="722" t="s">
        <v>153</v>
      </c>
      <c r="D1981" t="s">
        <v>154</v>
      </c>
      <c r="E1981" s="147">
        <v>0.33933000000000002</v>
      </c>
      <c r="F1981" s="147">
        <v>0.9</v>
      </c>
      <c r="G1981" s="147">
        <v>-0.56067</v>
      </c>
      <c r="H1981" s="147">
        <v>-62.296666666666667</v>
      </c>
      <c r="I1981" s="729"/>
      <c r="J1981" s="147">
        <v>0.33933000000000002</v>
      </c>
      <c r="K1981" s="147">
        <v>0</v>
      </c>
      <c r="L1981" s="147">
        <v>0.33933000000000002</v>
      </c>
      <c r="M1981" s="147">
        <v>5.4</v>
      </c>
      <c r="N1981" s="147">
        <v>-5.06067</v>
      </c>
      <c r="O1981" s="147">
        <v>-93.716111111111104</v>
      </c>
      <c r="P1981" s="147">
        <v>0</v>
      </c>
      <c r="Q1981" s="147">
        <v>0.33933000000000002</v>
      </c>
      <c r="R1981" s="147">
        <v>0</v>
      </c>
    </row>
    <row r="1982" spans="2:18" ht="15.75" hidden="1" thickBot="1" x14ac:dyDescent="0.3">
      <c r="B1982" s="724" t="s">
        <v>745</v>
      </c>
      <c r="C1982" s="722" t="s">
        <v>75</v>
      </c>
      <c r="D1982" t="s">
        <v>76</v>
      </c>
      <c r="E1982" s="148">
        <v>3.9081800000000002</v>
      </c>
      <c r="F1982" s="148">
        <v>1.25</v>
      </c>
      <c r="G1982" s="148">
        <v>2.6581800000000002</v>
      </c>
      <c r="H1982" s="148">
        <v>212.65440000000001</v>
      </c>
      <c r="I1982" s="728"/>
      <c r="J1982" s="148">
        <v>3.9081800000000002</v>
      </c>
      <c r="K1982" s="148">
        <v>0</v>
      </c>
      <c r="L1982" s="148">
        <v>8.8243799999999997</v>
      </c>
      <c r="M1982" s="148">
        <v>6.45</v>
      </c>
      <c r="N1982" s="148">
        <v>2.3743799999999999</v>
      </c>
      <c r="O1982" s="148">
        <v>36.812093023255812</v>
      </c>
      <c r="P1982" s="148">
        <v>2.7173500000000002</v>
      </c>
      <c r="Q1982" s="148">
        <v>6.10703</v>
      </c>
      <c r="R1982" s="148">
        <v>224.74212008022522</v>
      </c>
    </row>
    <row r="1983" spans="2:18" ht="15.75" hidden="1" thickBot="1" x14ac:dyDescent="0.3">
      <c r="B1983" s="724" t="s">
        <v>745</v>
      </c>
      <c r="C1983" s="722" t="s">
        <v>121</v>
      </c>
      <c r="D1983" t="s">
        <v>122</v>
      </c>
      <c r="E1983" s="729"/>
      <c r="F1983" s="147">
        <v>0</v>
      </c>
      <c r="G1983" s="147">
        <v>0</v>
      </c>
      <c r="H1983" s="147">
        <v>0</v>
      </c>
      <c r="I1983" s="729"/>
      <c r="J1983" s="729"/>
      <c r="K1983" s="729"/>
      <c r="L1983" s="147">
        <v>0.17499999999999999</v>
      </c>
      <c r="M1983" s="147">
        <v>0.3</v>
      </c>
      <c r="N1983" s="147">
        <v>-0.125</v>
      </c>
      <c r="O1983" s="147">
        <v>-41.666666666666664</v>
      </c>
      <c r="P1983" s="729"/>
      <c r="Q1983" s="147">
        <v>0.17499999999999999</v>
      </c>
      <c r="R1983" s="147">
        <v>0</v>
      </c>
    </row>
    <row r="1984" spans="2:18" ht="15.75" hidden="1" thickBot="1" x14ac:dyDescent="0.3">
      <c r="B1984" s="724" t="s">
        <v>745</v>
      </c>
      <c r="C1984" s="722" t="s">
        <v>77</v>
      </c>
      <c r="D1984" t="s">
        <v>78</v>
      </c>
      <c r="E1984" s="148">
        <v>5.0350000000000001</v>
      </c>
      <c r="F1984" s="148">
        <v>0.1</v>
      </c>
      <c r="G1984" s="148">
        <v>4.9349999999999996</v>
      </c>
      <c r="H1984" s="148">
        <v>4935</v>
      </c>
      <c r="I1984" s="728"/>
      <c r="J1984" s="148">
        <v>5.0350000000000001</v>
      </c>
      <c r="K1984" s="148">
        <v>0</v>
      </c>
      <c r="L1984" s="148">
        <v>21.494959999999999</v>
      </c>
      <c r="M1984" s="148">
        <v>62.1</v>
      </c>
      <c r="N1984" s="148">
        <v>-40.605040000000002</v>
      </c>
      <c r="O1984" s="148">
        <v>-65.386537842190023</v>
      </c>
      <c r="P1984" s="148">
        <v>14.527900000000001</v>
      </c>
      <c r="Q1984" s="148">
        <v>6.96706</v>
      </c>
      <c r="R1984" s="148">
        <v>47.9564148982303</v>
      </c>
    </row>
    <row r="1985" spans="2:18" ht="15.75" hidden="1" thickBot="1" x14ac:dyDescent="0.3">
      <c r="B1985" s="724" t="s">
        <v>745</v>
      </c>
      <c r="C1985" s="722" t="s">
        <v>79</v>
      </c>
      <c r="D1985" t="s">
        <v>80</v>
      </c>
      <c r="E1985" s="729"/>
      <c r="F1985" s="147">
        <v>0.7</v>
      </c>
      <c r="G1985" s="147">
        <v>-0.7</v>
      </c>
      <c r="H1985" s="147">
        <v>-100</v>
      </c>
      <c r="I1985" s="729"/>
      <c r="J1985" s="729"/>
      <c r="K1985" s="729"/>
      <c r="L1985" s="147">
        <v>2.10562</v>
      </c>
      <c r="M1985" s="147">
        <v>2.7</v>
      </c>
      <c r="N1985" s="147">
        <v>-0.59438000000000002</v>
      </c>
      <c r="O1985" s="147">
        <v>-22.014074074074074</v>
      </c>
      <c r="P1985" s="147">
        <v>0.55723</v>
      </c>
      <c r="Q1985" s="147">
        <v>1.5483899999999999</v>
      </c>
      <c r="R1985" s="147">
        <v>277.87269170719452</v>
      </c>
    </row>
    <row r="1986" spans="2:18" ht="15.75" hidden="1" thickBot="1" x14ac:dyDescent="0.3">
      <c r="B1986" s="724" t="s">
        <v>745</v>
      </c>
      <c r="C1986" s="722" t="s">
        <v>81</v>
      </c>
      <c r="D1986" t="s">
        <v>82</v>
      </c>
      <c r="E1986" s="148">
        <v>0.16500000000000001</v>
      </c>
      <c r="F1986" s="148">
        <v>0.05</v>
      </c>
      <c r="G1986" s="148">
        <v>0.115</v>
      </c>
      <c r="H1986" s="148">
        <v>230</v>
      </c>
      <c r="I1986" s="728"/>
      <c r="J1986" s="148">
        <v>0.16500000000000001</v>
      </c>
      <c r="K1986" s="148">
        <v>0</v>
      </c>
      <c r="L1986" s="148">
        <v>2.2210399999999999</v>
      </c>
      <c r="M1986" s="148">
        <v>1.7</v>
      </c>
      <c r="N1986" s="148">
        <v>0.52103999999999995</v>
      </c>
      <c r="O1986" s="148">
        <v>30.649411764705881</v>
      </c>
      <c r="P1986" s="148">
        <v>1.6279999999999999</v>
      </c>
      <c r="Q1986" s="148">
        <v>0.59304000000000001</v>
      </c>
      <c r="R1986" s="148">
        <v>36.427518427518429</v>
      </c>
    </row>
    <row r="1987" spans="2:18" ht="15.75" hidden="1" thickBot="1" x14ac:dyDescent="0.3">
      <c r="B1987" s="724" t="s">
        <v>745</v>
      </c>
      <c r="C1987" s="722" t="s">
        <v>123</v>
      </c>
      <c r="D1987" t="s">
        <v>124</v>
      </c>
      <c r="E1987" s="729"/>
      <c r="F1987" s="729"/>
      <c r="G1987" s="729"/>
      <c r="H1987" s="729"/>
      <c r="I1987" s="729"/>
      <c r="J1987" s="729"/>
      <c r="K1987" s="729"/>
      <c r="L1987" s="147">
        <v>0.21684999999999999</v>
      </c>
      <c r="M1987" s="729"/>
      <c r="N1987" s="147">
        <v>0.21684999999999999</v>
      </c>
      <c r="O1987" s="147">
        <v>0</v>
      </c>
      <c r="P1987" s="147">
        <v>6.3500000000000001E-2</v>
      </c>
      <c r="Q1987" s="147">
        <v>0.15334999999999999</v>
      </c>
      <c r="R1987" s="147">
        <v>241.49606299212599</v>
      </c>
    </row>
    <row r="1988" spans="2:18" ht="15.75" hidden="1" thickBot="1" x14ac:dyDescent="0.3">
      <c r="B1988" s="724" t="s">
        <v>745</v>
      </c>
      <c r="C1988" s="722" t="s">
        <v>83</v>
      </c>
      <c r="D1988" t="s">
        <v>84</v>
      </c>
      <c r="E1988" s="728"/>
      <c r="F1988" s="148">
        <v>0.15</v>
      </c>
      <c r="G1988" s="148">
        <v>-0.15</v>
      </c>
      <c r="H1988" s="148">
        <v>-100</v>
      </c>
      <c r="I1988" s="728"/>
      <c r="J1988" s="728"/>
      <c r="K1988" s="728"/>
      <c r="L1988" s="728"/>
      <c r="M1988" s="148">
        <v>1.8</v>
      </c>
      <c r="N1988" s="148">
        <v>-1.8</v>
      </c>
      <c r="O1988" s="148">
        <v>-100</v>
      </c>
      <c r="P1988" s="728"/>
      <c r="Q1988" s="728"/>
      <c r="R1988" s="728"/>
    </row>
    <row r="1989" spans="2:18" ht="15.75" hidden="1" thickBot="1" x14ac:dyDescent="0.3">
      <c r="B1989" s="724" t="s">
        <v>745</v>
      </c>
      <c r="C1989" s="149" t="s">
        <v>85</v>
      </c>
      <c r="D1989" t="s">
        <v>86</v>
      </c>
      <c r="E1989" s="147">
        <v>54.178530000000002</v>
      </c>
      <c r="F1989" s="147">
        <v>32.283340000000003</v>
      </c>
      <c r="G1989" s="147">
        <v>21.895189999999999</v>
      </c>
      <c r="H1989" s="147">
        <v>67.821947791027824</v>
      </c>
      <c r="I1989" s="729"/>
      <c r="J1989" s="147">
        <v>54.178530000000002</v>
      </c>
      <c r="K1989" s="147">
        <v>0</v>
      </c>
      <c r="L1989" s="147">
        <v>237.35271</v>
      </c>
      <c r="M1989" s="147">
        <v>332.91667000000001</v>
      </c>
      <c r="N1989" s="147">
        <v>-95.563959999999994</v>
      </c>
      <c r="O1989" s="147">
        <v>-28.705069049260885</v>
      </c>
      <c r="P1989" s="147">
        <v>170.21995999999999</v>
      </c>
      <c r="Q1989" s="147">
        <v>67.132750000000001</v>
      </c>
      <c r="R1989" s="147">
        <v>39.438823743114497</v>
      </c>
    </row>
    <row r="1990" spans="2:18" ht="15.75" hidden="1" thickBot="1" x14ac:dyDescent="0.3">
      <c r="B1990" s="724" t="s">
        <v>745</v>
      </c>
      <c r="C1990" s="144" t="s">
        <v>87</v>
      </c>
      <c r="D1990" t="s">
        <v>87</v>
      </c>
      <c r="E1990" s="148">
        <v>103.19232</v>
      </c>
      <c r="F1990" s="148">
        <v>82.854879999999994</v>
      </c>
      <c r="G1990" s="148">
        <v>20.337440000000001</v>
      </c>
      <c r="H1990" s="148">
        <v>24.545856562703367</v>
      </c>
      <c r="I1990" s="728"/>
      <c r="J1990" s="148">
        <v>103.19232</v>
      </c>
      <c r="K1990" s="148">
        <v>0</v>
      </c>
      <c r="L1990" s="148">
        <v>934.70435999999995</v>
      </c>
      <c r="M1990" s="148">
        <v>936.59149000000002</v>
      </c>
      <c r="N1990" s="148">
        <v>-1.88713</v>
      </c>
      <c r="O1990" s="148">
        <v>-0.20148912521082163</v>
      </c>
      <c r="P1990" s="148">
        <v>542.56614000000002</v>
      </c>
      <c r="Q1990" s="148">
        <v>392.13821999999999</v>
      </c>
      <c r="R1990" s="148">
        <v>72.274731335058988</v>
      </c>
    </row>
    <row r="1991" spans="2:18" ht="15.75" hidden="1" thickBot="1" x14ac:dyDescent="0.3">
      <c r="B1991" s="724" t="s">
        <v>746</v>
      </c>
      <c r="C1991" s="722" t="s">
        <v>69</v>
      </c>
      <c r="D1991" t="s">
        <v>70</v>
      </c>
      <c r="E1991" s="729"/>
      <c r="F1991" s="729"/>
      <c r="G1991" s="729"/>
      <c r="H1991" s="729"/>
      <c r="I1991" s="729"/>
      <c r="J1991" s="729"/>
      <c r="K1991" s="729"/>
      <c r="L1991" s="147">
        <v>1.8560000000000001</v>
      </c>
      <c r="M1991" s="729"/>
      <c r="N1991" s="147">
        <v>1.8560000000000001</v>
      </c>
      <c r="O1991" s="147">
        <v>0</v>
      </c>
      <c r="P1991" s="729"/>
      <c r="Q1991" s="147">
        <v>1.8560000000000001</v>
      </c>
      <c r="R1991" s="147">
        <v>0</v>
      </c>
    </row>
    <row r="1992" spans="2:18" ht="15.75" hidden="1" thickBot="1" x14ac:dyDescent="0.3">
      <c r="B1992" s="724" t="s">
        <v>746</v>
      </c>
      <c r="C1992" s="722" t="s">
        <v>101</v>
      </c>
      <c r="D1992" t="s">
        <v>102</v>
      </c>
      <c r="E1992" s="728"/>
      <c r="F1992" s="728"/>
      <c r="G1992" s="728"/>
      <c r="H1992" s="728"/>
      <c r="I1992" s="728"/>
      <c r="J1992" s="728"/>
      <c r="K1992" s="728"/>
      <c r="L1992" s="148">
        <v>0.84150999999999998</v>
      </c>
      <c r="M1992" s="728"/>
      <c r="N1992" s="148">
        <v>0.84150999999999998</v>
      </c>
      <c r="O1992" s="148">
        <v>0</v>
      </c>
      <c r="P1992" s="728"/>
      <c r="Q1992" s="148">
        <v>0.84150999999999998</v>
      </c>
      <c r="R1992" s="148">
        <v>0</v>
      </c>
    </row>
    <row r="1993" spans="2:18" ht="15.75" hidden="1" thickBot="1" x14ac:dyDescent="0.3">
      <c r="B1993" s="724" t="s">
        <v>746</v>
      </c>
      <c r="C1993" s="722" t="s">
        <v>103</v>
      </c>
      <c r="D1993" t="s">
        <v>104</v>
      </c>
      <c r="E1993" s="729"/>
      <c r="F1993" s="729"/>
      <c r="G1993" s="729"/>
      <c r="H1993" s="729"/>
      <c r="I1993" s="729"/>
      <c r="J1993" s="729"/>
      <c r="K1993" s="729"/>
      <c r="L1993" s="147">
        <v>0.23818</v>
      </c>
      <c r="M1993" s="729"/>
      <c r="N1993" s="147">
        <v>0.23818</v>
      </c>
      <c r="O1993" s="147">
        <v>0</v>
      </c>
      <c r="P1993" s="147">
        <v>0.18817999999999999</v>
      </c>
      <c r="Q1993" s="147">
        <v>0.05</v>
      </c>
      <c r="R1993" s="147">
        <v>26.57030502710171</v>
      </c>
    </row>
    <row r="1994" spans="2:18" ht="15.75" hidden="1" thickBot="1" x14ac:dyDescent="0.3">
      <c r="B1994" s="724" t="s">
        <v>746</v>
      </c>
      <c r="C1994" s="722" t="s">
        <v>73</v>
      </c>
      <c r="D1994" t="s">
        <v>74</v>
      </c>
      <c r="E1994" s="728"/>
      <c r="F1994" s="728"/>
      <c r="G1994" s="728"/>
      <c r="H1994" s="728"/>
      <c r="I1994" s="728"/>
      <c r="J1994" s="728"/>
      <c r="K1994" s="728"/>
      <c r="L1994" s="148">
        <v>0.13647000000000001</v>
      </c>
      <c r="M1994" s="728"/>
      <c r="N1994" s="148">
        <v>0.13647000000000001</v>
      </c>
      <c r="O1994" s="148">
        <v>0</v>
      </c>
      <c r="P1994" s="728"/>
      <c r="Q1994" s="148">
        <v>0.13647000000000001</v>
      </c>
      <c r="R1994" s="148">
        <v>0</v>
      </c>
    </row>
    <row r="1995" spans="2:18" ht="15.75" hidden="1" thickBot="1" x14ac:dyDescent="0.3">
      <c r="B1995" s="724" t="s">
        <v>746</v>
      </c>
      <c r="C1995" s="722" t="s">
        <v>141</v>
      </c>
      <c r="D1995" t="s">
        <v>142</v>
      </c>
      <c r="E1995" s="147">
        <v>0.14235</v>
      </c>
      <c r="F1995" s="729"/>
      <c r="G1995" s="147">
        <v>0.14235</v>
      </c>
      <c r="H1995" s="147">
        <v>0</v>
      </c>
      <c r="I1995" s="729"/>
      <c r="J1995" s="147">
        <v>0.14235</v>
      </c>
      <c r="K1995" s="147">
        <v>0</v>
      </c>
      <c r="L1995" s="147">
        <v>0.28439999999999999</v>
      </c>
      <c r="M1995" s="729"/>
      <c r="N1995" s="147">
        <v>0.28439999999999999</v>
      </c>
      <c r="O1995" s="147">
        <v>0</v>
      </c>
      <c r="P1995" s="729"/>
      <c r="Q1995" s="147">
        <v>0.28439999999999999</v>
      </c>
      <c r="R1995" s="147">
        <v>0</v>
      </c>
    </row>
    <row r="1996" spans="2:18" ht="15.75" hidden="1" thickBot="1" x14ac:dyDescent="0.3">
      <c r="B1996" s="724" t="s">
        <v>746</v>
      </c>
      <c r="C1996" s="722" t="s">
        <v>113</v>
      </c>
      <c r="D1996" t="s">
        <v>114</v>
      </c>
      <c r="E1996" s="728"/>
      <c r="F1996" s="728"/>
      <c r="G1996" s="728"/>
      <c r="H1996" s="728"/>
      <c r="I1996" s="728"/>
      <c r="J1996" s="728"/>
      <c r="K1996" s="728"/>
      <c r="L1996" s="148">
        <v>0.18573999999999999</v>
      </c>
      <c r="M1996" s="728"/>
      <c r="N1996" s="148">
        <v>0.18573999999999999</v>
      </c>
      <c r="O1996" s="148">
        <v>0</v>
      </c>
      <c r="P1996" s="148">
        <v>0.10434</v>
      </c>
      <c r="Q1996" s="148">
        <v>8.14E-2</v>
      </c>
      <c r="R1996" s="148">
        <v>78.01418439716312</v>
      </c>
    </row>
    <row r="1997" spans="2:18" ht="15.75" hidden="1" thickBot="1" x14ac:dyDescent="0.3">
      <c r="B1997" s="724" t="s">
        <v>746</v>
      </c>
      <c r="C1997" s="722" t="s">
        <v>143</v>
      </c>
      <c r="D1997" t="s">
        <v>144</v>
      </c>
      <c r="E1997" s="729"/>
      <c r="F1997" s="729"/>
      <c r="G1997" s="729"/>
      <c r="H1997" s="729"/>
      <c r="I1997" s="729"/>
      <c r="J1997" s="729"/>
      <c r="K1997" s="729"/>
      <c r="L1997" s="147">
        <v>0.26632</v>
      </c>
      <c r="M1997" s="729"/>
      <c r="N1997" s="147">
        <v>0.26632</v>
      </c>
      <c r="O1997" s="147">
        <v>0</v>
      </c>
      <c r="P1997" s="729"/>
      <c r="Q1997" s="147">
        <v>0.26632</v>
      </c>
      <c r="R1997" s="147">
        <v>0</v>
      </c>
    </row>
    <row r="1998" spans="2:18" ht="15.75" hidden="1" thickBot="1" x14ac:dyDescent="0.3">
      <c r="B1998" s="724" t="s">
        <v>746</v>
      </c>
      <c r="C1998" s="722" t="s">
        <v>145</v>
      </c>
      <c r="D1998" t="s">
        <v>146</v>
      </c>
      <c r="E1998" s="728"/>
      <c r="F1998" s="728"/>
      <c r="G1998" s="728"/>
      <c r="H1998" s="728"/>
      <c r="I1998" s="728"/>
      <c r="J1998" s="728"/>
      <c r="K1998" s="728"/>
      <c r="L1998" s="148">
        <v>6.9000000000000006E-2</v>
      </c>
      <c r="M1998" s="728"/>
      <c r="N1998" s="148">
        <v>6.9000000000000006E-2</v>
      </c>
      <c r="O1998" s="148">
        <v>0</v>
      </c>
      <c r="P1998" s="728"/>
      <c r="Q1998" s="148">
        <v>6.9000000000000006E-2</v>
      </c>
      <c r="R1998" s="148">
        <v>0</v>
      </c>
    </row>
    <row r="1999" spans="2:18" ht="15.75" hidden="1" thickBot="1" x14ac:dyDescent="0.3">
      <c r="B1999" s="724" t="s">
        <v>746</v>
      </c>
      <c r="C1999" s="722" t="s">
        <v>203</v>
      </c>
      <c r="D1999" t="s">
        <v>204</v>
      </c>
      <c r="E1999" s="729"/>
      <c r="F1999" s="729"/>
      <c r="G1999" s="729"/>
      <c r="H1999" s="729"/>
      <c r="I1999" s="729"/>
      <c r="J1999" s="729"/>
      <c r="K1999" s="729"/>
      <c r="L1999" s="147">
        <v>4.4999999999999998E-2</v>
      </c>
      <c r="M1999" s="729"/>
      <c r="N1999" s="147">
        <v>4.4999999999999998E-2</v>
      </c>
      <c r="O1999" s="147">
        <v>0</v>
      </c>
      <c r="P1999" s="729"/>
      <c r="Q1999" s="147">
        <v>4.4999999999999998E-2</v>
      </c>
      <c r="R1999" s="147">
        <v>0</v>
      </c>
    </row>
    <row r="2000" spans="2:18" ht="15.75" hidden="1" thickBot="1" x14ac:dyDescent="0.3">
      <c r="B2000" s="724" t="s">
        <v>746</v>
      </c>
      <c r="C2000" s="722" t="s">
        <v>149</v>
      </c>
      <c r="D2000" t="s">
        <v>150</v>
      </c>
      <c r="E2000" s="728"/>
      <c r="F2000" s="728"/>
      <c r="G2000" s="728"/>
      <c r="H2000" s="728"/>
      <c r="I2000" s="728"/>
      <c r="J2000" s="728"/>
      <c r="K2000" s="728"/>
      <c r="L2000" s="148">
        <v>32.340000000000003</v>
      </c>
      <c r="M2000" s="728"/>
      <c r="N2000" s="148">
        <v>32.340000000000003</v>
      </c>
      <c r="O2000" s="148">
        <v>0</v>
      </c>
      <c r="P2000" s="728"/>
      <c r="Q2000" s="148">
        <v>32.340000000000003</v>
      </c>
      <c r="R2000" s="148">
        <v>0</v>
      </c>
    </row>
    <row r="2001" spans="2:18" ht="15.75" hidden="1" thickBot="1" x14ac:dyDescent="0.3">
      <c r="B2001" s="724" t="s">
        <v>746</v>
      </c>
      <c r="C2001" s="722" t="s">
        <v>153</v>
      </c>
      <c r="D2001" t="s">
        <v>154</v>
      </c>
      <c r="E2001" s="729"/>
      <c r="F2001" s="729"/>
      <c r="G2001" s="729"/>
      <c r="H2001" s="729"/>
      <c r="I2001" s="729"/>
      <c r="J2001" s="729"/>
      <c r="K2001" s="729"/>
      <c r="L2001" s="147">
        <v>68.099649999999997</v>
      </c>
      <c r="M2001" s="729"/>
      <c r="N2001" s="147">
        <v>68.099649999999997</v>
      </c>
      <c r="O2001" s="147">
        <v>0</v>
      </c>
      <c r="P2001" s="147">
        <v>6.58514</v>
      </c>
      <c r="Q2001" s="147">
        <v>61.514510000000001</v>
      </c>
      <c r="R2001" s="147">
        <v>934.14126351148195</v>
      </c>
    </row>
    <row r="2002" spans="2:18" ht="15.75" hidden="1" thickBot="1" x14ac:dyDescent="0.3">
      <c r="B2002" s="724" t="s">
        <v>746</v>
      </c>
      <c r="C2002" s="722" t="s">
        <v>75</v>
      </c>
      <c r="D2002" t="s">
        <v>76</v>
      </c>
      <c r="E2002" s="148">
        <v>1.04419</v>
      </c>
      <c r="F2002" s="728"/>
      <c r="G2002" s="148">
        <v>1.04419</v>
      </c>
      <c r="H2002" s="148">
        <v>0</v>
      </c>
      <c r="I2002" s="728"/>
      <c r="J2002" s="148">
        <v>1.04419</v>
      </c>
      <c r="K2002" s="148">
        <v>0</v>
      </c>
      <c r="L2002" s="148">
        <v>4.0589500000000003</v>
      </c>
      <c r="M2002" s="728"/>
      <c r="N2002" s="148">
        <v>4.0589500000000003</v>
      </c>
      <c r="O2002" s="148">
        <v>0</v>
      </c>
      <c r="P2002" s="148">
        <v>0.42303000000000002</v>
      </c>
      <c r="Q2002" s="148">
        <v>3.63592</v>
      </c>
      <c r="R2002" s="148">
        <v>859.49459849183268</v>
      </c>
    </row>
    <row r="2003" spans="2:18" ht="15.75" hidden="1" thickBot="1" x14ac:dyDescent="0.3">
      <c r="B2003" s="724" t="s">
        <v>746</v>
      </c>
      <c r="C2003" s="722" t="s">
        <v>77</v>
      </c>
      <c r="D2003" t="s">
        <v>78</v>
      </c>
      <c r="E2003" s="729"/>
      <c r="F2003" s="729"/>
      <c r="G2003" s="729"/>
      <c r="H2003" s="729"/>
      <c r="I2003" s="729"/>
      <c r="J2003" s="729"/>
      <c r="K2003" s="729"/>
      <c r="L2003" s="147">
        <v>0.217</v>
      </c>
      <c r="M2003" s="729"/>
      <c r="N2003" s="147">
        <v>0.217</v>
      </c>
      <c r="O2003" s="147">
        <v>0</v>
      </c>
      <c r="P2003" s="729"/>
      <c r="Q2003" s="147">
        <v>0.217</v>
      </c>
      <c r="R2003" s="147">
        <v>0</v>
      </c>
    </row>
    <row r="2004" spans="2:18" ht="15.75" hidden="1" thickBot="1" x14ac:dyDescent="0.3">
      <c r="B2004" s="724" t="s">
        <v>746</v>
      </c>
      <c r="C2004" s="722" t="s">
        <v>81</v>
      </c>
      <c r="D2004" t="s">
        <v>82</v>
      </c>
      <c r="E2004" s="148">
        <v>0.27981</v>
      </c>
      <c r="F2004" s="728"/>
      <c r="G2004" s="148">
        <v>0.27981</v>
      </c>
      <c r="H2004" s="148">
        <v>0</v>
      </c>
      <c r="I2004" s="728"/>
      <c r="J2004" s="148">
        <v>0.27981</v>
      </c>
      <c r="K2004" s="148">
        <v>0</v>
      </c>
      <c r="L2004" s="148">
        <v>0.40481</v>
      </c>
      <c r="M2004" s="728"/>
      <c r="N2004" s="148">
        <v>0.40481</v>
      </c>
      <c r="O2004" s="148">
        <v>0</v>
      </c>
      <c r="P2004" s="148">
        <v>0.125</v>
      </c>
      <c r="Q2004" s="148">
        <v>0.27981</v>
      </c>
      <c r="R2004" s="148">
        <v>223.84800000000001</v>
      </c>
    </row>
    <row r="2005" spans="2:18" ht="15.75" hidden="1" thickBot="1" x14ac:dyDescent="0.3">
      <c r="B2005" s="724" t="s">
        <v>746</v>
      </c>
      <c r="C2005" s="722" t="s">
        <v>123</v>
      </c>
      <c r="D2005" t="s">
        <v>124</v>
      </c>
      <c r="E2005" s="147">
        <v>0.32072000000000001</v>
      </c>
      <c r="F2005" s="729"/>
      <c r="G2005" s="147">
        <v>0.32072000000000001</v>
      </c>
      <c r="H2005" s="147">
        <v>0</v>
      </c>
      <c r="I2005" s="729"/>
      <c r="J2005" s="147">
        <v>0.32072000000000001</v>
      </c>
      <c r="K2005" s="147">
        <v>0</v>
      </c>
      <c r="L2005" s="147">
        <v>0.39562000000000003</v>
      </c>
      <c r="M2005" s="729"/>
      <c r="N2005" s="147">
        <v>0.39562000000000003</v>
      </c>
      <c r="O2005" s="147">
        <v>0</v>
      </c>
      <c r="P2005" s="147">
        <v>7.4899999999999994E-2</v>
      </c>
      <c r="Q2005" s="147">
        <v>0.32072000000000001</v>
      </c>
      <c r="R2005" s="147">
        <v>428.19759679572763</v>
      </c>
    </row>
    <row r="2006" spans="2:18" ht="15.75" hidden="1" thickBot="1" x14ac:dyDescent="0.3">
      <c r="B2006" s="724" t="s">
        <v>746</v>
      </c>
      <c r="C2006" s="149" t="s">
        <v>85</v>
      </c>
      <c r="D2006" t="s">
        <v>86</v>
      </c>
      <c r="E2006" s="148">
        <v>1.7870699999999999</v>
      </c>
      <c r="F2006" s="728"/>
      <c r="G2006" s="148">
        <v>1.7870699999999999</v>
      </c>
      <c r="H2006" s="148">
        <v>0</v>
      </c>
      <c r="I2006" s="728"/>
      <c r="J2006" s="148">
        <v>1.7870699999999999</v>
      </c>
      <c r="K2006" s="148">
        <v>0</v>
      </c>
      <c r="L2006" s="148">
        <v>109.43865</v>
      </c>
      <c r="M2006" s="728"/>
      <c r="N2006" s="148">
        <v>109.43865</v>
      </c>
      <c r="O2006" s="148">
        <v>0</v>
      </c>
      <c r="P2006" s="148">
        <v>7.5005899999999999</v>
      </c>
      <c r="Q2006" s="148">
        <v>101.93805999999999</v>
      </c>
      <c r="R2006" s="148">
        <v>1359.0672200453564</v>
      </c>
    </row>
    <row r="2007" spans="2:18" ht="15.75" hidden="1" thickBot="1" x14ac:dyDescent="0.3">
      <c r="B2007" s="724" t="s">
        <v>746</v>
      </c>
      <c r="C2007" s="144" t="s">
        <v>87</v>
      </c>
      <c r="D2007" t="s">
        <v>87</v>
      </c>
      <c r="E2007" s="147">
        <v>1.7870699999999999</v>
      </c>
      <c r="F2007" s="729"/>
      <c r="G2007" s="147">
        <v>1.7870699999999999</v>
      </c>
      <c r="H2007" s="147">
        <v>0</v>
      </c>
      <c r="I2007" s="729"/>
      <c r="J2007" s="147">
        <v>1.7870699999999999</v>
      </c>
      <c r="K2007" s="147">
        <v>0</v>
      </c>
      <c r="L2007" s="147">
        <v>109.43865</v>
      </c>
      <c r="M2007" s="729"/>
      <c r="N2007" s="147">
        <v>109.43865</v>
      </c>
      <c r="O2007" s="147">
        <v>0</v>
      </c>
      <c r="P2007" s="147">
        <v>7.5005899999999999</v>
      </c>
      <c r="Q2007" s="147">
        <v>101.93805999999999</v>
      </c>
      <c r="R2007" s="147">
        <v>1359.0672200453564</v>
      </c>
    </row>
    <row r="2008" spans="2:18" ht="15.75" hidden="1" thickBot="1" x14ac:dyDescent="0.3">
      <c r="B2008" s="724" t="s">
        <v>747</v>
      </c>
      <c r="C2008" s="722" t="s">
        <v>59</v>
      </c>
      <c r="D2008" t="s">
        <v>60</v>
      </c>
      <c r="E2008" s="148">
        <v>5.4696999999999996</v>
      </c>
      <c r="F2008" s="148">
        <v>4.8339800000000004</v>
      </c>
      <c r="G2008" s="148">
        <v>0.63571999999999995</v>
      </c>
      <c r="H2008" s="148">
        <v>13.151068063996956</v>
      </c>
      <c r="I2008" s="728"/>
      <c r="J2008" s="148">
        <v>5.4696999999999996</v>
      </c>
      <c r="K2008" s="148">
        <v>0</v>
      </c>
      <c r="L2008" s="148">
        <v>57.171460000000003</v>
      </c>
      <c r="M2008" s="148">
        <v>57.703440000000001</v>
      </c>
      <c r="N2008" s="148">
        <v>-0.53198000000000001</v>
      </c>
      <c r="O2008" s="148">
        <v>-0.9219207728343406</v>
      </c>
      <c r="P2008" s="148">
        <v>31.784300000000002</v>
      </c>
      <c r="Q2008" s="148">
        <v>25.387160000000002</v>
      </c>
      <c r="R2008" s="148">
        <v>79.873270765755422</v>
      </c>
    </row>
    <row r="2009" spans="2:18" ht="15.75" hidden="1" thickBot="1" x14ac:dyDescent="0.3">
      <c r="B2009" s="724" t="s">
        <v>747</v>
      </c>
      <c r="C2009" s="722" t="s">
        <v>566</v>
      </c>
      <c r="D2009" t="s">
        <v>567</v>
      </c>
      <c r="E2009" s="729"/>
      <c r="F2009" s="729"/>
      <c r="G2009" s="729"/>
      <c r="H2009" s="729"/>
      <c r="I2009" s="729"/>
      <c r="J2009" s="729"/>
      <c r="K2009" s="729"/>
      <c r="L2009" s="147">
        <v>1.4612400000000001</v>
      </c>
      <c r="M2009" s="729"/>
      <c r="N2009" s="147">
        <v>1.4612400000000001</v>
      </c>
      <c r="O2009" s="147">
        <v>0</v>
      </c>
      <c r="P2009" s="147">
        <v>1.5098800000000001</v>
      </c>
      <c r="Q2009" s="147">
        <v>-4.8640000000000003E-2</v>
      </c>
      <c r="R2009" s="147">
        <v>-3.2214480620976502</v>
      </c>
    </row>
    <row r="2010" spans="2:18" ht="15.75" hidden="1" thickBot="1" x14ac:dyDescent="0.3">
      <c r="B2010" s="724" t="s">
        <v>747</v>
      </c>
      <c r="C2010" s="722" t="s">
        <v>61</v>
      </c>
      <c r="D2010" t="s">
        <v>62</v>
      </c>
      <c r="E2010" s="148">
        <v>0.85309999999999997</v>
      </c>
      <c r="F2010" s="148">
        <v>0.74926999999999999</v>
      </c>
      <c r="G2010" s="148">
        <v>0.10383000000000001</v>
      </c>
      <c r="H2010" s="148">
        <v>13.857487954942812</v>
      </c>
      <c r="I2010" s="728"/>
      <c r="J2010" s="148">
        <v>0.85309999999999997</v>
      </c>
      <c r="K2010" s="148">
        <v>0</v>
      </c>
      <c r="L2010" s="148">
        <v>8.2509899999999998</v>
      </c>
      <c r="M2010" s="148">
        <v>8.9440600000000003</v>
      </c>
      <c r="N2010" s="148">
        <v>-0.69306999999999996</v>
      </c>
      <c r="O2010" s="148">
        <v>-7.7489417557574525</v>
      </c>
      <c r="P2010" s="148">
        <v>4.4871100000000004</v>
      </c>
      <c r="Q2010" s="148">
        <v>3.7638799999999999</v>
      </c>
      <c r="R2010" s="148">
        <v>83.882053259224762</v>
      </c>
    </row>
    <row r="2011" spans="2:18" ht="15.75" hidden="1" thickBot="1" x14ac:dyDescent="0.3">
      <c r="B2011" s="724" t="s">
        <v>747</v>
      </c>
      <c r="C2011" s="722" t="s">
        <v>63</v>
      </c>
      <c r="D2011" t="s">
        <v>64</v>
      </c>
      <c r="E2011" s="147">
        <v>3.3142399999999999</v>
      </c>
      <c r="F2011" s="147">
        <v>2.9148900000000002</v>
      </c>
      <c r="G2011" s="147">
        <v>0.39934999999999998</v>
      </c>
      <c r="H2011" s="147">
        <v>13.700345467581966</v>
      </c>
      <c r="I2011" s="729"/>
      <c r="J2011" s="147">
        <v>3.3142399999999999</v>
      </c>
      <c r="K2011" s="147">
        <v>0</v>
      </c>
      <c r="L2011" s="147">
        <v>32.295020000000001</v>
      </c>
      <c r="M2011" s="147">
        <v>34.795180000000002</v>
      </c>
      <c r="N2011" s="147">
        <v>-2.5001600000000002</v>
      </c>
      <c r="O2011" s="147">
        <v>-7.1853630301668217</v>
      </c>
      <c r="P2011" s="147">
        <v>17.68065</v>
      </c>
      <c r="Q2011" s="147">
        <v>14.614369999999999</v>
      </c>
      <c r="R2011" s="147">
        <v>82.657424924988618</v>
      </c>
    </row>
    <row r="2012" spans="2:18" ht="15.75" hidden="1" thickBot="1" x14ac:dyDescent="0.3">
      <c r="B2012" s="724" t="s">
        <v>747</v>
      </c>
      <c r="C2012" s="722" t="s">
        <v>156</v>
      </c>
      <c r="D2012" t="s">
        <v>157</v>
      </c>
      <c r="E2012" s="148">
        <v>8.6260000000000003E-2</v>
      </c>
      <c r="F2012" s="728"/>
      <c r="G2012" s="148">
        <v>8.6260000000000003E-2</v>
      </c>
      <c r="H2012" s="148">
        <v>0</v>
      </c>
      <c r="I2012" s="728"/>
      <c r="J2012" s="148">
        <v>8.6260000000000003E-2</v>
      </c>
      <c r="K2012" s="148">
        <v>0</v>
      </c>
      <c r="L2012" s="148">
        <v>8.6260000000000003E-2</v>
      </c>
      <c r="M2012" s="728"/>
      <c r="N2012" s="148">
        <v>8.6260000000000003E-2</v>
      </c>
      <c r="O2012" s="148">
        <v>0</v>
      </c>
      <c r="P2012" s="728"/>
      <c r="Q2012" s="148">
        <v>8.6260000000000003E-2</v>
      </c>
      <c r="R2012" s="148">
        <v>0</v>
      </c>
    </row>
    <row r="2013" spans="2:18" ht="15.75" hidden="1" thickBot="1" x14ac:dyDescent="0.3">
      <c r="B2013" s="724" t="s">
        <v>747</v>
      </c>
      <c r="C2013" s="149" t="s">
        <v>67</v>
      </c>
      <c r="D2013" t="s">
        <v>68</v>
      </c>
      <c r="E2013" s="147">
        <v>9.7233000000000001</v>
      </c>
      <c r="F2013" s="147">
        <v>8.4981399999999994</v>
      </c>
      <c r="G2013" s="147">
        <v>1.22516</v>
      </c>
      <c r="H2013" s="147">
        <v>14.416801794274983</v>
      </c>
      <c r="I2013" s="729"/>
      <c r="J2013" s="147">
        <v>9.7233000000000001</v>
      </c>
      <c r="K2013" s="147">
        <v>0</v>
      </c>
      <c r="L2013" s="147">
        <v>99.264970000000005</v>
      </c>
      <c r="M2013" s="147">
        <v>101.44268</v>
      </c>
      <c r="N2013" s="147">
        <v>-2.1777099999999998</v>
      </c>
      <c r="O2013" s="147">
        <v>-2.1467394197393048</v>
      </c>
      <c r="P2013" s="147">
        <v>55.461939999999998</v>
      </c>
      <c r="Q2013" s="147">
        <v>43.80303</v>
      </c>
      <c r="R2013" s="147">
        <v>78.978539156762281</v>
      </c>
    </row>
    <row r="2014" spans="2:18" ht="15.75" hidden="1" thickBot="1" x14ac:dyDescent="0.3">
      <c r="B2014" s="724" t="s">
        <v>747</v>
      </c>
      <c r="C2014" s="722" t="s">
        <v>149</v>
      </c>
      <c r="D2014" t="s">
        <v>150</v>
      </c>
      <c r="E2014" s="728"/>
      <c r="F2014" s="728"/>
      <c r="G2014" s="728"/>
      <c r="H2014" s="728"/>
      <c r="I2014" s="728"/>
      <c r="J2014" s="728"/>
      <c r="K2014" s="728"/>
      <c r="L2014" s="728"/>
      <c r="M2014" s="148">
        <v>6.5</v>
      </c>
      <c r="N2014" s="148">
        <v>-6.5</v>
      </c>
      <c r="O2014" s="148">
        <v>-100</v>
      </c>
      <c r="P2014" s="728"/>
      <c r="Q2014" s="728"/>
      <c r="R2014" s="728"/>
    </row>
    <row r="2015" spans="2:18" ht="15.75" hidden="1" thickBot="1" x14ac:dyDescent="0.3">
      <c r="B2015" s="724" t="s">
        <v>747</v>
      </c>
      <c r="C2015" s="722" t="s">
        <v>77</v>
      </c>
      <c r="D2015" t="s">
        <v>78</v>
      </c>
      <c r="E2015" s="729"/>
      <c r="F2015" s="729"/>
      <c r="G2015" s="729"/>
      <c r="H2015" s="729"/>
      <c r="I2015" s="729"/>
      <c r="J2015" s="729"/>
      <c r="K2015" s="729"/>
      <c r="L2015" s="729"/>
      <c r="M2015" s="147">
        <v>2.5</v>
      </c>
      <c r="N2015" s="147">
        <v>-2.5</v>
      </c>
      <c r="O2015" s="147">
        <v>-100</v>
      </c>
      <c r="P2015" s="729"/>
      <c r="Q2015" s="729"/>
      <c r="R2015" s="729"/>
    </row>
    <row r="2016" spans="2:18" ht="15.75" hidden="1" thickBot="1" x14ac:dyDescent="0.3">
      <c r="B2016" s="724" t="s">
        <v>747</v>
      </c>
      <c r="C2016" s="722" t="s">
        <v>83</v>
      </c>
      <c r="D2016" t="s">
        <v>84</v>
      </c>
      <c r="E2016" s="728"/>
      <c r="F2016" s="148">
        <v>0.21</v>
      </c>
      <c r="G2016" s="148">
        <v>-0.21</v>
      </c>
      <c r="H2016" s="148">
        <v>-100</v>
      </c>
      <c r="I2016" s="728"/>
      <c r="J2016" s="728"/>
      <c r="K2016" s="728"/>
      <c r="L2016" s="728"/>
      <c r="M2016" s="148">
        <v>1.4530000000000001</v>
      </c>
      <c r="N2016" s="148">
        <v>-1.4530000000000001</v>
      </c>
      <c r="O2016" s="148">
        <v>-100</v>
      </c>
      <c r="P2016" s="728"/>
      <c r="Q2016" s="728"/>
      <c r="R2016" s="728"/>
    </row>
    <row r="2017" spans="2:18" ht="15.75" hidden="1" thickBot="1" x14ac:dyDescent="0.3">
      <c r="B2017" s="724" t="s">
        <v>747</v>
      </c>
      <c r="C2017" s="149" t="s">
        <v>85</v>
      </c>
      <c r="D2017" t="s">
        <v>86</v>
      </c>
      <c r="E2017" s="729"/>
      <c r="F2017" s="147">
        <v>0.21</v>
      </c>
      <c r="G2017" s="147">
        <v>-0.21</v>
      </c>
      <c r="H2017" s="147">
        <v>-100</v>
      </c>
      <c r="I2017" s="729"/>
      <c r="J2017" s="729"/>
      <c r="K2017" s="729"/>
      <c r="L2017" s="729"/>
      <c r="M2017" s="147">
        <v>10.452999999999999</v>
      </c>
      <c r="N2017" s="147">
        <v>-10.452999999999999</v>
      </c>
      <c r="O2017" s="147">
        <v>-100</v>
      </c>
      <c r="P2017" s="729"/>
      <c r="Q2017" s="729"/>
      <c r="R2017" s="729"/>
    </row>
    <row r="2018" spans="2:18" ht="15.75" hidden="1" thickBot="1" x14ac:dyDescent="0.3">
      <c r="B2018" s="724" t="s">
        <v>747</v>
      </c>
      <c r="C2018" s="144" t="s">
        <v>87</v>
      </c>
      <c r="D2018" t="s">
        <v>87</v>
      </c>
      <c r="E2018" s="148">
        <v>9.7233000000000001</v>
      </c>
      <c r="F2018" s="148">
        <v>8.7081400000000002</v>
      </c>
      <c r="G2018" s="148">
        <v>1.0151600000000001</v>
      </c>
      <c r="H2018" s="148">
        <v>11.657598522761463</v>
      </c>
      <c r="I2018" s="728"/>
      <c r="J2018" s="148">
        <v>9.7233000000000001</v>
      </c>
      <c r="K2018" s="148">
        <v>0</v>
      </c>
      <c r="L2018" s="148">
        <v>99.264970000000005</v>
      </c>
      <c r="M2018" s="148">
        <v>111.89568</v>
      </c>
      <c r="N2018" s="148">
        <v>-12.630710000000001</v>
      </c>
      <c r="O2018" s="148">
        <v>-11.287933546674903</v>
      </c>
      <c r="P2018" s="148">
        <v>55.461939999999998</v>
      </c>
      <c r="Q2018" s="148">
        <v>43.80303</v>
      </c>
      <c r="R2018" s="148">
        <v>78.978539156762281</v>
      </c>
    </row>
    <row r="2019" spans="2:18" ht="15.75" hidden="1" thickBot="1" x14ac:dyDescent="0.3">
      <c r="B2019" s="724" t="s">
        <v>748</v>
      </c>
      <c r="C2019" s="722" t="s">
        <v>651</v>
      </c>
      <c r="D2019" t="s">
        <v>652</v>
      </c>
      <c r="E2019" s="147">
        <v>-47.197920000000003</v>
      </c>
      <c r="F2019" s="729"/>
      <c r="G2019" s="147">
        <v>-47.197920000000003</v>
      </c>
      <c r="H2019" s="147">
        <v>0</v>
      </c>
      <c r="I2019" s="729"/>
      <c r="J2019" s="147">
        <v>-47.197920000000003</v>
      </c>
      <c r="K2019" s="147">
        <v>0</v>
      </c>
      <c r="L2019" s="147">
        <v>-47.197920000000003</v>
      </c>
      <c r="M2019" s="729"/>
      <c r="N2019" s="147">
        <v>-47.197920000000003</v>
      </c>
      <c r="O2019" s="147">
        <v>0</v>
      </c>
      <c r="P2019" s="729"/>
      <c r="Q2019" s="147">
        <v>-47.197920000000003</v>
      </c>
      <c r="R2019" s="147">
        <v>0</v>
      </c>
    </row>
    <row r="2020" spans="2:18" ht="15.75" hidden="1" thickBot="1" x14ac:dyDescent="0.3">
      <c r="B2020" s="724" t="s">
        <v>748</v>
      </c>
      <c r="C2020" s="149" t="s">
        <v>85</v>
      </c>
      <c r="D2020" t="s">
        <v>86</v>
      </c>
      <c r="E2020" s="148">
        <v>-47.197920000000003</v>
      </c>
      <c r="F2020" s="728"/>
      <c r="G2020" s="148">
        <v>-47.197920000000003</v>
      </c>
      <c r="H2020" s="148">
        <v>0</v>
      </c>
      <c r="I2020" s="728"/>
      <c r="J2020" s="148">
        <v>-47.197920000000003</v>
      </c>
      <c r="K2020" s="148">
        <v>0</v>
      </c>
      <c r="L2020" s="148">
        <v>-47.197920000000003</v>
      </c>
      <c r="M2020" s="728"/>
      <c r="N2020" s="148">
        <v>-47.197920000000003</v>
      </c>
      <c r="O2020" s="148">
        <v>0</v>
      </c>
      <c r="P2020" s="728"/>
      <c r="Q2020" s="148">
        <v>-47.197920000000003</v>
      </c>
      <c r="R2020" s="148">
        <v>0</v>
      </c>
    </row>
    <row r="2021" spans="2:18" ht="15.75" hidden="1" thickBot="1" x14ac:dyDescent="0.3">
      <c r="B2021" s="724" t="s">
        <v>748</v>
      </c>
      <c r="C2021" s="144" t="s">
        <v>87</v>
      </c>
      <c r="D2021" t="s">
        <v>87</v>
      </c>
      <c r="E2021" s="147">
        <v>-47.197920000000003</v>
      </c>
      <c r="F2021" s="729"/>
      <c r="G2021" s="147">
        <v>-47.197920000000003</v>
      </c>
      <c r="H2021" s="147">
        <v>0</v>
      </c>
      <c r="I2021" s="729"/>
      <c r="J2021" s="147">
        <v>-47.197920000000003</v>
      </c>
      <c r="K2021" s="147">
        <v>0</v>
      </c>
      <c r="L2021" s="147">
        <v>-47.197920000000003</v>
      </c>
      <c r="M2021" s="729"/>
      <c r="N2021" s="147">
        <v>-47.197920000000003</v>
      </c>
      <c r="O2021" s="147">
        <v>0</v>
      </c>
      <c r="P2021" s="729"/>
      <c r="Q2021" s="147">
        <v>-47.197920000000003</v>
      </c>
      <c r="R2021" s="147">
        <v>0</v>
      </c>
    </row>
    <row r="2022" spans="2:18" ht="15.75" hidden="1" thickBot="1" x14ac:dyDescent="0.3">
      <c r="B2022" s="724" t="s">
        <v>749</v>
      </c>
      <c r="C2022" s="722" t="s">
        <v>59</v>
      </c>
      <c r="D2022" t="s">
        <v>60</v>
      </c>
      <c r="E2022" s="148">
        <v>48.013179999999998</v>
      </c>
      <c r="F2022" s="148">
        <v>55.11618</v>
      </c>
      <c r="G2022" s="148">
        <v>-7.1029999999999998</v>
      </c>
      <c r="H2022" s="148">
        <v>-12.887322742613875</v>
      </c>
      <c r="I2022" s="728"/>
      <c r="J2022" s="148">
        <v>48.013179999999998</v>
      </c>
      <c r="K2022" s="148">
        <v>0</v>
      </c>
      <c r="L2022" s="148">
        <v>621.21642999999995</v>
      </c>
      <c r="M2022" s="148">
        <v>657.92438000000004</v>
      </c>
      <c r="N2022" s="148">
        <v>-36.707949999999997</v>
      </c>
      <c r="O2022" s="148">
        <v>-5.5793570075636962</v>
      </c>
      <c r="P2022" s="148">
        <v>301.82508999999999</v>
      </c>
      <c r="Q2022" s="148">
        <v>319.39134000000001</v>
      </c>
      <c r="R2022" s="148">
        <v>105.82000986067791</v>
      </c>
    </row>
    <row r="2023" spans="2:18" ht="15.75" hidden="1" thickBot="1" x14ac:dyDescent="0.3">
      <c r="B2023" s="724" t="s">
        <v>749</v>
      </c>
      <c r="C2023" s="722" t="s">
        <v>566</v>
      </c>
      <c r="D2023" t="s">
        <v>567</v>
      </c>
      <c r="E2023" s="147">
        <v>0.40084999999999998</v>
      </c>
      <c r="F2023" s="729"/>
      <c r="G2023" s="147">
        <v>0.40084999999999998</v>
      </c>
      <c r="H2023" s="147">
        <v>0</v>
      </c>
      <c r="I2023" s="729"/>
      <c r="J2023" s="147">
        <v>0.40084999999999998</v>
      </c>
      <c r="K2023" s="147">
        <v>0</v>
      </c>
      <c r="L2023" s="147">
        <v>1.96208</v>
      </c>
      <c r="M2023" s="729"/>
      <c r="N2023" s="147">
        <v>1.96208</v>
      </c>
      <c r="O2023" s="147">
        <v>0</v>
      </c>
      <c r="P2023" s="729"/>
      <c r="Q2023" s="147">
        <v>1.96208</v>
      </c>
      <c r="R2023" s="147">
        <v>0</v>
      </c>
    </row>
    <row r="2024" spans="2:18" ht="15.75" hidden="1" thickBot="1" x14ac:dyDescent="0.3">
      <c r="B2024" s="724" t="s">
        <v>749</v>
      </c>
      <c r="C2024" s="722" t="s">
        <v>134</v>
      </c>
      <c r="D2024" t="s">
        <v>135</v>
      </c>
      <c r="E2024" s="148">
        <v>4.2075300000000002</v>
      </c>
      <c r="F2024" s="728"/>
      <c r="G2024" s="148">
        <v>4.2075300000000002</v>
      </c>
      <c r="H2024" s="148">
        <v>0</v>
      </c>
      <c r="I2024" s="728"/>
      <c r="J2024" s="148">
        <v>4.2075300000000002</v>
      </c>
      <c r="K2024" s="148">
        <v>0</v>
      </c>
      <c r="L2024" s="148">
        <v>36.667670000000001</v>
      </c>
      <c r="M2024" s="728"/>
      <c r="N2024" s="148">
        <v>36.667670000000001</v>
      </c>
      <c r="O2024" s="148">
        <v>0</v>
      </c>
      <c r="P2024" s="148">
        <v>11.42515</v>
      </c>
      <c r="Q2024" s="148">
        <v>25.242519999999999</v>
      </c>
      <c r="R2024" s="148">
        <v>220.93819337164064</v>
      </c>
    </row>
    <row r="2025" spans="2:18" ht="15.75" hidden="1" thickBot="1" x14ac:dyDescent="0.3">
      <c r="B2025" s="724" t="s">
        <v>749</v>
      </c>
      <c r="C2025" s="722" t="s">
        <v>61</v>
      </c>
      <c r="D2025" t="s">
        <v>62</v>
      </c>
      <c r="E2025" s="147">
        <v>8.2134900000000002</v>
      </c>
      <c r="F2025" s="147">
        <v>8.5429999999999993</v>
      </c>
      <c r="G2025" s="147">
        <v>-0.32951000000000003</v>
      </c>
      <c r="H2025" s="147">
        <v>-3.857075968629287</v>
      </c>
      <c r="I2025" s="729"/>
      <c r="J2025" s="147">
        <v>8.2134900000000002</v>
      </c>
      <c r="K2025" s="147">
        <v>0</v>
      </c>
      <c r="L2025" s="147">
        <v>92.530720000000002</v>
      </c>
      <c r="M2025" s="147">
        <v>101.9782</v>
      </c>
      <c r="N2025" s="147">
        <v>-9.4474800000000005</v>
      </c>
      <c r="O2025" s="147">
        <v>-9.2642152930724411</v>
      </c>
      <c r="P2025" s="147">
        <v>43.791759999999996</v>
      </c>
      <c r="Q2025" s="147">
        <v>48.738959999999999</v>
      </c>
      <c r="R2025" s="147">
        <v>111.29710246859227</v>
      </c>
    </row>
    <row r="2026" spans="2:18" ht="15.75" hidden="1" thickBot="1" x14ac:dyDescent="0.3">
      <c r="B2026" s="724" t="s">
        <v>749</v>
      </c>
      <c r="C2026" s="722" t="s">
        <v>63</v>
      </c>
      <c r="D2026" t="s">
        <v>64</v>
      </c>
      <c r="E2026" s="148">
        <v>32.350520000000003</v>
      </c>
      <c r="F2026" s="148">
        <v>33.235059999999997</v>
      </c>
      <c r="G2026" s="148">
        <v>-0.88453999999999999</v>
      </c>
      <c r="H2026" s="148">
        <v>-2.6614665356403751</v>
      </c>
      <c r="I2026" s="728"/>
      <c r="J2026" s="148">
        <v>32.350520000000003</v>
      </c>
      <c r="K2026" s="148">
        <v>0</v>
      </c>
      <c r="L2026" s="148">
        <v>363.33470999999997</v>
      </c>
      <c r="M2026" s="148">
        <v>396.72842000000003</v>
      </c>
      <c r="N2026" s="148">
        <v>-33.393709999999999</v>
      </c>
      <c r="O2026" s="148">
        <v>-8.4172719463858936</v>
      </c>
      <c r="P2026" s="148">
        <v>171.21709000000001</v>
      </c>
      <c r="Q2026" s="148">
        <v>192.11761999999999</v>
      </c>
      <c r="R2026" s="148">
        <v>112.20703494026209</v>
      </c>
    </row>
    <row r="2027" spans="2:18" ht="15.75" hidden="1" thickBot="1" x14ac:dyDescent="0.3">
      <c r="B2027" s="724" t="s">
        <v>749</v>
      </c>
      <c r="C2027" s="722" t="s">
        <v>156</v>
      </c>
      <c r="D2027" t="s">
        <v>157</v>
      </c>
      <c r="E2027" s="729"/>
      <c r="F2027" s="729"/>
      <c r="G2027" s="729"/>
      <c r="H2027" s="729"/>
      <c r="I2027" s="729"/>
      <c r="J2027" s="729"/>
      <c r="K2027" s="729"/>
      <c r="L2027" s="147">
        <v>3.4504000000000001</v>
      </c>
      <c r="M2027" s="729"/>
      <c r="N2027" s="147">
        <v>3.4504000000000001</v>
      </c>
      <c r="O2027" s="147">
        <v>0</v>
      </c>
      <c r="P2027" s="147">
        <v>3.4504000000000001</v>
      </c>
      <c r="Q2027" s="147">
        <v>0</v>
      </c>
      <c r="R2027" s="147">
        <v>0</v>
      </c>
    </row>
    <row r="2028" spans="2:18" ht="15.75" hidden="1" thickBot="1" x14ac:dyDescent="0.3">
      <c r="B2028" s="724" t="s">
        <v>749</v>
      </c>
      <c r="C2028" s="722" t="s">
        <v>65</v>
      </c>
      <c r="D2028" t="s">
        <v>66</v>
      </c>
      <c r="E2028" s="148">
        <v>-1.03512</v>
      </c>
      <c r="F2028" s="148">
        <v>-0.90681999999999996</v>
      </c>
      <c r="G2028" s="148">
        <v>-0.1283</v>
      </c>
      <c r="H2028" s="148">
        <v>-14.148342559714166</v>
      </c>
      <c r="I2028" s="728"/>
      <c r="J2028" s="148">
        <v>-1.03512</v>
      </c>
      <c r="K2028" s="148">
        <v>0</v>
      </c>
      <c r="L2028" s="148">
        <v>-7.6293600000000001</v>
      </c>
      <c r="M2028" s="148">
        <v>-10.824759999999999</v>
      </c>
      <c r="N2028" s="148">
        <v>3.1953999999999998</v>
      </c>
      <c r="O2028" s="148">
        <v>29.519361168284561</v>
      </c>
      <c r="P2028" s="148">
        <v>-3.83392</v>
      </c>
      <c r="Q2028" s="148">
        <v>-3.7954400000000001</v>
      </c>
      <c r="R2028" s="148">
        <v>-98.996327518571064</v>
      </c>
    </row>
    <row r="2029" spans="2:18" ht="15.75" hidden="1" thickBot="1" x14ac:dyDescent="0.3">
      <c r="B2029" s="724" t="s">
        <v>749</v>
      </c>
      <c r="C2029" s="149" t="s">
        <v>67</v>
      </c>
      <c r="D2029" t="s">
        <v>68</v>
      </c>
      <c r="E2029" s="147">
        <v>92.150450000000006</v>
      </c>
      <c r="F2029" s="147">
        <v>95.98742</v>
      </c>
      <c r="G2029" s="147">
        <v>-3.83697</v>
      </c>
      <c r="H2029" s="147">
        <v>-3.9973675717088759</v>
      </c>
      <c r="I2029" s="729"/>
      <c r="J2029" s="147">
        <v>92.150450000000006</v>
      </c>
      <c r="K2029" s="147">
        <v>0</v>
      </c>
      <c r="L2029" s="147">
        <v>1111.5326500000001</v>
      </c>
      <c r="M2029" s="147">
        <v>1145.8062399999999</v>
      </c>
      <c r="N2029" s="147">
        <v>-34.273589999999999</v>
      </c>
      <c r="O2029" s="147">
        <v>-2.9912204004055694</v>
      </c>
      <c r="P2029" s="147">
        <v>527.87557000000004</v>
      </c>
      <c r="Q2029" s="147">
        <v>583.65707999999995</v>
      </c>
      <c r="R2029" s="147">
        <v>110.56717021399569</v>
      </c>
    </row>
    <row r="2030" spans="2:18" ht="15.75" hidden="1" thickBot="1" x14ac:dyDescent="0.3">
      <c r="B2030" s="724" t="s">
        <v>749</v>
      </c>
      <c r="C2030" s="722" t="s">
        <v>69</v>
      </c>
      <c r="D2030" t="s">
        <v>70</v>
      </c>
      <c r="E2030" s="728"/>
      <c r="F2030" s="148">
        <v>0.75</v>
      </c>
      <c r="G2030" s="148">
        <v>-0.75</v>
      </c>
      <c r="H2030" s="148">
        <v>-100</v>
      </c>
      <c r="I2030" s="728"/>
      <c r="J2030" s="728"/>
      <c r="K2030" s="728"/>
      <c r="L2030" s="148">
        <v>5.4630000000000001</v>
      </c>
      <c r="M2030" s="148">
        <v>9.4499999999999993</v>
      </c>
      <c r="N2030" s="148">
        <v>-3.9870000000000001</v>
      </c>
      <c r="O2030" s="148">
        <v>-42.19047619047619</v>
      </c>
      <c r="P2030" s="148">
        <v>4.6239999999999997</v>
      </c>
      <c r="Q2030" s="148">
        <v>0.83899999999999997</v>
      </c>
      <c r="R2030" s="148">
        <v>18.144463667820069</v>
      </c>
    </row>
    <row r="2031" spans="2:18" ht="15.75" hidden="1" thickBot="1" x14ac:dyDescent="0.3">
      <c r="B2031" s="724" t="s">
        <v>749</v>
      </c>
      <c r="C2031" s="722" t="s">
        <v>99</v>
      </c>
      <c r="D2031" t="s">
        <v>100</v>
      </c>
      <c r="E2031" s="147">
        <v>2.4544999999999999</v>
      </c>
      <c r="F2031" s="147">
        <v>2.2000000000000002</v>
      </c>
      <c r="G2031" s="147">
        <v>0.2545</v>
      </c>
      <c r="H2031" s="147">
        <v>11.568181818181818</v>
      </c>
      <c r="I2031" s="729"/>
      <c r="J2031" s="147">
        <v>2.4544999999999999</v>
      </c>
      <c r="K2031" s="147">
        <v>0</v>
      </c>
      <c r="L2031" s="147">
        <v>28.67334</v>
      </c>
      <c r="M2031" s="147">
        <v>29.5</v>
      </c>
      <c r="N2031" s="147">
        <v>-0.82665999999999995</v>
      </c>
      <c r="O2031" s="147">
        <v>-2.802237288135593</v>
      </c>
      <c r="P2031" s="147">
        <v>8.1773699999999998</v>
      </c>
      <c r="Q2031" s="147">
        <v>20.49597</v>
      </c>
      <c r="R2031" s="147">
        <v>250.64256600838655</v>
      </c>
    </row>
    <row r="2032" spans="2:18" ht="15.75" hidden="1" thickBot="1" x14ac:dyDescent="0.3">
      <c r="B2032" s="724" t="s">
        <v>749</v>
      </c>
      <c r="C2032" s="722" t="s">
        <v>137</v>
      </c>
      <c r="D2032" t="s">
        <v>138</v>
      </c>
      <c r="E2032" s="728"/>
      <c r="F2032" s="728"/>
      <c r="G2032" s="728"/>
      <c r="H2032" s="728"/>
      <c r="I2032" s="728"/>
      <c r="J2032" s="728"/>
      <c r="K2032" s="728"/>
      <c r="L2032" s="148">
        <v>0.36277999999999999</v>
      </c>
      <c r="M2032" s="728"/>
      <c r="N2032" s="148">
        <v>0.36277999999999999</v>
      </c>
      <c r="O2032" s="148">
        <v>0</v>
      </c>
      <c r="P2032" s="148">
        <v>0.1208</v>
      </c>
      <c r="Q2032" s="148">
        <v>0.24198</v>
      </c>
      <c r="R2032" s="148">
        <v>200.31456953642385</v>
      </c>
    </row>
    <row r="2033" spans="2:18" ht="15.75" hidden="1" thickBot="1" x14ac:dyDescent="0.3">
      <c r="B2033" s="724" t="s">
        <v>749</v>
      </c>
      <c r="C2033" s="722" t="s">
        <v>598</v>
      </c>
      <c r="D2033" t="s">
        <v>168</v>
      </c>
      <c r="E2033" s="729"/>
      <c r="F2033" s="729"/>
      <c r="G2033" s="729"/>
      <c r="H2033" s="729"/>
      <c r="I2033" s="729"/>
      <c r="J2033" s="729"/>
      <c r="K2033" s="729"/>
      <c r="L2033" s="729"/>
      <c r="M2033" s="147">
        <v>0</v>
      </c>
      <c r="N2033" s="147">
        <v>0</v>
      </c>
      <c r="O2033" s="147">
        <v>0</v>
      </c>
      <c r="P2033" s="729"/>
      <c r="Q2033" s="729"/>
      <c r="R2033" s="729"/>
    </row>
    <row r="2034" spans="2:18" ht="15.75" hidden="1" thickBot="1" x14ac:dyDescent="0.3">
      <c r="B2034" s="724" t="s">
        <v>749</v>
      </c>
      <c r="C2034" s="722" t="s">
        <v>139</v>
      </c>
      <c r="D2034" t="s">
        <v>140</v>
      </c>
      <c r="E2034" s="148">
        <v>0.20899999999999999</v>
      </c>
      <c r="F2034" s="148">
        <v>8.3000000000000004E-2</v>
      </c>
      <c r="G2034" s="148">
        <v>0.126</v>
      </c>
      <c r="H2034" s="148">
        <v>151.80722891566265</v>
      </c>
      <c r="I2034" s="728"/>
      <c r="J2034" s="148">
        <v>0.20899999999999999</v>
      </c>
      <c r="K2034" s="148">
        <v>0</v>
      </c>
      <c r="L2034" s="148">
        <v>1.0075000000000001</v>
      </c>
      <c r="M2034" s="148">
        <v>1.35</v>
      </c>
      <c r="N2034" s="148">
        <v>-0.34250000000000003</v>
      </c>
      <c r="O2034" s="148">
        <v>-25.37037037037037</v>
      </c>
      <c r="P2034" s="148">
        <v>0.76100000000000001</v>
      </c>
      <c r="Q2034" s="148">
        <v>0.2465</v>
      </c>
      <c r="R2034" s="148">
        <v>32.391590013140608</v>
      </c>
    </row>
    <row r="2035" spans="2:18" ht="15.75" hidden="1" thickBot="1" x14ac:dyDescent="0.3">
      <c r="B2035" s="724" t="s">
        <v>749</v>
      </c>
      <c r="C2035" s="722" t="s">
        <v>169</v>
      </c>
      <c r="D2035" t="s">
        <v>170</v>
      </c>
      <c r="E2035" s="147">
        <v>1.33348</v>
      </c>
      <c r="F2035" s="147">
        <v>1.8</v>
      </c>
      <c r="G2035" s="147">
        <v>-0.46651999999999999</v>
      </c>
      <c r="H2035" s="147">
        <v>-25.917777777777779</v>
      </c>
      <c r="I2035" s="729"/>
      <c r="J2035" s="147">
        <v>1.33348</v>
      </c>
      <c r="K2035" s="147">
        <v>0</v>
      </c>
      <c r="L2035" s="147">
        <v>58.546010000000003</v>
      </c>
      <c r="M2035" s="147">
        <v>29.35</v>
      </c>
      <c r="N2035" s="147">
        <v>29.196010000000001</v>
      </c>
      <c r="O2035" s="147">
        <v>99.475332197614989</v>
      </c>
      <c r="P2035" s="147">
        <v>31.388590000000001</v>
      </c>
      <c r="Q2035" s="147">
        <v>27.157419999999998</v>
      </c>
      <c r="R2035" s="147">
        <v>86.520038013813306</v>
      </c>
    </row>
    <row r="2036" spans="2:18" ht="15.75" hidden="1" thickBot="1" x14ac:dyDescent="0.3">
      <c r="B2036" s="724" t="s">
        <v>749</v>
      </c>
      <c r="C2036" s="722" t="s">
        <v>101</v>
      </c>
      <c r="D2036" t="s">
        <v>102</v>
      </c>
      <c r="E2036" s="148">
        <v>2.7974999999999999</v>
      </c>
      <c r="F2036" s="148">
        <v>5.5</v>
      </c>
      <c r="G2036" s="148">
        <v>-2.7025000000000001</v>
      </c>
      <c r="H2036" s="148">
        <v>-49.136363636363633</v>
      </c>
      <c r="I2036" s="728"/>
      <c r="J2036" s="148">
        <v>2.7974999999999999</v>
      </c>
      <c r="K2036" s="148">
        <v>0</v>
      </c>
      <c r="L2036" s="148">
        <v>38.734079999999999</v>
      </c>
      <c r="M2036" s="148">
        <v>32.575000000000003</v>
      </c>
      <c r="N2036" s="148">
        <v>6.1590800000000003</v>
      </c>
      <c r="O2036" s="148">
        <v>18.907382962394475</v>
      </c>
      <c r="P2036" s="148">
        <v>19.416550000000001</v>
      </c>
      <c r="Q2036" s="148">
        <v>19.317530000000001</v>
      </c>
      <c r="R2036" s="148">
        <v>99.490022686831594</v>
      </c>
    </row>
    <row r="2037" spans="2:18" ht="15.75" hidden="1" thickBot="1" x14ac:dyDescent="0.3">
      <c r="B2037" s="724" t="s">
        <v>749</v>
      </c>
      <c r="C2037" s="722" t="s">
        <v>103</v>
      </c>
      <c r="D2037" t="s">
        <v>104</v>
      </c>
      <c r="E2037" s="147">
        <v>0.45234000000000002</v>
      </c>
      <c r="F2037" s="729"/>
      <c r="G2037" s="147">
        <v>0.45234000000000002</v>
      </c>
      <c r="H2037" s="147">
        <v>0</v>
      </c>
      <c r="I2037" s="729"/>
      <c r="J2037" s="147">
        <v>0.45234000000000002</v>
      </c>
      <c r="K2037" s="147">
        <v>0</v>
      </c>
      <c r="L2037" s="147">
        <v>0.45234000000000002</v>
      </c>
      <c r="M2037" s="729"/>
      <c r="N2037" s="147">
        <v>0.45234000000000002</v>
      </c>
      <c r="O2037" s="147">
        <v>0</v>
      </c>
      <c r="P2037" s="729"/>
      <c r="Q2037" s="147">
        <v>0.45234000000000002</v>
      </c>
      <c r="R2037" s="147">
        <v>0</v>
      </c>
    </row>
    <row r="2038" spans="2:18" ht="15.75" hidden="1" thickBot="1" x14ac:dyDescent="0.3">
      <c r="B2038" s="724" t="s">
        <v>749</v>
      </c>
      <c r="C2038" s="722" t="s">
        <v>71</v>
      </c>
      <c r="D2038" t="s">
        <v>72</v>
      </c>
      <c r="E2038" s="728"/>
      <c r="F2038" s="728"/>
      <c r="G2038" s="728"/>
      <c r="H2038" s="728"/>
      <c r="I2038" s="728"/>
      <c r="J2038" s="728"/>
      <c r="K2038" s="728"/>
      <c r="L2038" s="148">
        <v>4.4999999999999998E-2</v>
      </c>
      <c r="M2038" s="728"/>
      <c r="N2038" s="148">
        <v>4.4999999999999998E-2</v>
      </c>
      <c r="O2038" s="148">
        <v>0</v>
      </c>
      <c r="P2038" s="148">
        <v>-0.01</v>
      </c>
      <c r="Q2038" s="148">
        <v>5.5E-2</v>
      </c>
      <c r="R2038" s="148">
        <v>550</v>
      </c>
    </row>
    <row r="2039" spans="2:18" ht="15.75" hidden="1" thickBot="1" x14ac:dyDescent="0.3">
      <c r="B2039" s="724" t="s">
        <v>749</v>
      </c>
      <c r="C2039" s="722" t="s">
        <v>109</v>
      </c>
      <c r="D2039" t="s">
        <v>110</v>
      </c>
      <c r="E2039" s="729"/>
      <c r="F2039" s="729"/>
      <c r="G2039" s="729"/>
      <c r="H2039" s="729"/>
      <c r="I2039" s="729"/>
      <c r="J2039" s="729"/>
      <c r="K2039" s="729"/>
      <c r="L2039" s="147">
        <v>0.15712999999999999</v>
      </c>
      <c r="M2039" s="729"/>
      <c r="N2039" s="147">
        <v>0.15712999999999999</v>
      </c>
      <c r="O2039" s="147">
        <v>0</v>
      </c>
      <c r="P2039" s="147">
        <v>0.15712999999999999</v>
      </c>
      <c r="Q2039" s="147">
        <v>0</v>
      </c>
      <c r="R2039" s="147">
        <v>0</v>
      </c>
    </row>
    <row r="2040" spans="2:18" ht="15.75" hidden="1" thickBot="1" x14ac:dyDescent="0.3">
      <c r="B2040" s="724" t="s">
        <v>749</v>
      </c>
      <c r="C2040" s="722" t="s">
        <v>73</v>
      </c>
      <c r="D2040" t="s">
        <v>74</v>
      </c>
      <c r="E2040" s="728"/>
      <c r="F2040" s="148">
        <v>0.06</v>
      </c>
      <c r="G2040" s="148">
        <v>-0.06</v>
      </c>
      <c r="H2040" s="148">
        <v>-100</v>
      </c>
      <c r="I2040" s="728"/>
      <c r="J2040" s="728"/>
      <c r="K2040" s="728"/>
      <c r="L2040" s="148">
        <v>1.30217</v>
      </c>
      <c r="M2040" s="148">
        <v>0.5</v>
      </c>
      <c r="N2040" s="148">
        <v>0.80217000000000005</v>
      </c>
      <c r="O2040" s="148">
        <v>160.434</v>
      </c>
      <c r="P2040" s="148">
        <v>0.01</v>
      </c>
      <c r="Q2040" s="148">
        <v>1.29217</v>
      </c>
      <c r="R2040" s="148">
        <v>12921.7</v>
      </c>
    </row>
    <row r="2041" spans="2:18" ht="15.75" hidden="1" thickBot="1" x14ac:dyDescent="0.3">
      <c r="B2041" s="724" t="s">
        <v>749</v>
      </c>
      <c r="C2041" s="722" t="s">
        <v>141</v>
      </c>
      <c r="D2041" t="s">
        <v>142</v>
      </c>
      <c r="E2041" s="147">
        <v>3.184E-2</v>
      </c>
      <c r="F2041" s="147">
        <v>0.05</v>
      </c>
      <c r="G2041" s="147">
        <v>-1.8159999999999999E-2</v>
      </c>
      <c r="H2041" s="147">
        <v>-36.32</v>
      </c>
      <c r="I2041" s="729"/>
      <c r="J2041" s="147">
        <v>3.184E-2</v>
      </c>
      <c r="K2041" s="147">
        <v>0</v>
      </c>
      <c r="L2041" s="147">
        <v>0.34444000000000002</v>
      </c>
      <c r="M2041" s="147">
        <v>0.77500000000000002</v>
      </c>
      <c r="N2041" s="147">
        <v>-0.43056</v>
      </c>
      <c r="O2041" s="147">
        <v>-55.556129032258063</v>
      </c>
      <c r="P2041" s="147">
        <v>0.13541</v>
      </c>
      <c r="Q2041" s="147">
        <v>0.20902999999999999</v>
      </c>
      <c r="R2041" s="147">
        <v>154.36821505058711</v>
      </c>
    </row>
    <row r="2042" spans="2:18" ht="15.75" hidden="1" thickBot="1" x14ac:dyDescent="0.3">
      <c r="B2042" s="724" t="s">
        <v>749</v>
      </c>
      <c r="C2042" s="722" t="s">
        <v>113</v>
      </c>
      <c r="D2042" t="s">
        <v>114</v>
      </c>
      <c r="E2042" s="728"/>
      <c r="F2042" s="728"/>
      <c r="G2042" s="728"/>
      <c r="H2042" s="728"/>
      <c r="I2042" s="728"/>
      <c r="J2042" s="728"/>
      <c r="K2042" s="728"/>
      <c r="L2042" s="148">
        <v>7.596E-2</v>
      </c>
      <c r="M2042" s="148">
        <v>0.05</v>
      </c>
      <c r="N2042" s="148">
        <v>2.596E-2</v>
      </c>
      <c r="O2042" s="148">
        <v>51.92</v>
      </c>
      <c r="P2042" s="148">
        <v>4.7500000000000001E-2</v>
      </c>
      <c r="Q2042" s="148">
        <v>2.8459999999999999E-2</v>
      </c>
      <c r="R2042" s="148">
        <v>59.915789473684214</v>
      </c>
    </row>
    <row r="2043" spans="2:18" ht="15.75" hidden="1" thickBot="1" x14ac:dyDescent="0.3">
      <c r="B2043" s="724" t="s">
        <v>749</v>
      </c>
      <c r="C2043" s="722" t="s">
        <v>145</v>
      </c>
      <c r="D2043" t="s">
        <v>146</v>
      </c>
      <c r="E2043" s="729"/>
      <c r="F2043" s="147">
        <v>0.25</v>
      </c>
      <c r="G2043" s="147">
        <v>-0.25</v>
      </c>
      <c r="H2043" s="147">
        <v>-100</v>
      </c>
      <c r="I2043" s="729"/>
      <c r="J2043" s="729"/>
      <c r="K2043" s="729"/>
      <c r="L2043" s="147">
        <v>0.23558999999999999</v>
      </c>
      <c r="M2043" s="147">
        <v>1.4</v>
      </c>
      <c r="N2043" s="147">
        <v>-1.1644099999999999</v>
      </c>
      <c r="O2043" s="147">
        <v>-83.172142857142859</v>
      </c>
      <c r="P2043" s="147">
        <v>0.23558999999999999</v>
      </c>
      <c r="Q2043" s="147">
        <v>0</v>
      </c>
      <c r="R2043" s="147">
        <v>0</v>
      </c>
    </row>
    <row r="2044" spans="2:18" ht="15.75" hidden="1" thickBot="1" x14ac:dyDescent="0.3">
      <c r="B2044" s="724" t="s">
        <v>749</v>
      </c>
      <c r="C2044" s="722" t="s">
        <v>147</v>
      </c>
      <c r="D2044" t="s">
        <v>148</v>
      </c>
      <c r="E2044" s="728"/>
      <c r="F2044" s="728"/>
      <c r="G2044" s="728"/>
      <c r="H2044" s="728"/>
      <c r="I2044" s="728"/>
      <c r="J2044" s="728"/>
      <c r="K2044" s="728"/>
      <c r="L2044" s="148">
        <v>2.5999999999999999E-2</v>
      </c>
      <c r="M2044" s="728"/>
      <c r="N2044" s="148">
        <v>2.5999999999999999E-2</v>
      </c>
      <c r="O2044" s="148">
        <v>0</v>
      </c>
      <c r="P2044" s="728"/>
      <c r="Q2044" s="148">
        <v>2.5999999999999999E-2</v>
      </c>
      <c r="R2044" s="148">
        <v>0</v>
      </c>
    </row>
    <row r="2045" spans="2:18" ht="15.75" hidden="1" thickBot="1" x14ac:dyDescent="0.3">
      <c r="B2045" s="724" t="s">
        <v>749</v>
      </c>
      <c r="C2045" s="722" t="s">
        <v>149</v>
      </c>
      <c r="D2045" t="s">
        <v>150</v>
      </c>
      <c r="E2045" s="147">
        <v>7.3968999999999996</v>
      </c>
      <c r="F2045" s="147">
        <v>2.8260000000000001</v>
      </c>
      <c r="G2045" s="147">
        <v>4.5709</v>
      </c>
      <c r="H2045" s="147">
        <v>161.7445152158528</v>
      </c>
      <c r="I2045" s="729"/>
      <c r="J2045" s="147">
        <v>7.3968999999999996</v>
      </c>
      <c r="K2045" s="147">
        <v>0</v>
      </c>
      <c r="L2045" s="147">
        <v>44.546129999999998</v>
      </c>
      <c r="M2045" s="147">
        <v>78.099999999999994</v>
      </c>
      <c r="N2045" s="147">
        <v>-33.553870000000003</v>
      </c>
      <c r="O2045" s="147">
        <v>-42.962701664532652</v>
      </c>
      <c r="P2045" s="147">
        <v>28.104569999999999</v>
      </c>
      <c r="Q2045" s="147">
        <v>16.441559999999999</v>
      </c>
      <c r="R2045" s="147">
        <v>58.501375399089902</v>
      </c>
    </row>
    <row r="2046" spans="2:18" ht="15.75" hidden="1" thickBot="1" x14ac:dyDescent="0.3">
      <c r="B2046" s="724" t="s">
        <v>749</v>
      </c>
      <c r="C2046" s="722" t="s">
        <v>645</v>
      </c>
      <c r="D2046" t="s">
        <v>646</v>
      </c>
      <c r="E2046" s="148">
        <v>2.9569999999999999</v>
      </c>
      <c r="F2046" s="148">
        <v>2.5</v>
      </c>
      <c r="G2046" s="148">
        <v>0.45700000000000002</v>
      </c>
      <c r="H2046" s="148">
        <v>18.28</v>
      </c>
      <c r="I2046" s="728"/>
      <c r="J2046" s="148">
        <v>2.9569999999999999</v>
      </c>
      <c r="K2046" s="148">
        <v>0</v>
      </c>
      <c r="L2046" s="148">
        <v>57.799860000000002</v>
      </c>
      <c r="M2046" s="148">
        <v>38.85</v>
      </c>
      <c r="N2046" s="148">
        <v>18.949860000000001</v>
      </c>
      <c r="O2046" s="148">
        <v>48.776988416988416</v>
      </c>
      <c r="P2046" s="148">
        <v>45.489789999999999</v>
      </c>
      <c r="Q2046" s="148">
        <v>12.31007</v>
      </c>
      <c r="R2046" s="148">
        <v>27.061171308990435</v>
      </c>
    </row>
    <row r="2047" spans="2:18" ht="15.75" hidden="1" thickBot="1" x14ac:dyDescent="0.3">
      <c r="B2047" s="724" t="s">
        <v>749</v>
      </c>
      <c r="C2047" s="722" t="s">
        <v>483</v>
      </c>
      <c r="D2047" t="s">
        <v>484</v>
      </c>
      <c r="E2047" s="147">
        <v>0.05</v>
      </c>
      <c r="F2047" s="729"/>
      <c r="G2047" s="147">
        <v>0.05</v>
      </c>
      <c r="H2047" s="147">
        <v>0</v>
      </c>
      <c r="I2047" s="729"/>
      <c r="J2047" s="147">
        <v>0.05</v>
      </c>
      <c r="K2047" s="147">
        <v>0</v>
      </c>
      <c r="L2047" s="147">
        <v>0.05</v>
      </c>
      <c r="M2047" s="729"/>
      <c r="N2047" s="147">
        <v>0.05</v>
      </c>
      <c r="O2047" s="147">
        <v>0</v>
      </c>
      <c r="P2047" s="729"/>
      <c r="Q2047" s="147">
        <v>0.05</v>
      </c>
      <c r="R2047" s="147">
        <v>0</v>
      </c>
    </row>
    <row r="2048" spans="2:18" ht="15.75" hidden="1" thickBot="1" x14ac:dyDescent="0.3">
      <c r="B2048" s="724" t="s">
        <v>749</v>
      </c>
      <c r="C2048" s="722" t="s">
        <v>153</v>
      </c>
      <c r="D2048" t="s">
        <v>154</v>
      </c>
      <c r="E2048" s="728"/>
      <c r="F2048" s="148">
        <v>0</v>
      </c>
      <c r="G2048" s="148">
        <v>0</v>
      </c>
      <c r="H2048" s="148">
        <v>0</v>
      </c>
      <c r="I2048" s="728"/>
      <c r="J2048" s="728"/>
      <c r="K2048" s="728"/>
      <c r="L2048" s="148">
        <v>2.25</v>
      </c>
      <c r="M2048" s="148">
        <v>10.199999999999999</v>
      </c>
      <c r="N2048" s="148">
        <v>-7.95</v>
      </c>
      <c r="O2048" s="148">
        <v>-77.941176470588232</v>
      </c>
      <c r="P2048" s="148">
        <v>2.25</v>
      </c>
      <c r="Q2048" s="148">
        <v>0</v>
      </c>
      <c r="R2048" s="148">
        <v>0</v>
      </c>
    </row>
    <row r="2049" spans="2:18" ht="15.75" hidden="1" thickBot="1" x14ac:dyDescent="0.3">
      <c r="B2049" s="724" t="s">
        <v>749</v>
      </c>
      <c r="C2049" s="722" t="s">
        <v>75</v>
      </c>
      <c r="D2049" t="s">
        <v>76</v>
      </c>
      <c r="E2049" s="147">
        <v>0.36581999999999998</v>
      </c>
      <c r="F2049" s="147">
        <v>0.9</v>
      </c>
      <c r="G2049" s="147">
        <v>-0.53417999999999999</v>
      </c>
      <c r="H2049" s="147">
        <v>-59.353333333333332</v>
      </c>
      <c r="I2049" s="729"/>
      <c r="J2049" s="147">
        <v>0.36581999999999998</v>
      </c>
      <c r="K2049" s="147">
        <v>0</v>
      </c>
      <c r="L2049" s="147">
        <v>3.7283300000000001</v>
      </c>
      <c r="M2049" s="147">
        <v>11.625</v>
      </c>
      <c r="N2049" s="147">
        <v>-7.8966700000000003</v>
      </c>
      <c r="O2049" s="147">
        <v>-67.928344086021511</v>
      </c>
      <c r="P2049" s="147">
        <v>1.5071699999999999</v>
      </c>
      <c r="Q2049" s="147">
        <v>2.2211599999999998</v>
      </c>
      <c r="R2049" s="147">
        <v>147.37289091476077</v>
      </c>
    </row>
    <row r="2050" spans="2:18" ht="15.75" hidden="1" thickBot="1" x14ac:dyDescent="0.3">
      <c r="B2050" s="724" t="s">
        <v>749</v>
      </c>
      <c r="C2050" s="722" t="s">
        <v>121</v>
      </c>
      <c r="D2050" t="s">
        <v>122</v>
      </c>
      <c r="E2050" s="148">
        <v>1.5E-3</v>
      </c>
      <c r="F2050" s="728"/>
      <c r="G2050" s="148">
        <v>1.5E-3</v>
      </c>
      <c r="H2050" s="148">
        <v>0</v>
      </c>
      <c r="I2050" s="728"/>
      <c r="J2050" s="148">
        <v>1.5E-3</v>
      </c>
      <c r="K2050" s="148">
        <v>0</v>
      </c>
      <c r="L2050" s="148">
        <v>1.5E-3</v>
      </c>
      <c r="M2050" s="728"/>
      <c r="N2050" s="148">
        <v>1.5E-3</v>
      </c>
      <c r="O2050" s="148">
        <v>0</v>
      </c>
      <c r="P2050" s="728"/>
      <c r="Q2050" s="148">
        <v>1.5E-3</v>
      </c>
      <c r="R2050" s="148">
        <v>0</v>
      </c>
    </row>
    <row r="2051" spans="2:18" ht="15.75" hidden="1" thickBot="1" x14ac:dyDescent="0.3">
      <c r="B2051" s="724" t="s">
        <v>749</v>
      </c>
      <c r="C2051" s="722" t="s">
        <v>77</v>
      </c>
      <c r="D2051" t="s">
        <v>78</v>
      </c>
      <c r="E2051" s="729"/>
      <c r="F2051" s="147">
        <v>0.5</v>
      </c>
      <c r="G2051" s="147">
        <v>-0.5</v>
      </c>
      <c r="H2051" s="147">
        <v>-100</v>
      </c>
      <c r="I2051" s="729"/>
      <c r="J2051" s="729"/>
      <c r="K2051" s="729"/>
      <c r="L2051" s="147">
        <v>8.3310300000000002</v>
      </c>
      <c r="M2051" s="147">
        <v>8</v>
      </c>
      <c r="N2051" s="147">
        <v>0.33102999999999999</v>
      </c>
      <c r="O2051" s="147">
        <v>4.1378750000000002</v>
      </c>
      <c r="P2051" s="147">
        <v>4.9893200000000002</v>
      </c>
      <c r="Q2051" s="147">
        <v>3.34171</v>
      </c>
      <c r="R2051" s="147">
        <v>66.977263434696511</v>
      </c>
    </row>
    <row r="2052" spans="2:18" ht="15.75" hidden="1" thickBot="1" x14ac:dyDescent="0.3">
      <c r="B2052" s="724" t="s">
        <v>749</v>
      </c>
      <c r="C2052" s="722" t="s">
        <v>79</v>
      </c>
      <c r="D2052" t="s">
        <v>80</v>
      </c>
      <c r="E2052" s="728"/>
      <c r="F2052" s="148">
        <v>0.17499999999999999</v>
      </c>
      <c r="G2052" s="148">
        <v>-0.17499999999999999</v>
      </c>
      <c r="H2052" s="148">
        <v>-100</v>
      </c>
      <c r="I2052" s="728"/>
      <c r="J2052" s="728"/>
      <c r="K2052" s="728"/>
      <c r="L2052" s="148">
        <v>1.2783100000000001</v>
      </c>
      <c r="M2052" s="148">
        <v>1.875</v>
      </c>
      <c r="N2052" s="148">
        <v>-0.59669000000000005</v>
      </c>
      <c r="O2052" s="148">
        <v>-31.823466666666668</v>
      </c>
      <c r="P2052" s="148">
        <v>0.54500000000000004</v>
      </c>
      <c r="Q2052" s="148">
        <v>0.73331000000000002</v>
      </c>
      <c r="R2052" s="148">
        <v>134.55229357798166</v>
      </c>
    </row>
    <row r="2053" spans="2:18" ht="15.75" hidden="1" thickBot="1" x14ac:dyDescent="0.3">
      <c r="B2053" s="724" t="s">
        <v>749</v>
      </c>
      <c r="C2053" s="722" t="s">
        <v>81</v>
      </c>
      <c r="D2053" t="s">
        <v>82</v>
      </c>
      <c r="E2053" s="147">
        <v>0.308</v>
      </c>
      <c r="F2053" s="147">
        <v>0.05</v>
      </c>
      <c r="G2053" s="147">
        <v>0.25800000000000001</v>
      </c>
      <c r="H2053" s="147">
        <v>516</v>
      </c>
      <c r="I2053" s="729"/>
      <c r="J2053" s="147">
        <v>0.308</v>
      </c>
      <c r="K2053" s="147">
        <v>0</v>
      </c>
      <c r="L2053" s="147">
        <v>0.52400000000000002</v>
      </c>
      <c r="M2053" s="147">
        <v>0.7</v>
      </c>
      <c r="N2053" s="147">
        <v>-0.17599999999999999</v>
      </c>
      <c r="O2053" s="147">
        <v>-25.142857142857142</v>
      </c>
      <c r="P2053" s="147">
        <v>0.158</v>
      </c>
      <c r="Q2053" s="147">
        <v>0.36599999999999999</v>
      </c>
      <c r="R2053" s="147">
        <v>231.64556962025316</v>
      </c>
    </row>
    <row r="2054" spans="2:18" ht="15.75" hidden="1" thickBot="1" x14ac:dyDescent="0.3">
      <c r="B2054" s="724" t="s">
        <v>749</v>
      </c>
      <c r="C2054" s="722" t="s">
        <v>83</v>
      </c>
      <c r="D2054" t="s">
        <v>84</v>
      </c>
      <c r="E2054" s="728"/>
      <c r="F2054" s="148">
        <v>7.4999999999999997E-2</v>
      </c>
      <c r="G2054" s="148">
        <v>-7.4999999999999997E-2</v>
      </c>
      <c r="H2054" s="148">
        <v>-100</v>
      </c>
      <c r="I2054" s="728"/>
      <c r="J2054" s="728"/>
      <c r="K2054" s="728"/>
      <c r="L2054" s="728"/>
      <c r="M2054" s="148">
        <v>0.9</v>
      </c>
      <c r="N2054" s="148">
        <v>-0.9</v>
      </c>
      <c r="O2054" s="148">
        <v>-100</v>
      </c>
      <c r="P2054" s="728"/>
      <c r="Q2054" s="728"/>
      <c r="R2054" s="728"/>
    </row>
    <row r="2055" spans="2:18" ht="15.75" hidden="1" thickBot="1" x14ac:dyDescent="0.3">
      <c r="B2055" s="724" t="s">
        <v>749</v>
      </c>
      <c r="C2055" s="149" t="s">
        <v>85</v>
      </c>
      <c r="D2055" t="s">
        <v>86</v>
      </c>
      <c r="E2055" s="147">
        <v>18.357880000000002</v>
      </c>
      <c r="F2055" s="147">
        <v>17.719000000000001</v>
      </c>
      <c r="G2055" s="147">
        <v>0.63888</v>
      </c>
      <c r="H2055" s="147">
        <v>3.605621084711327</v>
      </c>
      <c r="I2055" s="729"/>
      <c r="J2055" s="147">
        <v>18.357880000000002</v>
      </c>
      <c r="K2055" s="147">
        <v>0</v>
      </c>
      <c r="L2055" s="147">
        <v>253.93450000000001</v>
      </c>
      <c r="M2055" s="147">
        <v>255.2</v>
      </c>
      <c r="N2055" s="147">
        <v>-1.2655000000000001</v>
      </c>
      <c r="O2055" s="147">
        <v>-0.49588557993730409</v>
      </c>
      <c r="P2055" s="147">
        <v>148.10778999999999</v>
      </c>
      <c r="Q2055" s="147">
        <v>105.82671000000001</v>
      </c>
      <c r="R2055" s="147">
        <v>71.452494159827779</v>
      </c>
    </row>
    <row r="2056" spans="2:18" ht="15.75" hidden="1" thickBot="1" x14ac:dyDescent="0.3">
      <c r="B2056" s="724" t="s">
        <v>749</v>
      </c>
      <c r="C2056" s="144" t="s">
        <v>87</v>
      </c>
      <c r="D2056" t="s">
        <v>87</v>
      </c>
      <c r="E2056" s="148">
        <v>110.50833</v>
      </c>
      <c r="F2056" s="148">
        <v>113.70641999999999</v>
      </c>
      <c r="G2056" s="148">
        <v>-3.1980900000000001</v>
      </c>
      <c r="H2056" s="148">
        <v>-2.8125852524422106</v>
      </c>
      <c r="I2056" s="728"/>
      <c r="J2056" s="148">
        <v>110.50833</v>
      </c>
      <c r="K2056" s="148">
        <v>0</v>
      </c>
      <c r="L2056" s="148">
        <v>1365.4671499999999</v>
      </c>
      <c r="M2056" s="148">
        <v>1401.0062399999999</v>
      </c>
      <c r="N2056" s="148">
        <v>-35.539090000000002</v>
      </c>
      <c r="O2056" s="148">
        <v>-2.5366832056365429</v>
      </c>
      <c r="P2056" s="148">
        <v>675.98335999999995</v>
      </c>
      <c r="Q2056" s="148">
        <v>689.48379</v>
      </c>
      <c r="R2056" s="148">
        <v>101.99715419030433</v>
      </c>
    </row>
    <row r="2057" spans="2:18" ht="15.75" hidden="1" thickBot="1" x14ac:dyDescent="0.3">
      <c r="B2057" s="725" t="s">
        <v>750</v>
      </c>
      <c r="C2057" s="722" t="s">
        <v>59</v>
      </c>
      <c r="D2057" t="s">
        <v>60</v>
      </c>
      <c r="E2057" s="147">
        <v>26.226769999999998</v>
      </c>
      <c r="F2057" s="147">
        <v>30.762219999999999</v>
      </c>
      <c r="G2057" s="147">
        <v>-4.53545</v>
      </c>
      <c r="H2057" s="147">
        <v>-14.743571822839835</v>
      </c>
      <c r="I2057" s="729"/>
      <c r="J2057" s="147">
        <v>26.226769999999998</v>
      </c>
      <c r="K2057" s="147">
        <v>0</v>
      </c>
      <c r="L2057" s="147">
        <v>337.00934999999998</v>
      </c>
      <c r="M2057" s="147">
        <v>367.21003999999999</v>
      </c>
      <c r="N2057" s="147">
        <v>-30.200690000000002</v>
      </c>
      <c r="O2057" s="147">
        <v>-8.2243639090042304</v>
      </c>
      <c r="P2057" s="147">
        <v>162.35580999999999</v>
      </c>
      <c r="Q2057" s="147">
        <v>174.65353999999999</v>
      </c>
      <c r="R2057" s="147">
        <v>107.57455492353492</v>
      </c>
    </row>
    <row r="2058" spans="2:18" ht="15.75" hidden="1" thickBot="1" x14ac:dyDescent="0.3">
      <c r="B2058" s="725" t="s">
        <v>750</v>
      </c>
      <c r="C2058" s="722" t="s">
        <v>566</v>
      </c>
      <c r="D2058" t="s">
        <v>567</v>
      </c>
      <c r="E2058" s="148">
        <v>0.40084999999999998</v>
      </c>
      <c r="F2058" s="728"/>
      <c r="G2058" s="148">
        <v>0.40084999999999998</v>
      </c>
      <c r="H2058" s="148">
        <v>0</v>
      </c>
      <c r="I2058" s="728"/>
      <c r="J2058" s="148">
        <v>0.40084999999999998</v>
      </c>
      <c r="K2058" s="148">
        <v>0</v>
      </c>
      <c r="L2058" s="148">
        <v>1.96208</v>
      </c>
      <c r="M2058" s="728"/>
      <c r="N2058" s="148">
        <v>1.96208</v>
      </c>
      <c r="O2058" s="148">
        <v>0</v>
      </c>
      <c r="P2058" s="728"/>
      <c r="Q2058" s="148">
        <v>1.96208</v>
      </c>
      <c r="R2058" s="148">
        <v>0</v>
      </c>
    </row>
    <row r="2059" spans="2:18" ht="15.75" hidden="1" thickBot="1" x14ac:dyDescent="0.3">
      <c r="B2059" s="725" t="s">
        <v>750</v>
      </c>
      <c r="C2059" s="722" t="s">
        <v>134</v>
      </c>
      <c r="D2059" t="s">
        <v>135</v>
      </c>
      <c r="E2059" s="147">
        <v>0.81045999999999996</v>
      </c>
      <c r="F2059" s="729"/>
      <c r="G2059" s="147">
        <v>0.81045999999999996</v>
      </c>
      <c r="H2059" s="147">
        <v>0</v>
      </c>
      <c r="I2059" s="729"/>
      <c r="J2059" s="147">
        <v>0.81045999999999996</v>
      </c>
      <c r="K2059" s="147">
        <v>0</v>
      </c>
      <c r="L2059" s="147">
        <v>3.7271100000000001</v>
      </c>
      <c r="M2059" s="729"/>
      <c r="N2059" s="147">
        <v>3.7271100000000001</v>
      </c>
      <c r="O2059" s="147">
        <v>0</v>
      </c>
      <c r="P2059" s="729"/>
      <c r="Q2059" s="147">
        <v>3.7271100000000001</v>
      </c>
      <c r="R2059" s="147">
        <v>0</v>
      </c>
    </row>
    <row r="2060" spans="2:18" ht="15.75" hidden="1" thickBot="1" x14ac:dyDescent="0.3">
      <c r="B2060" s="725" t="s">
        <v>750</v>
      </c>
      <c r="C2060" s="722" t="s">
        <v>61</v>
      </c>
      <c r="D2060" t="s">
        <v>62</v>
      </c>
      <c r="E2060" s="148">
        <v>4.5784399999999996</v>
      </c>
      <c r="F2060" s="148">
        <v>4.7681399999999998</v>
      </c>
      <c r="G2060" s="148">
        <v>-0.18970000000000001</v>
      </c>
      <c r="H2060" s="148">
        <v>-3.9784905644549027</v>
      </c>
      <c r="I2060" s="728"/>
      <c r="J2060" s="148">
        <v>4.5784399999999996</v>
      </c>
      <c r="K2060" s="148">
        <v>0</v>
      </c>
      <c r="L2060" s="148">
        <v>50.352879999999999</v>
      </c>
      <c r="M2060" s="148">
        <v>56.917520000000003</v>
      </c>
      <c r="N2060" s="148">
        <v>-6.5646399999999998</v>
      </c>
      <c r="O2060" s="148">
        <v>-11.533601604567451</v>
      </c>
      <c r="P2060" s="148">
        <v>23.42417</v>
      </c>
      <c r="Q2060" s="148">
        <v>26.928709999999999</v>
      </c>
      <c r="R2060" s="148">
        <v>114.96121314010273</v>
      </c>
    </row>
    <row r="2061" spans="2:18" ht="15.75" hidden="1" thickBot="1" x14ac:dyDescent="0.3">
      <c r="B2061" s="725" t="s">
        <v>750</v>
      </c>
      <c r="C2061" s="722" t="s">
        <v>63</v>
      </c>
      <c r="D2061" t="s">
        <v>64</v>
      </c>
      <c r="E2061" s="147">
        <v>17.911280000000001</v>
      </c>
      <c r="F2061" s="147">
        <v>18.549620000000001</v>
      </c>
      <c r="G2061" s="147">
        <v>-0.63834000000000002</v>
      </c>
      <c r="H2061" s="147">
        <v>-3.4412564785693722</v>
      </c>
      <c r="I2061" s="729"/>
      <c r="J2061" s="147">
        <v>17.911280000000001</v>
      </c>
      <c r="K2061" s="147">
        <v>0</v>
      </c>
      <c r="L2061" s="147">
        <v>196.28855999999999</v>
      </c>
      <c r="M2061" s="147">
        <v>221.42766</v>
      </c>
      <c r="N2061" s="147">
        <v>-25.139099999999999</v>
      </c>
      <c r="O2061" s="147">
        <v>-11.353188666673351</v>
      </c>
      <c r="P2061" s="147">
        <v>90.999690000000001</v>
      </c>
      <c r="Q2061" s="147">
        <v>105.28887</v>
      </c>
      <c r="R2061" s="147">
        <v>115.70244909625517</v>
      </c>
    </row>
    <row r="2062" spans="2:18" ht="15.75" hidden="1" thickBot="1" x14ac:dyDescent="0.3">
      <c r="B2062" s="725" t="s">
        <v>750</v>
      </c>
      <c r="C2062" s="722" t="s">
        <v>156</v>
      </c>
      <c r="D2062" t="s">
        <v>157</v>
      </c>
      <c r="E2062" s="728"/>
      <c r="F2062" s="728"/>
      <c r="G2062" s="728"/>
      <c r="H2062" s="728"/>
      <c r="I2062" s="728"/>
      <c r="J2062" s="728"/>
      <c r="K2062" s="728"/>
      <c r="L2062" s="148">
        <v>3.4504000000000001</v>
      </c>
      <c r="M2062" s="728"/>
      <c r="N2062" s="148">
        <v>3.4504000000000001</v>
      </c>
      <c r="O2062" s="148">
        <v>0</v>
      </c>
      <c r="P2062" s="148">
        <v>3.4504000000000001</v>
      </c>
      <c r="Q2062" s="148">
        <v>0</v>
      </c>
      <c r="R2062" s="148">
        <v>0</v>
      </c>
    </row>
    <row r="2063" spans="2:18" ht="15.75" hidden="1" thickBot="1" x14ac:dyDescent="0.3">
      <c r="B2063" s="725" t="s">
        <v>750</v>
      </c>
      <c r="C2063" s="149" t="s">
        <v>67</v>
      </c>
      <c r="D2063" t="s">
        <v>68</v>
      </c>
      <c r="E2063" s="147">
        <v>49.927799999999998</v>
      </c>
      <c r="F2063" s="147">
        <v>54.079979999999999</v>
      </c>
      <c r="G2063" s="147">
        <v>-4.1521800000000004</v>
      </c>
      <c r="H2063" s="147">
        <v>-7.6778504725778376</v>
      </c>
      <c r="I2063" s="729"/>
      <c r="J2063" s="147">
        <v>49.927799999999998</v>
      </c>
      <c r="K2063" s="147">
        <v>0</v>
      </c>
      <c r="L2063" s="147">
        <v>592.79038000000003</v>
      </c>
      <c r="M2063" s="147">
        <v>645.55521999999996</v>
      </c>
      <c r="N2063" s="147">
        <v>-52.76484</v>
      </c>
      <c r="O2063" s="147">
        <v>-8.1735594981324766</v>
      </c>
      <c r="P2063" s="147">
        <v>280.23007000000001</v>
      </c>
      <c r="Q2063" s="147">
        <v>312.56031000000002</v>
      </c>
      <c r="R2063" s="147">
        <v>111.53703455164536</v>
      </c>
    </row>
    <row r="2064" spans="2:18" ht="15.75" hidden="1" thickBot="1" x14ac:dyDescent="0.3">
      <c r="B2064" s="725" t="s">
        <v>750</v>
      </c>
      <c r="C2064" s="722" t="s">
        <v>69</v>
      </c>
      <c r="D2064" t="s">
        <v>70</v>
      </c>
      <c r="E2064" s="728"/>
      <c r="F2064" s="148">
        <v>0</v>
      </c>
      <c r="G2064" s="148">
        <v>0</v>
      </c>
      <c r="H2064" s="148">
        <v>0</v>
      </c>
      <c r="I2064" s="728"/>
      <c r="J2064" s="728"/>
      <c r="K2064" s="728"/>
      <c r="L2064" s="148">
        <v>1.4E-2</v>
      </c>
      <c r="M2064" s="148">
        <v>0.45</v>
      </c>
      <c r="N2064" s="148">
        <v>-0.436</v>
      </c>
      <c r="O2064" s="148">
        <v>-96.888888888888886</v>
      </c>
      <c r="P2064" s="148">
        <v>1.4E-2</v>
      </c>
      <c r="Q2064" s="148">
        <v>0</v>
      </c>
      <c r="R2064" s="148">
        <v>0</v>
      </c>
    </row>
    <row r="2065" spans="2:18" ht="15.75" hidden="1" thickBot="1" x14ac:dyDescent="0.3">
      <c r="B2065" s="725" t="s">
        <v>750</v>
      </c>
      <c r="C2065" s="722" t="s">
        <v>99</v>
      </c>
      <c r="D2065" t="s">
        <v>100</v>
      </c>
      <c r="E2065" s="147">
        <v>2.4544999999999999</v>
      </c>
      <c r="F2065" s="147">
        <v>2.2000000000000002</v>
      </c>
      <c r="G2065" s="147">
        <v>0.2545</v>
      </c>
      <c r="H2065" s="147">
        <v>11.568181818181818</v>
      </c>
      <c r="I2065" s="729"/>
      <c r="J2065" s="147">
        <v>2.4544999999999999</v>
      </c>
      <c r="K2065" s="147">
        <v>0</v>
      </c>
      <c r="L2065" s="147">
        <v>28.67334</v>
      </c>
      <c r="M2065" s="147">
        <v>29.5</v>
      </c>
      <c r="N2065" s="147">
        <v>-0.82665999999999995</v>
      </c>
      <c r="O2065" s="147">
        <v>-2.802237288135593</v>
      </c>
      <c r="P2065" s="147">
        <v>8.1773699999999998</v>
      </c>
      <c r="Q2065" s="147">
        <v>20.49597</v>
      </c>
      <c r="R2065" s="147">
        <v>250.64256600838655</v>
      </c>
    </row>
    <row r="2066" spans="2:18" ht="15.75" hidden="1" thickBot="1" x14ac:dyDescent="0.3">
      <c r="B2066" s="725" t="s">
        <v>750</v>
      </c>
      <c r="C2066" s="722" t="s">
        <v>137</v>
      </c>
      <c r="D2066" t="s">
        <v>138</v>
      </c>
      <c r="E2066" s="728"/>
      <c r="F2066" s="728"/>
      <c r="G2066" s="728"/>
      <c r="H2066" s="728"/>
      <c r="I2066" s="728"/>
      <c r="J2066" s="728"/>
      <c r="K2066" s="728"/>
      <c r="L2066" s="148">
        <v>6.8479999999999999E-2</v>
      </c>
      <c r="M2066" s="728"/>
      <c r="N2066" s="148">
        <v>6.8479999999999999E-2</v>
      </c>
      <c r="O2066" s="148">
        <v>0</v>
      </c>
      <c r="P2066" s="148">
        <v>6.8479999999999999E-2</v>
      </c>
      <c r="Q2066" s="148">
        <v>0</v>
      </c>
      <c r="R2066" s="148">
        <v>0</v>
      </c>
    </row>
    <row r="2067" spans="2:18" ht="15.75" hidden="1" thickBot="1" x14ac:dyDescent="0.3">
      <c r="B2067" s="725" t="s">
        <v>750</v>
      </c>
      <c r="C2067" s="722" t="s">
        <v>139</v>
      </c>
      <c r="D2067" t="s">
        <v>140</v>
      </c>
      <c r="E2067" s="729"/>
      <c r="F2067" s="147">
        <v>0</v>
      </c>
      <c r="G2067" s="147">
        <v>0</v>
      </c>
      <c r="H2067" s="147">
        <v>0</v>
      </c>
      <c r="I2067" s="729"/>
      <c r="J2067" s="729"/>
      <c r="K2067" s="729"/>
      <c r="L2067" s="147">
        <v>3.7499999999999999E-2</v>
      </c>
      <c r="M2067" s="147">
        <v>0.35</v>
      </c>
      <c r="N2067" s="147">
        <v>-0.3125</v>
      </c>
      <c r="O2067" s="147">
        <v>-89.285714285714292</v>
      </c>
      <c r="P2067" s="729"/>
      <c r="Q2067" s="147">
        <v>3.7499999999999999E-2</v>
      </c>
      <c r="R2067" s="147">
        <v>0</v>
      </c>
    </row>
    <row r="2068" spans="2:18" ht="15.75" hidden="1" thickBot="1" x14ac:dyDescent="0.3">
      <c r="B2068" s="725" t="s">
        <v>750</v>
      </c>
      <c r="C2068" s="722" t="s">
        <v>169</v>
      </c>
      <c r="D2068" t="s">
        <v>170</v>
      </c>
      <c r="E2068" s="148">
        <v>1.33348</v>
      </c>
      <c r="F2068" s="148">
        <v>0.05</v>
      </c>
      <c r="G2068" s="148">
        <v>1.28348</v>
      </c>
      <c r="H2068" s="148">
        <v>2566.96</v>
      </c>
      <c r="I2068" s="728"/>
      <c r="J2068" s="148">
        <v>1.33348</v>
      </c>
      <c r="K2068" s="148">
        <v>0</v>
      </c>
      <c r="L2068" s="148">
        <v>58.546010000000003</v>
      </c>
      <c r="M2068" s="148">
        <v>8.35</v>
      </c>
      <c r="N2068" s="148">
        <v>50.196010000000001</v>
      </c>
      <c r="O2068" s="148">
        <v>601.14982035928142</v>
      </c>
      <c r="P2068" s="148">
        <v>31.388590000000001</v>
      </c>
      <c r="Q2068" s="148">
        <v>27.157419999999998</v>
      </c>
      <c r="R2068" s="148">
        <v>86.520038013813306</v>
      </c>
    </row>
    <row r="2069" spans="2:18" ht="15.75" hidden="1" thickBot="1" x14ac:dyDescent="0.3">
      <c r="B2069" s="725" t="s">
        <v>750</v>
      </c>
      <c r="C2069" s="722" t="s">
        <v>101</v>
      </c>
      <c r="D2069" t="s">
        <v>102</v>
      </c>
      <c r="E2069" s="147">
        <v>5.7000000000000002E-2</v>
      </c>
      <c r="F2069" s="147">
        <v>0.5</v>
      </c>
      <c r="G2069" s="147">
        <v>-0.443</v>
      </c>
      <c r="H2069" s="147">
        <v>-88.6</v>
      </c>
      <c r="I2069" s="729"/>
      <c r="J2069" s="147">
        <v>5.7000000000000002E-2</v>
      </c>
      <c r="K2069" s="147">
        <v>0</v>
      </c>
      <c r="L2069" s="147">
        <v>6.9539999999999997</v>
      </c>
      <c r="M2069" s="147">
        <v>12.925000000000001</v>
      </c>
      <c r="N2069" s="147">
        <v>-5.9710000000000001</v>
      </c>
      <c r="O2069" s="147">
        <v>-46.197292069632496</v>
      </c>
      <c r="P2069" s="147">
        <v>4.431</v>
      </c>
      <c r="Q2069" s="147">
        <v>2.5230000000000001</v>
      </c>
      <c r="R2069" s="147">
        <v>56.939742721733246</v>
      </c>
    </row>
    <row r="2070" spans="2:18" ht="15.75" hidden="1" thickBot="1" x14ac:dyDescent="0.3">
      <c r="B2070" s="725" t="s">
        <v>750</v>
      </c>
      <c r="C2070" s="722" t="s">
        <v>103</v>
      </c>
      <c r="D2070" t="s">
        <v>104</v>
      </c>
      <c r="E2070" s="148">
        <v>0.45234000000000002</v>
      </c>
      <c r="F2070" s="728"/>
      <c r="G2070" s="148">
        <v>0.45234000000000002</v>
      </c>
      <c r="H2070" s="148">
        <v>0</v>
      </c>
      <c r="I2070" s="728"/>
      <c r="J2070" s="148">
        <v>0.45234000000000002</v>
      </c>
      <c r="K2070" s="148">
        <v>0</v>
      </c>
      <c r="L2070" s="148">
        <v>0.45234000000000002</v>
      </c>
      <c r="M2070" s="728"/>
      <c r="N2070" s="148">
        <v>0.45234000000000002</v>
      </c>
      <c r="O2070" s="148">
        <v>0</v>
      </c>
      <c r="P2070" s="728"/>
      <c r="Q2070" s="148">
        <v>0.45234000000000002</v>
      </c>
      <c r="R2070" s="148">
        <v>0</v>
      </c>
    </row>
    <row r="2071" spans="2:18" ht="15.75" hidden="1" thickBot="1" x14ac:dyDescent="0.3">
      <c r="B2071" s="725" t="s">
        <v>750</v>
      </c>
      <c r="C2071" s="722" t="s">
        <v>71</v>
      </c>
      <c r="D2071" t="s">
        <v>72</v>
      </c>
      <c r="E2071" s="729"/>
      <c r="F2071" s="729"/>
      <c r="G2071" s="729"/>
      <c r="H2071" s="729"/>
      <c r="I2071" s="729"/>
      <c r="J2071" s="729"/>
      <c r="K2071" s="729"/>
      <c r="L2071" s="147">
        <v>4.4999999999999998E-2</v>
      </c>
      <c r="M2071" s="729"/>
      <c r="N2071" s="147">
        <v>4.4999999999999998E-2</v>
      </c>
      <c r="O2071" s="147">
        <v>0</v>
      </c>
      <c r="P2071" s="729"/>
      <c r="Q2071" s="147">
        <v>4.4999999999999998E-2</v>
      </c>
      <c r="R2071" s="147">
        <v>0</v>
      </c>
    </row>
    <row r="2072" spans="2:18" ht="15.75" hidden="1" thickBot="1" x14ac:dyDescent="0.3">
      <c r="B2072" s="725" t="s">
        <v>750</v>
      </c>
      <c r="C2072" s="722" t="s">
        <v>109</v>
      </c>
      <c r="D2072" t="s">
        <v>110</v>
      </c>
      <c r="E2072" s="728"/>
      <c r="F2072" s="728"/>
      <c r="G2072" s="728"/>
      <c r="H2072" s="728"/>
      <c r="I2072" s="728"/>
      <c r="J2072" s="728"/>
      <c r="K2072" s="728"/>
      <c r="L2072" s="148">
        <v>0.15712999999999999</v>
      </c>
      <c r="M2072" s="728"/>
      <c r="N2072" s="148">
        <v>0.15712999999999999</v>
      </c>
      <c r="O2072" s="148">
        <v>0</v>
      </c>
      <c r="P2072" s="148">
        <v>0.15712999999999999</v>
      </c>
      <c r="Q2072" s="148">
        <v>0</v>
      </c>
      <c r="R2072" s="148">
        <v>0</v>
      </c>
    </row>
    <row r="2073" spans="2:18" ht="15.75" hidden="1" thickBot="1" x14ac:dyDescent="0.3">
      <c r="B2073" s="725" t="s">
        <v>750</v>
      </c>
      <c r="C2073" s="722" t="s">
        <v>73</v>
      </c>
      <c r="D2073" t="s">
        <v>74</v>
      </c>
      <c r="E2073" s="729"/>
      <c r="F2073" s="729"/>
      <c r="G2073" s="729"/>
      <c r="H2073" s="729"/>
      <c r="I2073" s="729"/>
      <c r="J2073" s="729"/>
      <c r="K2073" s="729"/>
      <c r="L2073" s="147">
        <v>1.30217</v>
      </c>
      <c r="M2073" s="729"/>
      <c r="N2073" s="147">
        <v>1.30217</v>
      </c>
      <c r="O2073" s="147">
        <v>0</v>
      </c>
      <c r="P2073" s="147">
        <v>0.01</v>
      </c>
      <c r="Q2073" s="147">
        <v>1.29217</v>
      </c>
      <c r="R2073" s="147">
        <v>12921.7</v>
      </c>
    </row>
    <row r="2074" spans="2:18" ht="15.75" hidden="1" thickBot="1" x14ac:dyDescent="0.3">
      <c r="B2074" s="725" t="s">
        <v>750</v>
      </c>
      <c r="C2074" s="722" t="s">
        <v>141</v>
      </c>
      <c r="D2074" t="s">
        <v>142</v>
      </c>
      <c r="E2074" s="148">
        <v>3.184E-2</v>
      </c>
      <c r="F2074" s="148">
        <v>0.05</v>
      </c>
      <c r="G2074" s="148">
        <v>-1.8159999999999999E-2</v>
      </c>
      <c r="H2074" s="148">
        <v>-36.32</v>
      </c>
      <c r="I2074" s="728"/>
      <c r="J2074" s="148">
        <v>3.184E-2</v>
      </c>
      <c r="K2074" s="148">
        <v>0</v>
      </c>
      <c r="L2074" s="148">
        <v>0.34444000000000002</v>
      </c>
      <c r="M2074" s="148">
        <v>0.77500000000000002</v>
      </c>
      <c r="N2074" s="148">
        <v>-0.43056</v>
      </c>
      <c r="O2074" s="148">
        <v>-55.556129032258063</v>
      </c>
      <c r="P2074" s="148">
        <v>0.13541</v>
      </c>
      <c r="Q2074" s="148">
        <v>0.20902999999999999</v>
      </c>
      <c r="R2074" s="148">
        <v>154.36821505058711</v>
      </c>
    </row>
    <row r="2075" spans="2:18" ht="15.75" hidden="1" thickBot="1" x14ac:dyDescent="0.3">
      <c r="B2075" s="725" t="s">
        <v>750</v>
      </c>
      <c r="C2075" s="722" t="s">
        <v>113</v>
      </c>
      <c r="D2075" t="s">
        <v>114</v>
      </c>
      <c r="E2075" s="729"/>
      <c r="F2075" s="729"/>
      <c r="G2075" s="729"/>
      <c r="H2075" s="729"/>
      <c r="I2075" s="729"/>
      <c r="J2075" s="729"/>
      <c r="K2075" s="729"/>
      <c r="L2075" s="147">
        <v>7.596E-2</v>
      </c>
      <c r="M2075" s="147">
        <v>0.05</v>
      </c>
      <c r="N2075" s="147">
        <v>2.596E-2</v>
      </c>
      <c r="O2075" s="147">
        <v>51.92</v>
      </c>
      <c r="P2075" s="147">
        <v>4.7500000000000001E-2</v>
      </c>
      <c r="Q2075" s="147">
        <v>2.8459999999999999E-2</v>
      </c>
      <c r="R2075" s="147">
        <v>59.915789473684214</v>
      </c>
    </row>
    <row r="2076" spans="2:18" ht="15.75" hidden="1" thickBot="1" x14ac:dyDescent="0.3">
      <c r="B2076" s="725" t="s">
        <v>750</v>
      </c>
      <c r="C2076" s="722" t="s">
        <v>145</v>
      </c>
      <c r="D2076" t="s">
        <v>146</v>
      </c>
      <c r="E2076" s="728"/>
      <c r="F2076" s="148">
        <v>0.25</v>
      </c>
      <c r="G2076" s="148">
        <v>-0.25</v>
      </c>
      <c r="H2076" s="148">
        <v>-100</v>
      </c>
      <c r="I2076" s="728"/>
      <c r="J2076" s="728"/>
      <c r="K2076" s="728"/>
      <c r="L2076" s="148">
        <v>0.14258999999999999</v>
      </c>
      <c r="M2076" s="148">
        <v>1.4</v>
      </c>
      <c r="N2076" s="148">
        <v>-1.2574099999999999</v>
      </c>
      <c r="O2076" s="148">
        <v>-89.814999999999998</v>
      </c>
      <c r="P2076" s="148">
        <v>0.14258999999999999</v>
      </c>
      <c r="Q2076" s="148">
        <v>0</v>
      </c>
      <c r="R2076" s="148">
        <v>0</v>
      </c>
    </row>
    <row r="2077" spans="2:18" ht="15.75" hidden="1" thickBot="1" x14ac:dyDescent="0.3">
      <c r="B2077" s="725" t="s">
        <v>750</v>
      </c>
      <c r="C2077" s="722" t="s">
        <v>149</v>
      </c>
      <c r="D2077" t="s">
        <v>150</v>
      </c>
      <c r="E2077" s="147">
        <v>4.492</v>
      </c>
      <c r="F2077" s="147">
        <v>1</v>
      </c>
      <c r="G2077" s="147">
        <v>3.492</v>
      </c>
      <c r="H2077" s="147">
        <v>349.2</v>
      </c>
      <c r="I2077" s="729"/>
      <c r="J2077" s="147">
        <v>4.492</v>
      </c>
      <c r="K2077" s="147">
        <v>0</v>
      </c>
      <c r="L2077" s="147">
        <v>36.341230000000003</v>
      </c>
      <c r="M2077" s="147">
        <v>56.1</v>
      </c>
      <c r="N2077" s="147">
        <v>-19.758769999999998</v>
      </c>
      <c r="O2077" s="147">
        <v>-35.220623885918002</v>
      </c>
      <c r="P2077" s="147">
        <v>25.40457</v>
      </c>
      <c r="Q2077" s="147">
        <v>10.93666</v>
      </c>
      <c r="R2077" s="147">
        <v>43.049970930427087</v>
      </c>
    </row>
    <row r="2078" spans="2:18" ht="15.75" hidden="1" thickBot="1" x14ac:dyDescent="0.3">
      <c r="B2078" s="725" t="s">
        <v>750</v>
      </c>
      <c r="C2078" s="722" t="s">
        <v>645</v>
      </c>
      <c r="D2078" t="s">
        <v>646</v>
      </c>
      <c r="E2078" s="148">
        <v>2.9569999999999999</v>
      </c>
      <c r="F2078" s="148">
        <v>2.5</v>
      </c>
      <c r="G2078" s="148">
        <v>0.45700000000000002</v>
      </c>
      <c r="H2078" s="148">
        <v>18.28</v>
      </c>
      <c r="I2078" s="728"/>
      <c r="J2078" s="148">
        <v>2.9569999999999999</v>
      </c>
      <c r="K2078" s="148">
        <v>0</v>
      </c>
      <c r="L2078" s="148">
        <v>57.799860000000002</v>
      </c>
      <c r="M2078" s="148">
        <v>38.85</v>
      </c>
      <c r="N2078" s="148">
        <v>18.949860000000001</v>
      </c>
      <c r="O2078" s="148">
        <v>48.776988416988416</v>
      </c>
      <c r="P2078" s="148">
        <v>45.489789999999999</v>
      </c>
      <c r="Q2078" s="148">
        <v>12.31007</v>
      </c>
      <c r="R2078" s="148">
        <v>27.061171308990435</v>
      </c>
    </row>
    <row r="2079" spans="2:18" ht="15.75" hidden="1" thickBot="1" x14ac:dyDescent="0.3">
      <c r="B2079" s="725" t="s">
        <v>750</v>
      </c>
      <c r="C2079" s="722" t="s">
        <v>483</v>
      </c>
      <c r="D2079" t="s">
        <v>484</v>
      </c>
      <c r="E2079" s="147">
        <v>0.05</v>
      </c>
      <c r="F2079" s="729"/>
      <c r="G2079" s="147">
        <v>0.05</v>
      </c>
      <c r="H2079" s="147">
        <v>0</v>
      </c>
      <c r="I2079" s="729"/>
      <c r="J2079" s="147">
        <v>0.05</v>
      </c>
      <c r="K2079" s="147">
        <v>0</v>
      </c>
      <c r="L2079" s="147">
        <v>0.05</v>
      </c>
      <c r="M2079" s="729"/>
      <c r="N2079" s="147">
        <v>0.05</v>
      </c>
      <c r="O2079" s="147">
        <v>0</v>
      </c>
      <c r="P2079" s="729"/>
      <c r="Q2079" s="147">
        <v>0.05</v>
      </c>
      <c r="R2079" s="147">
        <v>0</v>
      </c>
    </row>
    <row r="2080" spans="2:18" ht="15.75" hidden="1" thickBot="1" x14ac:dyDescent="0.3">
      <c r="B2080" s="725" t="s">
        <v>750</v>
      </c>
      <c r="C2080" s="722" t="s">
        <v>153</v>
      </c>
      <c r="D2080" t="s">
        <v>154</v>
      </c>
      <c r="E2080" s="728"/>
      <c r="F2080" s="148">
        <v>0</v>
      </c>
      <c r="G2080" s="148">
        <v>0</v>
      </c>
      <c r="H2080" s="148">
        <v>0</v>
      </c>
      <c r="I2080" s="728"/>
      <c r="J2080" s="728"/>
      <c r="K2080" s="728"/>
      <c r="L2080" s="148">
        <v>2.25</v>
      </c>
      <c r="M2080" s="148">
        <v>10.199999999999999</v>
      </c>
      <c r="N2080" s="148">
        <v>-7.95</v>
      </c>
      <c r="O2080" s="148">
        <v>-77.941176470588232</v>
      </c>
      <c r="P2080" s="148">
        <v>2.25</v>
      </c>
      <c r="Q2080" s="148">
        <v>0</v>
      </c>
      <c r="R2080" s="148">
        <v>0</v>
      </c>
    </row>
    <row r="2081" spans="2:18" ht="15.75" hidden="1" thickBot="1" x14ac:dyDescent="0.3">
      <c r="B2081" s="725" t="s">
        <v>750</v>
      </c>
      <c r="C2081" s="722" t="s">
        <v>75</v>
      </c>
      <c r="D2081" t="s">
        <v>76</v>
      </c>
      <c r="E2081" s="147">
        <v>9.3149999999999997E-2</v>
      </c>
      <c r="F2081" s="147">
        <v>0.1</v>
      </c>
      <c r="G2081" s="147">
        <v>-6.8500000000000002E-3</v>
      </c>
      <c r="H2081" s="147">
        <v>-6.85</v>
      </c>
      <c r="I2081" s="729"/>
      <c r="J2081" s="147">
        <v>9.3149999999999997E-2</v>
      </c>
      <c r="K2081" s="147">
        <v>0</v>
      </c>
      <c r="L2081" s="147">
        <v>0.67420000000000002</v>
      </c>
      <c r="M2081" s="147">
        <v>2.0249999999999999</v>
      </c>
      <c r="N2081" s="147">
        <v>-1.3508</v>
      </c>
      <c r="O2081" s="147">
        <v>-66.706172839506166</v>
      </c>
      <c r="P2081" s="147">
        <v>0.41860000000000003</v>
      </c>
      <c r="Q2081" s="147">
        <v>0.25559999999999999</v>
      </c>
      <c r="R2081" s="147">
        <v>61.060678451982803</v>
      </c>
    </row>
    <row r="2082" spans="2:18" ht="15.75" hidden="1" thickBot="1" x14ac:dyDescent="0.3">
      <c r="B2082" s="725" t="s">
        <v>750</v>
      </c>
      <c r="C2082" s="722" t="s">
        <v>121</v>
      </c>
      <c r="D2082" t="s">
        <v>122</v>
      </c>
      <c r="E2082" s="148">
        <v>1.5E-3</v>
      </c>
      <c r="F2082" s="728"/>
      <c r="G2082" s="148">
        <v>1.5E-3</v>
      </c>
      <c r="H2082" s="148">
        <v>0</v>
      </c>
      <c r="I2082" s="728"/>
      <c r="J2082" s="148">
        <v>1.5E-3</v>
      </c>
      <c r="K2082" s="148">
        <v>0</v>
      </c>
      <c r="L2082" s="148">
        <v>1.5E-3</v>
      </c>
      <c r="M2082" s="728"/>
      <c r="N2082" s="148">
        <v>1.5E-3</v>
      </c>
      <c r="O2082" s="148">
        <v>0</v>
      </c>
      <c r="P2082" s="728"/>
      <c r="Q2082" s="148">
        <v>1.5E-3</v>
      </c>
      <c r="R2082" s="148">
        <v>0</v>
      </c>
    </row>
    <row r="2083" spans="2:18" ht="15.75" hidden="1" thickBot="1" x14ac:dyDescent="0.3">
      <c r="B2083" s="725" t="s">
        <v>750</v>
      </c>
      <c r="C2083" s="722" t="s">
        <v>77</v>
      </c>
      <c r="D2083" t="s">
        <v>78</v>
      </c>
      <c r="E2083" s="729"/>
      <c r="F2083" s="147">
        <v>0</v>
      </c>
      <c r="G2083" s="147">
        <v>0</v>
      </c>
      <c r="H2083" s="147">
        <v>0</v>
      </c>
      <c r="I2083" s="729"/>
      <c r="J2083" s="729"/>
      <c r="K2083" s="729"/>
      <c r="L2083" s="147">
        <v>3.61374</v>
      </c>
      <c r="M2083" s="147">
        <v>2</v>
      </c>
      <c r="N2083" s="147">
        <v>1.61374</v>
      </c>
      <c r="O2083" s="147">
        <v>80.686999999999998</v>
      </c>
      <c r="P2083" s="147">
        <v>1.27617</v>
      </c>
      <c r="Q2083" s="147">
        <v>2.3375699999999999</v>
      </c>
      <c r="R2083" s="147">
        <v>183.17073744093656</v>
      </c>
    </row>
    <row r="2084" spans="2:18" ht="15.75" hidden="1" thickBot="1" x14ac:dyDescent="0.3">
      <c r="B2084" s="725" t="s">
        <v>750</v>
      </c>
      <c r="C2084" s="722" t="s">
        <v>79</v>
      </c>
      <c r="D2084" t="s">
        <v>80</v>
      </c>
      <c r="E2084" s="728"/>
      <c r="F2084" s="148">
        <v>0.05</v>
      </c>
      <c r="G2084" s="148">
        <v>-0.05</v>
      </c>
      <c r="H2084" s="148">
        <v>-100</v>
      </c>
      <c r="I2084" s="728"/>
      <c r="J2084" s="728"/>
      <c r="K2084" s="728"/>
      <c r="L2084" s="148">
        <v>1.26881</v>
      </c>
      <c r="M2084" s="148">
        <v>0.375</v>
      </c>
      <c r="N2084" s="148">
        <v>0.89380999999999999</v>
      </c>
      <c r="O2084" s="148">
        <v>238.34933333333333</v>
      </c>
      <c r="P2084" s="148">
        <v>0.53549999999999998</v>
      </c>
      <c r="Q2084" s="148">
        <v>0.73331000000000002</v>
      </c>
      <c r="R2084" s="148">
        <v>136.93930905695612</v>
      </c>
    </row>
    <row r="2085" spans="2:18" ht="15.75" hidden="1" thickBot="1" x14ac:dyDescent="0.3">
      <c r="B2085" s="725" t="s">
        <v>750</v>
      </c>
      <c r="C2085" s="722" t="s">
        <v>81</v>
      </c>
      <c r="D2085" t="s">
        <v>82</v>
      </c>
      <c r="E2085" s="729"/>
      <c r="F2085" s="147">
        <v>0.05</v>
      </c>
      <c r="G2085" s="147">
        <v>-0.05</v>
      </c>
      <c r="H2085" s="147">
        <v>-100</v>
      </c>
      <c r="I2085" s="729"/>
      <c r="J2085" s="729"/>
      <c r="K2085" s="729"/>
      <c r="L2085" s="729"/>
      <c r="M2085" s="147">
        <v>0.7</v>
      </c>
      <c r="N2085" s="147">
        <v>-0.7</v>
      </c>
      <c r="O2085" s="147">
        <v>-100</v>
      </c>
      <c r="P2085" s="729"/>
      <c r="Q2085" s="729"/>
      <c r="R2085" s="729"/>
    </row>
    <row r="2086" spans="2:18" ht="15.75" hidden="1" thickBot="1" x14ac:dyDescent="0.3">
      <c r="B2086" s="725" t="s">
        <v>750</v>
      </c>
      <c r="C2086" s="722" t="s">
        <v>83</v>
      </c>
      <c r="D2086" t="s">
        <v>84</v>
      </c>
      <c r="E2086" s="728"/>
      <c r="F2086" s="148">
        <v>0</v>
      </c>
      <c r="G2086" s="148">
        <v>0</v>
      </c>
      <c r="H2086" s="148">
        <v>0</v>
      </c>
      <c r="I2086" s="728"/>
      <c r="J2086" s="728"/>
      <c r="K2086" s="728"/>
      <c r="L2086" s="728"/>
      <c r="M2086" s="148">
        <v>0</v>
      </c>
      <c r="N2086" s="148">
        <v>0</v>
      </c>
      <c r="O2086" s="148">
        <v>0</v>
      </c>
      <c r="P2086" s="728"/>
      <c r="Q2086" s="728"/>
      <c r="R2086" s="728"/>
    </row>
    <row r="2087" spans="2:18" ht="15.75" hidden="1" thickBot="1" x14ac:dyDescent="0.3">
      <c r="B2087" s="725" t="s">
        <v>750</v>
      </c>
      <c r="C2087" s="149" t="s">
        <v>85</v>
      </c>
      <c r="D2087" t="s">
        <v>86</v>
      </c>
      <c r="E2087" s="147">
        <v>11.92281</v>
      </c>
      <c r="F2087" s="147">
        <v>6.75</v>
      </c>
      <c r="G2087" s="147">
        <v>5.1728100000000001</v>
      </c>
      <c r="H2087" s="147">
        <v>76.63422222222222</v>
      </c>
      <c r="I2087" s="729"/>
      <c r="J2087" s="147">
        <v>11.92281</v>
      </c>
      <c r="K2087" s="147">
        <v>0</v>
      </c>
      <c r="L2087" s="147">
        <v>198.81229999999999</v>
      </c>
      <c r="M2087" s="147">
        <v>164.05</v>
      </c>
      <c r="N2087" s="147">
        <v>34.762300000000003</v>
      </c>
      <c r="O2087" s="147">
        <v>21.190064004876561</v>
      </c>
      <c r="P2087" s="147">
        <v>119.94670000000001</v>
      </c>
      <c r="Q2087" s="147">
        <v>78.865600000000001</v>
      </c>
      <c r="R2087" s="147">
        <v>65.750537530419763</v>
      </c>
    </row>
    <row r="2088" spans="2:18" ht="15.75" hidden="1" thickBot="1" x14ac:dyDescent="0.3">
      <c r="B2088" s="725" t="s">
        <v>750</v>
      </c>
      <c r="C2088" s="144" t="s">
        <v>87</v>
      </c>
      <c r="D2088" t="s">
        <v>87</v>
      </c>
      <c r="E2088" s="148">
        <v>61.850610000000003</v>
      </c>
      <c r="F2088" s="148">
        <v>60.829979999999999</v>
      </c>
      <c r="G2088" s="148">
        <v>1.0206299999999999</v>
      </c>
      <c r="H2088" s="148">
        <v>1.6778404332863499</v>
      </c>
      <c r="I2088" s="728"/>
      <c r="J2088" s="148">
        <v>61.850610000000003</v>
      </c>
      <c r="K2088" s="148">
        <v>0</v>
      </c>
      <c r="L2088" s="148">
        <v>791.60267999999996</v>
      </c>
      <c r="M2088" s="148">
        <v>809.60522000000003</v>
      </c>
      <c r="N2088" s="148">
        <v>-18.00254</v>
      </c>
      <c r="O2088" s="148">
        <v>-2.2236195562079009</v>
      </c>
      <c r="P2088" s="148">
        <v>400.17676999999998</v>
      </c>
      <c r="Q2088" s="148">
        <v>391.42590999999999</v>
      </c>
      <c r="R2088" s="148">
        <v>97.813251378884388</v>
      </c>
    </row>
    <row r="2089" spans="2:18" ht="15.75" hidden="1" thickBot="1" x14ac:dyDescent="0.3">
      <c r="B2089" s="725" t="s">
        <v>751</v>
      </c>
      <c r="C2089" s="722" t="s">
        <v>69</v>
      </c>
      <c r="D2089" t="s">
        <v>70</v>
      </c>
      <c r="E2089" s="729"/>
      <c r="F2089" s="729"/>
      <c r="G2089" s="729"/>
      <c r="H2089" s="729"/>
      <c r="I2089" s="729"/>
      <c r="J2089" s="729"/>
      <c r="K2089" s="729"/>
      <c r="L2089" s="729"/>
      <c r="M2089" s="147">
        <v>0</v>
      </c>
      <c r="N2089" s="147">
        <v>0</v>
      </c>
      <c r="O2089" s="147">
        <v>0</v>
      </c>
      <c r="P2089" s="729"/>
      <c r="Q2089" s="729"/>
      <c r="R2089" s="729"/>
    </row>
    <row r="2090" spans="2:18" ht="15.75" hidden="1" thickBot="1" x14ac:dyDescent="0.3">
      <c r="B2090" s="725" t="s">
        <v>751</v>
      </c>
      <c r="C2090" s="722" t="s">
        <v>101</v>
      </c>
      <c r="D2090" t="s">
        <v>102</v>
      </c>
      <c r="E2090" s="148">
        <v>2.7404999999999999</v>
      </c>
      <c r="F2090" s="148">
        <v>5</v>
      </c>
      <c r="G2090" s="148">
        <v>-2.2595000000000001</v>
      </c>
      <c r="H2090" s="148">
        <v>-45.19</v>
      </c>
      <c r="I2090" s="728"/>
      <c r="J2090" s="148">
        <v>2.7404999999999999</v>
      </c>
      <c r="K2090" s="148">
        <v>0</v>
      </c>
      <c r="L2090" s="148">
        <v>31.1968</v>
      </c>
      <c r="M2090" s="148">
        <v>19.649999999999999</v>
      </c>
      <c r="N2090" s="148">
        <v>11.546799999999999</v>
      </c>
      <c r="O2090" s="148">
        <v>58.762340966921123</v>
      </c>
      <c r="P2090" s="148">
        <v>14.898400000000001</v>
      </c>
      <c r="Q2090" s="148">
        <v>16.298400000000001</v>
      </c>
      <c r="R2090" s="148">
        <v>109.39698222627933</v>
      </c>
    </row>
    <row r="2091" spans="2:18" ht="15.75" hidden="1" thickBot="1" x14ac:dyDescent="0.3">
      <c r="B2091" s="725" t="s">
        <v>751</v>
      </c>
      <c r="C2091" s="722" t="s">
        <v>149</v>
      </c>
      <c r="D2091" t="s">
        <v>150</v>
      </c>
      <c r="E2091" s="147">
        <v>2.9049</v>
      </c>
      <c r="F2091" s="729"/>
      <c r="G2091" s="147">
        <v>2.9049</v>
      </c>
      <c r="H2091" s="147">
        <v>0</v>
      </c>
      <c r="I2091" s="729"/>
      <c r="J2091" s="147">
        <v>2.9049</v>
      </c>
      <c r="K2091" s="147">
        <v>0</v>
      </c>
      <c r="L2091" s="147">
        <v>2.9049</v>
      </c>
      <c r="M2091" s="729"/>
      <c r="N2091" s="147">
        <v>2.9049</v>
      </c>
      <c r="O2091" s="147">
        <v>0</v>
      </c>
      <c r="P2091" s="729"/>
      <c r="Q2091" s="147">
        <v>2.9049</v>
      </c>
      <c r="R2091" s="147">
        <v>0</v>
      </c>
    </row>
    <row r="2092" spans="2:18" ht="15.75" hidden="1" thickBot="1" x14ac:dyDescent="0.3">
      <c r="B2092" s="725" t="s">
        <v>751</v>
      </c>
      <c r="C2092" s="149" t="s">
        <v>85</v>
      </c>
      <c r="D2092" t="s">
        <v>86</v>
      </c>
      <c r="E2092" s="148">
        <v>5.6454000000000004</v>
      </c>
      <c r="F2092" s="148">
        <v>5</v>
      </c>
      <c r="G2092" s="148">
        <v>0.64539999999999997</v>
      </c>
      <c r="H2092" s="148">
        <v>12.907999999999999</v>
      </c>
      <c r="I2092" s="728"/>
      <c r="J2092" s="148">
        <v>5.6454000000000004</v>
      </c>
      <c r="K2092" s="148">
        <v>0</v>
      </c>
      <c r="L2092" s="148">
        <v>34.101700000000001</v>
      </c>
      <c r="M2092" s="148">
        <v>19.649999999999999</v>
      </c>
      <c r="N2092" s="148">
        <v>14.451700000000001</v>
      </c>
      <c r="O2092" s="148">
        <v>73.545547073791354</v>
      </c>
      <c r="P2092" s="148">
        <v>14.898400000000001</v>
      </c>
      <c r="Q2092" s="148">
        <v>19.203299999999999</v>
      </c>
      <c r="R2092" s="148">
        <v>128.89504913279279</v>
      </c>
    </row>
    <row r="2093" spans="2:18" ht="15.75" hidden="1" thickBot="1" x14ac:dyDescent="0.3">
      <c r="B2093" s="725" t="s">
        <v>751</v>
      </c>
      <c r="C2093" s="144" t="s">
        <v>87</v>
      </c>
      <c r="D2093" t="s">
        <v>87</v>
      </c>
      <c r="E2093" s="147">
        <v>5.6454000000000004</v>
      </c>
      <c r="F2093" s="147">
        <v>5</v>
      </c>
      <c r="G2093" s="147">
        <v>0.64539999999999997</v>
      </c>
      <c r="H2093" s="147">
        <v>12.907999999999999</v>
      </c>
      <c r="I2093" s="729"/>
      <c r="J2093" s="147">
        <v>5.6454000000000004</v>
      </c>
      <c r="K2093" s="147">
        <v>0</v>
      </c>
      <c r="L2093" s="147">
        <v>34.101700000000001</v>
      </c>
      <c r="M2093" s="147">
        <v>19.649999999999999</v>
      </c>
      <c r="N2093" s="147">
        <v>14.451700000000001</v>
      </c>
      <c r="O2093" s="147">
        <v>73.545547073791354</v>
      </c>
      <c r="P2093" s="147">
        <v>14.898400000000001</v>
      </c>
      <c r="Q2093" s="147">
        <v>19.203299999999999</v>
      </c>
      <c r="R2093" s="147">
        <v>128.89504913279279</v>
      </c>
    </row>
    <row r="2094" spans="2:18" ht="15.75" hidden="1" thickBot="1" x14ac:dyDescent="0.3">
      <c r="B2094" s="725" t="s">
        <v>752</v>
      </c>
      <c r="C2094" s="722" t="s">
        <v>59</v>
      </c>
      <c r="D2094" t="s">
        <v>60</v>
      </c>
      <c r="E2094" s="148">
        <v>21.78641</v>
      </c>
      <c r="F2094" s="148">
        <v>24.353960000000001</v>
      </c>
      <c r="G2094" s="148">
        <v>-2.5675500000000002</v>
      </c>
      <c r="H2094" s="148">
        <v>-10.542638650962719</v>
      </c>
      <c r="I2094" s="728"/>
      <c r="J2094" s="148">
        <v>21.78641</v>
      </c>
      <c r="K2094" s="148">
        <v>0</v>
      </c>
      <c r="L2094" s="148">
        <v>284.20708000000002</v>
      </c>
      <c r="M2094" s="148">
        <v>290.71433999999999</v>
      </c>
      <c r="N2094" s="148">
        <v>-6.5072599999999996</v>
      </c>
      <c r="O2094" s="148">
        <v>-2.2383691151939735</v>
      </c>
      <c r="P2094" s="148">
        <v>139.46928</v>
      </c>
      <c r="Q2094" s="148">
        <v>144.73779999999999</v>
      </c>
      <c r="R2094" s="148">
        <v>103.77754871897238</v>
      </c>
    </row>
    <row r="2095" spans="2:18" ht="15.75" hidden="1" thickBot="1" x14ac:dyDescent="0.3">
      <c r="B2095" s="725" t="s">
        <v>752</v>
      </c>
      <c r="C2095" s="722" t="s">
        <v>134</v>
      </c>
      <c r="D2095" t="s">
        <v>135</v>
      </c>
      <c r="E2095" s="147">
        <v>3.3970699999999998</v>
      </c>
      <c r="F2095" s="729"/>
      <c r="G2095" s="147">
        <v>3.3970699999999998</v>
      </c>
      <c r="H2095" s="147">
        <v>0</v>
      </c>
      <c r="I2095" s="729"/>
      <c r="J2095" s="147">
        <v>3.3970699999999998</v>
      </c>
      <c r="K2095" s="147">
        <v>0</v>
      </c>
      <c r="L2095" s="147">
        <v>32.940559999999998</v>
      </c>
      <c r="M2095" s="729"/>
      <c r="N2095" s="147">
        <v>32.940559999999998</v>
      </c>
      <c r="O2095" s="147">
        <v>0</v>
      </c>
      <c r="P2095" s="147">
        <v>11.42515</v>
      </c>
      <c r="Q2095" s="147">
        <v>21.515409999999999</v>
      </c>
      <c r="R2095" s="147">
        <v>188.31621466676586</v>
      </c>
    </row>
    <row r="2096" spans="2:18" ht="15.75" hidden="1" thickBot="1" x14ac:dyDescent="0.3">
      <c r="B2096" s="725" t="s">
        <v>752</v>
      </c>
      <c r="C2096" s="722" t="s">
        <v>61</v>
      </c>
      <c r="D2096" t="s">
        <v>62</v>
      </c>
      <c r="E2096" s="148">
        <v>3.6350500000000001</v>
      </c>
      <c r="F2096" s="148">
        <v>3.7748599999999999</v>
      </c>
      <c r="G2096" s="148">
        <v>-0.13980999999999999</v>
      </c>
      <c r="H2096" s="148">
        <v>-3.703713515203213</v>
      </c>
      <c r="I2096" s="728"/>
      <c r="J2096" s="148">
        <v>3.6350500000000001</v>
      </c>
      <c r="K2096" s="148">
        <v>0</v>
      </c>
      <c r="L2096" s="148">
        <v>42.177840000000003</v>
      </c>
      <c r="M2096" s="148">
        <v>45.060679999999998</v>
      </c>
      <c r="N2096" s="148">
        <v>-2.8828399999999998</v>
      </c>
      <c r="O2096" s="148">
        <v>-6.3976841894085927</v>
      </c>
      <c r="P2096" s="148">
        <v>20.36759</v>
      </c>
      <c r="Q2096" s="148">
        <v>21.81025</v>
      </c>
      <c r="R2096" s="148">
        <v>107.08311587183363</v>
      </c>
    </row>
    <row r="2097" spans="2:18" ht="15.75" hidden="1" thickBot="1" x14ac:dyDescent="0.3">
      <c r="B2097" s="725" t="s">
        <v>752</v>
      </c>
      <c r="C2097" s="722" t="s">
        <v>63</v>
      </c>
      <c r="D2097" t="s">
        <v>64</v>
      </c>
      <c r="E2097" s="147">
        <v>14.43924</v>
      </c>
      <c r="F2097" s="147">
        <v>14.68544</v>
      </c>
      <c r="G2097" s="147">
        <v>-0.2462</v>
      </c>
      <c r="H2097" s="147">
        <v>-1.6764904558528719</v>
      </c>
      <c r="I2097" s="729"/>
      <c r="J2097" s="147">
        <v>14.43924</v>
      </c>
      <c r="K2097" s="147">
        <v>0</v>
      </c>
      <c r="L2097" s="147">
        <v>167.04615000000001</v>
      </c>
      <c r="M2097" s="147">
        <v>175.30076</v>
      </c>
      <c r="N2097" s="147">
        <v>-8.2546099999999996</v>
      </c>
      <c r="O2097" s="147">
        <v>-4.7088272749074216</v>
      </c>
      <c r="P2097" s="147">
        <v>80.217399999999998</v>
      </c>
      <c r="Q2097" s="147">
        <v>86.828749999999999</v>
      </c>
      <c r="R2097" s="147">
        <v>108.24179043449426</v>
      </c>
    </row>
    <row r="2098" spans="2:18" ht="15.75" hidden="1" thickBot="1" x14ac:dyDescent="0.3">
      <c r="B2098" s="725" t="s">
        <v>752</v>
      </c>
      <c r="C2098" s="722" t="s">
        <v>65</v>
      </c>
      <c r="D2098" t="s">
        <v>66</v>
      </c>
      <c r="E2098" s="148">
        <v>-1.03512</v>
      </c>
      <c r="F2098" s="148">
        <v>-0.90681999999999996</v>
      </c>
      <c r="G2098" s="148">
        <v>-0.1283</v>
      </c>
      <c r="H2098" s="148">
        <v>-14.148342559714166</v>
      </c>
      <c r="I2098" s="728"/>
      <c r="J2098" s="148">
        <v>-1.03512</v>
      </c>
      <c r="K2098" s="148">
        <v>0</v>
      </c>
      <c r="L2098" s="148">
        <v>-7.6293600000000001</v>
      </c>
      <c r="M2098" s="148">
        <v>-10.824759999999999</v>
      </c>
      <c r="N2098" s="148">
        <v>3.1953999999999998</v>
      </c>
      <c r="O2098" s="148">
        <v>29.519361168284561</v>
      </c>
      <c r="P2098" s="148">
        <v>-3.83392</v>
      </c>
      <c r="Q2098" s="148">
        <v>-3.7954400000000001</v>
      </c>
      <c r="R2098" s="148">
        <v>-98.996327518571064</v>
      </c>
    </row>
    <row r="2099" spans="2:18" ht="15.75" hidden="1" thickBot="1" x14ac:dyDescent="0.3">
      <c r="B2099" s="725" t="s">
        <v>752</v>
      </c>
      <c r="C2099" s="149" t="s">
        <v>67</v>
      </c>
      <c r="D2099" t="s">
        <v>68</v>
      </c>
      <c r="E2099" s="147">
        <v>42.222650000000002</v>
      </c>
      <c r="F2099" s="147">
        <v>41.907440000000001</v>
      </c>
      <c r="G2099" s="147">
        <v>0.31520999999999999</v>
      </c>
      <c r="H2099" s="147">
        <v>0.75215761210897158</v>
      </c>
      <c r="I2099" s="729"/>
      <c r="J2099" s="147">
        <v>42.222650000000002</v>
      </c>
      <c r="K2099" s="147">
        <v>0</v>
      </c>
      <c r="L2099" s="147">
        <v>518.74226999999996</v>
      </c>
      <c r="M2099" s="147">
        <v>500.25101999999998</v>
      </c>
      <c r="N2099" s="147">
        <v>18.491250000000001</v>
      </c>
      <c r="O2099" s="147">
        <v>3.6963942622245929</v>
      </c>
      <c r="P2099" s="147">
        <v>247.6455</v>
      </c>
      <c r="Q2099" s="147">
        <v>271.09676999999999</v>
      </c>
      <c r="R2099" s="147">
        <v>109.46969357408069</v>
      </c>
    </row>
    <row r="2100" spans="2:18" ht="15.75" hidden="1" thickBot="1" x14ac:dyDescent="0.3">
      <c r="B2100" s="725" t="s">
        <v>752</v>
      </c>
      <c r="C2100" s="722" t="s">
        <v>69</v>
      </c>
      <c r="D2100" t="s">
        <v>70</v>
      </c>
      <c r="E2100" s="728"/>
      <c r="F2100" s="148">
        <v>0.75</v>
      </c>
      <c r="G2100" s="148">
        <v>-0.75</v>
      </c>
      <c r="H2100" s="148">
        <v>-100</v>
      </c>
      <c r="I2100" s="728"/>
      <c r="J2100" s="728"/>
      <c r="K2100" s="728"/>
      <c r="L2100" s="148">
        <v>5.4489999999999998</v>
      </c>
      <c r="M2100" s="148">
        <v>9</v>
      </c>
      <c r="N2100" s="148">
        <v>-3.5510000000000002</v>
      </c>
      <c r="O2100" s="148">
        <v>-39.455555555555556</v>
      </c>
      <c r="P2100" s="148">
        <v>4.6100000000000003</v>
      </c>
      <c r="Q2100" s="148">
        <v>0.83899999999999997</v>
      </c>
      <c r="R2100" s="148">
        <v>18.199566160520607</v>
      </c>
    </row>
    <row r="2101" spans="2:18" ht="15.75" hidden="1" thickBot="1" x14ac:dyDescent="0.3">
      <c r="B2101" s="725" t="s">
        <v>752</v>
      </c>
      <c r="C2101" s="722" t="s">
        <v>137</v>
      </c>
      <c r="D2101" t="s">
        <v>138</v>
      </c>
      <c r="E2101" s="729"/>
      <c r="F2101" s="729"/>
      <c r="G2101" s="729"/>
      <c r="H2101" s="729"/>
      <c r="I2101" s="729"/>
      <c r="J2101" s="729"/>
      <c r="K2101" s="729"/>
      <c r="L2101" s="147">
        <v>0.29430000000000001</v>
      </c>
      <c r="M2101" s="729"/>
      <c r="N2101" s="147">
        <v>0.29430000000000001</v>
      </c>
      <c r="O2101" s="147">
        <v>0</v>
      </c>
      <c r="P2101" s="147">
        <v>5.2319999999999998E-2</v>
      </c>
      <c r="Q2101" s="147">
        <v>0.24198</v>
      </c>
      <c r="R2101" s="147">
        <v>462.5</v>
      </c>
    </row>
    <row r="2102" spans="2:18" ht="15.75" hidden="1" thickBot="1" x14ac:dyDescent="0.3">
      <c r="B2102" s="725" t="s">
        <v>752</v>
      </c>
      <c r="C2102" s="722" t="s">
        <v>598</v>
      </c>
      <c r="D2102" t="s">
        <v>168</v>
      </c>
      <c r="E2102" s="728"/>
      <c r="F2102" s="728"/>
      <c r="G2102" s="728"/>
      <c r="H2102" s="728"/>
      <c r="I2102" s="728"/>
      <c r="J2102" s="728"/>
      <c r="K2102" s="728"/>
      <c r="L2102" s="728"/>
      <c r="M2102" s="148">
        <v>0</v>
      </c>
      <c r="N2102" s="148">
        <v>0</v>
      </c>
      <c r="O2102" s="148">
        <v>0</v>
      </c>
      <c r="P2102" s="728"/>
      <c r="Q2102" s="728"/>
      <c r="R2102" s="728"/>
    </row>
    <row r="2103" spans="2:18" ht="15.75" hidden="1" thickBot="1" x14ac:dyDescent="0.3">
      <c r="B2103" s="725" t="s">
        <v>752</v>
      </c>
      <c r="C2103" s="722" t="s">
        <v>139</v>
      </c>
      <c r="D2103" t="s">
        <v>140</v>
      </c>
      <c r="E2103" s="147">
        <v>0.20899999999999999</v>
      </c>
      <c r="F2103" s="147">
        <v>8.3000000000000004E-2</v>
      </c>
      <c r="G2103" s="147">
        <v>0.126</v>
      </c>
      <c r="H2103" s="147">
        <v>151.80722891566265</v>
      </c>
      <c r="I2103" s="729"/>
      <c r="J2103" s="147">
        <v>0.20899999999999999</v>
      </c>
      <c r="K2103" s="147">
        <v>0</v>
      </c>
      <c r="L2103" s="147">
        <v>0.97</v>
      </c>
      <c r="M2103" s="147">
        <v>1</v>
      </c>
      <c r="N2103" s="147">
        <v>-0.03</v>
      </c>
      <c r="O2103" s="147">
        <v>-3</v>
      </c>
      <c r="P2103" s="147">
        <v>0.76100000000000001</v>
      </c>
      <c r="Q2103" s="147">
        <v>0.20899999999999999</v>
      </c>
      <c r="R2103" s="147">
        <v>27.463863337713533</v>
      </c>
    </row>
    <row r="2104" spans="2:18" ht="15.75" hidden="1" thickBot="1" x14ac:dyDescent="0.3">
      <c r="B2104" s="725" t="s">
        <v>752</v>
      </c>
      <c r="C2104" s="722" t="s">
        <v>169</v>
      </c>
      <c r="D2104" t="s">
        <v>170</v>
      </c>
      <c r="E2104" s="728"/>
      <c r="F2104" s="148">
        <v>1.75</v>
      </c>
      <c r="G2104" s="148">
        <v>-1.75</v>
      </c>
      <c r="H2104" s="148">
        <v>-100</v>
      </c>
      <c r="I2104" s="728"/>
      <c r="J2104" s="728"/>
      <c r="K2104" s="728"/>
      <c r="L2104" s="728"/>
      <c r="M2104" s="148">
        <v>21</v>
      </c>
      <c r="N2104" s="148">
        <v>-21</v>
      </c>
      <c r="O2104" s="148">
        <v>-100</v>
      </c>
      <c r="P2104" s="728"/>
      <c r="Q2104" s="728"/>
      <c r="R2104" s="728"/>
    </row>
    <row r="2105" spans="2:18" ht="15.75" hidden="1" thickBot="1" x14ac:dyDescent="0.3">
      <c r="B2105" s="725" t="s">
        <v>752</v>
      </c>
      <c r="C2105" s="722" t="s">
        <v>101</v>
      </c>
      <c r="D2105" t="s">
        <v>102</v>
      </c>
      <c r="E2105" s="729"/>
      <c r="F2105" s="729"/>
      <c r="G2105" s="729"/>
      <c r="H2105" s="729"/>
      <c r="I2105" s="729"/>
      <c r="J2105" s="729"/>
      <c r="K2105" s="729"/>
      <c r="L2105" s="147">
        <v>0.58328000000000002</v>
      </c>
      <c r="M2105" s="729"/>
      <c r="N2105" s="147">
        <v>0.58328000000000002</v>
      </c>
      <c r="O2105" s="147">
        <v>0</v>
      </c>
      <c r="P2105" s="147">
        <v>8.7150000000000005E-2</v>
      </c>
      <c r="Q2105" s="147">
        <v>0.49613000000000002</v>
      </c>
      <c r="R2105" s="147">
        <v>569.28284566838784</v>
      </c>
    </row>
    <row r="2106" spans="2:18" ht="15.75" hidden="1" thickBot="1" x14ac:dyDescent="0.3">
      <c r="B2106" s="725" t="s">
        <v>752</v>
      </c>
      <c r="C2106" s="722" t="s">
        <v>71</v>
      </c>
      <c r="D2106" t="s">
        <v>72</v>
      </c>
      <c r="E2106" s="728"/>
      <c r="F2106" s="728"/>
      <c r="G2106" s="728"/>
      <c r="H2106" s="728"/>
      <c r="I2106" s="728"/>
      <c r="J2106" s="728"/>
      <c r="K2106" s="728"/>
      <c r="L2106" s="148">
        <v>0</v>
      </c>
      <c r="M2106" s="728"/>
      <c r="N2106" s="148">
        <v>0</v>
      </c>
      <c r="O2106" s="148">
        <v>0</v>
      </c>
      <c r="P2106" s="148">
        <v>-0.01</v>
      </c>
      <c r="Q2106" s="148">
        <v>0.01</v>
      </c>
      <c r="R2106" s="148">
        <v>100</v>
      </c>
    </row>
    <row r="2107" spans="2:18" ht="15.75" hidden="1" thickBot="1" x14ac:dyDescent="0.3">
      <c r="B2107" s="725" t="s">
        <v>752</v>
      </c>
      <c r="C2107" s="722" t="s">
        <v>73</v>
      </c>
      <c r="D2107" t="s">
        <v>74</v>
      </c>
      <c r="E2107" s="729"/>
      <c r="F2107" s="147">
        <v>0.06</v>
      </c>
      <c r="G2107" s="147">
        <v>-0.06</v>
      </c>
      <c r="H2107" s="147">
        <v>-100</v>
      </c>
      <c r="I2107" s="729"/>
      <c r="J2107" s="729"/>
      <c r="K2107" s="729"/>
      <c r="L2107" s="729"/>
      <c r="M2107" s="147">
        <v>0.5</v>
      </c>
      <c r="N2107" s="147">
        <v>-0.5</v>
      </c>
      <c r="O2107" s="147">
        <v>-100</v>
      </c>
      <c r="P2107" s="729"/>
      <c r="Q2107" s="729"/>
      <c r="R2107" s="729"/>
    </row>
    <row r="2108" spans="2:18" ht="15.75" hidden="1" thickBot="1" x14ac:dyDescent="0.3">
      <c r="B2108" s="725" t="s">
        <v>752</v>
      </c>
      <c r="C2108" s="722" t="s">
        <v>145</v>
      </c>
      <c r="D2108" t="s">
        <v>146</v>
      </c>
      <c r="E2108" s="728"/>
      <c r="F2108" s="728"/>
      <c r="G2108" s="728"/>
      <c r="H2108" s="728"/>
      <c r="I2108" s="728"/>
      <c r="J2108" s="728"/>
      <c r="K2108" s="728"/>
      <c r="L2108" s="148">
        <v>9.2999999999999999E-2</v>
      </c>
      <c r="M2108" s="728"/>
      <c r="N2108" s="148">
        <v>9.2999999999999999E-2</v>
      </c>
      <c r="O2108" s="148">
        <v>0</v>
      </c>
      <c r="P2108" s="148">
        <v>9.2999999999999999E-2</v>
      </c>
      <c r="Q2108" s="148">
        <v>0</v>
      </c>
      <c r="R2108" s="148">
        <v>0</v>
      </c>
    </row>
    <row r="2109" spans="2:18" ht="15.75" hidden="1" thickBot="1" x14ac:dyDescent="0.3">
      <c r="B2109" s="725" t="s">
        <v>752</v>
      </c>
      <c r="C2109" s="722" t="s">
        <v>147</v>
      </c>
      <c r="D2109" t="s">
        <v>148</v>
      </c>
      <c r="E2109" s="729"/>
      <c r="F2109" s="729"/>
      <c r="G2109" s="729"/>
      <c r="H2109" s="729"/>
      <c r="I2109" s="729"/>
      <c r="J2109" s="729"/>
      <c r="K2109" s="729"/>
      <c r="L2109" s="147">
        <v>2.5999999999999999E-2</v>
      </c>
      <c r="M2109" s="729"/>
      <c r="N2109" s="147">
        <v>2.5999999999999999E-2</v>
      </c>
      <c r="O2109" s="147">
        <v>0</v>
      </c>
      <c r="P2109" s="729"/>
      <c r="Q2109" s="147">
        <v>2.5999999999999999E-2</v>
      </c>
      <c r="R2109" s="147">
        <v>0</v>
      </c>
    </row>
    <row r="2110" spans="2:18" ht="15.75" hidden="1" thickBot="1" x14ac:dyDescent="0.3">
      <c r="B2110" s="725" t="s">
        <v>752</v>
      </c>
      <c r="C2110" s="722" t="s">
        <v>149</v>
      </c>
      <c r="D2110" t="s">
        <v>150</v>
      </c>
      <c r="E2110" s="728"/>
      <c r="F2110" s="148">
        <v>1.8260000000000001</v>
      </c>
      <c r="G2110" s="148">
        <v>-1.8260000000000001</v>
      </c>
      <c r="H2110" s="148">
        <v>-100</v>
      </c>
      <c r="I2110" s="728"/>
      <c r="J2110" s="728"/>
      <c r="K2110" s="728"/>
      <c r="L2110" s="148">
        <v>5.3</v>
      </c>
      <c r="M2110" s="148">
        <v>22</v>
      </c>
      <c r="N2110" s="148">
        <v>-16.7</v>
      </c>
      <c r="O2110" s="148">
        <v>-75.909090909090907</v>
      </c>
      <c r="P2110" s="148">
        <v>2.7</v>
      </c>
      <c r="Q2110" s="148">
        <v>2.6</v>
      </c>
      <c r="R2110" s="148">
        <v>96.296296296296291</v>
      </c>
    </row>
    <row r="2111" spans="2:18" ht="15.75" hidden="1" thickBot="1" x14ac:dyDescent="0.3">
      <c r="B2111" s="725" t="s">
        <v>752</v>
      </c>
      <c r="C2111" s="722" t="s">
        <v>75</v>
      </c>
      <c r="D2111" t="s">
        <v>76</v>
      </c>
      <c r="E2111" s="147">
        <v>0.27267000000000002</v>
      </c>
      <c r="F2111" s="147">
        <v>0.8</v>
      </c>
      <c r="G2111" s="147">
        <v>-0.52732999999999997</v>
      </c>
      <c r="H2111" s="147">
        <v>-65.916250000000005</v>
      </c>
      <c r="I2111" s="729"/>
      <c r="J2111" s="147">
        <v>0.27267000000000002</v>
      </c>
      <c r="K2111" s="147">
        <v>0</v>
      </c>
      <c r="L2111" s="147">
        <v>3.0541299999999998</v>
      </c>
      <c r="M2111" s="147">
        <v>9.6</v>
      </c>
      <c r="N2111" s="147">
        <v>-6.5458699999999999</v>
      </c>
      <c r="O2111" s="147">
        <v>-68.186145833333327</v>
      </c>
      <c r="P2111" s="147">
        <v>1.08857</v>
      </c>
      <c r="Q2111" s="147">
        <v>1.96556</v>
      </c>
      <c r="R2111" s="147">
        <v>180.56349155313853</v>
      </c>
    </row>
    <row r="2112" spans="2:18" ht="15.75" hidden="1" thickBot="1" x14ac:dyDescent="0.3">
      <c r="B2112" s="725" t="s">
        <v>752</v>
      </c>
      <c r="C2112" s="722" t="s">
        <v>77</v>
      </c>
      <c r="D2112" t="s">
        <v>78</v>
      </c>
      <c r="E2112" s="728"/>
      <c r="F2112" s="148">
        <v>0.5</v>
      </c>
      <c r="G2112" s="148">
        <v>-0.5</v>
      </c>
      <c r="H2112" s="148">
        <v>-100</v>
      </c>
      <c r="I2112" s="728"/>
      <c r="J2112" s="728"/>
      <c r="K2112" s="728"/>
      <c r="L2112" s="148">
        <v>4.7172900000000002</v>
      </c>
      <c r="M2112" s="148">
        <v>6</v>
      </c>
      <c r="N2112" s="148">
        <v>-1.28271</v>
      </c>
      <c r="O2112" s="148">
        <v>-21.378499999999999</v>
      </c>
      <c r="P2112" s="148">
        <v>3.7131500000000002</v>
      </c>
      <c r="Q2112" s="148">
        <v>1.00414</v>
      </c>
      <c r="R2112" s="148">
        <v>27.042807319930517</v>
      </c>
    </row>
    <row r="2113" spans="2:18" ht="15.75" hidden="1" thickBot="1" x14ac:dyDescent="0.3">
      <c r="B2113" s="725" t="s">
        <v>752</v>
      </c>
      <c r="C2113" s="722" t="s">
        <v>79</v>
      </c>
      <c r="D2113" t="s">
        <v>80</v>
      </c>
      <c r="E2113" s="729"/>
      <c r="F2113" s="147">
        <v>0.125</v>
      </c>
      <c r="G2113" s="147">
        <v>-0.125</v>
      </c>
      <c r="H2113" s="147">
        <v>-100</v>
      </c>
      <c r="I2113" s="729"/>
      <c r="J2113" s="729"/>
      <c r="K2113" s="729"/>
      <c r="L2113" s="147">
        <v>9.4999999999999998E-3</v>
      </c>
      <c r="M2113" s="147">
        <v>1.5</v>
      </c>
      <c r="N2113" s="147">
        <v>-1.4904999999999999</v>
      </c>
      <c r="O2113" s="147">
        <v>-99.36666666666666</v>
      </c>
      <c r="P2113" s="147">
        <v>9.4999999999999998E-3</v>
      </c>
      <c r="Q2113" s="147">
        <v>0</v>
      </c>
      <c r="R2113" s="147">
        <v>0</v>
      </c>
    </row>
    <row r="2114" spans="2:18" ht="15.75" hidden="1" thickBot="1" x14ac:dyDescent="0.3">
      <c r="B2114" s="725" t="s">
        <v>752</v>
      </c>
      <c r="C2114" s="722" t="s">
        <v>81</v>
      </c>
      <c r="D2114" t="s">
        <v>82</v>
      </c>
      <c r="E2114" s="148">
        <v>0.308</v>
      </c>
      <c r="F2114" s="728"/>
      <c r="G2114" s="148">
        <v>0.308</v>
      </c>
      <c r="H2114" s="148">
        <v>0</v>
      </c>
      <c r="I2114" s="728"/>
      <c r="J2114" s="148">
        <v>0.308</v>
      </c>
      <c r="K2114" s="148">
        <v>0</v>
      </c>
      <c r="L2114" s="148">
        <v>0.52400000000000002</v>
      </c>
      <c r="M2114" s="728"/>
      <c r="N2114" s="148">
        <v>0.52400000000000002</v>
      </c>
      <c r="O2114" s="148">
        <v>0</v>
      </c>
      <c r="P2114" s="148">
        <v>0.158</v>
      </c>
      <c r="Q2114" s="148">
        <v>0.36599999999999999</v>
      </c>
      <c r="R2114" s="148">
        <v>231.64556962025316</v>
      </c>
    </row>
    <row r="2115" spans="2:18" ht="15.75" hidden="1" thickBot="1" x14ac:dyDescent="0.3">
      <c r="B2115" s="725" t="s">
        <v>752</v>
      </c>
      <c r="C2115" s="722" t="s">
        <v>83</v>
      </c>
      <c r="D2115" t="s">
        <v>84</v>
      </c>
      <c r="E2115" s="729"/>
      <c r="F2115" s="147">
        <v>7.4999999999999997E-2</v>
      </c>
      <c r="G2115" s="147">
        <v>-7.4999999999999997E-2</v>
      </c>
      <c r="H2115" s="147">
        <v>-100</v>
      </c>
      <c r="I2115" s="729"/>
      <c r="J2115" s="729"/>
      <c r="K2115" s="729"/>
      <c r="L2115" s="729"/>
      <c r="M2115" s="147">
        <v>0.9</v>
      </c>
      <c r="N2115" s="147">
        <v>-0.9</v>
      </c>
      <c r="O2115" s="147">
        <v>-100</v>
      </c>
      <c r="P2115" s="729"/>
      <c r="Q2115" s="729"/>
      <c r="R2115" s="729"/>
    </row>
    <row r="2116" spans="2:18" ht="15.75" hidden="1" thickBot="1" x14ac:dyDescent="0.3">
      <c r="B2116" s="725" t="s">
        <v>752</v>
      </c>
      <c r="C2116" s="149" t="s">
        <v>85</v>
      </c>
      <c r="D2116" t="s">
        <v>86</v>
      </c>
      <c r="E2116" s="148">
        <v>0.78966999999999998</v>
      </c>
      <c r="F2116" s="148">
        <v>5.9690000000000003</v>
      </c>
      <c r="G2116" s="148">
        <v>-5.1793300000000002</v>
      </c>
      <c r="H2116" s="148">
        <v>-86.770480817557385</v>
      </c>
      <c r="I2116" s="728"/>
      <c r="J2116" s="148">
        <v>0.78966999999999998</v>
      </c>
      <c r="K2116" s="148">
        <v>0</v>
      </c>
      <c r="L2116" s="148">
        <v>21.020499999999998</v>
      </c>
      <c r="M2116" s="148">
        <v>71.5</v>
      </c>
      <c r="N2116" s="148">
        <v>-50.479500000000002</v>
      </c>
      <c r="O2116" s="148">
        <v>-70.600699300699304</v>
      </c>
      <c r="P2116" s="148">
        <v>13.262689999999999</v>
      </c>
      <c r="Q2116" s="148">
        <v>7.7578100000000001</v>
      </c>
      <c r="R2116" s="148">
        <v>58.493488123450071</v>
      </c>
    </row>
    <row r="2117" spans="2:18" ht="15.75" hidden="1" thickBot="1" x14ac:dyDescent="0.3">
      <c r="B2117" s="725" t="s">
        <v>752</v>
      </c>
      <c r="C2117" s="144" t="s">
        <v>87</v>
      </c>
      <c r="D2117" t="s">
        <v>87</v>
      </c>
      <c r="E2117" s="147">
        <v>43.012320000000003</v>
      </c>
      <c r="F2117" s="147">
        <v>47.876440000000002</v>
      </c>
      <c r="G2117" s="147">
        <v>-4.8641199999999998</v>
      </c>
      <c r="H2117" s="147">
        <v>-10.159736187569502</v>
      </c>
      <c r="I2117" s="729"/>
      <c r="J2117" s="147">
        <v>43.012320000000003</v>
      </c>
      <c r="K2117" s="147">
        <v>0</v>
      </c>
      <c r="L2117" s="147">
        <v>539.76277000000005</v>
      </c>
      <c r="M2117" s="147">
        <v>571.75102000000004</v>
      </c>
      <c r="N2117" s="147">
        <v>-31.988250000000001</v>
      </c>
      <c r="O2117" s="147">
        <v>-5.5947866957893666</v>
      </c>
      <c r="P2117" s="147">
        <v>260.90818999999999</v>
      </c>
      <c r="Q2117" s="147">
        <v>278.85458</v>
      </c>
      <c r="R2117" s="147">
        <v>106.87843106803201</v>
      </c>
    </row>
    <row r="2118" spans="2:18" ht="15.75" hidden="1" thickBot="1" x14ac:dyDescent="0.3">
      <c r="B2118" s="145" t="s">
        <v>753</v>
      </c>
      <c r="C2118" s="722" t="s">
        <v>59</v>
      </c>
      <c r="D2118" t="s">
        <v>60</v>
      </c>
      <c r="E2118" s="148">
        <v>113.33256</v>
      </c>
      <c r="F2118" s="148">
        <v>144.84146000000001</v>
      </c>
      <c r="G2118" s="148">
        <v>-31.508900000000001</v>
      </c>
      <c r="H2118" s="148">
        <v>-21.754061302613216</v>
      </c>
      <c r="I2118" s="728"/>
      <c r="J2118" s="148">
        <v>113.33256</v>
      </c>
      <c r="K2118" s="148">
        <v>0</v>
      </c>
      <c r="L2118" s="148">
        <v>1658.9796200000001</v>
      </c>
      <c r="M2118" s="148">
        <v>1755.71947</v>
      </c>
      <c r="N2118" s="148">
        <v>-96.739850000000004</v>
      </c>
      <c r="O2118" s="148">
        <v>-5.5099833232469653</v>
      </c>
      <c r="P2118" s="148">
        <v>863.83347000000003</v>
      </c>
      <c r="Q2118" s="148">
        <v>795.14615000000003</v>
      </c>
      <c r="R2118" s="148">
        <v>92.048546116186031</v>
      </c>
    </row>
    <row r="2119" spans="2:18" ht="15.75" hidden="1" thickBot="1" x14ac:dyDescent="0.3">
      <c r="B2119" s="145" t="s">
        <v>753</v>
      </c>
      <c r="C2119" s="722" t="s">
        <v>91</v>
      </c>
      <c r="D2119" t="s">
        <v>92</v>
      </c>
      <c r="E2119" s="729"/>
      <c r="F2119" s="729"/>
      <c r="G2119" s="729"/>
      <c r="H2119" s="729"/>
      <c r="I2119" s="729"/>
      <c r="J2119" s="729"/>
      <c r="K2119" s="729"/>
      <c r="L2119" s="147">
        <v>-0.53290000000000004</v>
      </c>
      <c r="M2119" s="729"/>
      <c r="N2119" s="147">
        <v>-0.53290000000000004</v>
      </c>
      <c r="O2119" s="147">
        <v>0</v>
      </c>
      <c r="P2119" s="729"/>
      <c r="Q2119" s="147">
        <v>-0.53290000000000004</v>
      </c>
      <c r="R2119" s="147">
        <v>0</v>
      </c>
    </row>
    <row r="2120" spans="2:18" ht="15.75" hidden="1" thickBot="1" x14ac:dyDescent="0.3">
      <c r="B2120" s="145" t="s">
        <v>753</v>
      </c>
      <c r="C2120" s="722" t="s">
        <v>134</v>
      </c>
      <c r="D2120" t="s">
        <v>135</v>
      </c>
      <c r="E2120" s="148">
        <v>4.8333300000000001</v>
      </c>
      <c r="F2120" s="728"/>
      <c r="G2120" s="148">
        <v>4.8333300000000001</v>
      </c>
      <c r="H2120" s="148">
        <v>0</v>
      </c>
      <c r="I2120" s="728"/>
      <c r="J2120" s="148">
        <v>4.8333300000000001</v>
      </c>
      <c r="K2120" s="148">
        <v>0</v>
      </c>
      <c r="L2120" s="148">
        <v>49.354309999999998</v>
      </c>
      <c r="M2120" s="728"/>
      <c r="N2120" s="148">
        <v>49.354309999999998</v>
      </c>
      <c r="O2120" s="148">
        <v>0</v>
      </c>
      <c r="P2120" s="148">
        <v>16.86666</v>
      </c>
      <c r="Q2120" s="148">
        <v>32.487650000000002</v>
      </c>
      <c r="R2120" s="148">
        <v>192.61460182395328</v>
      </c>
    </row>
    <row r="2121" spans="2:18" ht="15.75" hidden="1" thickBot="1" x14ac:dyDescent="0.3">
      <c r="B2121" s="145" t="s">
        <v>753</v>
      </c>
      <c r="C2121" s="722" t="s">
        <v>568</v>
      </c>
      <c r="D2121" t="s">
        <v>569</v>
      </c>
      <c r="E2121" s="147">
        <v>2.2543700000000002</v>
      </c>
      <c r="F2121" s="729"/>
      <c r="G2121" s="147">
        <v>2.2543700000000002</v>
      </c>
      <c r="H2121" s="147">
        <v>0</v>
      </c>
      <c r="I2121" s="729"/>
      <c r="J2121" s="147">
        <v>2.2543700000000002</v>
      </c>
      <c r="K2121" s="147">
        <v>0</v>
      </c>
      <c r="L2121" s="147">
        <v>12.378920000000001</v>
      </c>
      <c r="M2121" s="729"/>
      <c r="N2121" s="147">
        <v>12.378920000000001</v>
      </c>
      <c r="O2121" s="147">
        <v>0</v>
      </c>
      <c r="P2121" s="729"/>
      <c r="Q2121" s="147">
        <v>12.378920000000001</v>
      </c>
      <c r="R2121" s="147">
        <v>0</v>
      </c>
    </row>
    <row r="2122" spans="2:18" ht="15.75" hidden="1" thickBot="1" x14ac:dyDescent="0.3">
      <c r="B2122" s="145" t="s">
        <v>753</v>
      </c>
      <c r="C2122" s="722" t="s">
        <v>61</v>
      </c>
      <c r="D2122" t="s">
        <v>62</v>
      </c>
      <c r="E2122" s="148">
        <v>21.423279999999998</v>
      </c>
      <c r="F2122" s="148">
        <v>22.450420000000001</v>
      </c>
      <c r="G2122" s="148">
        <v>-1.0271399999999999</v>
      </c>
      <c r="H2122" s="148">
        <v>-4.5751482600325515</v>
      </c>
      <c r="I2122" s="728"/>
      <c r="J2122" s="148">
        <v>21.423279999999998</v>
      </c>
      <c r="K2122" s="148">
        <v>0</v>
      </c>
      <c r="L2122" s="148">
        <v>253.73305999999999</v>
      </c>
      <c r="M2122" s="148">
        <v>272.13643999999999</v>
      </c>
      <c r="N2122" s="148">
        <v>-18.403379999999999</v>
      </c>
      <c r="O2122" s="148">
        <v>-6.7625563118265237</v>
      </c>
      <c r="P2122" s="148">
        <v>125.24272000000001</v>
      </c>
      <c r="Q2122" s="148">
        <v>128.49034</v>
      </c>
      <c r="R2122" s="148">
        <v>102.59306089807056</v>
      </c>
    </row>
    <row r="2123" spans="2:18" ht="15.75" hidden="1" thickBot="1" x14ac:dyDescent="0.3">
      <c r="B2123" s="145" t="s">
        <v>753</v>
      </c>
      <c r="C2123" s="722" t="s">
        <v>63</v>
      </c>
      <c r="D2123" t="s">
        <v>64</v>
      </c>
      <c r="E2123" s="147">
        <v>83.710729999999998</v>
      </c>
      <c r="F2123" s="147">
        <v>87.339389999999995</v>
      </c>
      <c r="G2123" s="147">
        <v>-3.62866</v>
      </c>
      <c r="H2123" s="147">
        <v>-4.1546660676242411</v>
      </c>
      <c r="I2123" s="729"/>
      <c r="J2123" s="147">
        <v>83.710729999999998</v>
      </c>
      <c r="K2123" s="147">
        <v>0</v>
      </c>
      <c r="L2123" s="147">
        <v>991.09578999999997</v>
      </c>
      <c r="M2123" s="147">
        <v>1058.6986999999999</v>
      </c>
      <c r="N2123" s="147">
        <v>-67.602909999999994</v>
      </c>
      <c r="O2123" s="147">
        <v>-6.3854720894622803</v>
      </c>
      <c r="P2123" s="147">
        <v>489.02316000000002</v>
      </c>
      <c r="Q2123" s="147">
        <v>502.07263</v>
      </c>
      <c r="R2123" s="147">
        <v>102.66847688767952</v>
      </c>
    </row>
    <row r="2124" spans="2:18" ht="15.75" hidden="1" thickBot="1" x14ac:dyDescent="0.3">
      <c r="B2124" s="145" t="s">
        <v>753</v>
      </c>
      <c r="C2124" s="722" t="s">
        <v>156</v>
      </c>
      <c r="D2124" t="s">
        <v>157</v>
      </c>
      <c r="E2124" s="148">
        <v>33.028930000000003</v>
      </c>
      <c r="F2124" s="148">
        <v>37.689729999999997</v>
      </c>
      <c r="G2124" s="148">
        <v>-4.6608000000000001</v>
      </c>
      <c r="H2124" s="148">
        <v>-12.36623345404703</v>
      </c>
      <c r="I2124" s="728"/>
      <c r="J2124" s="148">
        <v>33.028930000000003</v>
      </c>
      <c r="K2124" s="148">
        <v>0</v>
      </c>
      <c r="L2124" s="148">
        <v>428.81060000000002</v>
      </c>
      <c r="M2124" s="148">
        <v>449.90402</v>
      </c>
      <c r="N2124" s="148">
        <v>-21.093419999999998</v>
      </c>
      <c r="O2124" s="148">
        <v>-4.6884266559787573</v>
      </c>
      <c r="P2124" s="148">
        <v>210.16005999999999</v>
      </c>
      <c r="Q2124" s="148">
        <v>218.65054000000001</v>
      </c>
      <c r="R2124" s="148">
        <v>104.04000645983828</v>
      </c>
    </row>
    <row r="2125" spans="2:18" ht="15.75" hidden="1" thickBot="1" x14ac:dyDescent="0.3">
      <c r="B2125" s="145" t="s">
        <v>753</v>
      </c>
      <c r="C2125" s="722" t="s">
        <v>574</v>
      </c>
      <c r="D2125" t="s">
        <v>575</v>
      </c>
      <c r="E2125" s="147">
        <v>4.1338900000000001</v>
      </c>
      <c r="F2125" s="729"/>
      <c r="G2125" s="147">
        <v>4.1338900000000001</v>
      </c>
      <c r="H2125" s="147">
        <v>0</v>
      </c>
      <c r="I2125" s="729"/>
      <c r="J2125" s="147">
        <v>4.1338900000000001</v>
      </c>
      <c r="K2125" s="147">
        <v>0</v>
      </c>
      <c r="L2125" s="147">
        <v>23.381519999999998</v>
      </c>
      <c r="M2125" s="729"/>
      <c r="N2125" s="147">
        <v>23.381519999999998</v>
      </c>
      <c r="O2125" s="147">
        <v>0</v>
      </c>
      <c r="P2125" s="729"/>
      <c r="Q2125" s="147">
        <v>23.381519999999998</v>
      </c>
      <c r="R2125" s="147">
        <v>0</v>
      </c>
    </row>
    <row r="2126" spans="2:18" ht="15.75" hidden="1" thickBot="1" x14ac:dyDescent="0.3">
      <c r="B2126" s="145" t="s">
        <v>753</v>
      </c>
      <c r="C2126" s="722" t="s">
        <v>65</v>
      </c>
      <c r="D2126" t="s">
        <v>66</v>
      </c>
      <c r="E2126" s="148">
        <v>-24.623259999999998</v>
      </c>
      <c r="F2126" s="148">
        <v>-44.364109999999997</v>
      </c>
      <c r="G2126" s="148">
        <v>19.740849999999998</v>
      </c>
      <c r="H2126" s="148">
        <v>44.497342559109157</v>
      </c>
      <c r="I2126" s="728"/>
      <c r="J2126" s="148">
        <v>-24.623259999999998</v>
      </c>
      <c r="K2126" s="148">
        <v>0</v>
      </c>
      <c r="L2126" s="148">
        <v>-244.8742</v>
      </c>
      <c r="M2126" s="148">
        <v>-553.08119999999997</v>
      </c>
      <c r="N2126" s="148">
        <v>308.20699999999999</v>
      </c>
      <c r="O2126" s="148">
        <v>55.725452248241304</v>
      </c>
      <c r="P2126" s="148">
        <v>-122.80405</v>
      </c>
      <c r="Q2126" s="148">
        <v>-122.07015</v>
      </c>
      <c r="R2126" s="148">
        <v>-99.402381273256054</v>
      </c>
    </row>
    <row r="2127" spans="2:18" ht="15.75" hidden="1" thickBot="1" x14ac:dyDescent="0.3">
      <c r="B2127" s="145" t="s">
        <v>753</v>
      </c>
      <c r="C2127" s="722" t="s">
        <v>580</v>
      </c>
      <c r="D2127" t="s">
        <v>581</v>
      </c>
      <c r="E2127" s="147">
        <v>-4.1338900000000001</v>
      </c>
      <c r="F2127" s="729"/>
      <c r="G2127" s="147">
        <v>-4.1338900000000001</v>
      </c>
      <c r="H2127" s="147">
        <v>0</v>
      </c>
      <c r="I2127" s="729"/>
      <c r="J2127" s="147">
        <v>-4.1338900000000001</v>
      </c>
      <c r="K2127" s="147">
        <v>0</v>
      </c>
      <c r="L2127" s="147">
        <v>-23.381519999999998</v>
      </c>
      <c r="M2127" s="729"/>
      <c r="N2127" s="147">
        <v>-23.381519999999998</v>
      </c>
      <c r="O2127" s="147">
        <v>0</v>
      </c>
      <c r="P2127" s="729"/>
      <c r="Q2127" s="147">
        <v>-23.381519999999998</v>
      </c>
      <c r="R2127" s="147">
        <v>0</v>
      </c>
    </row>
    <row r="2128" spans="2:18" ht="15.75" hidden="1" thickBot="1" x14ac:dyDescent="0.3">
      <c r="B2128" s="145" t="s">
        <v>753</v>
      </c>
      <c r="C2128" s="149" t="s">
        <v>67</v>
      </c>
      <c r="D2128" t="s">
        <v>68</v>
      </c>
      <c r="E2128" s="148">
        <v>233.95993999999999</v>
      </c>
      <c r="F2128" s="148">
        <v>247.95688999999999</v>
      </c>
      <c r="G2128" s="148">
        <v>-13.99695</v>
      </c>
      <c r="H2128" s="148">
        <v>-5.6449127104312362</v>
      </c>
      <c r="I2128" s="728"/>
      <c r="J2128" s="148">
        <v>233.95993999999999</v>
      </c>
      <c r="K2128" s="148">
        <v>0</v>
      </c>
      <c r="L2128" s="148">
        <v>3148.9452000000001</v>
      </c>
      <c r="M2128" s="148">
        <v>2983.37743</v>
      </c>
      <c r="N2128" s="148">
        <v>165.56777</v>
      </c>
      <c r="O2128" s="148">
        <v>5.5496756238448848</v>
      </c>
      <c r="P2128" s="148">
        <v>1582.3220200000001</v>
      </c>
      <c r="Q2128" s="148">
        <v>1566.62318</v>
      </c>
      <c r="R2128" s="148">
        <v>99.007860612342355</v>
      </c>
    </row>
    <row r="2129" spans="2:18" ht="15.75" hidden="1" thickBot="1" x14ac:dyDescent="0.3">
      <c r="B2129" s="145" t="s">
        <v>753</v>
      </c>
      <c r="C2129" s="722" t="s">
        <v>69</v>
      </c>
      <c r="D2129" t="s">
        <v>70</v>
      </c>
      <c r="E2129" s="147">
        <v>0</v>
      </c>
      <c r="F2129" s="147">
        <v>1.65</v>
      </c>
      <c r="G2129" s="147">
        <v>-1.65</v>
      </c>
      <c r="H2129" s="147">
        <v>-100</v>
      </c>
      <c r="I2129" s="729"/>
      <c r="J2129" s="147">
        <v>0</v>
      </c>
      <c r="K2129" s="147">
        <v>0</v>
      </c>
      <c r="L2129" s="147">
        <v>10.284470000000001</v>
      </c>
      <c r="M2129" s="147">
        <v>41.55</v>
      </c>
      <c r="N2129" s="147">
        <v>-31.265529999999998</v>
      </c>
      <c r="O2129" s="147">
        <v>-75.247966305655837</v>
      </c>
      <c r="P2129" s="147">
        <v>5.5828100000000003</v>
      </c>
      <c r="Q2129" s="147">
        <v>4.7016600000000004</v>
      </c>
      <c r="R2129" s="147">
        <v>84.216729568084887</v>
      </c>
    </row>
    <row r="2130" spans="2:18" ht="15.75" hidden="1" thickBot="1" x14ac:dyDescent="0.3">
      <c r="B2130" s="145" t="s">
        <v>753</v>
      </c>
      <c r="C2130" s="722" t="s">
        <v>99</v>
      </c>
      <c r="D2130" t="s">
        <v>100</v>
      </c>
      <c r="E2130" s="148">
        <v>8.9618500000000001</v>
      </c>
      <c r="F2130" s="148">
        <v>0.5</v>
      </c>
      <c r="G2130" s="148">
        <v>8.4618500000000001</v>
      </c>
      <c r="H2130" s="148">
        <v>1692.37</v>
      </c>
      <c r="I2130" s="728"/>
      <c r="J2130" s="148">
        <v>8.9618500000000001</v>
      </c>
      <c r="K2130" s="148">
        <v>0</v>
      </c>
      <c r="L2130" s="148">
        <v>52.658110000000001</v>
      </c>
      <c r="M2130" s="148">
        <v>24.51</v>
      </c>
      <c r="N2130" s="148">
        <v>28.148109999999999</v>
      </c>
      <c r="O2130" s="148">
        <v>114.84337005303958</v>
      </c>
      <c r="P2130" s="148">
        <v>28.207930000000001</v>
      </c>
      <c r="Q2130" s="148">
        <v>24.45018</v>
      </c>
      <c r="R2130" s="148">
        <v>86.678391501964157</v>
      </c>
    </row>
    <row r="2131" spans="2:18" ht="15.75" hidden="1" thickBot="1" x14ac:dyDescent="0.3">
      <c r="B2131" s="145" t="s">
        <v>753</v>
      </c>
      <c r="C2131" s="722" t="s">
        <v>165</v>
      </c>
      <c r="D2131" t="s">
        <v>166</v>
      </c>
      <c r="E2131" s="147">
        <v>-6.2740000000000004E-2</v>
      </c>
      <c r="F2131" s="729"/>
      <c r="G2131" s="147">
        <v>-6.2740000000000004E-2</v>
      </c>
      <c r="H2131" s="147">
        <v>0</v>
      </c>
      <c r="I2131" s="729"/>
      <c r="J2131" s="147">
        <v>-6.2740000000000004E-2</v>
      </c>
      <c r="K2131" s="147">
        <v>0</v>
      </c>
      <c r="L2131" s="147">
        <v>0.47294000000000003</v>
      </c>
      <c r="M2131" s="729"/>
      <c r="N2131" s="147">
        <v>0.47294000000000003</v>
      </c>
      <c r="O2131" s="147">
        <v>0</v>
      </c>
      <c r="P2131" s="147">
        <v>0.24054</v>
      </c>
      <c r="Q2131" s="147">
        <v>0.2324</v>
      </c>
      <c r="R2131" s="147">
        <v>96.615947451567308</v>
      </c>
    </row>
    <row r="2132" spans="2:18" ht="15.75" hidden="1" thickBot="1" x14ac:dyDescent="0.3">
      <c r="B2132" s="145" t="s">
        <v>753</v>
      </c>
      <c r="C2132" s="722" t="s">
        <v>137</v>
      </c>
      <c r="D2132" t="s">
        <v>138</v>
      </c>
      <c r="E2132" s="148">
        <v>1.63836</v>
      </c>
      <c r="F2132" s="148">
        <v>2.25</v>
      </c>
      <c r="G2132" s="148">
        <v>-0.61163999999999996</v>
      </c>
      <c r="H2132" s="148">
        <v>-27.184000000000001</v>
      </c>
      <c r="I2132" s="728"/>
      <c r="J2132" s="148">
        <v>1.63836</v>
      </c>
      <c r="K2132" s="148">
        <v>0</v>
      </c>
      <c r="L2132" s="148">
        <v>12.597580000000001</v>
      </c>
      <c r="M2132" s="148">
        <v>16.75</v>
      </c>
      <c r="N2132" s="148">
        <v>-4.1524200000000002</v>
      </c>
      <c r="O2132" s="148">
        <v>-24.790567164179105</v>
      </c>
      <c r="P2132" s="148">
        <v>6.9143499999999998</v>
      </c>
      <c r="Q2132" s="148">
        <v>5.68323</v>
      </c>
      <c r="R2132" s="148">
        <v>82.194710999587812</v>
      </c>
    </row>
    <row r="2133" spans="2:18" ht="15.75" hidden="1" thickBot="1" x14ac:dyDescent="0.3">
      <c r="B2133" s="145" t="s">
        <v>753</v>
      </c>
      <c r="C2133" s="722" t="s">
        <v>190</v>
      </c>
      <c r="D2133" t="s">
        <v>191</v>
      </c>
      <c r="E2133" s="147">
        <v>7.0860000000000003</v>
      </c>
      <c r="F2133" s="147">
        <v>8.3149999999999995</v>
      </c>
      <c r="G2133" s="147">
        <v>-1.2290000000000001</v>
      </c>
      <c r="H2133" s="147">
        <v>-14.780517137702946</v>
      </c>
      <c r="I2133" s="729"/>
      <c r="J2133" s="147">
        <v>7.0860000000000003</v>
      </c>
      <c r="K2133" s="147">
        <v>0</v>
      </c>
      <c r="L2133" s="147">
        <v>86.266800000000003</v>
      </c>
      <c r="M2133" s="147">
        <v>102.4</v>
      </c>
      <c r="N2133" s="147">
        <v>-16.133199999999999</v>
      </c>
      <c r="O2133" s="147">
        <v>-15.755078125000001</v>
      </c>
      <c r="P2133" s="147">
        <v>43.384259999999998</v>
      </c>
      <c r="Q2133" s="147">
        <v>42.882539999999999</v>
      </c>
      <c r="R2133" s="147">
        <v>98.843543718390038</v>
      </c>
    </row>
    <row r="2134" spans="2:18" ht="15.75" hidden="1" thickBot="1" x14ac:dyDescent="0.3">
      <c r="B2134" s="145" t="s">
        <v>753</v>
      </c>
      <c r="C2134" s="722" t="s">
        <v>36</v>
      </c>
      <c r="D2134" t="s">
        <v>192</v>
      </c>
      <c r="E2134" s="148">
        <v>0</v>
      </c>
      <c r="F2134" s="148">
        <v>2.5</v>
      </c>
      <c r="G2134" s="148">
        <v>-2.5</v>
      </c>
      <c r="H2134" s="148">
        <v>-100</v>
      </c>
      <c r="I2134" s="728"/>
      <c r="J2134" s="148">
        <v>0</v>
      </c>
      <c r="K2134" s="148">
        <v>0</v>
      </c>
      <c r="L2134" s="148">
        <v>15.77356</v>
      </c>
      <c r="M2134" s="148">
        <v>14.25</v>
      </c>
      <c r="N2134" s="148">
        <v>1.52356</v>
      </c>
      <c r="O2134" s="148">
        <v>10.691649122807018</v>
      </c>
      <c r="P2134" s="148">
        <v>12.28548</v>
      </c>
      <c r="Q2134" s="148">
        <v>3.4880800000000001</v>
      </c>
      <c r="R2134" s="148">
        <v>28.391890263953872</v>
      </c>
    </row>
    <row r="2135" spans="2:18" ht="15.75" hidden="1" thickBot="1" x14ac:dyDescent="0.3">
      <c r="B2135" s="145" t="s">
        <v>753</v>
      </c>
      <c r="C2135" s="722" t="s">
        <v>598</v>
      </c>
      <c r="D2135" t="s">
        <v>168</v>
      </c>
      <c r="E2135" s="729"/>
      <c r="F2135" s="729"/>
      <c r="G2135" s="729"/>
      <c r="H2135" s="729"/>
      <c r="I2135" s="729"/>
      <c r="J2135" s="729"/>
      <c r="K2135" s="729"/>
      <c r="L2135" s="147">
        <v>0.14724000000000001</v>
      </c>
      <c r="M2135" s="729"/>
      <c r="N2135" s="147">
        <v>0.14724000000000001</v>
      </c>
      <c r="O2135" s="147">
        <v>0</v>
      </c>
      <c r="P2135" s="729"/>
      <c r="Q2135" s="147">
        <v>0.14724000000000001</v>
      </c>
      <c r="R2135" s="147">
        <v>0</v>
      </c>
    </row>
    <row r="2136" spans="2:18" ht="15.75" hidden="1" thickBot="1" x14ac:dyDescent="0.3">
      <c r="B2136" s="145" t="s">
        <v>753</v>
      </c>
      <c r="C2136" s="722" t="s">
        <v>139</v>
      </c>
      <c r="D2136" t="s">
        <v>140</v>
      </c>
      <c r="E2136" s="148">
        <v>4.8460000000000001</v>
      </c>
      <c r="F2136" s="148">
        <v>21.666640000000001</v>
      </c>
      <c r="G2136" s="148">
        <v>-16.820640000000001</v>
      </c>
      <c r="H2136" s="148">
        <v>-77.633818626238309</v>
      </c>
      <c r="I2136" s="728"/>
      <c r="J2136" s="148">
        <v>4.8460000000000001</v>
      </c>
      <c r="K2136" s="148">
        <v>0</v>
      </c>
      <c r="L2136" s="148">
        <v>158.61100999999999</v>
      </c>
      <c r="M2136" s="148">
        <v>169.29951</v>
      </c>
      <c r="N2136" s="148">
        <v>-10.688499999999999</v>
      </c>
      <c r="O2136" s="148">
        <v>-6.3133673570585049</v>
      </c>
      <c r="P2136" s="148">
        <v>138.04472000000001</v>
      </c>
      <c r="Q2136" s="148">
        <v>20.566289999999999</v>
      </c>
      <c r="R2136" s="148">
        <v>14.898280789008084</v>
      </c>
    </row>
    <row r="2137" spans="2:18" ht="15.75" hidden="1" thickBot="1" x14ac:dyDescent="0.3">
      <c r="B2137" s="145" t="s">
        <v>753</v>
      </c>
      <c r="C2137" s="722" t="s">
        <v>169</v>
      </c>
      <c r="D2137" t="s">
        <v>170</v>
      </c>
      <c r="E2137" s="729"/>
      <c r="F2137" s="147">
        <v>0.05</v>
      </c>
      <c r="G2137" s="147">
        <v>-0.05</v>
      </c>
      <c r="H2137" s="147">
        <v>-100</v>
      </c>
      <c r="I2137" s="729"/>
      <c r="J2137" s="729"/>
      <c r="K2137" s="729"/>
      <c r="L2137" s="147">
        <v>7.356E-2</v>
      </c>
      <c r="M2137" s="147">
        <v>1.25</v>
      </c>
      <c r="N2137" s="147">
        <v>-1.1764399999999999</v>
      </c>
      <c r="O2137" s="147">
        <v>-94.115200000000002</v>
      </c>
      <c r="P2137" s="147">
        <v>0.17777000000000001</v>
      </c>
      <c r="Q2137" s="147">
        <v>-0.10421</v>
      </c>
      <c r="R2137" s="147">
        <v>-58.620689655172413</v>
      </c>
    </row>
    <row r="2138" spans="2:18" ht="15.75" hidden="1" thickBot="1" x14ac:dyDescent="0.3">
      <c r="B2138" s="145" t="s">
        <v>753</v>
      </c>
      <c r="C2138" s="722" t="s">
        <v>101</v>
      </c>
      <c r="D2138" t="s">
        <v>102</v>
      </c>
      <c r="E2138" s="148">
        <v>6.8828800000000001</v>
      </c>
      <c r="F2138" s="148">
        <v>2.9350000000000001</v>
      </c>
      <c r="G2138" s="148">
        <v>3.9478800000000001</v>
      </c>
      <c r="H2138" s="148">
        <v>134.51039182282793</v>
      </c>
      <c r="I2138" s="728"/>
      <c r="J2138" s="148">
        <v>6.8828800000000001</v>
      </c>
      <c r="K2138" s="148">
        <v>0</v>
      </c>
      <c r="L2138" s="148">
        <v>108.04510999999999</v>
      </c>
      <c r="M2138" s="148">
        <v>93.234999999999999</v>
      </c>
      <c r="N2138" s="148">
        <v>14.81011</v>
      </c>
      <c r="O2138" s="148">
        <v>15.884710677320749</v>
      </c>
      <c r="P2138" s="148">
        <v>53.648260000000001</v>
      </c>
      <c r="Q2138" s="148">
        <v>54.396850000000001</v>
      </c>
      <c r="R2138" s="148">
        <v>101.3953667835639</v>
      </c>
    </row>
    <row r="2139" spans="2:18" ht="15.75" hidden="1" thickBot="1" x14ac:dyDescent="0.3">
      <c r="B2139" s="145" t="s">
        <v>753</v>
      </c>
      <c r="C2139" s="722" t="s">
        <v>464</v>
      </c>
      <c r="D2139" t="s">
        <v>465</v>
      </c>
      <c r="E2139" s="147">
        <v>7.04</v>
      </c>
      <c r="F2139" s="147">
        <v>2.64</v>
      </c>
      <c r="G2139" s="147">
        <v>4.4000000000000004</v>
      </c>
      <c r="H2139" s="147">
        <v>166.66666666666666</v>
      </c>
      <c r="I2139" s="729"/>
      <c r="J2139" s="147">
        <v>7.04</v>
      </c>
      <c r="K2139" s="147">
        <v>0</v>
      </c>
      <c r="L2139" s="147">
        <v>45.540819999999997</v>
      </c>
      <c r="M2139" s="147">
        <v>38.484999999999999</v>
      </c>
      <c r="N2139" s="147">
        <v>7.0558199999999998</v>
      </c>
      <c r="O2139" s="147">
        <v>18.333948291542161</v>
      </c>
      <c r="P2139" s="147">
        <v>19.54</v>
      </c>
      <c r="Q2139" s="147">
        <v>26.000820000000001</v>
      </c>
      <c r="R2139" s="147">
        <v>133.06458546571136</v>
      </c>
    </row>
    <row r="2140" spans="2:18" ht="15.75" hidden="1" thickBot="1" x14ac:dyDescent="0.3">
      <c r="B2140" s="145" t="s">
        <v>753</v>
      </c>
      <c r="C2140" s="722" t="s">
        <v>103</v>
      </c>
      <c r="D2140" t="s">
        <v>104</v>
      </c>
      <c r="E2140" s="148">
        <v>-9.2319999999999993</v>
      </c>
      <c r="F2140" s="728"/>
      <c r="G2140" s="148">
        <v>-9.2319999999999993</v>
      </c>
      <c r="H2140" s="148">
        <v>0</v>
      </c>
      <c r="I2140" s="728"/>
      <c r="J2140" s="148">
        <v>-9.2319999999999993</v>
      </c>
      <c r="K2140" s="148">
        <v>0</v>
      </c>
      <c r="L2140" s="148">
        <v>0.22</v>
      </c>
      <c r="M2140" s="728"/>
      <c r="N2140" s="148">
        <v>0.22</v>
      </c>
      <c r="O2140" s="148">
        <v>0</v>
      </c>
      <c r="P2140" s="148">
        <v>9.2319999999999993</v>
      </c>
      <c r="Q2140" s="148">
        <v>-9.0120000000000005</v>
      </c>
      <c r="R2140" s="148">
        <v>-97.616984402079723</v>
      </c>
    </row>
    <row r="2141" spans="2:18" ht="15.75" hidden="1" thickBot="1" x14ac:dyDescent="0.3">
      <c r="B2141" s="145" t="s">
        <v>753</v>
      </c>
      <c r="C2141" s="722" t="s">
        <v>71</v>
      </c>
      <c r="D2141" t="s">
        <v>72</v>
      </c>
      <c r="E2141" s="147">
        <v>-9.2800000000000001E-3</v>
      </c>
      <c r="F2141" s="729"/>
      <c r="G2141" s="147">
        <v>-9.2800000000000001E-3</v>
      </c>
      <c r="H2141" s="147">
        <v>0</v>
      </c>
      <c r="I2141" s="729"/>
      <c r="J2141" s="147">
        <v>-9.2800000000000001E-3</v>
      </c>
      <c r="K2141" s="147">
        <v>0</v>
      </c>
      <c r="L2141" s="147">
        <v>0.437</v>
      </c>
      <c r="M2141" s="729"/>
      <c r="N2141" s="147">
        <v>0.437</v>
      </c>
      <c r="O2141" s="147">
        <v>0</v>
      </c>
      <c r="P2141" s="147">
        <v>1.7752699999999999</v>
      </c>
      <c r="Q2141" s="147">
        <v>-1.3382700000000001</v>
      </c>
      <c r="R2141" s="147">
        <v>-75.384026091805751</v>
      </c>
    </row>
    <row r="2142" spans="2:18" ht="15.75" hidden="1" thickBot="1" x14ac:dyDescent="0.3">
      <c r="B2142" s="145" t="s">
        <v>753</v>
      </c>
      <c r="C2142" s="722" t="s">
        <v>627</v>
      </c>
      <c r="D2142" t="s">
        <v>628</v>
      </c>
      <c r="E2142" s="148">
        <v>0</v>
      </c>
      <c r="F2142" s="728"/>
      <c r="G2142" s="148">
        <v>0</v>
      </c>
      <c r="H2142" s="148">
        <v>0</v>
      </c>
      <c r="I2142" s="728"/>
      <c r="J2142" s="148">
        <v>0</v>
      </c>
      <c r="K2142" s="148">
        <v>0</v>
      </c>
      <c r="L2142" s="148">
        <v>0.45400000000000001</v>
      </c>
      <c r="M2142" s="728"/>
      <c r="N2142" s="148">
        <v>0.45400000000000001</v>
      </c>
      <c r="O2142" s="148">
        <v>0</v>
      </c>
      <c r="P2142" s="148">
        <v>0.154</v>
      </c>
      <c r="Q2142" s="148">
        <v>0.3</v>
      </c>
      <c r="R2142" s="148">
        <v>194.80519480519482</v>
      </c>
    </row>
    <row r="2143" spans="2:18" ht="15.75" hidden="1" thickBot="1" x14ac:dyDescent="0.3">
      <c r="B2143" s="145" t="s">
        <v>753</v>
      </c>
      <c r="C2143" s="722" t="s">
        <v>109</v>
      </c>
      <c r="D2143" t="s">
        <v>110</v>
      </c>
      <c r="E2143" s="147">
        <v>4.9750000000000003E-2</v>
      </c>
      <c r="F2143" s="147">
        <v>7.4999999999999997E-2</v>
      </c>
      <c r="G2143" s="147">
        <v>-2.5250000000000002E-2</v>
      </c>
      <c r="H2143" s="147">
        <v>-33.666666666666664</v>
      </c>
      <c r="I2143" s="729"/>
      <c r="J2143" s="147">
        <v>4.9750000000000003E-2</v>
      </c>
      <c r="K2143" s="147">
        <v>0</v>
      </c>
      <c r="L2143" s="147">
        <v>0.33212999999999998</v>
      </c>
      <c r="M2143" s="147">
        <v>6.64</v>
      </c>
      <c r="N2143" s="147">
        <v>-6.3078700000000003</v>
      </c>
      <c r="O2143" s="147">
        <v>-94.998042168674701</v>
      </c>
      <c r="P2143" s="147">
        <v>0.23386999999999999</v>
      </c>
      <c r="Q2143" s="147">
        <v>9.826E-2</v>
      </c>
      <c r="R2143" s="147">
        <v>42.014794543977423</v>
      </c>
    </row>
    <row r="2144" spans="2:18" ht="15.75" hidden="1" thickBot="1" x14ac:dyDescent="0.3">
      <c r="B2144" s="145" t="s">
        <v>753</v>
      </c>
      <c r="C2144" s="722" t="s">
        <v>73</v>
      </c>
      <c r="D2144" t="s">
        <v>74</v>
      </c>
      <c r="E2144" s="148">
        <v>0.14277000000000001</v>
      </c>
      <c r="F2144" s="148">
        <v>1.2083699999999999</v>
      </c>
      <c r="G2144" s="148">
        <v>-1.0656000000000001</v>
      </c>
      <c r="H2144" s="148">
        <v>-88.18491025099928</v>
      </c>
      <c r="I2144" s="728"/>
      <c r="J2144" s="148">
        <v>0.14277000000000001</v>
      </c>
      <c r="K2144" s="148">
        <v>0</v>
      </c>
      <c r="L2144" s="148">
        <v>4.2528300000000003</v>
      </c>
      <c r="M2144" s="148">
        <v>10.25</v>
      </c>
      <c r="N2144" s="148">
        <v>-5.9971699999999997</v>
      </c>
      <c r="O2144" s="148">
        <v>-58.508975609756099</v>
      </c>
      <c r="P2144" s="148">
        <v>2.2330800000000002</v>
      </c>
      <c r="Q2144" s="148">
        <v>2.0197500000000002</v>
      </c>
      <c r="R2144" s="148">
        <v>90.446826804234504</v>
      </c>
    </row>
    <row r="2145" spans="2:18" ht="15.75" hidden="1" thickBot="1" x14ac:dyDescent="0.3">
      <c r="B2145" s="145" t="s">
        <v>753</v>
      </c>
      <c r="C2145" s="722" t="s">
        <v>111</v>
      </c>
      <c r="D2145" t="s">
        <v>112</v>
      </c>
      <c r="E2145" s="147">
        <v>2.1859799999999998</v>
      </c>
      <c r="F2145" s="147">
        <v>0</v>
      </c>
      <c r="G2145" s="147">
        <v>2.1859799999999998</v>
      </c>
      <c r="H2145" s="147">
        <v>0</v>
      </c>
      <c r="I2145" s="729"/>
      <c r="J2145" s="147">
        <v>2.1859799999999998</v>
      </c>
      <c r="K2145" s="147">
        <v>0</v>
      </c>
      <c r="L2145" s="147">
        <v>4.77956</v>
      </c>
      <c r="M2145" s="147">
        <v>16.774999999999999</v>
      </c>
      <c r="N2145" s="147">
        <v>-11.99544</v>
      </c>
      <c r="O2145" s="147">
        <v>-71.507839046199706</v>
      </c>
      <c r="P2145" s="147">
        <v>0.43063000000000001</v>
      </c>
      <c r="Q2145" s="147">
        <v>4.3489300000000002</v>
      </c>
      <c r="R2145" s="147">
        <v>1009.8994496435455</v>
      </c>
    </row>
    <row r="2146" spans="2:18" ht="15.75" hidden="1" thickBot="1" x14ac:dyDescent="0.3">
      <c r="B2146" s="145" t="s">
        <v>753</v>
      </c>
      <c r="C2146" s="722" t="s">
        <v>141</v>
      </c>
      <c r="D2146" t="s">
        <v>142</v>
      </c>
      <c r="E2146" s="148">
        <v>0.32887</v>
      </c>
      <c r="F2146" s="148">
        <v>1.8</v>
      </c>
      <c r="G2146" s="148">
        <v>-1.47113</v>
      </c>
      <c r="H2146" s="148">
        <v>-81.729444444444439</v>
      </c>
      <c r="I2146" s="728"/>
      <c r="J2146" s="148">
        <v>0.32887</v>
      </c>
      <c r="K2146" s="148">
        <v>0</v>
      </c>
      <c r="L2146" s="148">
        <v>2.3352400000000002</v>
      </c>
      <c r="M2146" s="148">
        <v>4.3499999999999996</v>
      </c>
      <c r="N2146" s="148">
        <v>-2.0147599999999999</v>
      </c>
      <c r="O2146" s="148">
        <v>-46.316321839080459</v>
      </c>
      <c r="P2146" s="148">
        <v>1.3116000000000001</v>
      </c>
      <c r="Q2146" s="148">
        <v>1.0236400000000001</v>
      </c>
      <c r="R2146" s="148">
        <v>78.045135712107353</v>
      </c>
    </row>
    <row r="2147" spans="2:18" ht="15.75" hidden="1" thickBot="1" x14ac:dyDescent="0.3">
      <c r="B2147" s="145" t="s">
        <v>753</v>
      </c>
      <c r="C2147" s="722" t="s">
        <v>113</v>
      </c>
      <c r="D2147" t="s">
        <v>114</v>
      </c>
      <c r="E2147" s="147">
        <v>8.9999999999999993E-3</v>
      </c>
      <c r="F2147" s="147">
        <v>0.125</v>
      </c>
      <c r="G2147" s="147">
        <v>-0.11600000000000001</v>
      </c>
      <c r="H2147" s="147">
        <v>-92.8</v>
      </c>
      <c r="I2147" s="729"/>
      <c r="J2147" s="147">
        <v>8.9999999999999993E-3</v>
      </c>
      <c r="K2147" s="147">
        <v>0</v>
      </c>
      <c r="L2147" s="147">
        <v>0.79900000000000004</v>
      </c>
      <c r="M2147" s="147">
        <v>1.5</v>
      </c>
      <c r="N2147" s="147">
        <v>-0.70099999999999996</v>
      </c>
      <c r="O2147" s="147">
        <v>-46.733333333333334</v>
      </c>
      <c r="P2147" s="147">
        <v>0.43029000000000001</v>
      </c>
      <c r="Q2147" s="147">
        <v>0.36870999999999998</v>
      </c>
      <c r="R2147" s="147">
        <v>85.688721559878218</v>
      </c>
    </row>
    <row r="2148" spans="2:18" ht="15.75" hidden="1" thickBot="1" x14ac:dyDescent="0.3">
      <c r="B2148" s="145" t="s">
        <v>753</v>
      </c>
      <c r="C2148" s="722" t="s">
        <v>201</v>
      </c>
      <c r="D2148" t="s">
        <v>202</v>
      </c>
      <c r="E2148" s="148">
        <v>0</v>
      </c>
      <c r="F2148" s="728"/>
      <c r="G2148" s="148">
        <v>0</v>
      </c>
      <c r="H2148" s="148">
        <v>0</v>
      </c>
      <c r="I2148" s="728"/>
      <c r="J2148" s="148">
        <v>0</v>
      </c>
      <c r="K2148" s="148">
        <v>0</v>
      </c>
      <c r="L2148" s="148">
        <v>2.16499</v>
      </c>
      <c r="M2148" s="148">
        <v>6</v>
      </c>
      <c r="N2148" s="148">
        <v>-3.83501</v>
      </c>
      <c r="O2148" s="148">
        <v>-63.916833333333336</v>
      </c>
      <c r="P2148" s="148">
        <v>1.72214</v>
      </c>
      <c r="Q2148" s="148">
        <v>0.44285000000000002</v>
      </c>
      <c r="R2148" s="148">
        <v>25.715098656322947</v>
      </c>
    </row>
    <row r="2149" spans="2:18" ht="15.75" hidden="1" thickBot="1" x14ac:dyDescent="0.3">
      <c r="B2149" s="145" t="s">
        <v>753</v>
      </c>
      <c r="C2149" s="722" t="s">
        <v>635</v>
      </c>
      <c r="D2149" t="s">
        <v>636</v>
      </c>
      <c r="E2149" s="147">
        <v>-372.18711000000002</v>
      </c>
      <c r="F2149" s="147">
        <v>-242.69186999999999</v>
      </c>
      <c r="G2149" s="147">
        <v>-129.49524</v>
      </c>
      <c r="H2149" s="147">
        <v>-53.357881333231312</v>
      </c>
      <c r="I2149" s="729"/>
      <c r="J2149" s="147">
        <v>-372.18711000000002</v>
      </c>
      <c r="K2149" s="147">
        <v>0</v>
      </c>
      <c r="L2149" s="147">
        <v>-4426.0128999999997</v>
      </c>
      <c r="M2149" s="147">
        <v>-3918.6577000000002</v>
      </c>
      <c r="N2149" s="147">
        <v>-507.35520000000002</v>
      </c>
      <c r="O2149" s="147">
        <v>-12.947168108099874</v>
      </c>
      <c r="P2149" s="147">
        <v>-2029.7476300000001</v>
      </c>
      <c r="Q2149" s="147">
        <v>-2396.2652699999999</v>
      </c>
      <c r="R2149" s="147">
        <v>-118.05730104485946</v>
      </c>
    </row>
    <row r="2150" spans="2:18" ht="15.75" hidden="1" thickBot="1" x14ac:dyDescent="0.3">
      <c r="B2150" s="145" t="s">
        <v>753</v>
      </c>
      <c r="C2150" s="722" t="s">
        <v>143</v>
      </c>
      <c r="D2150" t="s">
        <v>144</v>
      </c>
      <c r="E2150" s="148">
        <v>0.77356999999999998</v>
      </c>
      <c r="F2150" s="148">
        <v>0.5</v>
      </c>
      <c r="G2150" s="148">
        <v>0.27356999999999998</v>
      </c>
      <c r="H2150" s="148">
        <v>54.713999999999999</v>
      </c>
      <c r="I2150" s="728"/>
      <c r="J2150" s="148">
        <v>0.77356999999999998</v>
      </c>
      <c r="K2150" s="148">
        <v>0</v>
      </c>
      <c r="L2150" s="148">
        <v>17.38025</v>
      </c>
      <c r="M2150" s="148">
        <v>49.75</v>
      </c>
      <c r="N2150" s="148">
        <v>-32.369750000000003</v>
      </c>
      <c r="O2150" s="148">
        <v>-65.064824120603021</v>
      </c>
      <c r="P2150" s="148">
        <v>17.242830000000001</v>
      </c>
      <c r="Q2150" s="148">
        <v>0.13741999999999999</v>
      </c>
      <c r="R2150" s="148">
        <v>0.79696894303313315</v>
      </c>
    </row>
    <row r="2151" spans="2:18" ht="15.75" hidden="1" thickBot="1" x14ac:dyDescent="0.3">
      <c r="B2151" s="145" t="s">
        <v>753</v>
      </c>
      <c r="C2151" s="722" t="s">
        <v>145</v>
      </c>
      <c r="D2151" t="s">
        <v>146</v>
      </c>
      <c r="E2151" s="147">
        <v>0.14069999999999999</v>
      </c>
      <c r="F2151" s="147">
        <v>0.01</v>
      </c>
      <c r="G2151" s="147">
        <v>0.13070000000000001</v>
      </c>
      <c r="H2151" s="147">
        <v>1307</v>
      </c>
      <c r="I2151" s="729"/>
      <c r="J2151" s="147">
        <v>0.14069999999999999</v>
      </c>
      <c r="K2151" s="147">
        <v>0</v>
      </c>
      <c r="L2151" s="147">
        <v>1.39499</v>
      </c>
      <c r="M2151" s="147">
        <v>0.45</v>
      </c>
      <c r="N2151" s="147">
        <v>0.94499</v>
      </c>
      <c r="O2151" s="147">
        <v>209.99777777777777</v>
      </c>
      <c r="P2151" s="147">
        <v>0.75224999999999997</v>
      </c>
      <c r="Q2151" s="147">
        <v>0.64273999999999998</v>
      </c>
      <c r="R2151" s="147">
        <v>85.4423396477235</v>
      </c>
    </row>
    <row r="2152" spans="2:18" ht="15.75" hidden="1" thickBot="1" x14ac:dyDescent="0.3">
      <c r="B2152" s="145" t="s">
        <v>753</v>
      </c>
      <c r="C2152" s="722" t="s">
        <v>147</v>
      </c>
      <c r="D2152" t="s">
        <v>148</v>
      </c>
      <c r="E2152" s="148">
        <v>0.32658999999999999</v>
      </c>
      <c r="F2152" s="148">
        <v>0.5</v>
      </c>
      <c r="G2152" s="148">
        <v>-0.17341000000000001</v>
      </c>
      <c r="H2152" s="148">
        <v>-34.682000000000002</v>
      </c>
      <c r="I2152" s="728"/>
      <c r="J2152" s="148">
        <v>0.32658999999999999</v>
      </c>
      <c r="K2152" s="148">
        <v>0</v>
      </c>
      <c r="L2152" s="148">
        <v>4.7994199999999996</v>
      </c>
      <c r="M2152" s="148">
        <v>5.45</v>
      </c>
      <c r="N2152" s="148">
        <v>-0.65058000000000005</v>
      </c>
      <c r="O2152" s="148">
        <v>-11.937247706422019</v>
      </c>
      <c r="P2152" s="148">
        <v>2.76695</v>
      </c>
      <c r="Q2152" s="148">
        <v>2.03247</v>
      </c>
      <c r="R2152" s="148">
        <v>73.455248558882531</v>
      </c>
    </row>
    <row r="2153" spans="2:18" ht="15.75" hidden="1" thickBot="1" x14ac:dyDescent="0.3">
      <c r="B2153" s="145" t="s">
        <v>753</v>
      </c>
      <c r="C2153" s="722" t="s">
        <v>203</v>
      </c>
      <c r="D2153" t="s">
        <v>204</v>
      </c>
      <c r="E2153" s="147">
        <v>0</v>
      </c>
      <c r="F2153" s="729"/>
      <c r="G2153" s="147">
        <v>0</v>
      </c>
      <c r="H2153" s="147">
        <v>0</v>
      </c>
      <c r="I2153" s="729"/>
      <c r="J2153" s="147">
        <v>0</v>
      </c>
      <c r="K2153" s="147">
        <v>0</v>
      </c>
      <c r="L2153" s="147">
        <v>0.84430000000000005</v>
      </c>
      <c r="M2153" s="729"/>
      <c r="N2153" s="147">
        <v>0.84430000000000005</v>
      </c>
      <c r="O2153" s="147">
        <v>0</v>
      </c>
      <c r="P2153" s="147">
        <v>0.33674999999999999</v>
      </c>
      <c r="Q2153" s="147">
        <v>0.50754999999999995</v>
      </c>
      <c r="R2153" s="147">
        <v>150.72011878247957</v>
      </c>
    </row>
    <row r="2154" spans="2:18" ht="15.75" hidden="1" thickBot="1" x14ac:dyDescent="0.3">
      <c r="B2154" s="145" t="s">
        <v>753</v>
      </c>
      <c r="C2154" s="722" t="s">
        <v>149</v>
      </c>
      <c r="D2154" t="s">
        <v>150</v>
      </c>
      <c r="E2154" s="148">
        <v>151.89372</v>
      </c>
      <c r="F2154" s="148">
        <v>75.251379999999997</v>
      </c>
      <c r="G2154" s="148">
        <v>76.642340000000004</v>
      </c>
      <c r="H2154" s="148">
        <v>101.84841792934562</v>
      </c>
      <c r="I2154" s="728"/>
      <c r="J2154" s="148">
        <v>151.89372</v>
      </c>
      <c r="K2154" s="148">
        <v>0</v>
      </c>
      <c r="L2154" s="148">
        <v>1371.32259</v>
      </c>
      <c r="M2154" s="148">
        <v>1062.9165599999999</v>
      </c>
      <c r="N2154" s="148">
        <v>308.40602999999999</v>
      </c>
      <c r="O2154" s="148">
        <v>29.015074334715418</v>
      </c>
      <c r="P2154" s="148">
        <v>549.95302000000004</v>
      </c>
      <c r="Q2154" s="148">
        <v>821.36956999999995</v>
      </c>
      <c r="R2154" s="148">
        <v>149.35267925249323</v>
      </c>
    </row>
    <row r="2155" spans="2:18" ht="15.75" hidden="1" thickBot="1" x14ac:dyDescent="0.3">
      <c r="B2155" s="145" t="s">
        <v>753</v>
      </c>
      <c r="C2155" s="722" t="s">
        <v>645</v>
      </c>
      <c r="D2155" t="s">
        <v>646</v>
      </c>
      <c r="E2155" s="729"/>
      <c r="F2155" s="147">
        <v>0</v>
      </c>
      <c r="G2155" s="147">
        <v>0</v>
      </c>
      <c r="H2155" s="147">
        <v>0</v>
      </c>
      <c r="I2155" s="729"/>
      <c r="J2155" s="729"/>
      <c r="K2155" s="729"/>
      <c r="L2155" s="147">
        <v>0.46531</v>
      </c>
      <c r="M2155" s="147">
        <v>1</v>
      </c>
      <c r="N2155" s="147">
        <v>-0.53469</v>
      </c>
      <c r="O2155" s="147">
        <v>-53.469000000000001</v>
      </c>
      <c r="P2155" s="147">
        <v>-0.13469</v>
      </c>
      <c r="Q2155" s="147">
        <v>0.6</v>
      </c>
      <c r="R2155" s="147">
        <v>445.46736951518301</v>
      </c>
    </row>
    <row r="2156" spans="2:18" ht="15.75" hidden="1" thickBot="1" x14ac:dyDescent="0.3">
      <c r="B2156" s="145" t="s">
        <v>753</v>
      </c>
      <c r="C2156" s="722" t="s">
        <v>205</v>
      </c>
      <c r="D2156" t="s">
        <v>206</v>
      </c>
      <c r="E2156" s="728"/>
      <c r="F2156" s="728"/>
      <c r="G2156" s="728"/>
      <c r="H2156" s="728"/>
      <c r="I2156" s="728"/>
      <c r="J2156" s="728"/>
      <c r="K2156" s="728"/>
      <c r="L2156" s="148">
        <v>0.96099999999999997</v>
      </c>
      <c r="M2156" s="728"/>
      <c r="N2156" s="148">
        <v>0.96099999999999997</v>
      </c>
      <c r="O2156" s="148">
        <v>0</v>
      </c>
      <c r="P2156" s="728"/>
      <c r="Q2156" s="148">
        <v>0.96099999999999997</v>
      </c>
      <c r="R2156" s="148">
        <v>0</v>
      </c>
    </row>
    <row r="2157" spans="2:18" ht="15.75" hidden="1" thickBot="1" x14ac:dyDescent="0.3">
      <c r="B2157" s="145" t="s">
        <v>753</v>
      </c>
      <c r="C2157" s="722" t="s">
        <v>151</v>
      </c>
      <c r="D2157" t="s">
        <v>152</v>
      </c>
      <c r="E2157" s="147">
        <v>17.74896</v>
      </c>
      <c r="F2157" s="147">
        <v>0</v>
      </c>
      <c r="G2157" s="147">
        <v>17.74896</v>
      </c>
      <c r="H2157" s="147">
        <v>0</v>
      </c>
      <c r="I2157" s="729"/>
      <c r="J2157" s="147">
        <v>17.74896</v>
      </c>
      <c r="K2157" s="147">
        <v>0</v>
      </c>
      <c r="L2157" s="147">
        <v>66.177959999999999</v>
      </c>
      <c r="M2157" s="147">
        <v>66</v>
      </c>
      <c r="N2157" s="147">
        <v>0.17796000000000001</v>
      </c>
      <c r="O2157" s="147">
        <v>0.26963636363636362</v>
      </c>
      <c r="P2157" s="147">
        <v>2.7170000000000001</v>
      </c>
      <c r="Q2157" s="147">
        <v>63.46096</v>
      </c>
      <c r="R2157" s="147">
        <v>2335.6996687523001</v>
      </c>
    </row>
    <row r="2158" spans="2:18" ht="15.75" hidden="1" thickBot="1" x14ac:dyDescent="0.3">
      <c r="B2158" s="145" t="s">
        <v>753</v>
      </c>
      <c r="C2158" s="722" t="s">
        <v>483</v>
      </c>
      <c r="D2158" t="s">
        <v>484</v>
      </c>
      <c r="E2158" s="728"/>
      <c r="F2158" s="728"/>
      <c r="G2158" s="728"/>
      <c r="H2158" s="728"/>
      <c r="I2158" s="728"/>
      <c r="J2158" s="728"/>
      <c r="K2158" s="728"/>
      <c r="L2158" s="148">
        <v>5.1443000000000003</v>
      </c>
      <c r="M2158" s="148">
        <v>5</v>
      </c>
      <c r="N2158" s="148">
        <v>0.14430000000000001</v>
      </c>
      <c r="O2158" s="148">
        <v>2.8860000000000001</v>
      </c>
      <c r="P2158" s="728"/>
      <c r="Q2158" s="148">
        <v>5.1443000000000003</v>
      </c>
      <c r="R2158" s="148">
        <v>0</v>
      </c>
    </row>
    <row r="2159" spans="2:18" ht="15.75" hidden="1" thickBot="1" x14ac:dyDescent="0.3">
      <c r="B2159" s="145" t="s">
        <v>753</v>
      </c>
      <c r="C2159" s="722" t="s">
        <v>665</v>
      </c>
      <c r="D2159" t="s">
        <v>666</v>
      </c>
      <c r="E2159" s="147">
        <v>232.19092000000001</v>
      </c>
      <c r="F2159" s="147">
        <v>150</v>
      </c>
      <c r="G2159" s="147">
        <v>82.190920000000006</v>
      </c>
      <c r="H2159" s="147">
        <v>54.793946666666663</v>
      </c>
      <c r="I2159" s="729"/>
      <c r="J2159" s="147">
        <v>232.19092000000001</v>
      </c>
      <c r="K2159" s="147">
        <v>0</v>
      </c>
      <c r="L2159" s="147">
        <v>2972.1191600000002</v>
      </c>
      <c r="M2159" s="147">
        <v>2700</v>
      </c>
      <c r="N2159" s="147">
        <v>272.11916000000002</v>
      </c>
      <c r="O2159" s="147">
        <v>10.078487407407408</v>
      </c>
      <c r="P2159" s="147">
        <v>1439.9604300000001</v>
      </c>
      <c r="Q2159" s="147">
        <v>1532.1587300000001</v>
      </c>
      <c r="R2159" s="147">
        <v>106.40283566681065</v>
      </c>
    </row>
    <row r="2160" spans="2:18" ht="15.75" hidden="1" thickBot="1" x14ac:dyDescent="0.3">
      <c r="B2160" s="145" t="s">
        <v>753</v>
      </c>
      <c r="C2160" s="722" t="s">
        <v>153</v>
      </c>
      <c r="D2160" t="s">
        <v>154</v>
      </c>
      <c r="E2160" s="148">
        <v>32.909999999999997</v>
      </c>
      <c r="F2160" s="148">
        <v>19</v>
      </c>
      <c r="G2160" s="148">
        <v>13.91</v>
      </c>
      <c r="H2160" s="148">
        <v>73.21052631578948</v>
      </c>
      <c r="I2160" s="728"/>
      <c r="J2160" s="148">
        <v>32.909999999999997</v>
      </c>
      <c r="K2160" s="148">
        <v>0</v>
      </c>
      <c r="L2160" s="148">
        <v>199.14278999999999</v>
      </c>
      <c r="M2160" s="148">
        <v>183.8</v>
      </c>
      <c r="N2160" s="148">
        <v>15.342790000000001</v>
      </c>
      <c r="O2160" s="148">
        <v>8.347546245919478</v>
      </c>
      <c r="P2160" s="148">
        <v>78.686970000000002</v>
      </c>
      <c r="Q2160" s="148">
        <v>120.45582</v>
      </c>
      <c r="R2160" s="148">
        <v>153.08229558210209</v>
      </c>
    </row>
    <row r="2161" spans="2:18" ht="15.75" hidden="1" thickBot="1" x14ac:dyDescent="0.3">
      <c r="B2161" s="145" t="s">
        <v>753</v>
      </c>
      <c r="C2161" s="722" t="s">
        <v>207</v>
      </c>
      <c r="D2161" t="s">
        <v>208</v>
      </c>
      <c r="E2161" s="729"/>
      <c r="F2161" s="729"/>
      <c r="G2161" s="729"/>
      <c r="H2161" s="729"/>
      <c r="I2161" s="729"/>
      <c r="J2161" s="729"/>
      <c r="K2161" s="729"/>
      <c r="L2161" s="147">
        <v>5.6550000000000003E-2</v>
      </c>
      <c r="M2161" s="729"/>
      <c r="N2161" s="147">
        <v>5.6550000000000003E-2</v>
      </c>
      <c r="O2161" s="147">
        <v>0</v>
      </c>
      <c r="P2161" s="147">
        <v>5.77E-3</v>
      </c>
      <c r="Q2161" s="147">
        <v>5.0779999999999999E-2</v>
      </c>
      <c r="R2161" s="147">
        <v>880.06932409012131</v>
      </c>
    </row>
    <row r="2162" spans="2:18" ht="15.75" hidden="1" thickBot="1" x14ac:dyDescent="0.3">
      <c r="B2162" s="145" t="s">
        <v>753</v>
      </c>
      <c r="C2162" s="722" t="s">
        <v>75</v>
      </c>
      <c r="D2162" t="s">
        <v>76</v>
      </c>
      <c r="E2162" s="148">
        <v>1.8340099999999999</v>
      </c>
      <c r="F2162" s="148">
        <v>2.4</v>
      </c>
      <c r="G2162" s="148">
        <v>-0.56598999999999999</v>
      </c>
      <c r="H2162" s="148">
        <v>-23.582916666666666</v>
      </c>
      <c r="I2162" s="728"/>
      <c r="J2162" s="148">
        <v>1.8340099999999999</v>
      </c>
      <c r="K2162" s="148">
        <v>0</v>
      </c>
      <c r="L2162" s="148">
        <v>30.363779999999998</v>
      </c>
      <c r="M2162" s="148">
        <v>37.700000000000003</v>
      </c>
      <c r="N2162" s="148">
        <v>-7.33622</v>
      </c>
      <c r="O2162" s="148">
        <v>-19.459469496021221</v>
      </c>
      <c r="P2162" s="148">
        <v>12.357229999999999</v>
      </c>
      <c r="Q2162" s="148">
        <v>18.006550000000001</v>
      </c>
      <c r="R2162" s="148">
        <v>145.71671806707491</v>
      </c>
    </row>
    <row r="2163" spans="2:18" ht="15.75" hidden="1" thickBot="1" x14ac:dyDescent="0.3">
      <c r="B2163" s="145" t="s">
        <v>753</v>
      </c>
      <c r="C2163" s="722" t="s">
        <v>121</v>
      </c>
      <c r="D2163" t="s">
        <v>122</v>
      </c>
      <c r="E2163" s="147">
        <v>0</v>
      </c>
      <c r="F2163" s="147">
        <v>0.25</v>
      </c>
      <c r="G2163" s="147">
        <v>-0.25</v>
      </c>
      <c r="H2163" s="147">
        <v>-100</v>
      </c>
      <c r="I2163" s="729"/>
      <c r="J2163" s="147">
        <v>0</v>
      </c>
      <c r="K2163" s="147">
        <v>0</v>
      </c>
      <c r="L2163" s="147">
        <v>3.45113</v>
      </c>
      <c r="M2163" s="147">
        <v>1.75</v>
      </c>
      <c r="N2163" s="147">
        <v>1.70113</v>
      </c>
      <c r="O2163" s="147">
        <v>97.207428571428565</v>
      </c>
      <c r="P2163" s="147">
        <v>2.2960099999999999</v>
      </c>
      <c r="Q2163" s="147">
        <v>1.1551199999999999</v>
      </c>
      <c r="R2163" s="147">
        <v>50.309885409906748</v>
      </c>
    </row>
    <row r="2164" spans="2:18" ht="15.75" hidden="1" thickBot="1" x14ac:dyDescent="0.3">
      <c r="B2164" s="145" t="s">
        <v>753</v>
      </c>
      <c r="C2164" s="722" t="s">
        <v>77</v>
      </c>
      <c r="D2164" t="s">
        <v>78</v>
      </c>
      <c r="E2164" s="148">
        <v>1.28209</v>
      </c>
      <c r="F2164" s="148">
        <v>1.8333699999999999</v>
      </c>
      <c r="G2164" s="148">
        <v>-0.55127999999999999</v>
      </c>
      <c r="H2164" s="148">
        <v>-30.06921679748223</v>
      </c>
      <c r="I2164" s="728"/>
      <c r="J2164" s="148">
        <v>1.28209</v>
      </c>
      <c r="K2164" s="148">
        <v>0</v>
      </c>
      <c r="L2164" s="148">
        <v>31.018180000000001</v>
      </c>
      <c r="M2164" s="148">
        <v>44.5</v>
      </c>
      <c r="N2164" s="148">
        <v>-13.481820000000001</v>
      </c>
      <c r="O2164" s="148">
        <v>-30.296224719101122</v>
      </c>
      <c r="P2164" s="148">
        <v>12.383240000000001</v>
      </c>
      <c r="Q2164" s="148">
        <v>18.63494</v>
      </c>
      <c r="R2164" s="148">
        <v>150.48517189362397</v>
      </c>
    </row>
    <row r="2165" spans="2:18" ht="15.75" hidden="1" thickBot="1" x14ac:dyDescent="0.3">
      <c r="B2165" s="145" t="s">
        <v>753</v>
      </c>
      <c r="C2165" s="722" t="s">
        <v>79</v>
      </c>
      <c r="D2165" t="s">
        <v>80</v>
      </c>
      <c r="E2165" s="147">
        <v>1.59985</v>
      </c>
      <c r="F2165" s="147">
        <v>0.5</v>
      </c>
      <c r="G2165" s="147">
        <v>1.09985</v>
      </c>
      <c r="H2165" s="147">
        <v>219.97</v>
      </c>
      <c r="I2165" s="729"/>
      <c r="J2165" s="147">
        <v>1.59985</v>
      </c>
      <c r="K2165" s="147">
        <v>0</v>
      </c>
      <c r="L2165" s="147">
        <v>9.6355199999999996</v>
      </c>
      <c r="M2165" s="147">
        <v>10.199999999999999</v>
      </c>
      <c r="N2165" s="147">
        <v>-0.56447999999999998</v>
      </c>
      <c r="O2165" s="147">
        <v>-5.5341176470588236</v>
      </c>
      <c r="P2165" s="147">
        <v>2.9594399999999998</v>
      </c>
      <c r="Q2165" s="147">
        <v>6.6760799999999998</v>
      </c>
      <c r="R2165" s="147">
        <v>225.58592166085475</v>
      </c>
    </row>
    <row r="2166" spans="2:18" ht="15.75" hidden="1" thickBot="1" x14ac:dyDescent="0.3">
      <c r="B2166" s="145" t="s">
        <v>753</v>
      </c>
      <c r="C2166" s="722" t="s">
        <v>81</v>
      </c>
      <c r="D2166" t="s">
        <v>82</v>
      </c>
      <c r="E2166" s="148">
        <v>2.1256499999999998</v>
      </c>
      <c r="F2166" s="148">
        <v>0.05</v>
      </c>
      <c r="G2166" s="148">
        <v>2.07565</v>
      </c>
      <c r="H2166" s="148">
        <v>4151.3</v>
      </c>
      <c r="I2166" s="728"/>
      <c r="J2166" s="148">
        <v>2.1256499999999998</v>
      </c>
      <c r="K2166" s="148">
        <v>0</v>
      </c>
      <c r="L2166" s="148">
        <v>4.4275900000000004</v>
      </c>
      <c r="M2166" s="148">
        <v>12.3</v>
      </c>
      <c r="N2166" s="148">
        <v>-7.8724100000000004</v>
      </c>
      <c r="O2166" s="148">
        <v>-64.00333333333333</v>
      </c>
      <c r="P2166" s="148">
        <v>0.13</v>
      </c>
      <c r="Q2166" s="148">
        <v>4.2975899999999996</v>
      </c>
      <c r="R2166" s="148">
        <v>3305.8384615384616</v>
      </c>
    </row>
    <row r="2167" spans="2:18" ht="15.75" hidden="1" thickBot="1" x14ac:dyDescent="0.3">
      <c r="B2167" s="145" t="s">
        <v>753</v>
      </c>
      <c r="C2167" s="722" t="s">
        <v>123</v>
      </c>
      <c r="D2167" t="s">
        <v>124</v>
      </c>
      <c r="E2167" s="147">
        <v>0.99768999999999997</v>
      </c>
      <c r="F2167" s="147">
        <v>0.05</v>
      </c>
      <c r="G2167" s="147">
        <v>0.94769000000000003</v>
      </c>
      <c r="H2167" s="147">
        <v>1895.38</v>
      </c>
      <c r="I2167" s="729"/>
      <c r="J2167" s="147">
        <v>0.99768999999999997</v>
      </c>
      <c r="K2167" s="147">
        <v>0</v>
      </c>
      <c r="L2167" s="147">
        <v>39.182740000000003</v>
      </c>
      <c r="M2167" s="147">
        <v>39.200000000000003</v>
      </c>
      <c r="N2167" s="147">
        <v>-1.7260000000000001E-2</v>
      </c>
      <c r="O2167" s="147">
        <v>-4.403061224489796E-2</v>
      </c>
      <c r="P2167" s="147">
        <v>4.3741700000000003</v>
      </c>
      <c r="Q2167" s="147">
        <v>34.808570000000003</v>
      </c>
      <c r="R2167" s="147">
        <v>795.77542710960017</v>
      </c>
    </row>
    <row r="2168" spans="2:18" ht="15.75" hidden="1" thickBot="1" x14ac:dyDescent="0.3">
      <c r="B2168" s="145" t="s">
        <v>753</v>
      </c>
      <c r="C2168" s="722" t="s">
        <v>125</v>
      </c>
      <c r="D2168" t="s">
        <v>126</v>
      </c>
      <c r="E2168" s="728"/>
      <c r="F2168" s="728"/>
      <c r="G2168" s="728"/>
      <c r="H2168" s="728"/>
      <c r="I2168" s="728"/>
      <c r="J2168" s="728"/>
      <c r="K2168" s="728"/>
      <c r="L2168" s="148">
        <v>1.3899999999999999E-2</v>
      </c>
      <c r="M2168" s="728"/>
      <c r="N2168" s="148">
        <v>1.3899999999999999E-2</v>
      </c>
      <c r="O2168" s="148">
        <v>0</v>
      </c>
      <c r="P2168" s="728"/>
      <c r="Q2168" s="148">
        <v>1.3899999999999999E-2</v>
      </c>
      <c r="R2168" s="148">
        <v>0</v>
      </c>
    </row>
    <row r="2169" spans="2:18" ht="15.75" hidden="1" thickBot="1" x14ac:dyDescent="0.3">
      <c r="B2169" s="145" t="s">
        <v>753</v>
      </c>
      <c r="C2169" s="722" t="s">
        <v>695</v>
      </c>
      <c r="D2169" t="s">
        <v>696</v>
      </c>
      <c r="E2169" s="729"/>
      <c r="F2169" s="729"/>
      <c r="G2169" s="729"/>
      <c r="H2169" s="729"/>
      <c r="I2169" s="729"/>
      <c r="J2169" s="729"/>
      <c r="K2169" s="729"/>
      <c r="L2169" s="147">
        <v>0</v>
      </c>
      <c r="M2169" s="729"/>
      <c r="N2169" s="147">
        <v>0</v>
      </c>
      <c r="O2169" s="147">
        <v>0</v>
      </c>
      <c r="P2169" s="147">
        <v>-1.6979999999999999E-2</v>
      </c>
      <c r="Q2169" s="147">
        <v>1.6979999999999999E-2</v>
      </c>
      <c r="R2169" s="147">
        <v>100</v>
      </c>
    </row>
    <row r="2170" spans="2:18" ht="15.75" hidden="1" thickBot="1" x14ac:dyDescent="0.3">
      <c r="B2170" s="145" t="s">
        <v>753</v>
      </c>
      <c r="C2170" s="722" t="s">
        <v>83</v>
      </c>
      <c r="D2170" t="s">
        <v>84</v>
      </c>
      <c r="E2170" s="728"/>
      <c r="F2170" s="148">
        <v>8.1456700000000009</v>
      </c>
      <c r="G2170" s="148">
        <v>-8.1456700000000009</v>
      </c>
      <c r="H2170" s="148">
        <v>-100</v>
      </c>
      <c r="I2170" s="728"/>
      <c r="J2170" s="728"/>
      <c r="K2170" s="728"/>
      <c r="L2170" s="728"/>
      <c r="M2170" s="148">
        <v>86.448040000000006</v>
      </c>
      <c r="N2170" s="148">
        <v>-86.448040000000006</v>
      </c>
      <c r="O2170" s="148">
        <v>-100</v>
      </c>
      <c r="P2170" s="728"/>
      <c r="Q2170" s="728"/>
      <c r="R2170" s="728"/>
    </row>
    <row r="2171" spans="2:18" ht="15.75" hidden="1" thickBot="1" x14ac:dyDescent="0.3">
      <c r="B2171" s="145" t="s">
        <v>753</v>
      </c>
      <c r="C2171" s="149" t="s">
        <v>85</v>
      </c>
      <c r="D2171" t="s">
        <v>86</v>
      </c>
      <c r="E2171" s="147">
        <v>101.50408</v>
      </c>
      <c r="F2171" s="147">
        <v>61.513559999999998</v>
      </c>
      <c r="G2171" s="147">
        <v>39.990519999999997</v>
      </c>
      <c r="H2171" s="147">
        <v>65.010901661357266</v>
      </c>
      <c r="I2171" s="729"/>
      <c r="J2171" s="147">
        <v>101.50408</v>
      </c>
      <c r="K2171" s="147">
        <v>0</v>
      </c>
      <c r="L2171" s="147">
        <v>838.13450999999998</v>
      </c>
      <c r="M2171" s="147">
        <v>935.05141000000003</v>
      </c>
      <c r="N2171" s="147">
        <v>-96.916899999999998</v>
      </c>
      <c r="O2171" s="147">
        <v>-10.364873948481613</v>
      </c>
      <c r="P2171" s="147">
        <v>422.57175999999998</v>
      </c>
      <c r="Q2171" s="147">
        <v>415.56274999999999</v>
      </c>
      <c r="R2171" s="147">
        <v>98.341344438161229</v>
      </c>
    </row>
    <row r="2172" spans="2:18" ht="15.75" hidden="1" thickBot="1" x14ac:dyDescent="0.3">
      <c r="B2172" s="145" t="s">
        <v>753</v>
      </c>
      <c r="C2172" s="144" t="s">
        <v>87</v>
      </c>
      <c r="D2172" t="s">
        <v>87</v>
      </c>
      <c r="E2172" s="148">
        <v>335.46402</v>
      </c>
      <c r="F2172" s="148">
        <v>309.47045000000003</v>
      </c>
      <c r="G2172" s="148">
        <v>25.993569999999998</v>
      </c>
      <c r="H2172" s="148">
        <v>8.3993706022659023</v>
      </c>
      <c r="I2172" s="728"/>
      <c r="J2172" s="148">
        <v>335.46402</v>
      </c>
      <c r="K2172" s="148">
        <v>0</v>
      </c>
      <c r="L2172" s="148">
        <v>3987.07971</v>
      </c>
      <c r="M2172" s="148">
        <v>3918.42884</v>
      </c>
      <c r="N2172" s="148">
        <v>68.650869999999998</v>
      </c>
      <c r="O2172" s="148">
        <v>1.7519999163746458</v>
      </c>
      <c r="P2172" s="148">
        <v>2004.8937800000001</v>
      </c>
      <c r="Q2172" s="148">
        <v>1982.1859300000001</v>
      </c>
      <c r="R2172" s="148">
        <v>98.867378899245224</v>
      </c>
    </row>
    <row r="2173" spans="2:18" ht="15.75" hidden="1" thickBot="1" x14ac:dyDescent="0.3">
      <c r="B2173" s="723" t="s">
        <v>754</v>
      </c>
      <c r="C2173" s="722" t="s">
        <v>59</v>
      </c>
      <c r="D2173" t="s">
        <v>60</v>
      </c>
      <c r="E2173" s="147">
        <v>17.169360000000001</v>
      </c>
      <c r="F2173" s="147">
        <v>22.619129999999998</v>
      </c>
      <c r="G2173" s="147">
        <v>-5.44977</v>
      </c>
      <c r="H2173" s="147">
        <v>-24.093632248455179</v>
      </c>
      <c r="I2173" s="729"/>
      <c r="J2173" s="147">
        <v>17.169360000000001</v>
      </c>
      <c r="K2173" s="147">
        <v>0</v>
      </c>
      <c r="L2173" s="147">
        <v>268.97611999999998</v>
      </c>
      <c r="M2173" s="147">
        <v>270.00558000000001</v>
      </c>
      <c r="N2173" s="147">
        <v>-1.02946</v>
      </c>
      <c r="O2173" s="147">
        <v>-0.38127360182704373</v>
      </c>
      <c r="P2173" s="147">
        <v>141.73966999999999</v>
      </c>
      <c r="Q2173" s="147">
        <v>127.23645</v>
      </c>
      <c r="R2173" s="147">
        <v>89.76770582293581</v>
      </c>
    </row>
    <row r="2174" spans="2:18" ht="15.75" hidden="1" thickBot="1" x14ac:dyDescent="0.3">
      <c r="B2174" s="723" t="s">
        <v>754</v>
      </c>
      <c r="C2174" s="722" t="s">
        <v>134</v>
      </c>
      <c r="D2174" t="s">
        <v>135</v>
      </c>
      <c r="E2174" s="148">
        <v>0</v>
      </c>
      <c r="F2174" s="728"/>
      <c r="G2174" s="148">
        <v>0</v>
      </c>
      <c r="H2174" s="148">
        <v>0</v>
      </c>
      <c r="I2174" s="728"/>
      <c r="J2174" s="148">
        <v>0</v>
      </c>
      <c r="K2174" s="148">
        <v>0</v>
      </c>
      <c r="L2174" s="148">
        <v>3.2652800000000002</v>
      </c>
      <c r="M2174" s="728"/>
      <c r="N2174" s="148">
        <v>3.2652800000000002</v>
      </c>
      <c r="O2174" s="148">
        <v>0</v>
      </c>
      <c r="P2174" s="728"/>
      <c r="Q2174" s="148">
        <v>3.2652800000000002</v>
      </c>
      <c r="R2174" s="148">
        <v>0</v>
      </c>
    </row>
    <row r="2175" spans="2:18" ht="15.75" hidden="1" thickBot="1" x14ac:dyDescent="0.3">
      <c r="B2175" s="723" t="s">
        <v>754</v>
      </c>
      <c r="C2175" s="722" t="s">
        <v>61</v>
      </c>
      <c r="D2175" t="s">
        <v>62</v>
      </c>
      <c r="E2175" s="147">
        <v>3.5163099999999998</v>
      </c>
      <c r="F2175" s="147">
        <v>3.50596</v>
      </c>
      <c r="G2175" s="147">
        <v>1.035E-2</v>
      </c>
      <c r="H2175" s="147">
        <v>0.29521158256226537</v>
      </c>
      <c r="I2175" s="729"/>
      <c r="J2175" s="147">
        <v>3.5163099999999998</v>
      </c>
      <c r="K2175" s="147">
        <v>0</v>
      </c>
      <c r="L2175" s="147">
        <v>41.980049999999999</v>
      </c>
      <c r="M2175" s="147">
        <v>41.8508</v>
      </c>
      <c r="N2175" s="147">
        <v>0.12925</v>
      </c>
      <c r="O2175" s="147">
        <v>0.3088351955040286</v>
      </c>
      <c r="P2175" s="147">
        <v>20.882059999999999</v>
      </c>
      <c r="Q2175" s="147">
        <v>21.097989999999999</v>
      </c>
      <c r="R2175" s="147">
        <v>101.03404549168042</v>
      </c>
    </row>
    <row r="2176" spans="2:18" ht="15.75" hidden="1" thickBot="1" x14ac:dyDescent="0.3">
      <c r="B2176" s="723" t="s">
        <v>754</v>
      </c>
      <c r="C2176" s="722" t="s">
        <v>63</v>
      </c>
      <c r="D2176" t="s">
        <v>64</v>
      </c>
      <c r="E2176" s="148">
        <v>13.66072</v>
      </c>
      <c r="F2176" s="148">
        <v>13.639329999999999</v>
      </c>
      <c r="G2176" s="148">
        <v>2.1389999999999999E-2</v>
      </c>
      <c r="H2176" s="148">
        <v>0.15682588514245202</v>
      </c>
      <c r="I2176" s="728"/>
      <c r="J2176" s="148">
        <v>13.66072</v>
      </c>
      <c r="K2176" s="148">
        <v>0</v>
      </c>
      <c r="L2176" s="148">
        <v>163.08933999999999</v>
      </c>
      <c r="M2176" s="148">
        <v>162.81327999999999</v>
      </c>
      <c r="N2176" s="148">
        <v>0.27606000000000003</v>
      </c>
      <c r="O2176" s="148">
        <v>0.16955619345055883</v>
      </c>
      <c r="P2176" s="148">
        <v>81.124979999999994</v>
      </c>
      <c r="Q2176" s="148">
        <v>81.964359999999999</v>
      </c>
      <c r="R2176" s="148">
        <v>101.03467513951929</v>
      </c>
    </row>
    <row r="2177" spans="2:18" ht="15.75" hidden="1" thickBot="1" x14ac:dyDescent="0.3">
      <c r="B2177" s="723" t="s">
        <v>754</v>
      </c>
      <c r="C2177" s="149" t="s">
        <v>67</v>
      </c>
      <c r="D2177" t="s">
        <v>68</v>
      </c>
      <c r="E2177" s="147">
        <v>34.34639</v>
      </c>
      <c r="F2177" s="147">
        <v>39.764420000000001</v>
      </c>
      <c r="G2177" s="147">
        <v>-5.4180299999999999</v>
      </c>
      <c r="H2177" s="147">
        <v>-13.625321329972875</v>
      </c>
      <c r="I2177" s="729"/>
      <c r="J2177" s="147">
        <v>34.34639</v>
      </c>
      <c r="K2177" s="147">
        <v>0</v>
      </c>
      <c r="L2177" s="147">
        <v>477.31079</v>
      </c>
      <c r="M2177" s="147">
        <v>474.66966000000002</v>
      </c>
      <c r="N2177" s="147">
        <v>2.64113</v>
      </c>
      <c r="O2177" s="147">
        <v>0.55641432822986836</v>
      </c>
      <c r="P2177" s="147">
        <v>243.74671000000001</v>
      </c>
      <c r="Q2177" s="147">
        <v>233.56407999999999</v>
      </c>
      <c r="R2177" s="147">
        <v>95.82245438307659</v>
      </c>
    </row>
    <row r="2178" spans="2:18" ht="15.75" hidden="1" thickBot="1" x14ac:dyDescent="0.3">
      <c r="B2178" s="723" t="s">
        <v>754</v>
      </c>
      <c r="C2178" s="722" t="s">
        <v>69</v>
      </c>
      <c r="D2178" t="s">
        <v>70</v>
      </c>
      <c r="E2178" s="148">
        <v>0</v>
      </c>
      <c r="F2178" s="148">
        <v>0</v>
      </c>
      <c r="G2178" s="148">
        <v>0</v>
      </c>
      <c r="H2178" s="148">
        <v>0</v>
      </c>
      <c r="I2178" s="728"/>
      <c r="J2178" s="148">
        <v>0</v>
      </c>
      <c r="K2178" s="148">
        <v>0</v>
      </c>
      <c r="L2178" s="148">
        <v>0.89063999999999999</v>
      </c>
      <c r="M2178" s="148">
        <v>2.75</v>
      </c>
      <c r="N2178" s="148">
        <v>-1.8593599999999999</v>
      </c>
      <c r="O2178" s="148">
        <v>-67.613090909090914</v>
      </c>
      <c r="P2178" s="148">
        <v>1.899E-2</v>
      </c>
      <c r="Q2178" s="148">
        <v>0.87165000000000004</v>
      </c>
      <c r="R2178" s="148">
        <v>4590.0473933649291</v>
      </c>
    </row>
    <row r="2179" spans="2:18" ht="15.75" hidden="1" thickBot="1" x14ac:dyDescent="0.3">
      <c r="B2179" s="723" t="s">
        <v>754</v>
      </c>
      <c r="C2179" s="722" t="s">
        <v>99</v>
      </c>
      <c r="D2179" t="s">
        <v>100</v>
      </c>
      <c r="E2179" s="147">
        <v>6.9010000000000002E-2</v>
      </c>
      <c r="F2179" s="147">
        <v>0.5</v>
      </c>
      <c r="G2179" s="147">
        <v>-0.43098999999999998</v>
      </c>
      <c r="H2179" s="147">
        <v>-86.197999999999993</v>
      </c>
      <c r="I2179" s="729"/>
      <c r="J2179" s="147">
        <v>6.9010000000000002E-2</v>
      </c>
      <c r="K2179" s="147">
        <v>0</v>
      </c>
      <c r="L2179" s="147">
        <v>25.306090000000001</v>
      </c>
      <c r="M2179" s="147">
        <v>20.2</v>
      </c>
      <c r="N2179" s="147">
        <v>5.10609</v>
      </c>
      <c r="O2179" s="147">
        <v>25.277673267326733</v>
      </c>
      <c r="P2179" s="147">
        <v>10.625959999999999</v>
      </c>
      <c r="Q2179" s="147">
        <v>14.68013</v>
      </c>
      <c r="R2179" s="147">
        <v>138.1534468415089</v>
      </c>
    </row>
    <row r="2180" spans="2:18" ht="15.75" hidden="1" thickBot="1" x14ac:dyDescent="0.3">
      <c r="B2180" s="723" t="s">
        <v>754</v>
      </c>
      <c r="C2180" s="722" t="s">
        <v>165</v>
      </c>
      <c r="D2180" t="s">
        <v>166</v>
      </c>
      <c r="E2180" s="148">
        <v>0</v>
      </c>
      <c r="F2180" s="728"/>
      <c r="G2180" s="148">
        <v>0</v>
      </c>
      <c r="H2180" s="148">
        <v>0</v>
      </c>
      <c r="I2180" s="728"/>
      <c r="J2180" s="148">
        <v>0</v>
      </c>
      <c r="K2180" s="148">
        <v>0</v>
      </c>
      <c r="L2180" s="148">
        <v>3.2299999999999998E-3</v>
      </c>
      <c r="M2180" s="728"/>
      <c r="N2180" s="148">
        <v>3.2299999999999998E-3</v>
      </c>
      <c r="O2180" s="148">
        <v>0</v>
      </c>
      <c r="P2180" s="728"/>
      <c r="Q2180" s="148">
        <v>3.2299999999999998E-3</v>
      </c>
      <c r="R2180" s="148">
        <v>0</v>
      </c>
    </row>
    <row r="2181" spans="2:18" ht="15.75" hidden="1" thickBot="1" x14ac:dyDescent="0.3">
      <c r="B2181" s="723" t="s">
        <v>754</v>
      </c>
      <c r="C2181" s="722" t="s">
        <v>137</v>
      </c>
      <c r="D2181" t="s">
        <v>138</v>
      </c>
      <c r="E2181" s="147">
        <v>0.22181999999999999</v>
      </c>
      <c r="F2181" s="729"/>
      <c r="G2181" s="147">
        <v>0.22181999999999999</v>
      </c>
      <c r="H2181" s="147">
        <v>0</v>
      </c>
      <c r="I2181" s="729"/>
      <c r="J2181" s="147">
        <v>0.22181999999999999</v>
      </c>
      <c r="K2181" s="147">
        <v>0</v>
      </c>
      <c r="L2181" s="147">
        <v>2.7925900000000001</v>
      </c>
      <c r="M2181" s="729"/>
      <c r="N2181" s="147">
        <v>2.7925900000000001</v>
      </c>
      <c r="O2181" s="147">
        <v>0</v>
      </c>
      <c r="P2181" s="147">
        <v>1.0856300000000001</v>
      </c>
      <c r="Q2181" s="147">
        <v>1.70696</v>
      </c>
      <c r="R2181" s="147">
        <v>157.23220618442747</v>
      </c>
    </row>
    <row r="2182" spans="2:18" ht="15.75" hidden="1" thickBot="1" x14ac:dyDescent="0.3">
      <c r="B2182" s="723" t="s">
        <v>754</v>
      </c>
      <c r="C2182" s="722" t="s">
        <v>190</v>
      </c>
      <c r="D2182" t="s">
        <v>191</v>
      </c>
      <c r="E2182" s="148">
        <v>6.02</v>
      </c>
      <c r="F2182" s="148">
        <v>6.02</v>
      </c>
      <c r="G2182" s="148">
        <v>0</v>
      </c>
      <c r="H2182" s="148">
        <v>0</v>
      </c>
      <c r="I2182" s="728"/>
      <c r="J2182" s="148">
        <v>6.02</v>
      </c>
      <c r="K2182" s="148">
        <v>0</v>
      </c>
      <c r="L2182" s="148">
        <v>72.239999999999995</v>
      </c>
      <c r="M2182" s="148">
        <v>72.239999999999995</v>
      </c>
      <c r="N2182" s="148">
        <v>0</v>
      </c>
      <c r="O2182" s="148">
        <v>0</v>
      </c>
      <c r="P2182" s="148">
        <v>36.119999999999997</v>
      </c>
      <c r="Q2182" s="148">
        <v>36.119999999999997</v>
      </c>
      <c r="R2182" s="148">
        <v>100</v>
      </c>
    </row>
    <row r="2183" spans="2:18" ht="15.75" hidden="1" thickBot="1" x14ac:dyDescent="0.3">
      <c r="B2183" s="723" t="s">
        <v>754</v>
      </c>
      <c r="C2183" s="722" t="s">
        <v>36</v>
      </c>
      <c r="D2183" t="s">
        <v>192</v>
      </c>
      <c r="E2183" s="147">
        <v>0</v>
      </c>
      <c r="F2183" s="147">
        <v>2.5</v>
      </c>
      <c r="G2183" s="147">
        <v>-2.5</v>
      </c>
      <c r="H2183" s="147">
        <v>-100</v>
      </c>
      <c r="I2183" s="729"/>
      <c r="J2183" s="147">
        <v>0</v>
      </c>
      <c r="K2183" s="147">
        <v>0</v>
      </c>
      <c r="L2183" s="147">
        <v>15.13414</v>
      </c>
      <c r="M2183" s="147">
        <v>11.75</v>
      </c>
      <c r="N2183" s="147">
        <v>3.3841399999999999</v>
      </c>
      <c r="O2183" s="147">
        <v>28.801191489361702</v>
      </c>
      <c r="P2183" s="147">
        <v>11.698880000000001</v>
      </c>
      <c r="Q2183" s="147">
        <v>3.43526</v>
      </c>
      <c r="R2183" s="147">
        <v>29.36400749473454</v>
      </c>
    </row>
    <row r="2184" spans="2:18" ht="15.75" hidden="1" thickBot="1" x14ac:dyDescent="0.3">
      <c r="B2184" s="723" t="s">
        <v>754</v>
      </c>
      <c r="C2184" s="722" t="s">
        <v>139</v>
      </c>
      <c r="D2184" t="s">
        <v>140</v>
      </c>
      <c r="E2184" s="148">
        <v>0</v>
      </c>
      <c r="F2184" s="728"/>
      <c r="G2184" s="148">
        <v>0</v>
      </c>
      <c r="H2184" s="148">
        <v>0</v>
      </c>
      <c r="I2184" s="728"/>
      <c r="J2184" s="148">
        <v>0</v>
      </c>
      <c r="K2184" s="148">
        <v>0</v>
      </c>
      <c r="L2184" s="148">
        <v>1.778</v>
      </c>
      <c r="M2184" s="728"/>
      <c r="N2184" s="148">
        <v>1.778</v>
      </c>
      <c r="O2184" s="148">
        <v>0</v>
      </c>
      <c r="P2184" s="728"/>
      <c r="Q2184" s="148">
        <v>1.778</v>
      </c>
      <c r="R2184" s="148">
        <v>0</v>
      </c>
    </row>
    <row r="2185" spans="2:18" ht="15.75" hidden="1" thickBot="1" x14ac:dyDescent="0.3">
      <c r="B2185" s="723" t="s">
        <v>754</v>
      </c>
      <c r="C2185" s="722" t="s">
        <v>101</v>
      </c>
      <c r="D2185" t="s">
        <v>102</v>
      </c>
      <c r="E2185" s="147">
        <v>3.19116</v>
      </c>
      <c r="F2185" s="147">
        <v>0.93500000000000005</v>
      </c>
      <c r="G2185" s="147">
        <v>2.2561599999999999</v>
      </c>
      <c r="H2185" s="147">
        <v>241.3005347593583</v>
      </c>
      <c r="I2185" s="729"/>
      <c r="J2185" s="147">
        <v>3.19116</v>
      </c>
      <c r="K2185" s="147">
        <v>0</v>
      </c>
      <c r="L2185" s="147">
        <v>75.180800000000005</v>
      </c>
      <c r="M2185" s="147">
        <v>63.234999999999999</v>
      </c>
      <c r="N2185" s="147">
        <v>11.9458</v>
      </c>
      <c r="O2185" s="147">
        <v>18.891120423815924</v>
      </c>
      <c r="P2185" s="147">
        <v>33.654049999999998</v>
      </c>
      <c r="Q2185" s="147">
        <v>41.52675</v>
      </c>
      <c r="R2185" s="147">
        <v>123.39302401939737</v>
      </c>
    </row>
    <row r="2186" spans="2:18" ht="15.75" hidden="1" thickBot="1" x14ac:dyDescent="0.3">
      <c r="B2186" s="723" t="s">
        <v>754</v>
      </c>
      <c r="C2186" s="722" t="s">
        <v>464</v>
      </c>
      <c r="D2186" t="s">
        <v>465</v>
      </c>
      <c r="E2186" s="148">
        <v>7.04</v>
      </c>
      <c r="F2186" s="148">
        <v>2.64</v>
      </c>
      <c r="G2186" s="148">
        <v>4.4000000000000004</v>
      </c>
      <c r="H2186" s="148">
        <v>166.66666666666666</v>
      </c>
      <c r="I2186" s="728"/>
      <c r="J2186" s="148">
        <v>7.04</v>
      </c>
      <c r="K2186" s="148">
        <v>0</v>
      </c>
      <c r="L2186" s="148">
        <v>44.685299999999998</v>
      </c>
      <c r="M2186" s="148">
        <v>38.484999999999999</v>
      </c>
      <c r="N2186" s="148">
        <v>6.2003000000000004</v>
      </c>
      <c r="O2186" s="148">
        <v>16.110952319085357</v>
      </c>
      <c r="P2186" s="148">
        <v>19.54</v>
      </c>
      <c r="Q2186" s="148">
        <v>25.145299999999999</v>
      </c>
      <c r="R2186" s="148">
        <v>128.68628454452406</v>
      </c>
    </row>
    <row r="2187" spans="2:18" ht="15.75" hidden="1" thickBot="1" x14ac:dyDescent="0.3">
      <c r="B2187" s="723" t="s">
        <v>754</v>
      </c>
      <c r="C2187" s="722" t="s">
        <v>103</v>
      </c>
      <c r="D2187" t="s">
        <v>104</v>
      </c>
      <c r="E2187" s="147">
        <v>-9.2319999999999993</v>
      </c>
      <c r="F2187" s="729"/>
      <c r="G2187" s="147">
        <v>-9.2319999999999993</v>
      </c>
      <c r="H2187" s="147">
        <v>0</v>
      </c>
      <c r="I2187" s="729"/>
      <c r="J2187" s="147">
        <v>-9.2319999999999993</v>
      </c>
      <c r="K2187" s="147">
        <v>0</v>
      </c>
      <c r="L2187" s="147">
        <v>0</v>
      </c>
      <c r="M2187" s="729"/>
      <c r="N2187" s="147">
        <v>0</v>
      </c>
      <c r="O2187" s="147">
        <v>0</v>
      </c>
      <c r="P2187" s="147">
        <v>9.2319999999999993</v>
      </c>
      <c r="Q2187" s="147">
        <v>-9.2319999999999993</v>
      </c>
      <c r="R2187" s="147">
        <v>-100</v>
      </c>
    </row>
    <row r="2188" spans="2:18" ht="15.75" hidden="1" thickBot="1" x14ac:dyDescent="0.3">
      <c r="B2188" s="723" t="s">
        <v>754</v>
      </c>
      <c r="C2188" s="722" t="s">
        <v>71</v>
      </c>
      <c r="D2188" t="s">
        <v>72</v>
      </c>
      <c r="E2188" s="148">
        <v>-9.2800000000000001E-3</v>
      </c>
      <c r="F2188" s="728"/>
      <c r="G2188" s="148">
        <v>-9.2800000000000001E-3</v>
      </c>
      <c r="H2188" s="148">
        <v>0</v>
      </c>
      <c r="I2188" s="728"/>
      <c r="J2188" s="148">
        <v>-9.2800000000000001E-3</v>
      </c>
      <c r="K2188" s="148">
        <v>0</v>
      </c>
      <c r="L2188" s="148">
        <v>0</v>
      </c>
      <c r="M2188" s="728"/>
      <c r="N2188" s="148">
        <v>0</v>
      </c>
      <c r="O2188" s="148">
        <v>0</v>
      </c>
      <c r="P2188" s="148">
        <v>1.23129</v>
      </c>
      <c r="Q2188" s="148">
        <v>-1.23129</v>
      </c>
      <c r="R2188" s="148">
        <v>-100</v>
      </c>
    </row>
    <row r="2189" spans="2:18" ht="15.75" hidden="1" thickBot="1" x14ac:dyDescent="0.3">
      <c r="B2189" s="723" t="s">
        <v>754</v>
      </c>
      <c r="C2189" s="722" t="s">
        <v>627</v>
      </c>
      <c r="D2189" t="s">
        <v>628</v>
      </c>
      <c r="E2189" s="147">
        <v>0</v>
      </c>
      <c r="F2189" s="729"/>
      <c r="G2189" s="147">
        <v>0</v>
      </c>
      <c r="H2189" s="147">
        <v>0</v>
      </c>
      <c r="I2189" s="729"/>
      <c r="J2189" s="147">
        <v>0</v>
      </c>
      <c r="K2189" s="147">
        <v>0</v>
      </c>
      <c r="L2189" s="147">
        <v>0.45400000000000001</v>
      </c>
      <c r="M2189" s="729"/>
      <c r="N2189" s="147">
        <v>0.45400000000000001</v>
      </c>
      <c r="O2189" s="147">
        <v>0</v>
      </c>
      <c r="P2189" s="147">
        <v>0.154</v>
      </c>
      <c r="Q2189" s="147">
        <v>0.3</v>
      </c>
      <c r="R2189" s="147">
        <v>194.80519480519482</v>
      </c>
    </row>
    <row r="2190" spans="2:18" ht="15.75" hidden="1" thickBot="1" x14ac:dyDescent="0.3">
      <c r="B2190" s="723" t="s">
        <v>754</v>
      </c>
      <c r="C2190" s="722" t="s">
        <v>73</v>
      </c>
      <c r="D2190" t="s">
        <v>74</v>
      </c>
      <c r="E2190" s="148">
        <v>0</v>
      </c>
      <c r="F2190" s="728"/>
      <c r="G2190" s="148">
        <v>0</v>
      </c>
      <c r="H2190" s="148">
        <v>0</v>
      </c>
      <c r="I2190" s="728"/>
      <c r="J2190" s="148">
        <v>0</v>
      </c>
      <c r="K2190" s="148">
        <v>0</v>
      </c>
      <c r="L2190" s="148">
        <v>0.57525000000000004</v>
      </c>
      <c r="M2190" s="728"/>
      <c r="N2190" s="148">
        <v>0.57525000000000004</v>
      </c>
      <c r="O2190" s="148">
        <v>0</v>
      </c>
      <c r="P2190" s="148">
        <v>0.12216</v>
      </c>
      <c r="Q2190" s="148">
        <v>0.45308999999999999</v>
      </c>
      <c r="R2190" s="148">
        <v>370.89882121807466</v>
      </c>
    </row>
    <row r="2191" spans="2:18" ht="15.75" hidden="1" thickBot="1" x14ac:dyDescent="0.3">
      <c r="B2191" s="723" t="s">
        <v>754</v>
      </c>
      <c r="C2191" s="722" t="s">
        <v>141</v>
      </c>
      <c r="D2191" t="s">
        <v>142</v>
      </c>
      <c r="E2191" s="147">
        <v>0</v>
      </c>
      <c r="F2191" s="729"/>
      <c r="G2191" s="147">
        <v>0</v>
      </c>
      <c r="H2191" s="147">
        <v>0</v>
      </c>
      <c r="I2191" s="729"/>
      <c r="J2191" s="147">
        <v>0</v>
      </c>
      <c r="K2191" s="147">
        <v>0</v>
      </c>
      <c r="L2191" s="147">
        <v>0.12458</v>
      </c>
      <c r="M2191" s="729"/>
      <c r="N2191" s="147">
        <v>0.12458</v>
      </c>
      <c r="O2191" s="147">
        <v>0</v>
      </c>
      <c r="P2191" s="147">
        <v>0.29899999999999999</v>
      </c>
      <c r="Q2191" s="147">
        <v>-0.17441999999999999</v>
      </c>
      <c r="R2191" s="147">
        <v>-58.334448160535118</v>
      </c>
    </row>
    <row r="2192" spans="2:18" ht="15.75" hidden="1" thickBot="1" x14ac:dyDescent="0.3">
      <c r="B2192" s="723" t="s">
        <v>754</v>
      </c>
      <c r="C2192" s="722" t="s">
        <v>113</v>
      </c>
      <c r="D2192" t="s">
        <v>114</v>
      </c>
      <c r="E2192" s="148">
        <v>0</v>
      </c>
      <c r="F2192" s="728"/>
      <c r="G2192" s="148">
        <v>0</v>
      </c>
      <c r="H2192" s="148">
        <v>0</v>
      </c>
      <c r="I2192" s="728"/>
      <c r="J2192" s="148">
        <v>0</v>
      </c>
      <c r="K2192" s="148">
        <v>0</v>
      </c>
      <c r="L2192" s="148">
        <v>1.0330000000000001E-2</v>
      </c>
      <c r="M2192" s="728"/>
      <c r="N2192" s="148">
        <v>1.0330000000000001E-2</v>
      </c>
      <c r="O2192" s="148">
        <v>0</v>
      </c>
      <c r="P2192" s="728"/>
      <c r="Q2192" s="148">
        <v>1.0330000000000001E-2</v>
      </c>
      <c r="R2192" s="148">
        <v>0</v>
      </c>
    </row>
    <row r="2193" spans="2:18" ht="15.75" hidden="1" thickBot="1" x14ac:dyDescent="0.3">
      <c r="B2193" s="723" t="s">
        <v>754</v>
      </c>
      <c r="C2193" s="722" t="s">
        <v>201</v>
      </c>
      <c r="D2193" t="s">
        <v>202</v>
      </c>
      <c r="E2193" s="147">
        <v>0</v>
      </c>
      <c r="F2193" s="729"/>
      <c r="G2193" s="147">
        <v>0</v>
      </c>
      <c r="H2193" s="147">
        <v>0</v>
      </c>
      <c r="I2193" s="729"/>
      <c r="J2193" s="147">
        <v>0</v>
      </c>
      <c r="K2193" s="147">
        <v>0</v>
      </c>
      <c r="L2193" s="147">
        <v>2.16499</v>
      </c>
      <c r="M2193" s="729"/>
      <c r="N2193" s="147">
        <v>2.16499</v>
      </c>
      <c r="O2193" s="147">
        <v>0</v>
      </c>
      <c r="P2193" s="147">
        <v>1.72214</v>
      </c>
      <c r="Q2193" s="147">
        <v>0.44285000000000002</v>
      </c>
      <c r="R2193" s="147">
        <v>25.715098656322947</v>
      </c>
    </row>
    <row r="2194" spans="2:18" ht="15.75" hidden="1" thickBot="1" x14ac:dyDescent="0.3">
      <c r="B2194" s="723" t="s">
        <v>754</v>
      </c>
      <c r="C2194" s="722" t="s">
        <v>143</v>
      </c>
      <c r="D2194" t="s">
        <v>144</v>
      </c>
      <c r="E2194" s="148">
        <v>0.77356999999999998</v>
      </c>
      <c r="F2194" s="148">
        <v>0.5</v>
      </c>
      <c r="G2194" s="148">
        <v>0.27356999999999998</v>
      </c>
      <c r="H2194" s="148">
        <v>54.713999999999999</v>
      </c>
      <c r="I2194" s="728"/>
      <c r="J2194" s="148">
        <v>0.77356999999999998</v>
      </c>
      <c r="K2194" s="148">
        <v>0</v>
      </c>
      <c r="L2194" s="148">
        <v>17.289249999999999</v>
      </c>
      <c r="M2194" s="148">
        <v>49.75</v>
      </c>
      <c r="N2194" s="148">
        <v>-32.460749999999997</v>
      </c>
      <c r="O2194" s="148">
        <v>-65.24773869346734</v>
      </c>
      <c r="P2194" s="148">
        <v>17.15183</v>
      </c>
      <c r="Q2194" s="148">
        <v>0.13741999999999999</v>
      </c>
      <c r="R2194" s="148">
        <v>0.8011973066430812</v>
      </c>
    </row>
    <row r="2195" spans="2:18" ht="15.75" hidden="1" thickBot="1" x14ac:dyDescent="0.3">
      <c r="B2195" s="723" t="s">
        <v>754</v>
      </c>
      <c r="C2195" s="722" t="s">
        <v>145</v>
      </c>
      <c r="D2195" t="s">
        <v>146</v>
      </c>
      <c r="E2195" s="147">
        <v>1.1599999999999999E-2</v>
      </c>
      <c r="F2195" s="729"/>
      <c r="G2195" s="147">
        <v>1.1599999999999999E-2</v>
      </c>
      <c r="H2195" s="147">
        <v>0</v>
      </c>
      <c r="I2195" s="729"/>
      <c r="J2195" s="147">
        <v>1.1599999999999999E-2</v>
      </c>
      <c r="K2195" s="147">
        <v>0</v>
      </c>
      <c r="L2195" s="147">
        <v>0.13125000000000001</v>
      </c>
      <c r="M2195" s="729"/>
      <c r="N2195" s="147">
        <v>0.13125000000000001</v>
      </c>
      <c r="O2195" s="147">
        <v>0</v>
      </c>
      <c r="P2195" s="147">
        <v>4.8149999999999998E-2</v>
      </c>
      <c r="Q2195" s="147">
        <v>8.3099999999999993E-2</v>
      </c>
      <c r="R2195" s="147">
        <v>172.58566978193147</v>
      </c>
    </row>
    <row r="2196" spans="2:18" ht="15.75" hidden="1" thickBot="1" x14ac:dyDescent="0.3">
      <c r="B2196" s="723" t="s">
        <v>754</v>
      </c>
      <c r="C2196" s="722" t="s">
        <v>147</v>
      </c>
      <c r="D2196" t="s">
        <v>148</v>
      </c>
      <c r="E2196" s="148">
        <v>0.25024000000000002</v>
      </c>
      <c r="F2196" s="148">
        <v>0.5</v>
      </c>
      <c r="G2196" s="148">
        <v>-0.24976000000000001</v>
      </c>
      <c r="H2196" s="148">
        <v>-49.951999999999998</v>
      </c>
      <c r="I2196" s="728"/>
      <c r="J2196" s="148">
        <v>0.25024000000000002</v>
      </c>
      <c r="K2196" s="148">
        <v>0</v>
      </c>
      <c r="L2196" s="148">
        <v>4.4580900000000003</v>
      </c>
      <c r="M2196" s="148">
        <v>5.45</v>
      </c>
      <c r="N2196" s="148">
        <v>-0.99190999999999996</v>
      </c>
      <c r="O2196" s="148">
        <v>-18.200183486238533</v>
      </c>
      <c r="P2196" s="148">
        <v>2.7234500000000001</v>
      </c>
      <c r="Q2196" s="148">
        <v>1.73464</v>
      </c>
      <c r="R2196" s="148">
        <v>63.69274266096312</v>
      </c>
    </row>
    <row r="2197" spans="2:18" ht="15.75" hidden="1" thickBot="1" x14ac:dyDescent="0.3">
      <c r="B2197" s="723" t="s">
        <v>754</v>
      </c>
      <c r="C2197" s="722" t="s">
        <v>203</v>
      </c>
      <c r="D2197" t="s">
        <v>204</v>
      </c>
      <c r="E2197" s="147">
        <v>0</v>
      </c>
      <c r="F2197" s="729"/>
      <c r="G2197" s="147">
        <v>0</v>
      </c>
      <c r="H2197" s="147">
        <v>0</v>
      </c>
      <c r="I2197" s="729"/>
      <c r="J2197" s="147">
        <v>0</v>
      </c>
      <c r="K2197" s="147">
        <v>0</v>
      </c>
      <c r="L2197" s="147">
        <v>0.84430000000000005</v>
      </c>
      <c r="M2197" s="729"/>
      <c r="N2197" s="147">
        <v>0.84430000000000005</v>
      </c>
      <c r="O2197" s="147">
        <v>0</v>
      </c>
      <c r="P2197" s="147">
        <v>0.33674999999999999</v>
      </c>
      <c r="Q2197" s="147">
        <v>0.50754999999999995</v>
      </c>
      <c r="R2197" s="147">
        <v>150.72011878247957</v>
      </c>
    </row>
    <row r="2198" spans="2:18" ht="15.75" hidden="1" thickBot="1" x14ac:dyDescent="0.3">
      <c r="B2198" s="723" t="s">
        <v>754</v>
      </c>
      <c r="C2198" s="722" t="s">
        <v>149</v>
      </c>
      <c r="D2198" t="s">
        <v>150</v>
      </c>
      <c r="E2198" s="148">
        <v>0</v>
      </c>
      <c r="F2198" s="148">
        <v>0</v>
      </c>
      <c r="G2198" s="148">
        <v>0</v>
      </c>
      <c r="H2198" s="148">
        <v>0</v>
      </c>
      <c r="I2198" s="728"/>
      <c r="J2198" s="148">
        <v>0</v>
      </c>
      <c r="K2198" s="148">
        <v>0</v>
      </c>
      <c r="L2198" s="148">
        <v>92.582930000000005</v>
      </c>
      <c r="M2198" s="148">
        <v>75</v>
      </c>
      <c r="N2198" s="148">
        <v>17.582930000000001</v>
      </c>
      <c r="O2198" s="148">
        <v>23.443906666666667</v>
      </c>
      <c r="P2198" s="148">
        <v>69.304509999999993</v>
      </c>
      <c r="Q2198" s="148">
        <v>23.278420000000001</v>
      </c>
      <c r="R2198" s="148">
        <v>33.588607725528973</v>
      </c>
    </row>
    <row r="2199" spans="2:18" ht="15.75" hidden="1" thickBot="1" x14ac:dyDescent="0.3">
      <c r="B2199" s="723" t="s">
        <v>754</v>
      </c>
      <c r="C2199" s="722" t="s">
        <v>645</v>
      </c>
      <c r="D2199" t="s">
        <v>646</v>
      </c>
      <c r="E2199" s="729"/>
      <c r="F2199" s="729"/>
      <c r="G2199" s="729"/>
      <c r="H2199" s="729"/>
      <c r="I2199" s="729"/>
      <c r="J2199" s="729"/>
      <c r="K2199" s="729"/>
      <c r="L2199" s="147">
        <v>0.6</v>
      </c>
      <c r="M2199" s="729"/>
      <c r="N2199" s="147">
        <v>0.6</v>
      </c>
      <c r="O2199" s="147">
        <v>0</v>
      </c>
      <c r="P2199" s="729"/>
      <c r="Q2199" s="147">
        <v>0.6</v>
      </c>
      <c r="R2199" s="147">
        <v>0</v>
      </c>
    </row>
    <row r="2200" spans="2:18" ht="15.75" hidden="1" thickBot="1" x14ac:dyDescent="0.3">
      <c r="B2200" s="723" t="s">
        <v>754</v>
      </c>
      <c r="C2200" s="722" t="s">
        <v>205</v>
      </c>
      <c r="D2200" t="s">
        <v>206</v>
      </c>
      <c r="E2200" s="728"/>
      <c r="F2200" s="728"/>
      <c r="G2200" s="728"/>
      <c r="H2200" s="728"/>
      <c r="I2200" s="728"/>
      <c r="J2200" s="728"/>
      <c r="K2200" s="728"/>
      <c r="L2200" s="148">
        <v>0.96099999999999997</v>
      </c>
      <c r="M2200" s="728"/>
      <c r="N2200" s="148">
        <v>0.96099999999999997</v>
      </c>
      <c r="O2200" s="148">
        <v>0</v>
      </c>
      <c r="P2200" s="728"/>
      <c r="Q2200" s="148">
        <v>0.96099999999999997</v>
      </c>
      <c r="R2200" s="148">
        <v>0</v>
      </c>
    </row>
    <row r="2201" spans="2:18" ht="15.75" hidden="1" thickBot="1" x14ac:dyDescent="0.3">
      <c r="B2201" s="723" t="s">
        <v>754</v>
      </c>
      <c r="C2201" s="722" t="s">
        <v>151</v>
      </c>
      <c r="D2201" t="s">
        <v>152</v>
      </c>
      <c r="E2201" s="147">
        <v>0</v>
      </c>
      <c r="F2201" s="729"/>
      <c r="G2201" s="147">
        <v>0</v>
      </c>
      <c r="H2201" s="147">
        <v>0</v>
      </c>
      <c r="I2201" s="729"/>
      <c r="J2201" s="147">
        <v>0</v>
      </c>
      <c r="K2201" s="147">
        <v>0</v>
      </c>
      <c r="L2201" s="147">
        <v>0.27900000000000003</v>
      </c>
      <c r="M2201" s="729"/>
      <c r="N2201" s="147">
        <v>0.27900000000000003</v>
      </c>
      <c r="O2201" s="147">
        <v>0</v>
      </c>
      <c r="P2201" s="147">
        <v>2.3E-2</v>
      </c>
      <c r="Q2201" s="147">
        <v>0.25600000000000001</v>
      </c>
      <c r="R2201" s="147">
        <v>1113.0434782608695</v>
      </c>
    </row>
    <row r="2202" spans="2:18" ht="15.75" hidden="1" thickBot="1" x14ac:dyDescent="0.3">
      <c r="B2202" s="723" t="s">
        <v>754</v>
      </c>
      <c r="C2202" s="722" t="s">
        <v>153</v>
      </c>
      <c r="D2202" t="s">
        <v>154</v>
      </c>
      <c r="E2202" s="148">
        <v>24.41</v>
      </c>
      <c r="F2202" s="148">
        <v>19</v>
      </c>
      <c r="G2202" s="148">
        <v>5.41</v>
      </c>
      <c r="H2202" s="148">
        <v>28.473684210526315</v>
      </c>
      <c r="I2202" s="728"/>
      <c r="J2202" s="148">
        <v>24.41</v>
      </c>
      <c r="K2202" s="148">
        <v>0</v>
      </c>
      <c r="L2202" s="148">
        <v>171.03818999999999</v>
      </c>
      <c r="M2202" s="148">
        <v>171.3</v>
      </c>
      <c r="N2202" s="148">
        <v>-0.26180999999999999</v>
      </c>
      <c r="O2202" s="148">
        <v>-0.15283712784588441</v>
      </c>
      <c r="P2202" s="148">
        <v>76.666970000000006</v>
      </c>
      <c r="Q2202" s="148">
        <v>94.371219999999994</v>
      </c>
      <c r="R2202" s="148">
        <v>123.09240863438323</v>
      </c>
    </row>
    <row r="2203" spans="2:18" ht="15.75" hidden="1" thickBot="1" x14ac:dyDescent="0.3">
      <c r="B2203" s="723" t="s">
        <v>754</v>
      </c>
      <c r="C2203" s="722" t="s">
        <v>207</v>
      </c>
      <c r="D2203" t="s">
        <v>208</v>
      </c>
      <c r="E2203" s="729"/>
      <c r="F2203" s="729"/>
      <c r="G2203" s="729"/>
      <c r="H2203" s="729"/>
      <c r="I2203" s="729"/>
      <c r="J2203" s="729"/>
      <c r="K2203" s="729"/>
      <c r="L2203" s="147">
        <v>1.6580000000000001E-2</v>
      </c>
      <c r="M2203" s="729"/>
      <c r="N2203" s="147">
        <v>1.6580000000000001E-2</v>
      </c>
      <c r="O2203" s="147">
        <v>0</v>
      </c>
      <c r="P2203" s="147">
        <v>5.77E-3</v>
      </c>
      <c r="Q2203" s="147">
        <v>1.081E-2</v>
      </c>
      <c r="R2203" s="147">
        <v>187.34835355285961</v>
      </c>
    </row>
    <row r="2204" spans="2:18" ht="15.75" hidden="1" thickBot="1" x14ac:dyDescent="0.3">
      <c r="B2204" s="723" t="s">
        <v>754</v>
      </c>
      <c r="C2204" s="722" t="s">
        <v>75</v>
      </c>
      <c r="D2204" t="s">
        <v>76</v>
      </c>
      <c r="E2204" s="148">
        <v>-0.80523999999999996</v>
      </c>
      <c r="F2204" s="148">
        <v>0.25</v>
      </c>
      <c r="G2204" s="148">
        <v>-1.05524</v>
      </c>
      <c r="H2204" s="148">
        <v>-422.096</v>
      </c>
      <c r="I2204" s="728"/>
      <c r="J2204" s="148">
        <v>-0.80523999999999996</v>
      </c>
      <c r="K2204" s="148">
        <v>0</v>
      </c>
      <c r="L2204" s="148">
        <v>9.61111</v>
      </c>
      <c r="M2204" s="148">
        <v>8</v>
      </c>
      <c r="N2204" s="148">
        <v>1.61111</v>
      </c>
      <c r="O2204" s="148">
        <v>20.138874999999999</v>
      </c>
      <c r="P2204" s="148">
        <v>3.2450399999999999</v>
      </c>
      <c r="Q2204" s="148">
        <v>6.3660699999999997</v>
      </c>
      <c r="R2204" s="148">
        <v>196.17847545792964</v>
      </c>
    </row>
    <row r="2205" spans="2:18" ht="15.75" hidden="1" thickBot="1" x14ac:dyDescent="0.3">
      <c r="B2205" s="723" t="s">
        <v>754</v>
      </c>
      <c r="C2205" s="722" t="s">
        <v>121</v>
      </c>
      <c r="D2205" t="s">
        <v>122</v>
      </c>
      <c r="E2205" s="147">
        <v>0</v>
      </c>
      <c r="F2205" s="729"/>
      <c r="G2205" s="147">
        <v>0</v>
      </c>
      <c r="H2205" s="147">
        <v>0</v>
      </c>
      <c r="I2205" s="729"/>
      <c r="J2205" s="147">
        <v>0</v>
      </c>
      <c r="K2205" s="147">
        <v>0</v>
      </c>
      <c r="L2205" s="147">
        <v>0.38302999999999998</v>
      </c>
      <c r="M2205" s="729"/>
      <c r="N2205" s="147">
        <v>0.38302999999999998</v>
      </c>
      <c r="O2205" s="147">
        <v>0</v>
      </c>
      <c r="P2205" s="147">
        <v>0.38302999999999998</v>
      </c>
      <c r="Q2205" s="147">
        <v>0</v>
      </c>
      <c r="R2205" s="147">
        <v>0</v>
      </c>
    </row>
    <row r="2206" spans="2:18" ht="15.75" hidden="1" thickBot="1" x14ac:dyDescent="0.3">
      <c r="B2206" s="723" t="s">
        <v>754</v>
      </c>
      <c r="C2206" s="722" t="s">
        <v>77</v>
      </c>
      <c r="D2206" t="s">
        <v>78</v>
      </c>
      <c r="E2206" s="148">
        <v>0.90491999999999995</v>
      </c>
      <c r="F2206" s="148">
        <v>0</v>
      </c>
      <c r="G2206" s="148">
        <v>0.90491999999999995</v>
      </c>
      <c r="H2206" s="148">
        <v>0</v>
      </c>
      <c r="I2206" s="728"/>
      <c r="J2206" s="148">
        <v>0.90491999999999995</v>
      </c>
      <c r="K2206" s="148">
        <v>0</v>
      </c>
      <c r="L2206" s="148">
        <v>1.8338399999999999</v>
      </c>
      <c r="M2206" s="148">
        <v>3.3</v>
      </c>
      <c r="N2206" s="148">
        <v>-1.4661599999999999</v>
      </c>
      <c r="O2206" s="148">
        <v>-44.42909090909091</v>
      </c>
      <c r="P2206" s="728"/>
      <c r="Q2206" s="148">
        <v>1.8338399999999999</v>
      </c>
      <c r="R2206" s="148">
        <v>0</v>
      </c>
    </row>
    <row r="2207" spans="2:18" ht="15.75" hidden="1" thickBot="1" x14ac:dyDescent="0.3">
      <c r="B2207" s="723" t="s">
        <v>754</v>
      </c>
      <c r="C2207" s="722" t="s">
        <v>81</v>
      </c>
      <c r="D2207" t="s">
        <v>82</v>
      </c>
      <c r="E2207" s="147">
        <v>0</v>
      </c>
      <c r="F2207" s="729"/>
      <c r="G2207" s="147">
        <v>0</v>
      </c>
      <c r="H2207" s="147">
        <v>0</v>
      </c>
      <c r="I2207" s="729"/>
      <c r="J2207" s="147">
        <v>0</v>
      </c>
      <c r="K2207" s="147">
        <v>0</v>
      </c>
      <c r="L2207" s="147">
        <v>0.33561999999999997</v>
      </c>
      <c r="M2207" s="729"/>
      <c r="N2207" s="147">
        <v>0.33561999999999997</v>
      </c>
      <c r="O2207" s="147">
        <v>0</v>
      </c>
      <c r="P2207" s="729"/>
      <c r="Q2207" s="147">
        <v>0.33561999999999997</v>
      </c>
      <c r="R2207" s="147">
        <v>0</v>
      </c>
    </row>
    <row r="2208" spans="2:18" ht="15.75" hidden="1" thickBot="1" x14ac:dyDescent="0.3">
      <c r="B2208" s="723" t="s">
        <v>754</v>
      </c>
      <c r="C2208" s="722" t="s">
        <v>123</v>
      </c>
      <c r="D2208" t="s">
        <v>124</v>
      </c>
      <c r="E2208" s="148">
        <v>0</v>
      </c>
      <c r="F2208" s="728"/>
      <c r="G2208" s="148">
        <v>0</v>
      </c>
      <c r="H2208" s="148">
        <v>0</v>
      </c>
      <c r="I2208" s="728"/>
      <c r="J2208" s="148">
        <v>0</v>
      </c>
      <c r="K2208" s="148">
        <v>0</v>
      </c>
      <c r="L2208" s="148">
        <v>0.3</v>
      </c>
      <c r="M2208" s="728"/>
      <c r="N2208" s="148">
        <v>0.3</v>
      </c>
      <c r="O2208" s="148">
        <v>0</v>
      </c>
      <c r="P2208" s="728"/>
      <c r="Q2208" s="148">
        <v>0.3</v>
      </c>
      <c r="R2208" s="148">
        <v>0</v>
      </c>
    </row>
    <row r="2209" spans="2:18" ht="15.75" hidden="1" thickBot="1" x14ac:dyDescent="0.3">
      <c r="B2209" s="723" t="s">
        <v>754</v>
      </c>
      <c r="C2209" s="722" t="s">
        <v>83</v>
      </c>
      <c r="D2209" t="s">
        <v>84</v>
      </c>
      <c r="E2209" s="729"/>
      <c r="F2209" s="147">
        <v>4.0999999999999996</v>
      </c>
      <c r="G2209" s="147">
        <v>-4.0999999999999996</v>
      </c>
      <c r="H2209" s="147">
        <v>-100</v>
      </c>
      <c r="I2209" s="729"/>
      <c r="J2209" s="729"/>
      <c r="K2209" s="729"/>
      <c r="L2209" s="729"/>
      <c r="M2209" s="147">
        <v>22.875</v>
      </c>
      <c r="N2209" s="147">
        <v>-22.875</v>
      </c>
      <c r="O2209" s="147">
        <v>-100</v>
      </c>
      <c r="P2209" s="729"/>
      <c r="Q2209" s="729"/>
      <c r="R2209" s="729"/>
    </row>
    <row r="2210" spans="2:18" ht="15.75" hidden="1" thickBot="1" x14ac:dyDescent="0.3">
      <c r="B2210" s="723" t="s">
        <v>754</v>
      </c>
      <c r="C2210" s="149" t="s">
        <v>85</v>
      </c>
      <c r="D2210" t="s">
        <v>86</v>
      </c>
      <c r="E2210" s="148">
        <v>32.845799999999997</v>
      </c>
      <c r="F2210" s="148">
        <v>36.945</v>
      </c>
      <c r="G2210" s="148">
        <v>-4.0991999999999997</v>
      </c>
      <c r="H2210" s="148">
        <v>-11.095412099066179</v>
      </c>
      <c r="I2210" s="728"/>
      <c r="J2210" s="148">
        <v>32.845799999999997</v>
      </c>
      <c r="K2210" s="148">
        <v>0</v>
      </c>
      <c r="L2210" s="148">
        <v>542.00413000000003</v>
      </c>
      <c r="M2210" s="148">
        <v>544.33500000000004</v>
      </c>
      <c r="N2210" s="148">
        <v>-2.33087</v>
      </c>
      <c r="O2210" s="148">
        <v>-0.42820505754728244</v>
      </c>
      <c r="P2210" s="148">
        <v>295.39260000000002</v>
      </c>
      <c r="Q2210" s="148">
        <v>246.61152999999999</v>
      </c>
      <c r="R2210" s="148">
        <v>83.486021653893829</v>
      </c>
    </row>
    <row r="2211" spans="2:18" ht="15.75" hidden="1" thickBot="1" x14ac:dyDescent="0.3">
      <c r="B2211" s="723" t="s">
        <v>754</v>
      </c>
      <c r="C2211" s="144" t="s">
        <v>87</v>
      </c>
      <c r="D2211" t="s">
        <v>87</v>
      </c>
      <c r="E2211" s="147">
        <v>67.192189999999997</v>
      </c>
      <c r="F2211" s="147">
        <v>76.709419999999994</v>
      </c>
      <c r="G2211" s="147">
        <v>-9.5172299999999996</v>
      </c>
      <c r="H2211" s="147">
        <v>-12.406859548670814</v>
      </c>
      <c r="I2211" s="729"/>
      <c r="J2211" s="147">
        <v>67.192189999999997</v>
      </c>
      <c r="K2211" s="147">
        <v>0</v>
      </c>
      <c r="L2211" s="147">
        <v>1019.31492</v>
      </c>
      <c r="M2211" s="147">
        <v>1019.0046599999999</v>
      </c>
      <c r="N2211" s="147">
        <v>0.31025999999999998</v>
      </c>
      <c r="O2211" s="147">
        <v>3.0447358307468388E-2</v>
      </c>
      <c r="P2211" s="147">
        <v>539.13931000000002</v>
      </c>
      <c r="Q2211" s="147">
        <v>480.17561000000001</v>
      </c>
      <c r="R2211" s="147">
        <v>89.063364717367762</v>
      </c>
    </row>
    <row r="2212" spans="2:18" ht="15.75" hidden="1" thickBot="1" x14ac:dyDescent="0.3">
      <c r="B2212" s="723" t="s">
        <v>755</v>
      </c>
      <c r="C2212" s="722" t="s">
        <v>59</v>
      </c>
      <c r="D2212" t="s">
        <v>60</v>
      </c>
      <c r="E2212" s="148">
        <v>23.027270000000001</v>
      </c>
      <c r="F2212" s="148">
        <v>28.728359999999999</v>
      </c>
      <c r="G2212" s="148">
        <v>-5.7010899999999998</v>
      </c>
      <c r="H2212" s="148">
        <v>-19.844815367114588</v>
      </c>
      <c r="I2212" s="728"/>
      <c r="J2212" s="148">
        <v>23.027270000000001</v>
      </c>
      <c r="K2212" s="148">
        <v>0</v>
      </c>
      <c r="L2212" s="148">
        <v>355.92388</v>
      </c>
      <c r="M2212" s="148">
        <v>369.67205000000001</v>
      </c>
      <c r="N2212" s="148">
        <v>-13.74817</v>
      </c>
      <c r="O2212" s="148">
        <v>-3.7190179782323276</v>
      </c>
      <c r="P2212" s="148">
        <v>189.21879000000001</v>
      </c>
      <c r="Q2212" s="148">
        <v>166.70509000000001</v>
      </c>
      <c r="R2212" s="148">
        <v>88.101763043723082</v>
      </c>
    </row>
    <row r="2213" spans="2:18" ht="15.75" hidden="1" thickBot="1" x14ac:dyDescent="0.3">
      <c r="B2213" s="723" t="s">
        <v>755</v>
      </c>
      <c r="C2213" s="722" t="s">
        <v>134</v>
      </c>
      <c r="D2213" t="s">
        <v>135</v>
      </c>
      <c r="E2213" s="147">
        <v>1.0833299999999999</v>
      </c>
      <c r="F2213" s="729"/>
      <c r="G2213" s="147">
        <v>1.0833299999999999</v>
      </c>
      <c r="H2213" s="147">
        <v>0</v>
      </c>
      <c r="I2213" s="729"/>
      <c r="J2213" s="147">
        <v>1.0833299999999999</v>
      </c>
      <c r="K2213" s="147">
        <v>0</v>
      </c>
      <c r="L2213" s="147">
        <v>0.86663999999999997</v>
      </c>
      <c r="M2213" s="729"/>
      <c r="N2213" s="147">
        <v>0.86663999999999997</v>
      </c>
      <c r="O2213" s="147">
        <v>0</v>
      </c>
      <c r="P2213" s="147">
        <v>-5.6333399999999996</v>
      </c>
      <c r="Q2213" s="147">
        <v>6.4999799999999999</v>
      </c>
      <c r="R2213" s="147">
        <v>115.38412380577064</v>
      </c>
    </row>
    <row r="2214" spans="2:18" ht="15.75" hidden="1" thickBot="1" x14ac:dyDescent="0.3">
      <c r="B2214" s="723" t="s">
        <v>755</v>
      </c>
      <c r="C2214" s="722" t="s">
        <v>61</v>
      </c>
      <c r="D2214" t="s">
        <v>62</v>
      </c>
      <c r="E2214" s="148">
        <v>4.23611</v>
      </c>
      <c r="F2214" s="148">
        <v>4.4528999999999996</v>
      </c>
      <c r="G2214" s="148">
        <v>-0.21679000000000001</v>
      </c>
      <c r="H2214" s="148">
        <v>-4.8685126546744817</v>
      </c>
      <c r="I2214" s="728"/>
      <c r="J2214" s="148">
        <v>4.23611</v>
      </c>
      <c r="K2214" s="148">
        <v>0</v>
      </c>
      <c r="L2214" s="148">
        <v>51.917209999999997</v>
      </c>
      <c r="M2214" s="148">
        <v>57.299199999999999</v>
      </c>
      <c r="N2214" s="148">
        <v>-5.3819900000000001</v>
      </c>
      <c r="O2214" s="148">
        <v>-9.3927838434044446</v>
      </c>
      <c r="P2214" s="148">
        <v>26.500869999999999</v>
      </c>
      <c r="Q2214" s="148">
        <v>25.416340000000002</v>
      </c>
      <c r="R2214" s="148">
        <v>95.907568317568447</v>
      </c>
    </row>
    <row r="2215" spans="2:18" ht="15.75" hidden="1" thickBot="1" x14ac:dyDescent="0.3">
      <c r="B2215" s="723" t="s">
        <v>755</v>
      </c>
      <c r="C2215" s="722" t="s">
        <v>63</v>
      </c>
      <c r="D2215" t="s">
        <v>64</v>
      </c>
      <c r="E2215" s="147">
        <v>16.564979999999998</v>
      </c>
      <c r="F2215" s="147">
        <v>17.3232</v>
      </c>
      <c r="G2215" s="147">
        <v>-0.75822000000000001</v>
      </c>
      <c r="H2215" s="147">
        <v>-4.3769049598226655</v>
      </c>
      <c r="I2215" s="729"/>
      <c r="J2215" s="147">
        <v>16.564979999999998</v>
      </c>
      <c r="K2215" s="147">
        <v>0</v>
      </c>
      <c r="L2215" s="147">
        <v>202.55994999999999</v>
      </c>
      <c r="M2215" s="147">
        <v>222.91224</v>
      </c>
      <c r="N2215" s="147">
        <v>-20.35229</v>
      </c>
      <c r="O2215" s="147">
        <v>-9.1301805589500162</v>
      </c>
      <c r="P2215" s="147">
        <v>103.16998</v>
      </c>
      <c r="Q2215" s="147">
        <v>99.389970000000005</v>
      </c>
      <c r="R2215" s="147">
        <v>96.33613382497505</v>
      </c>
    </row>
    <row r="2216" spans="2:18" ht="15.75" hidden="1" thickBot="1" x14ac:dyDescent="0.3">
      <c r="B2216" s="723" t="s">
        <v>755</v>
      </c>
      <c r="C2216" s="722" t="s">
        <v>156</v>
      </c>
      <c r="D2216" t="s">
        <v>157</v>
      </c>
      <c r="E2216" s="148">
        <v>22.300529999999998</v>
      </c>
      <c r="F2216" s="148">
        <v>21.299099999999999</v>
      </c>
      <c r="G2216" s="148">
        <v>1.00143</v>
      </c>
      <c r="H2216" s="148">
        <v>4.7017479611814581</v>
      </c>
      <c r="I2216" s="728"/>
      <c r="J2216" s="148">
        <v>22.300529999999998</v>
      </c>
      <c r="K2216" s="148">
        <v>0</v>
      </c>
      <c r="L2216" s="148">
        <v>303.86984999999999</v>
      </c>
      <c r="M2216" s="148">
        <v>254.24834000000001</v>
      </c>
      <c r="N2216" s="148">
        <v>49.621510000000001</v>
      </c>
      <c r="O2216" s="148">
        <v>19.516945518700339</v>
      </c>
      <c r="P2216" s="148">
        <v>149.23840000000001</v>
      </c>
      <c r="Q2216" s="148">
        <v>154.63145</v>
      </c>
      <c r="R2216" s="148">
        <v>103.61371470077407</v>
      </c>
    </row>
    <row r="2217" spans="2:18" ht="15.75" hidden="1" thickBot="1" x14ac:dyDescent="0.3">
      <c r="B2217" s="723" t="s">
        <v>755</v>
      </c>
      <c r="C2217" s="722" t="s">
        <v>65</v>
      </c>
      <c r="D2217" t="s">
        <v>66</v>
      </c>
      <c r="E2217" s="729"/>
      <c r="F2217" s="147">
        <v>-14.10249</v>
      </c>
      <c r="G2217" s="147">
        <v>14.10249</v>
      </c>
      <c r="H2217" s="147">
        <v>100</v>
      </c>
      <c r="I2217" s="729"/>
      <c r="J2217" s="729"/>
      <c r="K2217" s="729"/>
      <c r="L2217" s="147">
        <v>-0.62168000000000001</v>
      </c>
      <c r="M2217" s="147">
        <v>-191.84683999999999</v>
      </c>
      <c r="N2217" s="147">
        <v>191.22515999999999</v>
      </c>
      <c r="O2217" s="147">
        <v>99.675949835816951</v>
      </c>
      <c r="P2217" s="147">
        <v>-0.62168000000000001</v>
      </c>
      <c r="Q2217" s="147">
        <v>0</v>
      </c>
      <c r="R2217" s="147">
        <v>0</v>
      </c>
    </row>
    <row r="2218" spans="2:18" ht="15.75" hidden="1" thickBot="1" x14ac:dyDescent="0.3">
      <c r="B2218" s="723" t="s">
        <v>755</v>
      </c>
      <c r="C2218" s="149" t="s">
        <v>67</v>
      </c>
      <c r="D2218" t="s">
        <v>68</v>
      </c>
      <c r="E2218" s="148">
        <v>67.212220000000002</v>
      </c>
      <c r="F2218" s="148">
        <v>57.701070000000001</v>
      </c>
      <c r="G2218" s="148">
        <v>9.5111500000000007</v>
      </c>
      <c r="H2218" s="148">
        <v>16.483489820899337</v>
      </c>
      <c r="I2218" s="728"/>
      <c r="J2218" s="148">
        <v>67.212220000000002</v>
      </c>
      <c r="K2218" s="148">
        <v>0</v>
      </c>
      <c r="L2218" s="148">
        <v>914.51585</v>
      </c>
      <c r="M2218" s="148">
        <v>712.28498999999999</v>
      </c>
      <c r="N2218" s="148">
        <v>202.23086000000001</v>
      </c>
      <c r="O2218" s="148">
        <v>28.391846359137794</v>
      </c>
      <c r="P2218" s="148">
        <v>461.87302</v>
      </c>
      <c r="Q2218" s="148">
        <v>452.64283</v>
      </c>
      <c r="R2218" s="148">
        <v>98.001574112296055</v>
      </c>
    </row>
    <row r="2219" spans="2:18" ht="15.75" hidden="1" thickBot="1" x14ac:dyDescent="0.3">
      <c r="B2219" s="723" t="s">
        <v>755</v>
      </c>
      <c r="C2219" s="722" t="s">
        <v>69</v>
      </c>
      <c r="D2219" t="s">
        <v>70</v>
      </c>
      <c r="E2219" s="729"/>
      <c r="F2219" s="729"/>
      <c r="G2219" s="729"/>
      <c r="H2219" s="729"/>
      <c r="I2219" s="729"/>
      <c r="J2219" s="729"/>
      <c r="K2219" s="729"/>
      <c r="L2219" s="147">
        <v>0.63224000000000002</v>
      </c>
      <c r="M2219" s="729"/>
      <c r="N2219" s="147">
        <v>0.63224000000000002</v>
      </c>
      <c r="O2219" s="147">
        <v>0</v>
      </c>
      <c r="P2219" s="147">
        <v>0.62</v>
      </c>
      <c r="Q2219" s="147">
        <v>1.2239999999999999E-2</v>
      </c>
      <c r="R2219" s="147">
        <v>1.9741935483870967</v>
      </c>
    </row>
    <row r="2220" spans="2:18" ht="15.75" hidden="1" thickBot="1" x14ac:dyDescent="0.3">
      <c r="B2220" s="723" t="s">
        <v>755</v>
      </c>
      <c r="C2220" s="722" t="s">
        <v>99</v>
      </c>
      <c r="D2220" t="s">
        <v>100</v>
      </c>
      <c r="E2220" s="148">
        <v>1.59284</v>
      </c>
      <c r="F2220" s="728"/>
      <c r="G2220" s="148">
        <v>1.59284</v>
      </c>
      <c r="H2220" s="148">
        <v>0</v>
      </c>
      <c r="I2220" s="728"/>
      <c r="J2220" s="148">
        <v>1.59284</v>
      </c>
      <c r="K2220" s="148">
        <v>0</v>
      </c>
      <c r="L2220" s="148">
        <v>1.857</v>
      </c>
      <c r="M2220" s="728"/>
      <c r="N2220" s="148">
        <v>1.857</v>
      </c>
      <c r="O2220" s="148">
        <v>0</v>
      </c>
      <c r="P2220" s="148">
        <v>0.26416000000000001</v>
      </c>
      <c r="Q2220" s="148">
        <v>1.59284</v>
      </c>
      <c r="R2220" s="148">
        <v>602.98304058146573</v>
      </c>
    </row>
    <row r="2221" spans="2:18" ht="15.75" hidden="1" thickBot="1" x14ac:dyDescent="0.3">
      <c r="B2221" s="723" t="s">
        <v>755</v>
      </c>
      <c r="C2221" s="722" t="s">
        <v>165</v>
      </c>
      <c r="D2221" t="s">
        <v>166</v>
      </c>
      <c r="E2221" s="729"/>
      <c r="F2221" s="729"/>
      <c r="G2221" s="729"/>
      <c r="H2221" s="729"/>
      <c r="I2221" s="729"/>
      <c r="J2221" s="729"/>
      <c r="K2221" s="729"/>
      <c r="L2221" s="147">
        <v>0.16914999999999999</v>
      </c>
      <c r="M2221" s="729"/>
      <c r="N2221" s="147">
        <v>0.16914999999999999</v>
      </c>
      <c r="O2221" s="147">
        <v>0</v>
      </c>
      <c r="P2221" s="147">
        <v>0.16914999999999999</v>
      </c>
      <c r="Q2221" s="147">
        <v>0</v>
      </c>
      <c r="R2221" s="147">
        <v>0</v>
      </c>
    </row>
    <row r="2222" spans="2:18" ht="15.75" hidden="1" thickBot="1" x14ac:dyDescent="0.3">
      <c r="B2222" s="723" t="s">
        <v>755</v>
      </c>
      <c r="C2222" s="722" t="s">
        <v>137</v>
      </c>
      <c r="D2222" t="s">
        <v>138</v>
      </c>
      <c r="E2222" s="148">
        <v>1.4165399999999999</v>
      </c>
      <c r="F2222" s="148">
        <v>2</v>
      </c>
      <c r="G2222" s="148">
        <v>-0.58345999999999998</v>
      </c>
      <c r="H2222" s="148">
        <v>-29.172999999999998</v>
      </c>
      <c r="I2222" s="728"/>
      <c r="J2222" s="148">
        <v>1.4165399999999999</v>
      </c>
      <c r="K2222" s="148">
        <v>0</v>
      </c>
      <c r="L2222" s="148">
        <v>7.7098399999999998</v>
      </c>
      <c r="M2222" s="148">
        <v>13.75</v>
      </c>
      <c r="N2222" s="148">
        <v>-6.0401600000000002</v>
      </c>
      <c r="O2222" s="148">
        <v>-43.928436363636365</v>
      </c>
      <c r="P2222" s="148">
        <v>4.5602400000000003</v>
      </c>
      <c r="Q2222" s="148">
        <v>3.1496</v>
      </c>
      <c r="R2222" s="148">
        <v>69.066540357525042</v>
      </c>
    </row>
    <row r="2223" spans="2:18" ht="15.75" hidden="1" thickBot="1" x14ac:dyDescent="0.3">
      <c r="B2223" s="723" t="s">
        <v>755</v>
      </c>
      <c r="C2223" s="722" t="s">
        <v>190</v>
      </c>
      <c r="D2223" t="s">
        <v>191</v>
      </c>
      <c r="E2223" s="147">
        <v>6.2E-2</v>
      </c>
      <c r="F2223" s="729"/>
      <c r="G2223" s="147">
        <v>6.2E-2</v>
      </c>
      <c r="H2223" s="147">
        <v>0</v>
      </c>
      <c r="I2223" s="729"/>
      <c r="J2223" s="147">
        <v>6.2E-2</v>
      </c>
      <c r="K2223" s="147">
        <v>0</v>
      </c>
      <c r="L2223" s="147">
        <v>1.3621399999999999</v>
      </c>
      <c r="M2223" s="729"/>
      <c r="N2223" s="147">
        <v>1.3621399999999999</v>
      </c>
      <c r="O2223" s="147">
        <v>0</v>
      </c>
      <c r="P2223" s="147">
        <v>0.84106000000000003</v>
      </c>
      <c r="Q2223" s="147">
        <v>0.52107999999999999</v>
      </c>
      <c r="R2223" s="147">
        <v>61.955151832211733</v>
      </c>
    </row>
    <row r="2224" spans="2:18" ht="15.75" hidden="1" thickBot="1" x14ac:dyDescent="0.3">
      <c r="B2224" s="723" t="s">
        <v>755</v>
      </c>
      <c r="C2224" s="722" t="s">
        <v>598</v>
      </c>
      <c r="D2224" t="s">
        <v>168</v>
      </c>
      <c r="E2224" s="728"/>
      <c r="F2224" s="728"/>
      <c r="G2224" s="728"/>
      <c r="H2224" s="728"/>
      <c r="I2224" s="728"/>
      <c r="J2224" s="728"/>
      <c r="K2224" s="728"/>
      <c r="L2224" s="148">
        <v>0.14724000000000001</v>
      </c>
      <c r="M2224" s="728"/>
      <c r="N2224" s="148">
        <v>0.14724000000000001</v>
      </c>
      <c r="O2224" s="148">
        <v>0</v>
      </c>
      <c r="P2224" s="728"/>
      <c r="Q2224" s="148">
        <v>0.14724000000000001</v>
      </c>
      <c r="R2224" s="148">
        <v>0</v>
      </c>
    </row>
    <row r="2225" spans="2:18" ht="15.75" hidden="1" thickBot="1" x14ac:dyDescent="0.3">
      <c r="B2225" s="723" t="s">
        <v>755</v>
      </c>
      <c r="C2225" s="722" t="s">
        <v>139</v>
      </c>
      <c r="D2225" t="s">
        <v>140</v>
      </c>
      <c r="E2225" s="147">
        <v>1.65</v>
      </c>
      <c r="F2225" s="147">
        <v>15</v>
      </c>
      <c r="G2225" s="147">
        <v>-13.35</v>
      </c>
      <c r="H2225" s="147">
        <v>-89</v>
      </c>
      <c r="I2225" s="729"/>
      <c r="J2225" s="147">
        <v>1.65</v>
      </c>
      <c r="K2225" s="147">
        <v>0</v>
      </c>
      <c r="L2225" s="147">
        <v>88.703010000000006</v>
      </c>
      <c r="M2225" s="147">
        <v>100</v>
      </c>
      <c r="N2225" s="147">
        <v>-11.296989999999999</v>
      </c>
      <c r="O2225" s="147">
        <v>-11.296989999999999</v>
      </c>
      <c r="P2225" s="147">
        <v>89.867720000000006</v>
      </c>
      <c r="Q2225" s="147">
        <v>-1.1647099999999999</v>
      </c>
      <c r="R2225" s="147">
        <v>-1.2960270940444467</v>
      </c>
    </row>
    <row r="2226" spans="2:18" ht="15.75" hidden="1" thickBot="1" x14ac:dyDescent="0.3">
      <c r="B2226" s="723" t="s">
        <v>755</v>
      </c>
      <c r="C2226" s="722" t="s">
        <v>101</v>
      </c>
      <c r="D2226" t="s">
        <v>102</v>
      </c>
      <c r="E2226" s="148">
        <v>2.46E-2</v>
      </c>
      <c r="F2226" s="728"/>
      <c r="G2226" s="148">
        <v>2.46E-2</v>
      </c>
      <c r="H2226" s="148">
        <v>0</v>
      </c>
      <c r="I2226" s="728"/>
      <c r="J2226" s="148">
        <v>2.46E-2</v>
      </c>
      <c r="K2226" s="148">
        <v>0</v>
      </c>
      <c r="L2226" s="148">
        <v>0.25961000000000001</v>
      </c>
      <c r="M2226" s="728"/>
      <c r="N2226" s="148">
        <v>0.25961000000000001</v>
      </c>
      <c r="O2226" s="148">
        <v>0</v>
      </c>
      <c r="P2226" s="148">
        <v>0.11246</v>
      </c>
      <c r="Q2226" s="148">
        <v>0.14715</v>
      </c>
      <c r="R2226" s="148">
        <v>130.84652320825182</v>
      </c>
    </row>
    <row r="2227" spans="2:18" ht="15.75" hidden="1" thickBot="1" x14ac:dyDescent="0.3">
      <c r="B2227" s="723" t="s">
        <v>755</v>
      </c>
      <c r="C2227" s="722" t="s">
        <v>464</v>
      </c>
      <c r="D2227" t="s">
        <v>465</v>
      </c>
      <c r="E2227" s="729"/>
      <c r="F2227" s="729"/>
      <c r="G2227" s="729"/>
      <c r="H2227" s="729"/>
      <c r="I2227" s="729"/>
      <c r="J2227" s="729"/>
      <c r="K2227" s="729"/>
      <c r="L2227" s="147">
        <v>0.47761999999999999</v>
      </c>
      <c r="M2227" s="729"/>
      <c r="N2227" s="147">
        <v>0.47761999999999999</v>
      </c>
      <c r="O2227" s="147">
        <v>0</v>
      </c>
      <c r="P2227" s="729"/>
      <c r="Q2227" s="147">
        <v>0.47761999999999999</v>
      </c>
      <c r="R2227" s="147">
        <v>0</v>
      </c>
    </row>
    <row r="2228" spans="2:18" ht="15.75" hidden="1" thickBot="1" x14ac:dyDescent="0.3">
      <c r="B2228" s="723" t="s">
        <v>755</v>
      </c>
      <c r="C2228" s="722" t="s">
        <v>103</v>
      </c>
      <c r="D2228" t="s">
        <v>104</v>
      </c>
      <c r="E2228" s="728"/>
      <c r="F2228" s="728"/>
      <c r="G2228" s="728"/>
      <c r="H2228" s="728"/>
      <c r="I2228" s="728"/>
      <c r="J2228" s="728"/>
      <c r="K2228" s="728"/>
      <c r="L2228" s="148">
        <v>0.22</v>
      </c>
      <c r="M2228" s="728"/>
      <c r="N2228" s="148">
        <v>0.22</v>
      </c>
      <c r="O2228" s="148">
        <v>0</v>
      </c>
      <c r="P2228" s="728"/>
      <c r="Q2228" s="148">
        <v>0.22</v>
      </c>
      <c r="R2228" s="148">
        <v>0</v>
      </c>
    </row>
    <row r="2229" spans="2:18" ht="15.75" hidden="1" thickBot="1" x14ac:dyDescent="0.3">
      <c r="B2229" s="723" t="s">
        <v>755</v>
      </c>
      <c r="C2229" s="722" t="s">
        <v>71</v>
      </c>
      <c r="D2229" t="s">
        <v>72</v>
      </c>
      <c r="E2229" s="729"/>
      <c r="F2229" s="729"/>
      <c r="G2229" s="729"/>
      <c r="H2229" s="729"/>
      <c r="I2229" s="729"/>
      <c r="J2229" s="729"/>
      <c r="K2229" s="729"/>
      <c r="L2229" s="147">
        <v>0</v>
      </c>
      <c r="M2229" s="729"/>
      <c r="N2229" s="147">
        <v>0</v>
      </c>
      <c r="O2229" s="147">
        <v>0</v>
      </c>
      <c r="P2229" s="147">
        <v>0.09</v>
      </c>
      <c r="Q2229" s="147">
        <v>-0.09</v>
      </c>
      <c r="R2229" s="147">
        <v>-100</v>
      </c>
    </row>
    <row r="2230" spans="2:18" ht="15.75" hidden="1" thickBot="1" x14ac:dyDescent="0.3">
      <c r="B2230" s="723" t="s">
        <v>755</v>
      </c>
      <c r="C2230" s="722" t="s">
        <v>109</v>
      </c>
      <c r="D2230" t="s">
        <v>110</v>
      </c>
      <c r="E2230" s="148">
        <v>4.9750000000000003E-2</v>
      </c>
      <c r="F2230" s="728"/>
      <c r="G2230" s="148">
        <v>4.9750000000000003E-2</v>
      </c>
      <c r="H2230" s="148">
        <v>0</v>
      </c>
      <c r="I2230" s="728"/>
      <c r="J2230" s="148">
        <v>4.9750000000000003E-2</v>
      </c>
      <c r="K2230" s="148">
        <v>0</v>
      </c>
      <c r="L2230" s="148">
        <v>7.5520000000000004E-2</v>
      </c>
      <c r="M2230" s="728"/>
      <c r="N2230" s="148">
        <v>7.5520000000000004E-2</v>
      </c>
      <c r="O2230" s="148">
        <v>0</v>
      </c>
      <c r="P2230" s="728"/>
      <c r="Q2230" s="148">
        <v>7.5520000000000004E-2</v>
      </c>
      <c r="R2230" s="148">
        <v>0</v>
      </c>
    </row>
    <row r="2231" spans="2:18" ht="15.75" hidden="1" thickBot="1" x14ac:dyDescent="0.3">
      <c r="B2231" s="723" t="s">
        <v>755</v>
      </c>
      <c r="C2231" s="722" t="s">
        <v>73</v>
      </c>
      <c r="D2231" t="s">
        <v>74</v>
      </c>
      <c r="E2231" s="147">
        <v>2.232E-2</v>
      </c>
      <c r="F2231" s="147">
        <v>0.70837000000000006</v>
      </c>
      <c r="G2231" s="147">
        <v>-0.68605000000000005</v>
      </c>
      <c r="H2231" s="147">
        <v>-96.849104281660715</v>
      </c>
      <c r="I2231" s="729"/>
      <c r="J2231" s="147">
        <v>2.232E-2</v>
      </c>
      <c r="K2231" s="147">
        <v>0</v>
      </c>
      <c r="L2231" s="147">
        <v>0.83199000000000001</v>
      </c>
      <c r="M2231" s="147">
        <v>3</v>
      </c>
      <c r="N2231" s="147">
        <v>-2.1680100000000002</v>
      </c>
      <c r="O2231" s="147">
        <v>-72.266999999999996</v>
      </c>
      <c r="P2231" s="147">
        <v>0.63634999999999997</v>
      </c>
      <c r="Q2231" s="147">
        <v>0.19564000000000001</v>
      </c>
      <c r="R2231" s="147">
        <v>30.744087373300857</v>
      </c>
    </row>
    <row r="2232" spans="2:18" ht="15.75" hidden="1" thickBot="1" x14ac:dyDescent="0.3">
      <c r="B2232" s="723" t="s">
        <v>755</v>
      </c>
      <c r="C2232" s="722" t="s">
        <v>111</v>
      </c>
      <c r="D2232" t="s">
        <v>112</v>
      </c>
      <c r="E2232" s="728"/>
      <c r="F2232" s="728"/>
      <c r="G2232" s="728"/>
      <c r="H2232" s="728"/>
      <c r="I2232" s="728"/>
      <c r="J2232" s="728"/>
      <c r="K2232" s="728"/>
      <c r="L2232" s="148">
        <v>8.0600000000000005E-2</v>
      </c>
      <c r="M2232" s="728"/>
      <c r="N2232" s="148">
        <v>8.0600000000000005E-2</v>
      </c>
      <c r="O2232" s="148">
        <v>0</v>
      </c>
      <c r="P2232" s="728"/>
      <c r="Q2232" s="148">
        <v>8.0600000000000005E-2</v>
      </c>
      <c r="R2232" s="148">
        <v>0</v>
      </c>
    </row>
    <row r="2233" spans="2:18" ht="15.75" hidden="1" thickBot="1" x14ac:dyDescent="0.3">
      <c r="B2233" s="723" t="s">
        <v>755</v>
      </c>
      <c r="C2233" s="722" t="s">
        <v>141</v>
      </c>
      <c r="D2233" t="s">
        <v>142</v>
      </c>
      <c r="E2233" s="147">
        <v>0.254</v>
      </c>
      <c r="F2233" s="729"/>
      <c r="G2233" s="147">
        <v>0.254</v>
      </c>
      <c r="H2233" s="147">
        <v>0</v>
      </c>
      <c r="I2233" s="729"/>
      <c r="J2233" s="147">
        <v>0.254</v>
      </c>
      <c r="K2233" s="147">
        <v>0</v>
      </c>
      <c r="L2233" s="147">
        <v>0.89124999999999999</v>
      </c>
      <c r="M2233" s="729"/>
      <c r="N2233" s="147">
        <v>0.89124999999999999</v>
      </c>
      <c r="O2233" s="147">
        <v>0</v>
      </c>
      <c r="P2233" s="147">
        <v>0.28025</v>
      </c>
      <c r="Q2233" s="147">
        <v>0.61099999999999999</v>
      </c>
      <c r="R2233" s="147">
        <v>218.01962533452274</v>
      </c>
    </row>
    <row r="2234" spans="2:18" ht="15.75" hidden="1" thickBot="1" x14ac:dyDescent="0.3">
      <c r="B2234" s="723" t="s">
        <v>755</v>
      </c>
      <c r="C2234" s="722" t="s">
        <v>113</v>
      </c>
      <c r="D2234" t="s">
        <v>114</v>
      </c>
      <c r="E2234" s="728"/>
      <c r="F2234" s="728"/>
      <c r="G2234" s="728"/>
      <c r="H2234" s="728"/>
      <c r="I2234" s="728"/>
      <c r="J2234" s="728"/>
      <c r="K2234" s="728"/>
      <c r="L2234" s="148">
        <v>0.14238000000000001</v>
      </c>
      <c r="M2234" s="728"/>
      <c r="N2234" s="148">
        <v>0.14238000000000001</v>
      </c>
      <c r="O2234" s="148">
        <v>0</v>
      </c>
      <c r="P2234" s="148">
        <v>7.0499999999999993E-2</v>
      </c>
      <c r="Q2234" s="148">
        <v>7.1879999999999999E-2</v>
      </c>
      <c r="R2234" s="148">
        <v>101.95744680851064</v>
      </c>
    </row>
    <row r="2235" spans="2:18" ht="15.75" hidden="1" thickBot="1" x14ac:dyDescent="0.3">
      <c r="B2235" s="723" t="s">
        <v>755</v>
      </c>
      <c r="C2235" s="722" t="s">
        <v>145</v>
      </c>
      <c r="D2235" t="s">
        <v>146</v>
      </c>
      <c r="E2235" s="147">
        <v>8.5300000000000001E-2</v>
      </c>
      <c r="F2235" s="729"/>
      <c r="G2235" s="147">
        <v>8.5300000000000001E-2</v>
      </c>
      <c r="H2235" s="147">
        <v>0</v>
      </c>
      <c r="I2235" s="729"/>
      <c r="J2235" s="147">
        <v>8.5300000000000001E-2</v>
      </c>
      <c r="K2235" s="147">
        <v>0</v>
      </c>
      <c r="L2235" s="147">
        <v>1.0108999999999999</v>
      </c>
      <c r="M2235" s="729"/>
      <c r="N2235" s="147">
        <v>1.0108999999999999</v>
      </c>
      <c r="O2235" s="147">
        <v>0</v>
      </c>
      <c r="P2235" s="147">
        <v>0.65059999999999996</v>
      </c>
      <c r="Q2235" s="147">
        <v>0.36030000000000001</v>
      </c>
      <c r="R2235" s="147">
        <v>55.379649554257611</v>
      </c>
    </row>
    <row r="2236" spans="2:18" ht="15.75" hidden="1" thickBot="1" x14ac:dyDescent="0.3">
      <c r="B2236" s="723" t="s">
        <v>755</v>
      </c>
      <c r="C2236" s="722" t="s">
        <v>149</v>
      </c>
      <c r="D2236" t="s">
        <v>150</v>
      </c>
      <c r="E2236" s="728"/>
      <c r="F2236" s="148">
        <v>2</v>
      </c>
      <c r="G2236" s="148">
        <v>-2</v>
      </c>
      <c r="H2236" s="148">
        <v>-100</v>
      </c>
      <c r="I2236" s="728"/>
      <c r="J2236" s="728"/>
      <c r="K2236" s="728"/>
      <c r="L2236" s="728"/>
      <c r="M2236" s="148">
        <v>2</v>
      </c>
      <c r="N2236" s="148">
        <v>-2</v>
      </c>
      <c r="O2236" s="148">
        <v>-100</v>
      </c>
      <c r="P2236" s="728"/>
      <c r="Q2236" s="728"/>
      <c r="R2236" s="728"/>
    </row>
    <row r="2237" spans="2:18" ht="15.75" hidden="1" thickBot="1" x14ac:dyDescent="0.3">
      <c r="B2237" s="723" t="s">
        <v>755</v>
      </c>
      <c r="C2237" s="722" t="s">
        <v>153</v>
      </c>
      <c r="D2237" t="s">
        <v>154</v>
      </c>
      <c r="E2237" s="729"/>
      <c r="F2237" s="729"/>
      <c r="G2237" s="729"/>
      <c r="H2237" s="729"/>
      <c r="I2237" s="729"/>
      <c r="J2237" s="729"/>
      <c r="K2237" s="729"/>
      <c r="L2237" s="147">
        <v>0.02</v>
      </c>
      <c r="M2237" s="729"/>
      <c r="N2237" s="147">
        <v>0.02</v>
      </c>
      <c r="O2237" s="147">
        <v>0</v>
      </c>
      <c r="P2237" s="147">
        <v>0.02</v>
      </c>
      <c r="Q2237" s="147">
        <v>0</v>
      </c>
      <c r="R2237" s="147">
        <v>0</v>
      </c>
    </row>
    <row r="2238" spans="2:18" ht="15.75" hidden="1" thickBot="1" x14ac:dyDescent="0.3">
      <c r="B2238" s="723" t="s">
        <v>755</v>
      </c>
      <c r="C2238" s="722" t="s">
        <v>207</v>
      </c>
      <c r="D2238" t="s">
        <v>208</v>
      </c>
      <c r="E2238" s="728"/>
      <c r="F2238" s="728"/>
      <c r="G2238" s="728"/>
      <c r="H2238" s="728"/>
      <c r="I2238" s="728"/>
      <c r="J2238" s="728"/>
      <c r="K2238" s="728"/>
      <c r="L2238" s="148">
        <v>3.9969999999999999E-2</v>
      </c>
      <c r="M2238" s="728"/>
      <c r="N2238" s="148">
        <v>3.9969999999999999E-2</v>
      </c>
      <c r="O2238" s="148">
        <v>0</v>
      </c>
      <c r="P2238" s="728"/>
      <c r="Q2238" s="148">
        <v>3.9969999999999999E-2</v>
      </c>
      <c r="R2238" s="148">
        <v>0</v>
      </c>
    </row>
    <row r="2239" spans="2:18" ht="15.75" hidden="1" thickBot="1" x14ac:dyDescent="0.3">
      <c r="B2239" s="723" t="s">
        <v>755</v>
      </c>
      <c r="C2239" s="722" t="s">
        <v>75</v>
      </c>
      <c r="D2239" t="s">
        <v>76</v>
      </c>
      <c r="E2239" s="147">
        <v>0.17781</v>
      </c>
      <c r="F2239" s="147">
        <v>0.5</v>
      </c>
      <c r="G2239" s="147">
        <v>-0.32218999999999998</v>
      </c>
      <c r="H2239" s="147">
        <v>-64.438000000000002</v>
      </c>
      <c r="I2239" s="729"/>
      <c r="J2239" s="147">
        <v>0.17781</v>
      </c>
      <c r="K2239" s="147">
        <v>0</v>
      </c>
      <c r="L2239" s="147">
        <v>6.3013599999999999</v>
      </c>
      <c r="M2239" s="147">
        <v>3</v>
      </c>
      <c r="N2239" s="147">
        <v>3.3013599999999999</v>
      </c>
      <c r="O2239" s="147">
        <v>110.04533333333333</v>
      </c>
      <c r="P2239" s="147">
        <v>3.5926399999999998</v>
      </c>
      <c r="Q2239" s="147">
        <v>2.70872</v>
      </c>
      <c r="R2239" s="147">
        <v>75.396365903625195</v>
      </c>
    </row>
    <row r="2240" spans="2:18" ht="15.75" hidden="1" thickBot="1" x14ac:dyDescent="0.3">
      <c r="B2240" s="723" t="s">
        <v>755</v>
      </c>
      <c r="C2240" s="722" t="s">
        <v>121</v>
      </c>
      <c r="D2240" t="s">
        <v>122</v>
      </c>
      <c r="E2240" s="728"/>
      <c r="F2240" s="148">
        <v>0.25</v>
      </c>
      <c r="G2240" s="148">
        <v>-0.25</v>
      </c>
      <c r="H2240" s="148">
        <v>-100</v>
      </c>
      <c r="I2240" s="728"/>
      <c r="J2240" s="728"/>
      <c r="K2240" s="728"/>
      <c r="L2240" s="148">
        <v>3.03599</v>
      </c>
      <c r="M2240" s="148">
        <v>1.75</v>
      </c>
      <c r="N2240" s="148">
        <v>1.28599</v>
      </c>
      <c r="O2240" s="148">
        <v>73.485142857142861</v>
      </c>
      <c r="P2240" s="148">
        <v>1.88967</v>
      </c>
      <c r="Q2240" s="148">
        <v>1.14632</v>
      </c>
      <c r="R2240" s="148">
        <v>60.662443707102298</v>
      </c>
    </row>
    <row r="2241" spans="2:18" ht="15.75" hidden="1" thickBot="1" x14ac:dyDescent="0.3">
      <c r="B2241" s="723" t="s">
        <v>755</v>
      </c>
      <c r="C2241" s="722" t="s">
        <v>77</v>
      </c>
      <c r="D2241" t="s">
        <v>78</v>
      </c>
      <c r="E2241" s="729"/>
      <c r="F2241" s="729"/>
      <c r="G2241" s="729"/>
      <c r="H2241" s="729"/>
      <c r="I2241" s="729"/>
      <c r="J2241" s="729"/>
      <c r="K2241" s="729"/>
      <c r="L2241" s="147">
        <v>7.5099099999999996</v>
      </c>
      <c r="M2241" s="147">
        <v>2.5</v>
      </c>
      <c r="N2241" s="147">
        <v>5.0099099999999996</v>
      </c>
      <c r="O2241" s="147">
        <v>200.3964</v>
      </c>
      <c r="P2241" s="147">
        <v>4.1123900000000004</v>
      </c>
      <c r="Q2241" s="147">
        <v>3.3975200000000001</v>
      </c>
      <c r="R2241" s="147">
        <v>82.616677892904121</v>
      </c>
    </row>
    <row r="2242" spans="2:18" ht="15.75" hidden="1" thickBot="1" x14ac:dyDescent="0.3">
      <c r="B2242" s="723" t="s">
        <v>755</v>
      </c>
      <c r="C2242" s="722" t="s">
        <v>79</v>
      </c>
      <c r="D2242" t="s">
        <v>80</v>
      </c>
      <c r="E2242" s="148">
        <v>1.0844199999999999</v>
      </c>
      <c r="F2242" s="148">
        <v>0.5</v>
      </c>
      <c r="G2242" s="148">
        <v>0.58442000000000005</v>
      </c>
      <c r="H2242" s="148">
        <v>116.884</v>
      </c>
      <c r="I2242" s="728"/>
      <c r="J2242" s="148">
        <v>1.0844199999999999</v>
      </c>
      <c r="K2242" s="148">
        <v>0</v>
      </c>
      <c r="L2242" s="148">
        <v>4.1008699999999996</v>
      </c>
      <c r="M2242" s="148">
        <v>1.9</v>
      </c>
      <c r="N2242" s="148">
        <v>2.2008700000000001</v>
      </c>
      <c r="O2242" s="148">
        <v>115.83526315789474</v>
      </c>
      <c r="P2242" s="148">
        <v>0.63602999999999998</v>
      </c>
      <c r="Q2242" s="148">
        <v>3.4648400000000001</v>
      </c>
      <c r="R2242" s="148">
        <v>544.76046727355629</v>
      </c>
    </row>
    <row r="2243" spans="2:18" ht="15.75" hidden="1" thickBot="1" x14ac:dyDescent="0.3">
      <c r="B2243" s="723" t="s">
        <v>755</v>
      </c>
      <c r="C2243" s="722" t="s">
        <v>81</v>
      </c>
      <c r="D2243" t="s">
        <v>82</v>
      </c>
      <c r="E2243" s="729"/>
      <c r="F2243" s="729"/>
      <c r="G2243" s="729"/>
      <c r="H2243" s="729"/>
      <c r="I2243" s="729"/>
      <c r="J2243" s="729"/>
      <c r="K2243" s="729"/>
      <c r="L2243" s="147">
        <v>0.03</v>
      </c>
      <c r="M2243" s="729"/>
      <c r="N2243" s="147">
        <v>0.03</v>
      </c>
      <c r="O2243" s="147">
        <v>0</v>
      </c>
      <c r="P2243" s="147">
        <v>0.03</v>
      </c>
      <c r="Q2243" s="147">
        <v>0</v>
      </c>
      <c r="R2243" s="147">
        <v>0</v>
      </c>
    </row>
    <row r="2244" spans="2:18" ht="15.75" hidden="1" thickBot="1" x14ac:dyDescent="0.3">
      <c r="B2244" s="723" t="s">
        <v>755</v>
      </c>
      <c r="C2244" s="722" t="s">
        <v>83</v>
      </c>
      <c r="D2244" t="s">
        <v>84</v>
      </c>
      <c r="E2244" s="728"/>
      <c r="F2244" s="148">
        <v>3.5289999999999999</v>
      </c>
      <c r="G2244" s="148">
        <v>-3.5289999999999999</v>
      </c>
      <c r="H2244" s="148">
        <v>-100</v>
      </c>
      <c r="I2244" s="728"/>
      <c r="J2244" s="728"/>
      <c r="K2244" s="728"/>
      <c r="L2244" s="728"/>
      <c r="M2244" s="148">
        <v>28.073</v>
      </c>
      <c r="N2244" s="148">
        <v>-28.073</v>
      </c>
      <c r="O2244" s="148">
        <v>-100</v>
      </c>
      <c r="P2244" s="728"/>
      <c r="Q2244" s="728"/>
      <c r="R2244" s="728"/>
    </row>
    <row r="2245" spans="2:18" ht="15.75" hidden="1" thickBot="1" x14ac:dyDescent="0.3">
      <c r="B2245" s="723" t="s">
        <v>755</v>
      </c>
      <c r="C2245" s="149" t="s">
        <v>85</v>
      </c>
      <c r="D2245" t="s">
        <v>86</v>
      </c>
      <c r="E2245" s="147">
        <v>6.4195799999999998</v>
      </c>
      <c r="F2245" s="147">
        <v>24.487369999999999</v>
      </c>
      <c r="G2245" s="147">
        <v>-18.067789999999999</v>
      </c>
      <c r="H2245" s="147">
        <v>-73.784118098431961</v>
      </c>
      <c r="I2245" s="729"/>
      <c r="J2245" s="147">
        <v>6.4195799999999998</v>
      </c>
      <c r="K2245" s="147">
        <v>0</v>
      </c>
      <c r="L2245" s="147">
        <v>125.60859000000001</v>
      </c>
      <c r="M2245" s="147">
        <v>155.97300000000001</v>
      </c>
      <c r="N2245" s="147">
        <v>-30.364409999999999</v>
      </c>
      <c r="O2245" s="147">
        <v>-19.46773480025389</v>
      </c>
      <c r="P2245" s="147">
        <v>108.44322</v>
      </c>
      <c r="Q2245" s="147">
        <v>17.165369999999999</v>
      </c>
      <c r="R2245" s="147">
        <v>15.828901059927951</v>
      </c>
    </row>
    <row r="2246" spans="2:18" ht="15.75" hidden="1" thickBot="1" x14ac:dyDescent="0.3">
      <c r="B2246" s="723" t="s">
        <v>755</v>
      </c>
      <c r="C2246" s="144" t="s">
        <v>87</v>
      </c>
      <c r="D2246" t="s">
        <v>87</v>
      </c>
      <c r="E2246" s="148">
        <v>73.631799999999998</v>
      </c>
      <c r="F2246" s="148">
        <v>82.18844</v>
      </c>
      <c r="G2246" s="148">
        <v>-8.5566399999999998</v>
      </c>
      <c r="H2246" s="148">
        <v>-10.41100183918809</v>
      </c>
      <c r="I2246" s="728"/>
      <c r="J2246" s="148">
        <v>73.631799999999998</v>
      </c>
      <c r="K2246" s="148">
        <v>0</v>
      </c>
      <c r="L2246" s="148">
        <v>1040.12444</v>
      </c>
      <c r="M2246" s="148">
        <v>868.25798999999995</v>
      </c>
      <c r="N2246" s="148">
        <v>171.86644999999999</v>
      </c>
      <c r="O2246" s="148">
        <v>19.794398897498198</v>
      </c>
      <c r="P2246" s="148">
        <v>570.31623999999999</v>
      </c>
      <c r="Q2246" s="148">
        <v>469.8082</v>
      </c>
      <c r="R2246" s="148">
        <v>82.376788008000617</v>
      </c>
    </row>
    <row r="2247" spans="2:18" ht="15.75" hidden="1" thickBot="1" x14ac:dyDescent="0.3">
      <c r="B2247" s="723" t="s">
        <v>756</v>
      </c>
      <c r="C2247" s="722" t="s">
        <v>59</v>
      </c>
      <c r="D2247" t="s">
        <v>60</v>
      </c>
      <c r="E2247" s="147">
        <v>1.6379900000000001</v>
      </c>
      <c r="F2247" s="147">
        <v>9.8627599999999997</v>
      </c>
      <c r="G2247" s="147">
        <v>-8.2247699999999995</v>
      </c>
      <c r="H2247" s="147">
        <v>-83.392174198703003</v>
      </c>
      <c r="I2247" s="729"/>
      <c r="J2247" s="147">
        <v>1.6379900000000001</v>
      </c>
      <c r="K2247" s="147">
        <v>0</v>
      </c>
      <c r="L2247" s="147">
        <v>23.638529999999999</v>
      </c>
      <c r="M2247" s="147">
        <v>117.73222</v>
      </c>
      <c r="N2247" s="147">
        <v>-94.093689999999995</v>
      </c>
      <c r="O2247" s="147">
        <v>-79.921783518564411</v>
      </c>
      <c r="P2247" s="147">
        <v>12.27455</v>
      </c>
      <c r="Q2247" s="147">
        <v>11.36398</v>
      </c>
      <c r="R2247" s="147">
        <v>92.58164250420586</v>
      </c>
    </row>
    <row r="2248" spans="2:18" ht="15.75" hidden="1" thickBot="1" x14ac:dyDescent="0.3">
      <c r="B2248" s="723" t="s">
        <v>756</v>
      </c>
      <c r="C2248" s="722" t="s">
        <v>134</v>
      </c>
      <c r="D2248" t="s">
        <v>135</v>
      </c>
      <c r="E2248" s="728"/>
      <c r="F2248" s="728"/>
      <c r="G2248" s="728"/>
      <c r="H2248" s="728"/>
      <c r="I2248" s="728"/>
      <c r="J2248" s="728"/>
      <c r="K2248" s="728"/>
      <c r="L2248" s="148">
        <v>0.22239</v>
      </c>
      <c r="M2248" s="728"/>
      <c r="N2248" s="148">
        <v>0.22239</v>
      </c>
      <c r="O2248" s="148">
        <v>0</v>
      </c>
      <c r="P2248" s="728"/>
      <c r="Q2248" s="148">
        <v>0.22239</v>
      </c>
      <c r="R2248" s="148">
        <v>0</v>
      </c>
    </row>
    <row r="2249" spans="2:18" ht="15.75" hidden="1" thickBot="1" x14ac:dyDescent="0.3">
      <c r="B2249" s="723" t="s">
        <v>756</v>
      </c>
      <c r="C2249" s="722" t="s">
        <v>61</v>
      </c>
      <c r="D2249" t="s">
        <v>62</v>
      </c>
      <c r="E2249" s="147">
        <v>0.30721999999999999</v>
      </c>
      <c r="F2249" s="147">
        <v>1.5287299999999999</v>
      </c>
      <c r="G2249" s="147">
        <v>-1.2215100000000001</v>
      </c>
      <c r="H2249" s="147">
        <v>-79.903580095896601</v>
      </c>
      <c r="I2249" s="729"/>
      <c r="J2249" s="147">
        <v>0.30721999999999999</v>
      </c>
      <c r="K2249" s="147">
        <v>0</v>
      </c>
      <c r="L2249" s="147">
        <v>3.6665999999999999</v>
      </c>
      <c r="M2249" s="147">
        <v>18.248519999999999</v>
      </c>
      <c r="N2249" s="147">
        <v>-14.58192</v>
      </c>
      <c r="O2249" s="147">
        <v>-79.907411669549091</v>
      </c>
      <c r="P2249" s="147">
        <v>1.8232999999999999</v>
      </c>
      <c r="Q2249" s="147">
        <v>1.8432999999999999</v>
      </c>
      <c r="R2249" s="147">
        <v>101.09691219217902</v>
      </c>
    </row>
    <row r="2250" spans="2:18" ht="15.75" hidden="1" thickBot="1" x14ac:dyDescent="0.3">
      <c r="B2250" s="723" t="s">
        <v>756</v>
      </c>
      <c r="C2250" s="722" t="s">
        <v>63</v>
      </c>
      <c r="D2250" t="s">
        <v>64</v>
      </c>
      <c r="E2250" s="148">
        <v>1.1935199999999999</v>
      </c>
      <c r="F2250" s="148">
        <v>5.9472399999999999</v>
      </c>
      <c r="G2250" s="148">
        <v>-4.7537200000000004</v>
      </c>
      <c r="H2250" s="148">
        <v>-79.931531264922882</v>
      </c>
      <c r="I2250" s="728"/>
      <c r="J2250" s="148">
        <v>1.1935199999999999</v>
      </c>
      <c r="K2250" s="148">
        <v>0</v>
      </c>
      <c r="L2250" s="148">
        <v>14.2446</v>
      </c>
      <c r="M2250" s="148">
        <v>70.99248</v>
      </c>
      <c r="N2250" s="148">
        <v>-56.747880000000002</v>
      </c>
      <c r="O2250" s="148">
        <v>-79.93505791035895</v>
      </c>
      <c r="P2250" s="148">
        <v>7.0834900000000003</v>
      </c>
      <c r="Q2250" s="148">
        <v>7.1611099999999999</v>
      </c>
      <c r="R2250" s="148">
        <v>101.09578752846407</v>
      </c>
    </row>
    <row r="2251" spans="2:18" ht="15.75" hidden="1" thickBot="1" x14ac:dyDescent="0.3">
      <c r="B2251" s="723" t="s">
        <v>756</v>
      </c>
      <c r="C2251" s="722" t="s">
        <v>156</v>
      </c>
      <c r="D2251" t="s">
        <v>157</v>
      </c>
      <c r="E2251" s="147">
        <v>5.1288600000000004</v>
      </c>
      <c r="F2251" s="147">
        <v>5.4349400000000001</v>
      </c>
      <c r="G2251" s="147">
        <v>-0.30608000000000002</v>
      </c>
      <c r="H2251" s="147">
        <v>-5.6317089057100906</v>
      </c>
      <c r="I2251" s="729"/>
      <c r="J2251" s="147">
        <v>5.1288600000000004</v>
      </c>
      <c r="K2251" s="147">
        <v>0</v>
      </c>
      <c r="L2251" s="147">
        <v>36.593859999999999</v>
      </c>
      <c r="M2251" s="147">
        <v>64.877120000000005</v>
      </c>
      <c r="N2251" s="147">
        <v>-28.283259999999999</v>
      </c>
      <c r="O2251" s="147">
        <v>-43.595122594837747</v>
      </c>
      <c r="P2251" s="147">
        <v>18.098880000000001</v>
      </c>
      <c r="Q2251" s="147">
        <v>18.494980000000002</v>
      </c>
      <c r="R2251" s="147">
        <v>102.1885332131049</v>
      </c>
    </row>
    <row r="2252" spans="2:18" ht="15.75" hidden="1" thickBot="1" x14ac:dyDescent="0.3">
      <c r="B2252" s="723" t="s">
        <v>756</v>
      </c>
      <c r="C2252" s="722" t="s">
        <v>65</v>
      </c>
      <c r="D2252" t="s">
        <v>66</v>
      </c>
      <c r="E2252" s="728"/>
      <c r="F2252" s="148">
        <v>-13.870990000000001</v>
      </c>
      <c r="G2252" s="148">
        <v>13.870990000000001</v>
      </c>
      <c r="H2252" s="148">
        <v>100</v>
      </c>
      <c r="I2252" s="728"/>
      <c r="J2252" s="728"/>
      <c r="K2252" s="728"/>
      <c r="L2252" s="728"/>
      <c r="M2252" s="148">
        <v>-165.57864000000001</v>
      </c>
      <c r="N2252" s="148">
        <v>165.57864000000001</v>
      </c>
      <c r="O2252" s="148">
        <v>100</v>
      </c>
      <c r="P2252" s="728"/>
      <c r="Q2252" s="728"/>
      <c r="R2252" s="728"/>
    </row>
    <row r="2253" spans="2:18" ht="15.75" hidden="1" thickBot="1" x14ac:dyDescent="0.3">
      <c r="B2253" s="723" t="s">
        <v>756</v>
      </c>
      <c r="C2253" s="149" t="s">
        <v>67</v>
      </c>
      <c r="D2253" t="s">
        <v>68</v>
      </c>
      <c r="E2253" s="147">
        <v>8.2675900000000002</v>
      </c>
      <c r="F2253" s="147">
        <v>8.9026800000000001</v>
      </c>
      <c r="G2253" s="147">
        <v>-0.63509000000000004</v>
      </c>
      <c r="H2253" s="147">
        <v>-7.1336945728701915</v>
      </c>
      <c r="I2253" s="729"/>
      <c r="J2253" s="147">
        <v>8.2675900000000002</v>
      </c>
      <c r="K2253" s="147">
        <v>0</v>
      </c>
      <c r="L2253" s="147">
        <v>78.365979999999993</v>
      </c>
      <c r="M2253" s="147">
        <v>106.2717</v>
      </c>
      <c r="N2253" s="147">
        <v>-27.905719999999999</v>
      </c>
      <c r="O2253" s="147">
        <v>-26.258844076080461</v>
      </c>
      <c r="P2253" s="147">
        <v>39.28022</v>
      </c>
      <c r="Q2253" s="147">
        <v>39.085760000000001</v>
      </c>
      <c r="R2253" s="147">
        <v>99.504941672933597</v>
      </c>
    </row>
    <row r="2254" spans="2:18" ht="15.75" hidden="1" thickBot="1" x14ac:dyDescent="0.3">
      <c r="B2254" s="723" t="s">
        <v>756</v>
      </c>
      <c r="C2254" s="722" t="s">
        <v>69</v>
      </c>
      <c r="D2254" t="s">
        <v>70</v>
      </c>
      <c r="E2254" s="728"/>
      <c r="F2254" s="728"/>
      <c r="G2254" s="728"/>
      <c r="H2254" s="728"/>
      <c r="I2254" s="728"/>
      <c r="J2254" s="728"/>
      <c r="K2254" s="728"/>
      <c r="L2254" s="728"/>
      <c r="M2254" s="148">
        <v>10</v>
      </c>
      <c r="N2254" s="148">
        <v>-10</v>
      </c>
      <c r="O2254" s="148">
        <v>-100</v>
      </c>
      <c r="P2254" s="728"/>
      <c r="Q2254" s="728"/>
      <c r="R2254" s="728"/>
    </row>
    <row r="2255" spans="2:18" ht="15.75" hidden="1" thickBot="1" x14ac:dyDescent="0.3">
      <c r="B2255" s="723" t="s">
        <v>756</v>
      </c>
      <c r="C2255" s="722" t="s">
        <v>137</v>
      </c>
      <c r="D2255" t="s">
        <v>138</v>
      </c>
      <c r="E2255" s="729"/>
      <c r="F2255" s="147">
        <v>0.2</v>
      </c>
      <c r="G2255" s="147">
        <v>-0.2</v>
      </c>
      <c r="H2255" s="147">
        <v>-100</v>
      </c>
      <c r="I2255" s="729"/>
      <c r="J2255" s="729"/>
      <c r="K2255" s="729"/>
      <c r="L2255" s="147">
        <v>0.36399999999999999</v>
      </c>
      <c r="M2255" s="147">
        <v>2.2000000000000002</v>
      </c>
      <c r="N2255" s="147">
        <v>-1.8360000000000001</v>
      </c>
      <c r="O2255" s="147">
        <v>-83.454545454545453</v>
      </c>
      <c r="P2255" s="147">
        <v>0.36399999999999999</v>
      </c>
      <c r="Q2255" s="147">
        <v>0</v>
      </c>
      <c r="R2255" s="147">
        <v>0</v>
      </c>
    </row>
    <row r="2256" spans="2:18" ht="15.75" hidden="1" thickBot="1" x14ac:dyDescent="0.3">
      <c r="B2256" s="723" t="s">
        <v>756</v>
      </c>
      <c r="C2256" s="722" t="s">
        <v>139</v>
      </c>
      <c r="D2256" t="s">
        <v>140</v>
      </c>
      <c r="E2256" s="148">
        <v>3.0409999999999999</v>
      </c>
      <c r="F2256" s="148">
        <v>5</v>
      </c>
      <c r="G2256" s="148">
        <v>-1.9590000000000001</v>
      </c>
      <c r="H2256" s="148">
        <v>-39.18</v>
      </c>
      <c r="I2256" s="728"/>
      <c r="J2256" s="148">
        <v>3.0409999999999999</v>
      </c>
      <c r="K2256" s="148">
        <v>0</v>
      </c>
      <c r="L2256" s="148">
        <v>47.98</v>
      </c>
      <c r="M2256" s="148">
        <v>46.999499999999998</v>
      </c>
      <c r="N2256" s="148">
        <v>0.98050000000000004</v>
      </c>
      <c r="O2256" s="148">
        <v>2.0861924063021946</v>
      </c>
      <c r="P2256" s="148">
        <v>31.922000000000001</v>
      </c>
      <c r="Q2256" s="148">
        <v>16.058</v>
      </c>
      <c r="R2256" s="148">
        <v>50.303865672576904</v>
      </c>
    </row>
    <row r="2257" spans="2:18" ht="15.75" hidden="1" thickBot="1" x14ac:dyDescent="0.3">
      <c r="B2257" s="723" t="s">
        <v>756</v>
      </c>
      <c r="C2257" s="722" t="s">
        <v>101</v>
      </c>
      <c r="D2257" t="s">
        <v>102</v>
      </c>
      <c r="E2257" s="147">
        <v>0.47039999999999998</v>
      </c>
      <c r="F2257" s="729"/>
      <c r="G2257" s="147">
        <v>0.47039999999999998</v>
      </c>
      <c r="H2257" s="147">
        <v>0</v>
      </c>
      <c r="I2257" s="729"/>
      <c r="J2257" s="147">
        <v>0.47039999999999998</v>
      </c>
      <c r="K2257" s="147">
        <v>0</v>
      </c>
      <c r="L2257" s="147">
        <v>5.8253599999999999</v>
      </c>
      <c r="M2257" s="729"/>
      <c r="N2257" s="147">
        <v>5.8253599999999999</v>
      </c>
      <c r="O2257" s="147">
        <v>0</v>
      </c>
      <c r="P2257" s="729"/>
      <c r="Q2257" s="147">
        <v>5.8253599999999999</v>
      </c>
      <c r="R2257" s="147">
        <v>0</v>
      </c>
    </row>
    <row r="2258" spans="2:18" ht="15.75" hidden="1" thickBot="1" x14ac:dyDescent="0.3">
      <c r="B2258" s="723" t="s">
        <v>756</v>
      </c>
      <c r="C2258" s="722" t="s">
        <v>464</v>
      </c>
      <c r="D2258" t="s">
        <v>465</v>
      </c>
      <c r="E2258" s="728"/>
      <c r="F2258" s="728"/>
      <c r="G2258" s="728"/>
      <c r="H2258" s="728"/>
      <c r="I2258" s="728"/>
      <c r="J2258" s="728"/>
      <c r="K2258" s="728"/>
      <c r="L2258" s="148">
        <v>0.37790000000000001</v>
      </c>
      <c r="M2258" s="728"/>
      <c r="N2258" s="148">
        <v>0.37790000000000001</v>
      </c>
      <c r="O2258" s="148">
        <v>0</v>
      </c>
      <c r="P2258" s="728"/>
      <c r="Q2258" s="148">
        <v>0.37790000000000001</v>
      </c>
      <c r="R2258" s="148">
        <v>0</v>
      </c>
    </row>
    <row r="2259" spans="2:18" ht="15.75" hidden="1" thickBot="1" x14ac:dyDescent="0.3">
      <c r="B2259" s="723" t="s">
        <v>756</v>
      </c>
      <c r="C2259" s="722" t="s">
        <v>109</v>
      </c>
      <c r="D2259" t="s">
        <v>110</v>
      </c>
      <c r="E2259" s="729"/>
      <c r="F2259" s="729"/>
      <c r="G2259" s="729"/>
      <c r="H2259" s="729"/>
      <c r="I2259" s="729"/>
      <c r="J2259" s="729"/>
      <c r="K2259" s="729"/>
      <c r="L2259" s="147">
        <v>8.8699999999999994E-3</v>
      </c>
      <c r="M2259" s="147">
        <v>4</v>
      </c>
      <c r="N2259" s="147">
        <v>-3.9911300000000001</v>
      </c>
      <c r="O2259" s="147">
        <v>-99.77825</v>
      </c>
      <c r="P2259" s="147">
        <v>8.8699999999999994E-3</v>
      </c>
      <c r="Q2259" s="147">
        <v>0</v>
      </c>
      <c r="R2259" s="147">
        <v>0</v>
      </c>
    </row>
    <row r="2260" spans="2:18" ht="15.75" hidden="1" thickBot="1" x14ac:dyDescent="0.3">
      <c r="B2260" s="723" t="s">
        <v>756</v>
      </c>
      <c r="C2260" s="722" t="s">
        <v>73</v>
      </c>
      <c r="D2260" t="s">
        <v>74</v>
      </c>
      <c r="E2260" s="148">
        <v>4.0149999999999998E-2</v>
      </c>
      <c r="F2260" s="728"/>
      <c r="G2260" s="148">
        <v>4.0149999999999998E-2</v>
      </c>
      <c r="H2260" s="148">
        <v>0</v>
      </c>
      <c r="I2260" s="728"/>
      <c r="J2260" s="148">
        <v>4.0149999999999998E-2</v>
      </c>
      <c r="K2260" s="148">
        <v>0</v>
      </c>
      <c r="L2260" s="148">
        <v>0.48485</v>
      </c>
      <c r="M2260" s="728"/>
      <c r="N2260" s="148">
        <v>0.48485</v>
      </c>
      <c r="O2260" s="148">
        <v>0</v>
      </c>
      <c r="P2260" s="148">
        <v>2.8570000000000002E-2</v>
      </c>
      <c r="Q2260" s="148">
        <v>0.45628000000000002</v>
      </c>
      <c r="R2260" s="148">
        <v>1597.0598529926497</v>
      </c>
    </row>
    <row r="2261" spans="2:18" ht="15.75" hidden="1" thickBot="1" x14ac:dyDescent="0.3">
      <c r="B2261" s="723" t="s">
        <v>756</v>
      </c>
      <c r="C2261" s="722" t="s">
        <v>111</v>
      </c>
      <c r="D2261" t="s">
        <v>112</v>
      </c>
      <c r="E2261" s="147">
        <v>2.1859799999999998</v>
      </c>
      <c r="F2261" s="729"/>
      <c r="G2261" s="147">
        <v>2.1859799999999998</v>
      </c>
      <c r="H2261" s="147">
        <v>0</v>
      </c>
      <c r="I2261" s="729"/>
      <c r="J2261" s="147">
        <v>2.1859799999999998</v>
      </c>
      <c r="K2261" s="147">
        <v>0</v>
      </c>
      <c r="L2261" s="147">
        <v>4.5527100000000003</v>
      </c>
      <c r="M2261" s="147">
        <v>8</v>
      </c>
      <c r="N2261" s="147">
        <v>-3.4472900000000002</v>
      </c>
      <c r="O2261" s="147">
        <v>-43.091124999999998</v>
      </c>
      <c r="P2261" s="147">
        <v>0.43063000000000001</v>
      </c>
      <c r="Q2261" s="147">
        <v>4.1220800000000004</v>
      </c>
      <c r="R2261" s="147">
        <v>957.22081601374725</v>
      </c>
    </row>
    <row r="2262" spans="2:18" ht="15.75" hidden="1" thickBot="1" x14ac:dyDescent="0.3">
      <c r="B2262" s="723" t="s">
        <v>756</v>
      </c>
      <c r="C2262" s="722" t="s">
        <v>141</v>
      </c>
      <c r="D2262" t="s">
        <v>142</v>
      </c>
      <c r="E2262" s="148">
        <v>7.4870000000000006E-2</v>
      </c>
      <c r="F2262" s="728"/>
      <c r="G2262" s="148">
        <v>7.4870000000000006E-2</v>
      </c>
      <c r="H2262" s="148">
        <v>0</v>
      </c>
      <c r="I2262" s="728"/>
      <c r="J2262" s="148">
        <v>7.4870000000000006E-2</v>
      </c>
      <c r="K2262" s="148">
        <v>0</v>
      </c>
      <c r="L2262" s="148">
        <v>0.90041000000000004</v>
      </c>
      <c r="M2262" s="728"/>
      <c r="N2262" s="148">
        <v>0.90041000000000004</v>
      </c>
      <c r="O2262" s="148">
        <v>0</v>
      </c>
      <c r="P2262" s="148">
        <v>0.43335000000000001</v>
      </c>
      <c r="Q2262" s="148">
        <v>0.46705999999999998</v>
      </c>
      <c r="R2262" s="148">
        <v>107.77893157955464</v>
      </c>
    </row>
    <row r="2263" spans="2:18" ht="15.75" hidden="1" thickBot="1" x14ac:dyDescent="0.3">
      <c r="B2263" s="723" t="s">
        <v>756</v>
      </c>
      <c r="C2263" s="722" t="s">
        <v>113</v>
      </c>
      <c r="D2263" t="s">
        <v>114</v>
      </c>
      <c r="E2263" s="729"/>
      <c r="F2263" s="729"/>
      <c r="G2263" s="729"/>
      <c r="H2263" s="729"/>
      <c r="I2263" s="729"/>
      <c r="J2263" s="729"/>
      <c r="K2263" s="729"/>
      <c r="L2263" s="147">
        <v>0.39982000000000001</v>
      </c>
      <c r="M2263" s="729"/>
      <c r="N2263" s="147">
        <v>0.39982000000000001</v>
      </c>
      <c r="O2263" s="147">
        <v>0</v>
      </c>
      <c r="P2263" s="147">
        <v>0.22969000000000001</v>
      </c>
      <c r="Q2263" s="147">
        <v>0.17013</v>
      </c>
      <c r="R2263" s="147">
        <v>74.06939788410466</v>
      </c>
    </row>
    <row r="2264" spans="2:18" ht="15.75" hidden="1" thickBot="1" x14ac:dyDescent="0.3">
      <c r="B2264" s="723" t="s">
        <v>756</v>
      </c>
      <c r="C2264" s="722" t="s">
        <v>145</v>
      </c>
      <c r="D2264" t="s">
        <v>146</v>
      </c>
      <c r="E2264" s="728"/>
      <c r="F2264" s="728"/>
      <c r="G2264" s="728"/>
      <c r="H2264" s="728"/>
      <c r="I2264" s="728"/>
      <c r="J2264" s="728"/>
      <c r="K2264" s="728"/>
      <c r="L2264" s="148">
        <v>2E-3</v>
      </c>
      <c r="M2264" s="728"/>
      <c r="N2264" s="148">
        <v>2E-3</v>
      </c>
      <c r="O2264" s="148">
        <v>0</v>
      </c>
      <c r="P2264" s="148">
        <v>2E-3</v>
      </c>
      <c r="Q2264" s="148">
        <v>0</v>
      </c>
      <c r="R2264" s="148">
        <v>0</v>
      </c>
    </row>
    <row r="2265" spans="2:18" ht="15.75" hidden="1" thickBot="1" x14ac:dyDescent="0.3">
      <c r="B2265" s="723" t="s">
        <v>756</v>
      </c>
      <c r="C2265" s="722" t="s">
        <v>147</v>
      </c>
      <c r="D2265" t="s">
        <v>148</v>
      </c>
      <c r="E2265" s="729"/>
      <c r="F2265" s="729"/>
      <c r="G2265" s="729"/>
      <c r="H2265" s="729"/>
      <c r="I2265" s="729"/>
      <c r="J2265" s="729"/>
      <c r="K2265" s="729"/>
      <c r="L2265" s="147">
        <v>0.22148000000000001</v>
      </c>
      <c r="M2265" s="729"/>
      <c r="N2265" s="147">
        <v>0.22148000000000001</v>
      </c>
      <c r="O2265" s="147">
        <v>0</v>
      </c>
      <c r="P2265" s="729"/>
      <c r="Q2265" s="147">
        <v>0.22148000000000001</v>
      </c>
      <c r="R2265" s="147">
        <v>0</v>
      </c>
    </row>
    <row r="2266" spans="2:18" ht="15.75" hidden="1" thickBot="1" x14ac:dyDescent="0.3">
      <c r="B2266" s="723" t="s">
        <v>756</v>
      </c>
      <c r="C2266" s="722" t="s">
        <v>149</v>
      </c>
      <c r="D2266" t="s">
        <v>150</v>
      </c>
      <c r="E2266" s="728"/>
      <c r="F2266" s="728"/>
      <c r="G2266" s="728"/>
      <c r="H2266" s="728"/>
      <c r="I2266" s="728"/>
      <c r="J2266" s="728"/>
      <c r="K2266" s="728"/>
      <c r="L2266" s="148">
        <v>4.3499999999999997E-3</v>
      </c>
      <c r="M2266" s="728"/>
      <c r="N2266" s="148">
        <v>4.3499999999999997E-3</v>
      </c>
      <c r="O2266" s="148">
        <v>0</v>
      </c>
      <c r="P2266" s="148">
        <v>4.3499999999999997E-3</v>
      </c>
      <c r="Q2266" s="148">
        <v>0</v>
      </c>
      <c r="R2266" s="148">
        <v>0</v>
      </c>
    </row>
    <row r="2267" spans="2:18" ht="15.75" hidden="1" thickBot="1" x14ac:dyDescent="0.3">
      <c r="B2267" s="723" t="s">
        <v>756</v>
      </c>
      <c r="C2267" s="722" t="s">
        <v>483</v>
      </c>
      <c r="D2267" t="s">
        <v>484</v>
      </c>
      <c r="E2267" s="729"/>
      <c r="F2267" s="729"/>
      <c r="G2267" s="729"/>
      <c r="H2267" s="729"/>
      <c r="I2267" s="729"/>
      <c r="J2267" s="729"/>
      <c r="K2267" s="729"/>
      <c r="L2267" s="147">
        <v>0.14430000000000001</v>
      </c>
      <c r="M2267" s="729"/>
      <c r="N2267" s="147">
        <v>0.14430000000000001</v>
      </c>
      <c r="O2267" s="147">
        <v>0</v>
      </c>
      <c r="P2267" s="729"/>
      <c r="Q2267" s="147">
        <v>0.14430000000000001</v>
      </c>
      <c r="R2267" s="147">
        <v>0</v>
      </c>
    </row>
    <row r="2268" spans="2:18" ht="15.75" hidden="1" thickBot="1" x14ac:dyDescent="0.3">
      <c r="B2268" s="723" t="s">
        <v>756</v>
      </c>
      <c r="C2268" s="722" t="s">
        <v>153</v>
      </c>
      <c r="D2268" t="s">
        <v>154</v>
      </c>
      <c r="E2268" s="148">
        <v>8.5</v>
      </c>
      <c r="F2268" s="728"/>
      <c r="G2268" s="148">
        <v>8.5</v>
      </c>
      <c r="H2268" s="148">
        <v>0</v>
      </c>
      <c r="I2268" s="728"/>
      <c r="J2268" s="148">
        <v>8.5</v>
      </c>
      <c r="K2268" s="148">
        <v>0</v>
      </c>
      <c r="L2268" s="148">
        <v>22.017949999999999</v>
      </c>
      <c r="M2268" s="148">
        <v>12.5</v>
      </c>
      <c r="N2268" s="148">
        <v>9.5179500000000008</v>
      </c>
      <c r="O2268" s="148">
        <v>76.143600000000006</v>
      </c>
      <c r="P2268" s="148">
        <v>2</v>
      </c>
      <c r="Q2268" s="148">
        <v>20.017949999999999</v>
      </c>
      <c r="R2268" s="148">
        <v>1000.8975</v>
      </c>
    </row>
    <row r="2269" spans="2:18" ht="15.75" hidden="1" thickBot="1" x14ac:dyDescent="0.3">
      <c r="B2269" s="723" t="s">
        <v>756</v>
      </c>
      <c r="C2269" s="722" t="s">
        <v>75</v>
      </c>
      <c r="D2269" t="s">
        <v>76</v>
      </c>
      <c r="E2269" s="729"/>
      <c r="F2269" s="147">
        <v>0.2</v>
      </c>
      <c r="G2269" s="147">
        <v>-0.2</v>
      </c>
      <c r="H2269" s="147">
        <v>-100</v>
      </c>
      <c r="I2269" s="729"/>
      <c r="J2269" s="729"/>
      <c r="K2269" s="729"/>
      <c r="L2269" s="147">
        <v>2.2798799999999999</v>
      </c>
      <c r="M2269" s="147">
        <v>7.8</v>
      </c>
      <c r="N2269" s="147">
        <v>-5.5201200000000004</v>
      </c>
      <c r="O2269" s="147">
        <v>-70.770769230769233</v>
      </c>
      <c r="P2269" s="147">
        <v>0.18375</v>
      </c>
      <c r="Q2269" s="147">
        <v>2.09613</v>
      </c>
      <c r="R2269" s="147">
        <v>1140.7510204081632</v>
      </c>
    </row>
    <row r="2270" spans="2:18" ht="15.75" hidden="1" thickBot="1" x14ac:dyDescent="0.3">
      <c r="B2270" s="723" t="s">
        <v>756</v>
      </c>
      <c r="C2270" s="722" t="s">
        <v>81</v>
      </c>
      <c r="D2270" t="s">
        <v>82</v>
      </c>
      <c r="E2270" s="728"/>
      <c r="F2270" s="728"/>
      <c r="G2270" s="728"/>
      <c r="H2270" s="728"/>
      <c r="I2270" s="728"/>
      <c r="J2270" s="728"/>
      <c r="K2270" s="728"/>
      <c r="L2270" s="148">
        <v>1.80932</v>
      </c>
      <c r="M2270" s="148">
        <v>9.1999999999999993</v>
      </c>
      <c r="N2270" s="148">
        <v>-7.3906799999999997</v>
      </c>
      <c r="O2270" s="148">
        <v>-80.333478260869569</v>
      </c>
      <c r="P2270" s="728"/>
      <c r="Q2270" s="148">
        <v>1.80932</v>
      </c>
      <c r="R2270" s="148">
        <v>0</v>
      </c>
    </row>
    <row r="2271" spans="2:18" ht="15.75" hidden="1" thickBot="1" x14ac:dyDescent="0.3">
      <c r="B2271" s="723" t="s">
        <v>756</v>
      </c>
      <c r="C2271" s="722" t="s">
        <v>123</v>
      </c>
      <c r="D2271" t="s">
        <v>124</v>
      </c>
      <c r="E2271" s="147">
        <v>0.64268999999999998</v>
      </c>
      <c r="F2271" s="729"/>
      <c r="G2271" s="147">
        <v>0.64268999999999998</v>
      </c>
      <c r="H2271" s="147">
        <v>0</v>
      </c>
      <c r="I2271" s="729"/>
      <c r="J2271" s="147">
        <v>0.64268999999999998</v>
      </c>
      <c r="K2271" s="147">
        <v>0</v>
      </c>
      <c r="L2271" s="147">
        <v>38.321150000000003</v>
      </c>
      <c r="M2271" s="147">
        <v>38</v>
      </c>
      <c r="N2271" s="147">
        <v>0.32114999999999999</v>
      </c>
      <c r="O2271" s="147">
        <v>0.84513157894736846</v>
      </c>
      <c r="P2271" s="147">
        <v>4.3561800000000002</v>
      </c>
      <c r="Q2271" s="147">
        <v>33.964970000000001</v>
      </c>
      <c r="R2271" s="147">
        <v>779.69620171801898</v>
      </c>
    </row>
    <row r="2272" spans="2:18" ht="15.75" hidden="1" thickBot="1" x14ac:dyDescent="0.3">
      <c r="B2272" s="723" t="s">
        <v>756</v>
      </c>
      <c r="C2272" s="722" t="s">
        <v>125</v>
      </c>
      <c r="D2272" t="s">
        <v>126</v>
      </c>
      <c r="E2272" s="728"/>
      <c r="F2272" s="728"/>
      <c r="G2272" s="728"/>
      <c r="H2272" s="728"/>
      <c r="I2272" s="728"/>
      <c r="J2272" s="728"/>
      <c r="K2272" s="728"/>
      <c r="L2272" s="148">
        <v>1.3899999999999999E-2</v>
      </c>
      <c r="M2272" s="728"/>
      <c r="N2272" s="148">
        <v>1.3899999999999999E-2</v>
      </c>
      <c r="O2272" s="148">
        <v>0</v>
      </c>
      <c r="P2272" s="728"/>
      <c r="Q2272" s="148">
        <v>1.3899999999999999E-2</v>
      </c>
      <c r="R2272" s="148">
        <v>0</v>
      </c>
    </row>
    <row r="2273" spans="2:18" ht="15.75" hidden="1" thickBot="1" x14ac:dyDescent="0.3">
      <c r="B2273" s="723" t="s">
        <v>756</v>
      </c>
      <c r="C2273" s="722" t="s">
        <v>83</v>
      </c>
      <c r="D2273" t="s">
        <v>84</v>
      </c>
      <c r="E2273" s="729"/>
      <c r="F2273" s="729"/>
      <c r="G2273" s="729"/>
      <c r="H2273" s="729"/>
      <c r="I2273" s="729"/>
      <c r="J2273" s="729"/>
      <c r="K2273" s="729"/>
      <c r="L2273" s="729"/>
      <c r="M2273" s="147">
        <v>29</v>
      </c>
      <c r="N2273" s="147">
        <v>-29</v>
      </c>
      <c r="O2273" s="147">
        <v>-100</v>
      </c>
      <c r="P2273" s="729"/>
      <c r="Q2273" s="729"/>
      <c r="R2273" s="729"/>
    </row>
    <row r="2274" spans="2:18" ht="15.75" hidden="1" thickBot="1" x14ac:dyDescent="0.3">
      <c r="B2274" s="723" t="s">
        <v>756</v>
      </c>
      <c r="C2274" s="149" t="s">
        <v>85</v>
      </c>
      <c r="D2274" t="s">
        <v>86</v>
      </c>
      <c r="E2274" s="148">
        <v>14.95509</v>
      </c>
      <c r="F2274" s="148">
        <v>5.4</v>
      </c>
      <c r="G2274" s="148">
        <v>9.5550899999999999</v>
      </c>
      <c r="H2274" s="148">
        <v>176.94611111111112</v>
      </c>
      <c r="I2274" s="728"/>
      <c r="J2274" s="148">
        <v>14.95509</v>
      </c>
      <c r="K2274" s="148">
        <v>0</v>
      </c>
      <c r="L2274" s="148">
        <v>125.70825000000001</v>
      </c>
      <c r="M2274" s="148">
        <v>167.6995</v>
      </c>
      <c r="N2274" s="148">
        <v>-41.991250000000001</v>
      </c>
      <c r="O2274" s="148">
        <v>-25.039579724447599</v>
      </c>
      <c r="P2274" s="148">
        <v>39.963389999999997</v>
      </c>
      <c r="Q2274" s="148">
        <v>85.744860000000003</v>
      </c>
      <c r="R2274" s="148">
        <v>214.55852468972228</v>
      </c>
    </row>
    <row r="2275" spans="2:18" ht="15.75" hidden="1" thickBot="1" x14ac:dyDescent="0.3">
      <c r="B2275" s="723" t="s">
        <v>756</v>
      </c>
      <c r="C2275" s="144" t="s">
        <v>87</v>
      </c>
      <c r="D2275" t="s">
        <v>87</v>
      </c>
      <c r="E2275" s="147">
        <v>23.22268</v>
      </c>
      <c r="F2275" s="147">
        <v>14.302680000000001</v>
      </c>
      <c r="G2275" s="147">
        <v>8.92</v>
      </c>
      <c r="H2275" s="147">
        <v>62.365934216524458</v>
      </c>
      <c r="I2275" s="729"/>
      <c r="J2275" s="147">
        <v>23.22268</v>
      </c>
      <c r="K2275" s="147">
        <v>0</v>
      </c>
      <c r="L2275" s="147">
        <v>204.07423</v>
      </c>
      <c r="M2275" s="147">
        <v>273.97120000000001</v>
      </c>
      <c r="N2275" s="147">
        <v>-69.896969999999996</v>
      </c>
      <c r="O2275" s="147">
        <v>-25.512524674126333</v>
      </c>
      <c r="P2275" s="147">
        <v>79.243610000000004</v>
      </c>
      <c r="Q2275" s="147">
        <v>124.83062</v>
      </c>
      <c r="R2275" s="147">
        <v>157.52767951889118</v>
      </c>
    </row>
    <row r="2276" spans="2:18" ht="15.75" hidden="1" thickBot="1" x14ac:dyDescent="0.3">
      <c r="B2276" s="723" t="s">
        <v>599</v>
      </c>
      <c r="C2276" s="722" t="s">
        <v>59</v>
      </c>
      <c r="D2276" t="s">
        <v>60</v>
      </c>
      <c r="E2276" s="148">
        <v>71.49794</v>
      </c>
      <c r="F2276" s="148">
        <v>83.631209999999996</v>
      </c>
      <c r="G2276" s="148">
        <v>-12.13327</v>
      </c>
      <c r="H2276" s="148">
        <v>-14.508064632808733</v>
      </c>
      <c r="I2276" s="728"/>
      <c r="J2276" s="148">
        <v>71.49794</v>
      </c>
      <c r="K2276" s="148">
        <v>0</v>
      </c>
      <c r="L2276" s="148">
        <v>1010.44109</v>
      </c>
      <c r="M2276" s="148">
        <v>998.30962</v>
      </c>
      <c r="N2276" s="148">
        <v>12.13147</v>
      </c>
      <c r="O2276" s="148">
        <v>1.2152011517228494</v>
      </c>
      <c r="P2276" s="148">
        <v>520.60046</v>
      </c>
      <c r="Q2276" s="148">
        <v>489.84062999999998</v>
      </c>
      <c r="R2276" s="148">
        <v>94.091470837348083</v>
      </c>
    </row>
    <row r="2277" spans="2:18" ht="15.75" hidden="1" thickBot="1" x14ac:dyDescent="0.3">
      <c r="B2277" s="723" t="s">
        <v>599</v>
      </c>
      <c r="C2277" s="722" t="s">
        <v>91</v>
      </c>
      <c r="D2277" t="s">
        <v>92</v>
      </c>
      <c r="E2277" s="729"/>
      <c r="F2277" s="729"/>
      <c r="G2277" s="729"/>
      <c r="H2277" s="729"/>
      <c r="I2277" s="729"/>
      <c r="J2277" s="729"/>
      <c r="K2277" s="729"/>
      <c r="L2277" s="147">
        <v>-0.53290000000000004</v>
      </c>
      <c r="M2277" s="729"/>
      <c r="N2277" s="147">
        <v>-0.53290000000000004</v>
      </c>
      <c r="O2277" s="147">
        <v>0</v>
      </c>
      <c r="P2277" s="729"/>
      <c r="Q2277" s="147">
        <v>-0.53290000000000004</v>
      </c>
      <c r="R2277" s="147">
        <v>0</v>
      </c>
    </row>
    <row r="2278" spans="2:18" ht="15.75" hidden="1" thickBot="1" x14ac:dyDescent="0.3">
      <c r="B2278" s="723" t="s">
        <v>599</v>
      </c>
      <c r="C2278" s="722" t="s">
        <v>134</v>
      </c>
      <c r="D2278" t="s">
        <v>135</v>
      </c>
      <c r="E2278" s="148">
        <v>3.75</v>
      </c>
      <c r="F2278" s="728"/>
      <c r="G2278" s="148">
        <v>3.75</v>
      </c>
      <c r="H2278" s="148">
        <v>0</v>
      </c>
      <c r="I2278" s="728"/>
      <c r="J2278" s="148">
        <v>3.75</v>
      </c>
      <c r="K2278" s="148">
        <v>0</v>
      </c>
      <c r="L2278" s="148">
        <v>45</v>
      </c>
      <c r="M2278" s="728"/>
      <c r="N2278" s="148">
        <v>45</v>
      </c>
      <c r="O2278" s="148">
        <v>0</v>
      </c>
      <c r="P2278" s="148">
        <v>22.5</v>
      </c>
      <c r="Q2278" s="148">
        <v>22.5</v>
      </c>
      <c r="R2278" s="148">
        <v>100</v>
      </c>
    </row>
    <row r="2279" spans="2:18" ht="15.75" hidden="1" thickBot="1" x14ac:dyDescent="0.3">
      <c r="B2279" s="723" t="s">
        <v>599</v>
      </c>
      <c r="C2279" s="722" t="s">
        <v>568</v>
      </c>
      <c r="D2279" t="s">
        <v>569</v>
      </c>
      <c r="E2279" s="147">
        <v>2.2543700000000002</v>
      </c>
      <c r="F2279" s="729"/>
      <c r="G2279" s="147">
        <v>2.2543700000000002</v>
      </c>
      <c r="H2279" s="147">
        <v>0</v>
      </c>
      <c r="I2279" s="729"/>
      <c r="J2279" s="147">
        <v>2.2543700000000002</v>
      </c>
      <c r="K2279" s="147">
        <v>0</v>
      </c>
      <c r="L2279" s="147">
        <v>12.378920000000001</v>
      </c>
      <c r="M2279" s="729"/>
      <c r="N2279" s="147">
        <v>12.378920000000001</v>
      </c>
      <c r="O2279" s="147">
        <v>0</v>
      </c>
      <c r="P2279" s="729"/>
      <c r="Q2279" s="147">
        <v>12.378920000000001</v>
      </c>
      <c r="R2279" s="147">
        <v>0</v>
      </c>
    </row>
    <row r="2280" spans="2:18" ht="15.75" hidden="1" thickBot="1" x14ac:dyDescent="0.3">
      <c r="B2280" s="723" t="s">
        <v>599</v>
      </c>
      <c r="C2280" s="722" t="s">
        <v>61</v>
      </c>
      <c r="D2280" t="s">
        <v>62</v>
      </c>
      <c r="E2280" s="148">
        <v>13.36364</v>
      </c>
      <c r="F2280" s="148">
        <v>12.96283</v>
      </c>
      <c r="G2280" s="148">
        <v>0.40081</v>
      </c>
      <c r="H2280" s="148">
        <v>3.0919945721728976</v>
      </c>
      <c r="I2280" s="728"/>
      <c r="J2280" s="148">
        <v>13.36364</v>
      </c>
      <c r="K2280" s="148">
        <v>0</v>
      </c>
      <c r="L2280" s="148">
        <v>156.16919999999999</v>
      </c>
      <c r="M2280" s="148">
        <v>154.73792</v>
      </c>
      <c r="N2280" s="148">
        <v>1.4312800000000001</v>
      </c>
      <c r="O2280" s="148">
        <v>0.92497042741688662</v>
      </c>
      <c r="P2280" s="148">
        <v>76.036490000000001</v>
      </c>
      <c r="Q2280" s="148">
        <v>80.132710000000003</v>
      </c>
      <c r="R2280" s="148">
        <v>105.38717660428566</v>
      </c>
    </row>
    <row r="2281" spans="2:18" ht="15.75" hidden="1" thickBot="1" x14ac:dyDescent="0.3">
      <c r="B2281" s="723" t="s">
        <v>599</v>
      </c>
      <c r="C2281" s="722" t="s">
        <v>63</v>
      </c>
      <c r="D2281" t="s">
        <v>64</v>
      </c>
      <c r="E2281" s="147">
        <v>52.291510000000002</v>
      </c>
      <c r="F2281" s="147">
        <v>50.42962</v>
      </c>
      <c r="G2281" s="147">
        <v>1.86189</v>
      </c>
      <c r="H2281" s="147">
        <v>3.6920563748051243</v>
      </c>
      <c r="I2281" s="729"/>
      <c r="J2281" s="147">
        <v>52.291510000000002</v>
      </c>
      <c r="K2281" s="147">
        <v>0</v>
      </c>
      <c r="L2281" s="147">
        <v>611.20190000000002</v>
      </c>
      <c r="M2281" s="147">
        <v>601.98069999999996</v>
      </c>
      <c r="N2281" s="147">
        <v>9.2211999999999996</v>
      </c>
      <c r="O2281" s="147">
        <v>1.5318099068624624</v>
      </c>
      <c r="P2281" s="147">
        <v>297.64470999999998</v>
      </c>
      <c r="Q2281" s="147">
        <v>313.55718999999999</v>
      </c>
      <c r="R2281" s="147">
        <v>105.34613230653419</v>
      </c>
    </row>
    <row r="2282" spans="2:18" ht="15.75" hidden="1" thickBot="1" x14ac:dyDescent="0.3">
      <c r="B2282" s="723" t="s">
        <v>599</v>
      </c>
      <c r="C2282" s="722" t="s">
        <v>156</v>
      </c>
      <c r="D2282" t="s">
        <v>157</v>
      </c>
      <c r="E2282" s="148">
        <v>5.5995400000000002</v>
      </c>
      <c r="F2282" s="148">
        <v>10.955690000000001</v>
      </c>
      <c r="G2282" s="148">
        <v>-5.3561500000000004</v>
      </c>
      <c r="H2282" s="148">
        <v>-48.889207343398724</v>
      </c>
      <c r="I2282" s="728"/>
      <c r="J2282" s="148">
        <v>5.5995400000000002</v>
      </c>
      <c r="K2282" s="148">
        <v>0</v>
      </c>
      <c r="L2282" s="148">
        <v>88.346890000000002</v>
      </c>
      <c r="M2282" s="148">
        <v>130.77856</v>
      </c>
      <c r="N2282" s="148">
        <v>-42.431669999999997</v>
      </c>
      <c r="O2282" s="148">
        <v>-32.445432951700951</v>
      </c>
      <c r="P2282" s="148">
        <v>42.822780000000002</v>
      </c>
      <c r="Q2282" s="148">
        <v>45.52411</v>
      </c>
      <c r="R2282" s="148">
        <v>106.30816121699712</v>
      </c>
    </row>
    <row r="2283" spans="2:18" ht="15.75" hidden="1" thickBot="1" x14ac:dyDescent="0.3">
      <c r="B2283" s="723" t="s">
        <v>599</v>
      </c>
      <c r="C2283" s="722" t="s">
        <v>574</v>
      </c>
      <c r="D2283" t="s">
        <v>575</v>
      </c>
      <c r="E2283" s="147">
        <v>4.1338900000000001</v>
      </c>
      <c r="F2283" s="729"/>
      <c r="G2283" s="147">
        <v>4.1338900000000001</v>
      </c>
      <c r="H2283" s="147">
        <v>0</v>
      </c>
      <c r="I2283" s="729"/>
      <c r="J2283" s="147">
        <v>4.1338900000000001</v>
      </c>
      <c r="K2283" s="147">
        <v>0</v>
      </c>
      <c r="L2283" s="147">
        <v>23.381519999999998</v>
      </c>
      <c r="M2283" s="729"/>
      <c r="N2283" s="147">
        <v>23.381519999999998</v>
      </c>
      <c r="O2283" s="147">
        <v>0</v>
      </c>
      <c r="P2283" s="729"/>
      <c r="Q2283" s="147">
        <v>23.381519999999998</v>
      </c>
      <c r="R2283" s="147">
        <v>0</v>
      </c>
    </row>
    <row r="2284" spans="2:18" ht="15.75" hidden="1" thickBot="1" x14ac:dyDescent="0.3">
      <c r="B2284" s="723" t="s">
        <v>599</v>
      </c>
      <c r="C2284" s="722" t="s">
        <v>65</v>
      </c>
      <c r="D2284" t="s">
        <v>66</v>
      </c>
      <c r="E2284" s="148">
        <v>-24.623259999999998</v>
      </c>
      <c r="F2284" s="148">
        <v>-16.390630000000002</v>
      </c>
      <c r="G2284" s="148">
        <v>-8.2326300000000003</v>
      </c>
      <c r="H2284" s="148">
        <v>-50.227660559722231</v>
      </c>
      <c r="I2284" s="728"/>
      <c r="J2284" s="148">
        <v>-24.623259999999998</v>
      </c>
      <c r="K2284" s="148">
        <v>0</v>
      </c>
      <c r="L2284" s="148">
        <v>-244.25252</v>
      </c>
      <c r="M2284" s="148">
        <v>-195.65572</v>
      </c>
      <c r="N2284" s="148">
        <v>-48.596800000000002</v>
      </c>
      <c r="O2284" s="148">
        <v>-24.837914271047122</v>
      </c>
      <c r="P2284" s="148">
        <v>-122.18237000000001</v>
      </c>
      <c r="Q2284" s="148">
        <v>-122.07015</v>
      </c>
      <c r="R2284" s="148">
        <v>-99.908153688621368</v>
      </c>
    </row>
    <row r="2285" spans="2:18" ht="15.75" hidden="1" thickBot="1" x14ac:dyDescent="0.3">
      <c r="B2285" s="723" t="s">
        <v>599</v>
      </c>
      <c r="C2285" s="722" t="s">
        <v>580</v>
      </c>
      <c r="D2285" t="s">
        <v>581</v>
      </c>
      <c r="E2285" s="147">
        <v>-4.1338900000000001</v>
      </c>
      <c r="F2285" s="729"/>
      <c r="G2285" s="147">
        <v>-4.1338900000000001</v>
      </c>
      <c r="H2285" s="147">
        <v>0</v>
      </c>
      <c r="I2285" s="729"/>
      <c r="J2285" s="147">
        <v>-4.1338900000000001</v>
      </c>
      <c r="K2285" s="147">
        <v>0</v>
      </c>
      <c r="L2285" s="147">
        <v>-23.381519999999998</v>
      </c>
      <c r="M2285" s="729"/>
      <c r="N2285" s="147">
        <v>-23.381519999999998</v>
      </c>
      <c r="O2285" s="147">
        <v>0</v>
      </c>
      <c r="P2285" s="729"/>
      <c r="Q2285" s="147">
        <v>-23.381519999999998</v>
      </c>
      <c r="R2285" s="147">
        <v>0</v>
      </c>
    </row>
    <row r="2286" spans="2:18" ht="15.75" hidden="1" thickBot="1" x14ac:dyDescent="0.3">
      <c r="B2286" s="723" t="s">
        <v>599</v>
      </c>
      <c r="C2286" s="149" t="s">
        <v>67</v>
      </c>
      <c r="D2286" t="s">
        <v>68</v>
      </c>
      <c r="E2286" s="148">
        <v>124.13374</v>
      </c>
      <c r="F2286" s="148">
        <v>141.58872</v>
      </c>
      <c r="G2286" s="148">
        <v>-17.454979999999999</v>
      </c>
      <c r="H2286" s="148">
        <v>-12.327945333498318</v>
      </c>
      <c r="I2286" s="728"/>
      <c r="J2286" s="148">
        <v>124.13374</v>
      </c>
      <c r="K2286" s="148">
        <v>0</v>
      </c>
      <c r="L2286" s="148">
        <v>1678.7525800000001</v>
      </c>
      <c r="M2286" s="148">
        <v>1690.1510800000001</v>
      </c>
      <c r="N2286" s="148">
        <v>-11.3985</v>
      </c>
      <c r="O2286" s="148">
        <v>-0.67440716601500506</v>
      </c>
      <c r="P2286" s="148">
        <v>837.42206999999996</v>
      </c>
      <c r="Q2286" s="148">
        <v>841.33051</v>
      </c>
      <c r="R2286" s="148">
        <v>100.46672283189288</v>
      </c>
    </row>
    <row r="2287" spans="2:18" ht="15.75" hidden="1" thickBot="1" x14ac:dyDescent="0.3">
      <c r="B2287" s="723" t="s">
        <v>599</v>
      </c>
      <c r="C2287" s="722" t="s">
        <v>69</v>
      </c>
      <c r="D2287" t="s">
        <v>70</v>
      </c>
      <c r="E2287" s="729"/>
      <c r="F2287" s="147">
        <v>1.65</v>
      </c>
      <c r="G2287" s="147">
        <v>-1.65</v>
      </c>
      <c r="H2287" s="147">
        <v>-100</v>
      </c>
      <c r="I2287" s="729"/>
      <c r="J2287" s="729"/>
      <c r="K2287" s="729"/>
      <c r="L2287" s="147">
        <v>8.76159</v>
      </c>
      <c r="M2287" s="147">
        <v>28.8</v>
      </c>
      <c r="N2287" s="147">
        <v>-20.038409999999999</v>
      </c>
      <c r="O2287" s="147">
        <v>-69.577812499999993</v>
      </c>
      <c r="P2287" s="147">
        <v>4.9438199999999997</v>
      </c>
      <c r="Q2287" s="147">
        <v>3.8177699999999999</v>
      </c>
      <c r="R2287" s="147">
        <v>77.223078510139928</v>
      </c>
    </row>
    <row r="2288" spans="2:18" ht="15.75" hidden="1" thickBot="1" x14ac:dyDescent="0.3">
      <c r="B2288" s="723" t="s">
        <v>599</v>
      </c>
      <c r="C2288" s="722" t="s">
        <v>99</v>
      </c>
      <c r="D2288" t="s">
        <v>100</v>
      </c>
      <c r="E2288" s="148">
        <v>7.3</v>
      </c>
      <c r="F2288" s="148">
        <v>0</v>
      </c>
      <c r="G2288" s="148">
        <v>7.3</v>
      </c>
      <c r="H2288" s="148">
        <v>0</v>
      </c>
      <c r="I2288" s="728"/>
      <c r="J2288" s="148">
        <v>7.3</v>
      </c>
      <c r="K2288" s="148">
        <v>0</v>
      </c>
      <c r="L2288" s="148">
        <v>25.49502</v>
      </c>
      <c r="M2288" s="148">
        <v>4.3099999999999996</v>
      </c>
      <c r="N2288" s="148">
        <v>21.185020000000002</v>
      </c>
      <c r="O2288" s="148">
        <v>491.53178654292344</v>
      </c>
      <c r="P2288" s="148">
        <v>17.317810000000001</v>
      </c>
      <c r="Q2288" s="148">
        <v>8.1772100000000005</v>
      </c>
      <c r="R2288" s="148">
        <v>47.218499336809906</v>
      </c>
    </row>
    <row r="2289" spans="2:18" ht="15.75" hidden="1" thickBot="1" x14ac:dyDescent="0.3">
      <c r="B2289" s="723" t="s">
        <v>599</v>
      </c>
      <c r="C2289" s="722" t="s">
        <v>165</v>
      </c>
      <c r="D2289" t="s">
        <v>166</v>
      </c>
      <c r="E2289" s="147">
        <v>-6.2740000000000004E-2</v>
      </c>
      <c r="F2289" s="729"/>
      <c r="G2289" s="147">
        <v>-6.2740000000000004E-2</v>
      </c>
      <c r="H2289" s="147">
        <v>0</v>
      </c>
      <c r="I2289" s="729"/>
      <c r="J2289" s="147">
        <v>-6.2740000000000004E-2</v>
      </c>
      <c r="K2289" s="147">
        <v>0</v>
      </c>
      <c r="L2289" s="147">
        <v>0.30055999999999999</v>
      </c>
      <c r="M2289" s="729"/>
      <c r="N2289" s="147">
        <v>0.30055999999999999</v>
      </c>
      <c r="O2289" s="147">
        <v>0</v>
      </c>
      <c r="P2289" s="147">
        <v>7.1389999999999995E-2</v>
      </c>
      <c r="Q2289" s="147">
        <v>0.22917000000000001</v>
      </c>
      <c r="R2289" s="147">
        <v>321.01134612690851</v>
      </c>
    </row>
    <row r="2290" spans="2:18" ht="15.75" hidden="1" thickBot="1" x14ac:dyDescent="0.3">
      <c r="B2290" s="723" t="s">
        <v>599</v>
      </c>
      <c r="C2290" s="722" t="s">
        <v>137</v>
      </c>
      <c r="D2290" t="s">
        <v>138</v>
      </c>
      <c r="E2290" s="728"/>
      <c r="F2290" s="148">
        <v>0.05</v>
      </c>
      <c r="G2290" s="148">
        <v>-0.05</v>
      </c>
      <c r="H2290" s="148">
        <v>-100</v>
      </c>
      <c r="I2290" s="728"/>
      <c r="J2290" s="728"/>
      <c r="K2290" s="728"/>
      <c r="L2290" s="148">
        <v>1.73115</v>
      </c>
      <c r="M2290" s="148">
        <v>0.8</v>
      </c>
      <c r="N2290" s="148">
        <v>0.93115000000000003</v>
      </c>
      <c r="O2290" s="148">
        <v>116.39375</v>
      </c>
      <c r="P2290" s="148">
        <v>0.90447999999999995</v>
      </c>
      <c r="Q2290" s="148">
        <v>0.82667000000000002</v>
      </c>
      <c r="R2290" s="148">
        <v>91.39726693790908</v>
      </c>
    </row>
    <row r="2291" spans="2:18" ht="15.75" hidden="1" thickBot="1" x14ac:dyDescent="0.3">
      <c r="B2291" s="723" t="s">
        <v>599</v>
      </c>
      <c r="C2291" s="722" t="s">
        <v>190</v>
      </c>
      <c r="D2291" t="s">
        <v>191</v>
      </c>
      <c r="E2291" s="147">
        <v>1.004</v>
      </c>
      <c r="F2291" s="147">
        <v>2.2949999999999999</v>
      </c>
      <c r="G2291" s="147">
        <v>-1.2909999999999999</v>
      </c>
      <c r="H2291" s="147">
        <v>-56.252723311546838</v>
      </c>
      <c r="I2291" s="729"/>
      <c r="J2291" s="147">
        <v>1.004</v>
      </c>
      <c r="K2291" s="147">
        <v>0</v>
      </c>
      <c r="L2291" s="147">
        <v>12.66466</v>
      </c>
      <c r="M2291" s="147">
        <v>30.16</v>
      </c>
      <c r="N2291" s="147">
        <v>-17.495339999999999</v>
      </c>
      <c r="O2291" s="147">
        <v>-58.008421750663132</v>
      </c>
      <c r="P2291" s="147">
        <v>6.4231999999999996</v>
      </c>
      <c r="Q2291" s="147">
        <v>6.24146</v>
      </c>
      <c r="R2291" s="147">
        <v>97.170569186698216</v>
      </c>
    </row>
    <row r="2292" spans="2:18" ht="15.75" hidden="1" thickBot="1" x14ac:dyDescent="0.3">
      <c r="B2292" s="723" t="s">
        <v>599</v>
      </c>
      <c r="C2292" s="722" t="s">
        <v>36</v>
      </c>
      <c r="D2292" t="s">
        <v>192</v>
      </c>
      <c r="E2292" s="728"/>
      <c r="F2292" s="148">
        <v>0</v>
      </c>
      <c r="G2292" s="148">
        <v>0</v>
      </c>
      <c r="H2292" s="148">
        <v>0</v>
      </c>
      <c r="I2292" s="728"/>
      <c r="J2292" s="728"/>
      <c r="K2292" s="728"/>
      <c r="L2292" s="148">
        <v>0.63941999999999999</v>
      </c>
      <c r="M2292" s="148">
        <v>2.5</v>
      </c>
      <c r="N2292" s="148">
        <v>-1.8605799999999999</v>
      </c>
      <c r="O2292" s="148">
        <v>-74.423199999999994</v>
      </c>
      <c r="P2292" s="148">
        <v>0.58660000000000001</v>
      </c>
      <c r="Q2292" s="148">
        <v>5.2819999999999999E-2</v>
      </c>
      <c r="R2292" s="148">
        <v>9.0044323218547557</v>
      </c>
    </row>
    <row r="2293" spans="2:18" ht="15.75" hidden="1" thickBot="1" x14ac:dyDescent="0.3">
      <c r="B2293" s="723" t="s">
        <v>599</v>
      </c>
      <c r="C2293" s="722" t="s">
        <v>139</v>
      </c>
      <c r="D2293" t="s">
        <v>140</v>
      </c>
      <c r="E2293" s="147">
        <v>0.155</v>
      </c>
      <c r="F2293" s="147">
        <v>1.6666399999999999</v>
      </c>
      <c r="G2293" s="147">
        <v>-1.5116400000000001</v>
      </c>
      <c r="H2293" s="147">
        <v>-90.699851197619168</v>
      </c>
      <c r="I2293" s="729"/>
      <c r="J2293" s="147">
        <v>0.155</v>
      </c>
      <c r="K2293" s="147">
        <v>0</v>
      </c>
      <c r="L2293" s="147">
        <v>20.149999999999999</v>
      </c>
      <c r="M2293" s="147">
        <v>22.30001</v>
      </c>
      <c r="N2293" s="147">
        <v>-2.15001</v>
      </c>
      <c r="O2293" s="147">
        <v>-9.6412961249793163</v>
      </c>
      <c r="P2293" s="147">
        <v>16.254999999999999</v>
      </c>
      <c r="Q2293" s="147">
        <v>3.895</v>
      </c>
      <c r="R2293" s="147">
        <v>23.961857889880037</v>
      </c>
    </row>
    <row r="2294" spans="2:18" ht="15.75" hidden="1" thickBot="1" x14ac:dyDescent="0.3">
      <c r="B2294" s="723" t="s">
        <v>599</v>
      </c>
      <c r="C2294" s="722" t="s">
        <v>169</v>
      </c>
      <c r="D2294" t="s">
        <v>170</v>
      </c>
      <c r="E2294" s="728"/>
      <c r="F2294" s="148">
        <v>0.05</v>
      </c>
      <c r="G2294" s="148">
        <v>-0.05</v>
      </c>
      <c r="H2294" s="148">
        <v>-100</v>
      </c>
      <c r="I2294" s="728"/>
      <c r="J2294" s="728"/>
      <c r="K2294" s="728"/>
      <c r="L2294" s="148">
        <v>7.356E-2</v>
      </c>
      <c r="M2294" s="148">
        <v>1.25</v>
      </c>
      <c r="N2294" s="148">
        <v>-1.1764399999999999</v>
      </c>
      <c r="O2294" s="148">
        <v>-94.115200000000002</v>
      </c>
      <c r="P2294" s="148">
        <v>0.17777000000000001</v>
      </c>
      <c r="Q2294" s="148">
        <v>-0.10421</v>
      </c>
      <c r="R2294" s="148">
        <v>-58.620689655172413</v>
      </c>
    </row>
    <row r="2295" spans="2:18" ht="15.75" hidden="1" thickBot="1" x14ac:dyDescent="0.3">
      <c r="B2295" s="723" t="s">
        <v>599</v>
      </c>
      <c r="C2295" s="722" t="s">
        <v>101</v>
      </c>
      <c r="D2295" t="s">
        <v>102</v>
      </c>
      <c r="E2295" s="147">
        <v>3.19672</v>
      </c>
      <c r="F2295" s="147">
        <v>2</v>
      </c>
      <c r="G2295" s="147">
        <v>1.19672</v>
      </c>
      <c r="H2295" s="147">
        <v>59.835999999999999</v>
      </c>
      <c r="I2295" s="729"/>
      <c r="J2295" s="147">
        <v>3.19672</v>
      </c>
      <c r="K2295" s="147">
        <v>0</v>
      </c>
      <c r="L2295" s="147">
        <v>26.779340000000001</v>
      </c>
      <c r="M2295" s="147">
        <v>30</v>
      </c>
      <c r="N2295" s="147">
        <v>-3.2206600000000001</v>
      </c>
      <c r="O2295" s="147">
        <v>-10.735533333333333</v>
      </c>
      <c r="P2295" s="147">
        <v>19.88175</v>
      </c>
      <c r="Q2295" s="147">
        <v>6.8975900000000001</v>
      </c>
      <c r="R2295" s="147">
        <v>34.693072792887953</v>
      </c>
    </row>
    <row r="2296" spans="2:18" ht="15.75" hidden="1" thickBot="1" x14ac:dyDescent="0.3">
      <c r="B2296" s="723" t="s">
        <v>599</v>
      </c>
      <c r="C2296" s="722" t="s">
        <v>71</v>
      </c>
      <c r="D2296" t="s">
        <v>72</v>
      </c>
      <c r="E2296" s="728"/>
      <c r="F2296" s="728"/>
      <c r="G2296" s="728"/>
      <c r="H2296" s="728"/>
      <c r="I2296" s="728"/>
      <c r="J2296" s="728"/>
      <c r="K2296" s="728"/>
      <c r="L2296" s="148">
        <v>0.437</v>
      </c>
      <c r="M2296" s="728"/>
      <c r="N2296" s="148">
        <v>0.437</v>
      </c>
      <c r="O2296" s="148">
        <v>0</v>
      </c>
      <c r="P2296" s="148">
        <v>0.45397999999999999</v>
      </c>
      <c r="Q2296" s="148">
        <v>-1.6979999999999999E-2</v>
      </c>
      <c r="R2296" s="148">
        <v>-3.7402528745759724</v>
      </c>
    </row>
    <row r="2297" spans="2:18" ht="15.75" hidden="1" thickBot="1" x14ac:dyDescent="0.3">
      <c r="B2297" s="723" t="s">
        <v>599</v>
      </c>
      <c r="C2297" s="722" t="s">
        <v>109</v>
      </c>
      <c r="D2297" t="s">
        <v>110</v>
      </c>
      <c r="E2297" s="729"/>
      <c r="F2297" s="147">
        <v>7.4999999999999997E-2</v>
      </c>
      <c r="G2297" s="147">
        <v>-7.4999999999999997E-2</v>
      </c>
      <c r="H2297" s="147">
        <v>-100</v>
      </c>
      <c r="I2297" s="729"/>
      <c r="J2297" s="729"/>
      <c r="K2297" s="729"/>
      <c r="L2297" s="147">
        <v>0.24773999999999999</v>
      </c>
      <c r="M2297" s="147">
        <v>2.64</v>
      </c>
      <c r="N2297" s="147">
        <v>-2.3922599999999998</v>
      </c>
      <c r="O2297" s="147">
        <v>-90.615909090909085</v>
      </c>
      <c r="P2297" s="147">
        <v>0.22500000000000001</v>
      </c>
      <c r="Q2297" s="147">
        <v>2.274E-2</v>
      </c>
      <c r="R2297" s="147">
        <v>10.106666666666667</v>
      </c>
    </row>
    <row r="2298" spans="2:18" ht="15.75" hidden="1" thickBot="1" x14ac:dyDescent="0.3">
      <c r="B2298" s="723" t="s">
        <v>599</v>
      </c>
      <c r="C2298" s="722" t="s">
        <v>73</v>
      </c>
      <c r="D2298" t="s">
        <v>74</v>
      </c>
      <c r="E2298" s="148">
        <v>8.0299999999999996E-2</v>
      </c>
      <c r="F2298" s="148">
        <v>0.5</v>
      </c>
      <c r="G2298" s="148">
        <v>-0.41970000000000002</v>
      </c>
      <c r="H2298" s="148">
        <v>-83.94</v>
      </c>
      <c r="I2298" s="728"/>
      <c r="J2298" s="148">
        <v>8.0299999999999996E-2</v>
      </c>
      <c r="K2298" s="148">
        <v>0</v>
      </c>
      <c r="L2298" s="148">
        <v>2.3607399999999998</v>
      </c>
      <c r="M2298" s="148">
        <v>7.25</v>
      </c>
      <c r="N2298" s="148">
        <v>-4.8892600000000002</v>
      </c>
      <c r="O2298" s="148">
        <v>-67.438068965517246</v>
      </c>
      <c r="P2298" s="148">
        <v>1.446</v>
      </c>
      <c r="Q2298" s="148">
        <v>0.91474</v>
      </c>
      <c r="R2298" s="148">
        <v>63.260027662517288</v>
      </c>
    </row>
    <row r="2299" spans="2:18" ht="15.75" hidden="1" thickBot="1" x14ac:dyDescent="0.3">
      <c r="B2299" s="723" t="s">
        <v>599</v>
      </c>
      <c r="C2299" s="722" t="s">
        <v>111</v>
      </c>
      <c r="D2299" t="s">
        <v>112</v>
      </c>
      <c r="E2299" s="147">
        <v>0</v>
      </c>
      <c r="F2299" s="147">
        <v>0</v>
      </c>
      <c r="G2299" s="147">
        <v>0</v>
      </c>
      <c r="H2299" s="147">
        <v>0</v>
      </c>
      <c r="I2299" s="729"/>
      <c r="J2299" s="147">
        <v>0</v>
      </c>
      <c r="K2299" s="147">
        <v>0</v>
      </c>
      <c r="L2299" s="147">
        <v>0.14624999999999999</v>
      </c>
      <c r="M2299" s="147">
        <v>8.7750000000000004</v>
      </c>
      <c r="N2299" s="147">
        <v>-8.6287500000000001</v>
      </c>
      <c r="O2299" s="147">
        <v>-98.333333333333329</v>
      </c>
      <c r="P2299" s="147">
        <v>0</v>
      </c>
      <c r="Q2299" s="147">
        <v>0.14624999999999999</v>
      </c>
      <c r="R2299" s="147">
        <v>0</v>
      </c>
    </row>
    <row r="2300" spans="2:18" ht="15.75" hidden="1" thickBot="1" x14ac:dyDescent="0.3">
      <c r="B2300" s="723" t="s">
        <v>599</v>
      </c>
      <c r="C2300" s="722" t="s">
        <v>141</v>
      </c>
      <c r="D2300" t="s">
        <v>142</v>
      </c>
      <c r="E2300" s="728"/>
      <c r="F2300" s="148">
        <v>1.8</v>
      </c>
      <c r="G2300" s="148">
        <v>-1.8</v>
      </c>
      <c r="H2300" s="148">
        <v>-100</v>
      </c>
      <c r="I2300" s="728"/>
      <c r="J2300" s="728"/>
      <c r="K2300" s="728"/>
      <c r="L2300" s="148">
        <v>0.41899999999999998</v>
      </c>
      <c r="M2300" s="148">
        <v>4.3499999999999996</v>
      </c>
      <c r="N2300" s="148">
        <v>-3.931</v>
      </c>
      <c r="O2300" s="148">
        <v>-90.367816091954026</v>
      </c>
      <c r="P2300" s="148">
        <v>0.29899999999999999</v>
      </c>
      <c r="Q2300" s="148">
        <v>0.12</v>
      </c>
      <c r="R2300" s="148">
        <v>40.133779264214049</v>
      </c>
    </row>
    <row r="2301" spans="2:18" ht="15.75" hidden="1" thickBot="1" x14ac:dyDescent="0.3">
      <c r="B2301" s="723" t="s">
        <v>599</v>
      </c>
      <c r="C2301" s="722" t="s">
        <v>113</v>
      </c>
      <c r="D2301" t="s">
        <v>114</v>
      </c>
      <c r="E2301" s="147">
        <v>8.9999999999999993E-3</v>
      </c>
      <c r="F2301" s="147">
        <v>0.125</v>
      </c>
      <c r="G2301" s="147">
        <v>-0.11600000000000001</v>
      </c>
      <c r="H2301" s="147">
        <v>-92.8</v>
      </c>
      <c r="I2301" s="729"/>
      <c r="J2301" s="147">
        <v>8.9999999999999993E-3</v>
      </c>
      <c r="K2301" s="147">
        <v>0</v>
      </c>
      <c r="L2301" s="147">
        <v>0.24646999999999999</v>
      </c>
      <c r="M2301" s="147">
        <v>1.5</v>
      </c>
      <c r="N2301" s="147">
        <v>-1.25353</v>
      </c>
      <c r="O2301" s="147">
        <v>-83.568666666666672</v>
      </c>
      <c r="P2301" s="147">
        <v>0.13009999999999999</v>
      </c>
      <c r="Q2301" s="147">
        <v>0.11637</v>
      </c>
      <c r="R2301" s="147">
        <v>89.446579554189086</v>
      </c>
    </row>
    <row r="2302" spans="2:18" ht="15.75" hidden="1" thickBot="1" x14ac:dyDescent="0.3">
      <c r="B2302" s="723" t="s">
        <v>599</v>
      </c>
      <c r="C2302" s="722" t="s">
        <v>201</v>
      </c>
      <c r="D2302" t="s">
        <v>202</v>
      </c>
      <c r="E2302" s="728"/>
      <c r="F2302" s="728"/>
      <c r="G2302" s="728"/>
      <c r="H2302" s="728"/>
      <c r="I2302" s="728"/>
      <c r="J2302" s="728"/>
      <c r="K2302" s="728"/>
      <c r="L2302" s="728"/>
      <c r="M2302" s="148">
        <v>6</v>
      </c>
      <c r="N2302" s="148">
        <v>-6</v>
      </c>
      <c r="O2302" s="148">
        <v>-100</v>
      </c>
      <c r="P2302" s="728"/>
      <c r="Q2302" s="728"/>
      <c r="R2302" s="728"/>
    </row>
    <row r="2303" spans="2:18" ht="15.75" hidden="1" thickBot="1" x14ac:dyDescent="0.3">
      <c r="B2303" s="723" t="s">
        <v>599</v>
      </c>
      <c r="C2303" s="722" t="s">
        <v>635</v>
      </c>
      <c r="D2303" t="s">
        <v>636</v>
      </c>
      <c r="E2303" s="147">
        <v>-372.18711000000002</v>
      </c>
      <c r="F2303" s="147">
        <v>-242.69186999999999</v>
      </c>
      <c r="G2303" s="147">
        <v>-129.49524</v>
      </c>
      <c r="H2303" s="147">
        <v>-53.357881333231312</v>
      </c>
      <c r="I2303" s="729"/>
      <c r="J2303" s="147">
        <v>-372.18711000000002</v>
      </c>
      <c r="K2303" s="147">
        <v>0</v>
      </c>
      <c r="L2303" s="147">
        <v>-4426.0128999999997</v>
      </c>
      <c r="M2303" s="147">
        <v>-3918.6577000000002</v>
      </c>
      <c r="N2303" s="147">
        <v>-507.35520000000002</v>
      </c>
      <c r="O2303" s="147">
        <v>-12.947168108099874</v>
      </c>
      <c r="P2303" s="147">
        <v>-2029.7476300000001</v>
      </c>
      <c r="Q2303" s="147">
        <v>-2396.2652699999999</v>
      </c>
      <c r="R2303" s="147">
        <v>-118.05730104485946</v>
      </c>
    </row>
    <row r="2304" spans="2:18" ht="15.75" hidden="1" thickBot="1" x14ac:dyDescent="0.3">
      <c r="B2304" s="723" t="s">
        <v>599</v>
      </c>
      <c r="C2304" s="722" t="s">
        <v>143</v>
      </c>
      <c r="D2304" t="s">
        <v>144</v>
      </c>
      <c r="E2304" s="728"/>
      <c r="F2304" s="728"/>
      <c r="G2304" s="728"/>
      <c r="H2304" s="728"/>
      <c r="I2304" s="728"/>
      <c r="J2304" s="728"/>
      <c r="K2304" s="728"/>
      <c r="L2304" s="148">
        <v>9.0999999999999998E-2</v>
      </c>
      <c r="M2304" s="728"/>
      <c r="N2304" s="148">
        <v>9.0999999999999998E-2</v>
      </c>
      <c r="O2304" s="148">
        <v>0</v>
      </c>
      <c r="P2304" s="148">
        <v>9.0999999999999998E-2</v>
      </c>
      <c r="Q2304" s="148">
        <v>0</v>
      </c>
      <c r="R2304" s="148">
        <v>0</v>
      </c>
    </row>
    <row r="2305" spans="2:18" ht="15.75" hidden="1" thickBot="1" x14ac:dyDescent="0.3">
      <c r="B2305" s="723" t="s">
        <v>599</v>
      </c>
      <c r="C2305" s="722" t="s">
        <v>145</v>
      </c>
      <c r="D2305" t="s">
        <v>146</v>
      </c>
      <c r="E2305" s="147">
        <v>4.3799999999999999E-2</v>
      </c>
      <c r="F2305" s="147">
        <v>0.01</v>
      </c>
      <c r="G2305" s="147">
        <v>3.3799999999999997E-2</v>
      </c>
      <c r="H2305" s="147">
        <v>338</v>
      </c>
      <c r="I2305" s="729"/>
      <c r="J2305" s="147">
        <v>4.3799999999999999E-2</v>
      </c>
      <c r="K2305" s="147">
        <v>0</v>
      </c>
      <c r="L2305" s="147">
        <v>0.25084000000000001</v>
      </c>
      <c r="M2305" s="147">
        <v>0.45</v>
      </c>
      <c r="N2305" s="147">
        <v>-0.19916</v>
      </c>
      <c r="O2305" s="147">
        <v>-44.257777777777775</v>
      </c>
      <c r="P2305" s="147">
        <v>5.1499999999999997E-2</v>
      </c>
      <c r="Q2305" s="147">
        <v>0.19933999999999999</v>
      </c>
      <c r="R2305" s="147">
        <v>387.06796116504853</v>
      </c>
    </row>
    <row r="2306" spans="2:18" ht="15.75" hidden="1" thickBot="1" x14ac:dyDescent="0.3">
      <c r="B2306" s="723" t="s">
        <v>599</v>
      </c>
      <c r="C2306" s="722" t="s">
        <v>147</v>
      </c>
      <c r="D2306" t="s">
        <v>148</v>
      </c>
      <c r="E2306" s="148">
        <v>7.6350000000000001E-2</v>
      </c>
      <c r="F2306" s="728"/>
      <c r="G2306" s="148">
        <v>7.6350000000000001E-2</v>
      </c>
      <c r="H2306" s="148">
        <v>0</v>
      </c>
      <c r="I2306" s="728"/>
      <c r="J2306" s="148">
        <v>7.6350000000000001E-2</v>
      </c>
      <c r="K2306" s="148">
        <v>0</v>
      </c>
      <c r="L2306" s="148">
        <v>0.11985</v>
      </c>
      <c r="M2306" s="728"/>
      <c r="N2306" s="148">
        <v>0.11985</v>
      </c>
      <c r="O2306" s="148">
        <v>0</v>
      </c>
      <c r="P2306" s="148">
        <v>4.3499999999999997E-2</v>
      </c>
      <c r="Q2306" s="148">
        <v>7.6350000000000001E-2</v>
      </c>
      <c r="R2306" s="148">
        <v>175.51724137931035</v>
      </c>
    </row>
    <row r="2307" spans="2:18" ht="15.75" hidden="1" thickBot="1" x14ac:dyDescent="0.3">
      <c r="B2307" s="723" t="s">
        <v>599</v>
      </c>
      <c r="C2307" s="722" t="s">
        <v>149</v>
      </c>
      <c r="D2307" t="s">
        <v>150</v>
      </c>
      <c r="E2307" s="147">
        <v>151.89372</v>
      </c>
      <c r="F2307" s="147">
        <v>73.251379999999997</v>
      </c>
      <c r="G2307" s="147">
        <v>78.642340000000004</v>
      </c>
      <c r="H2307" s="147">
        <v>107.35953370434795</v>
      </c>
      <c r="I2307" s="729"/>
      <c r="J2307" s="147">
        <v>151.89372</v>
      </c>
      <c r="K2307" s="147">
        <v>0</v>
      </c>
      <c r="L2307" s="147">
        <v>1278.73531</v>
      </c>
      <c r="M2307" s="147">
        <v>985.91656</v>
      </c>
      <c r="N2307" s="147">
        <v>292.81875000000002</v>
      </c>
      <c r="O2307" s="147">
        <v>29.700155355946148</v>
      </c>
      <c r="P2307" s="147">
        <v>480.64416</v>
      </c>
      <c r="Q2307" s="147">
        <v>798.09114999999997</v>
      </c>
      <c r="R2307" s="147">
        <v>166.04615564246114</v>
      </c>
    </row>
    <row r="2308" spans="2:18" ht="15.75" hidden="1" thickBot="1" x14ac:dyDescent="0.3">
      <c r="B2308" s="723" t="s">
        <v>599</v>
      </c>
      <c r="C2308" s="722" t="s">
        <v>645</v>
      </c>
      <c r="D2308" t="s">
        <v>646</v>
      </c>
      <c r="E2308" s="728"/>
      <c r="F2308" s="148">
        <v>0</v>
      </c>
      <c r="G2308" s="148">
        <v>0</v>
      </c>
      <c r="H2308" s="148">
        <v>0</v>
      </c>
      <c r="I2308" s="728"/>
      <c r="J2308" s="728"/>
      <c r="K2308" s="728"/>
      <c r="L2308" s="148">
        <v>-0.13469</v>
      </c>
      <c r="M2308" s="148">
        <v>1</v>
      </c>
      <c r="N2308" s="148">
        <v>-1.13469</v>
      </c>
      <c r="O2308" s="148">
        <v>-113.46899999999999</v>
      </c>
      <c r="P2308" s="148">
        <v>-0.13469</v>
      </c>
      <c r="Q2308" s="148">
        <v>0</v>
      </c>
      <c r="R2308" s="148">
        <v>0</v>
      </c>
    </row>
    <row r="2309" spans="2:18" ht="15.75" hidden="1" thickBot="1" x14ac:dyDescent="0.3">
      <c r="B2309" s="723" t="s">
        <v>599</v>
      </c>
      <c r="C2309" s="722" t="s">
        <v>151</v>
      </c>
      <c r="D2309" t="s">
        <v>152</v>
      </c>
      <c r="E2309" s="147">
        <v>17.74896</v>
      </c>
      <c r="F2309" s="147">
        <v>0</v>
      </c>
      <c r="G2309" s="147">
        <v>17.74896</v>
      </c>
      <c r="H2309" s="147">
        <v>0</v>
      </c>
      <c r="I2309" s="729"/>
      <c r="J2309" s="147">
        <v>17.74896</v>
      </c>
      <c r="K2309" s="147">
        <v>0</v>
      </c>
      <c r="L2309" s="147">
        <v>65.898960000000002</v>
      </c>
      <c r="M2309" s="147">
        <v>66</v>
      </c>
      <c r="N2309" s="147">
        <v>-0.10104</v>
      </c>
      <c r="O2309" s="147">
        <v>-0.15309090909090908</v>
      </c>
      <c r="P2309" s="147">
        <v>2.694</v>
      </c>
      <c r="Q2309" s="147">
        <v>63.20496</v>
      </c>
      <c r="R2309" s="147">
        <v>2346.1380846325169</v>
      </c>
    </row>
    <row r="2310" spans="2:18" ht="15.75" hidden="1" thickBot="1" x14ac:dyDescent="0.3">
      <c r="B2310" s="723" t="s">
        <v>599</v>
      </c>
      <c r="C2310" s="722" t="s">
        <v>483</v>
      </c>
      <c r="D2310" t="s">
        <v>484</v>
      </c>
      <c r="E2310" s="728"/>
      <c r="F2310" s="728"/>
      <c r="G2310" s="728"/>
      <c r="H2310" s="728"/>
      <c r="I2310" s="728"/>
      <c r="J2310" s="728"/>
      <c r="K2310" s="728"/>
      <c r="L2310" s="148">
        <v>5</v>
      </c>
      <c r="M2310" s="148">
        <v>5</v>
      </c>
      <c r="N2310" s="148">
        <v>0</v>
      </c>
      <c r="O2310" s="148">
        <v>0</v>
      </c>
      <c r="P2310" s="728"/>
      <c r="Q2310" s="148">
        <v>5</v>
      </c>
      <c r="R2310" s="148">
        <v>0</v>
      </c>
    </row>
    <row r="2311" spans="2:18" ht="15.75" hidden="1" thickBot="1" x14ac:dyDescent="0.3">
      <c r="B2311" s="723" t="s">
        <v>599</v>
      </c>
      <c r="C2311" s="722" t="s">
        <v>665</v>
      </c>
      <c r="D2311" t="s">
        <v>666</v>
      </c>
      <c r="E2311" s="147">
        <v>232.19092000000001</v>
      </c>
      <c r="F2311" s="147">
        <v>150</v>
      </c>
      <c r="G2311" s="147">
        <v>82.190920000000006</v>
      </c>
      <c r="H2311" s="147">
        <v>54.793946666666663</v>
      </c>
      <c r="I2311" s="729"/>
      <c r="J2311" s="147">
        <v>232.19092000000001</v>
      </c>
      <c r="K2311" s="147">
        <v>0</v>
      </c>
      <c r="L2311" s="147">
        <v>2972.1191600000002</v>
      </c>
      <c r="M2311" s="147">
        <v>2700</v>
      </c>
      <c r="N2311" s="147">
        <v>272.11916000000002</v>
      </c>
      <c r="O2311" s="147">
        <v>10.078487407407408</v>
      </c>
      <c r="P2311" s="147">
        <v>1439.9604300000001</v>
      </c>
      <c r="Q2311" s="147">
        <v>1532.1587300000001</v>
      </c>
      <c r="R2311" s="147">
        <v>106.40283566681065</v>
      </c>
    </row>
    <row r="2312" spans="2:18" ht="15.75" hidden="1" thickBot="1" x14ac:dyDescent="0.3">
      <c r="B2312" s="723" t="s">
        <v>599</v>
      </c>
      <c r="C2312" s="722" t="s">
        <v>153</v>
      </c>
      <c r="D2312" t="s">
        <v>154</v>
      </c>
      <c r="E2312" s="728"/>
      <c r="F2312" s="728"/>
      <c r="G2312" s="728"/>
      <c r="H2312" s="728"/>
      <c r="I2312" s="728"/>
      <c r="J2312" s="728"/>
      <c r="K2312" s="728"/>
      <c r="L2312" s="148">
        <v>6.0666500000000001</v>
      </c>
      <c r="M2312" s="728"/>
      <c r="N2312" s="148">
        <v>6.0666500000000001</v>
      </c>
      <c r="O2312" s="148">
        <v>0</v>
      </c>
      <c r="P2312" s="728"/>
      <c r="Q2312" s="148">
        <v>6.0666500000000001</v>
      </c>
      <c r="R2312" s="148">
        <v>0</v>
      </c>
    </row>
    <row r="2313" spans="2:18" ht="15.75" hidden="1" thickBot="1" x14ac:dyDescent="0.3">
      <c r="B2313" s="723" t="s">
        <v>599</v>
      </c>
      <c r="C2313" s="722" t="s">
        <v>75</v>
      </c>
      <c r="D2313" t="s">
        <v>76</v>
      </c>
      <c r="E2313" s="147">
        <v>2.4614400000000001</v>
      </c>
      <c r="F2313" s="147">
        <v>1.45</v>
      </c>
      <c r="G2313" s="147">
        <v>1.0114399999999999</v>
      </c>
      <c r="H2313" s="147">
        <v>69.754482758620696</v>
      </c>
      <c r="I2313" s="729"/>
      <c r="J2313" s="147">
        <v>2.4614400000000001</v>
      </c>
      <c r="K2313" s="147">
        <v>0</v>
      </c>
      <c r="L2313" s="147">
        <v>12.171430000000001</v>
      </c>
      <c r="M2313" s="147">
        <v>18.899999999999999</v>
      </c>
      <c r="N2313" s="147">
        <v>-6.7285700000000004</v>
      </c>
      <c r="O2313" s="147">
        <v>-35.600899470899471</v>
      </c>
      <c r="P2313" s="147">
        <v>5.3357999999999999</v>
      </c>
      <c r="Q2313" s="147">
        <v>6.8356300000000001</v>
      </c>
      <c r="R2313" s="147">
        <v>128.10881217436935</v>
      </c>
    </row>
    <row r="2314" spans="2:18" ht="15.75" hidden="1" thickBot="1" x14ac:dyDescent="0.3">
      <c r="B2314" s="723" t="s">
        <v>599</v>
      </c>
      <c r="C2314" s="722" t="s">
        <v>121</v>
      </c>
      <c r="D2314" t="s">
        <v>122</v>
      </c>
      <c r="E2314" s="728"/>
      <c r="F2314" s="728"/>
      <c r="G2314" s="728"/>
      <c r="H2314" s="728"/>
      <c r="I2314" s="728"/>
      <c r="J2314" s="728"/>
      <c r="K2314" s="728"/>
      <c r="L2314" s="148">
        <v>3.211E-2</v>
      </c>
      <c r="M2314" s="728"/>
      <c r="N2314" s="148">
        <v>3.211E-2</v>
      </c>
      <c r="O2314" s="148">
        <v>0</v>
      </c>
      <c r="P2314" s="148">
        <v>2.3310000000000001E-2</v>
      </c>
      <c r="Q2314" s="148">
        <v>8.8000000000000005E-3</v>
      </c>
      <c r="R2314" s="148">
        <v>37.752037752037751</v>
      </c>
    </row>
    <row r="2315" spans="2:18" ht="15.75" hidden="1" thickBot="1" x14ac:dyDescent="0.3">
      <c r="B2315" s="723" t="s">
        <v>599</v>
      </c>
      <c r="C2315" s="722" t="s">
        <v>77</v>
      </c>
      <c r="D2315" t="s">
        <v>78</v>
      </c>
      <c r="E2315" s="147">
        <v>0.37717000000000001</v>
      </c>
      <c r="F2315" s="147">
        <v>1.8333699999999999</v>
      </c>
      <c r="G2315" s="147">
        <v>-1.4561999999999999</v>
      </c>
      <c r="H2315" s="147">
        <v>-79.427502359043729</v>
      </c>
      <c r="I2315" s="729"/>
      <c r="J2315" s="147">
        <v>0.37717000000000001</v>
      </c>
      <c r="K2315" s="147">
        <v>0</v>
      </c>
      <c r="L2315" s="147">
        <v>21.674430000000001</v>
      </c>
      <c r="M2315" s="147">
        <v>38.700000000000003</v>
      </c>
      <c r="N2315" s="147">
        <v>-17.025569999999998</v>
      </c>
      <c r="O2315" s="147">
        <v>-43.993720930232556</v>
      </c>
      <c r="P2315" s="147">
        <v>8.2708499999999994</v>
      </c>
      <c r="Q2315" s="147">
        <v>13.40358</v>
      </c>
      <c r="R2315" s="147">
        <v>162.05807141950345</v>
      </c>
    </row>
    <row r="2316" spans="2:18" ht="15.75" hidden="1" thickBot="1" x14ac:dyDescent="0.3">
      <c r="B2316" s="723" t="s">
        <v>599</v>
      </c>
      <c r="C2316" s="722" t="s">
        <v>79</v>
      </c>
      <c r="D2316" t="s">
        <v>80</v>
      </c>
      <c r="E2316" s="148">
        <v>0.51543000000000005</v>
      </c>
      <c r="F2316" s="148">
        <v>0</v>
      </c>
      <c r="G2316" s="148">
        <v>0.51543000000000005</v>
      </c>
      <c r="H2316" s="148">
        <v>0</v>
      </c>
      <c r="I2316" s="728"/>
      <c r="J2316" s="148">
        <v>0.51543000000000005</v>
      </c>
      <c r="K2316" s="148">
        <v>0</v>
      </c>
      <c r="L2316" s="148">
        <v>5.5346500000000001</v>
      </c>
      <c r="M2316" s="148">
        <v>8.3000000000000007</v>
      </c>
      <c r="N2316" s="148">
        <v>-2.7653500000000002</v>
      </c>
      <c r="O2316" s="148">
        <v>-33.317469879518072</v>
      </c>
      <c r="P2316" s="148">
        <v>2.32341</v>
      </c>
      <c r="Q2316" s="148">
        <v>3.2112400000000001</v>
      </c>
      <c r="R2316" s="148">
        <v>138.21236888883149</v>
      </c>
    </row>
    <row r="2317" spans="2:18" ht="15.75" hidden="1" thickBot="1" x14ac:dyDescent="0.3">
      <c r="B2317" s="723" t="s">
        <v>599</v>
      </c>
      <c r="C2317" s="722" t="s">
        <v>81</v>
      </c>
      <c r="D2317" t="s">
        <v>82</v>
      </c>
      <c r="E2317" s="147">
        <v>2.1256499999999998</v>
      </c>
      <c r="F2317" s="147">
        <v>0.05</v>
      </c>
      <c r="G2317" s="147">
        <v>2.07565</v>
      </c>
      <c r="H2317" s="147">
        <v>4151.3</v>
      </c>
      <c r="I2317" s="729"/>
      <c r="J2317" s="147">
        <v>2.1256499999999998</v>
      </c>
      <c r="K2317" s="147">
        <v>0</v>
      </c>
      <c r="L2317" s="147">
        <v>2.25265</v>
      </c>
      <c r="M2317" s="147">
        <v>3.1</v>
      </c>
      <c r="N2317" s="147">
        <v>-0.84735000000000005</v>
      </c>
      <c r="O2317" s="147">
        <v>-27.333870967741934</v>
      </c>
      <c r="P2317" s="147">
        <v>0.1</v>
      </c>
      <c r="Q2317" s="147">
        <v>2.15265</v>
      </c>
      <c r="R2317" s="147">
        <v>2152.65</v>
      </c>
    </row>
    <row r="2318" spans="2:18" ht="15.75" hidden="1" thickBot="1" x14ac:dyDescent="0.3">
      <c r="B2318" s="723" t="s">
        <v>599</v>
      </c>
      <c r="C2318" s="722" t="s">
        <v>123</v>
      </c>
      <c r="D2318" t="s">
        <v>124</v>
      </c>
      <c r="E2318" s="148">
        <v>0.35499999999999998</v>
      </c>
      <c r="F2318" s="148">
        <v>0.05</v>
      </c>
      <c r="G2318" s="148">
        <v>0.30499999999999999</v>
      </c>
      <c r="H2318" s="148">
        <v>610</v>
      </c>
      <c r="I2318" s="728"/>
      <c r="J2318" s="148">
        <v>0.35499999999999998</v>
      </c>
      <c r="K2318" s="148">
        <v>0</v>
      </c>
      <c r="L2318" s="148">
        <v>0.56159000000000003</v>
      </c>
      <c r="M2318" s="148">
        <v>1.2</v>
      </c>
      <c r="N2318" s="148">
        <v>-0.63841000000000003</v>
      </c>
      <c r="O2318" s="148">
        <v>-53.200833333333335</v>
      </c>
      <c r="P2318" s="148">
        <v>1.7989999999999999E-2</v>
      </c>
      <c r="Q2318" s="148">
        <v>0.54359999999999997</v>
      </c>
      <c r="R2318" s="148">
        <v>3021.6787103946635</v>
      </c>
    </row>
    <row r="2319" spans="2:18" ht="15.75" hidden="1" thickBot="1" x14ac:dyDescent="0.3">
      <c r="B2319" s="723" t="s">
        <v>599</v>
      </c>
      <c r="C2319" s="722" t="s">
        <v>695</v>
      </c>
      <c r="D2319" t="s">
        <v>696</v>
      </c>
      <c r="E2319" s="729"/>
      <c r="F2319" s="729"/>
      <c r="G2319" s="729"/>
      <c r="H2319" s="729"/>
      <c r="I2319" s="729"/>
      <c r="J2319" s="729"/>
      <c r="K2319" s="729"/>
      <c r="L2319" s="147">
        <v>0</v>
      </c>
      <c r="M2319" s="729"/>
      <c r="N2319" s="147">
        <v>0</v>
      </c>
      <c r="O2319" s="147">
        <v>0</v>
      </c>
      <c r="P2319" s="147">
        <v>-1.6979999999999999E-2</v>
      </c>
      <c r="Q2319" s="147">
        <v>1.6979999999999999E-2</v>
      </c>
      <c r="R2319" s="147">
        <v>100</v>
      </c>
    </row>
    <row r="2320" spans="2:18" ht="15.75" hidden="1" thickBot="1" x14ac:dyDescent="0.3">
      <c r="B2320" s="723" t="s">
        <v>599</v>
      </c>
      <c r="C2320" s="722" t="s">
        <v>83</v>
      </c>
      <c r="D2320" t="s">
        <v>84</v>
      </c>
      <c r="E2320" s="728"/>
      <c r="F2320" s="148">
        <v>0.51666999999999996</v>
      </c>
      <c r="G2320" s="148">
        <v>-0.51666999999999996</v>
      </c>
      <c r="H2320" s="148">
        <v>-100</v>
      </c>
      <c r="I2320" s="728"/>
      <c r="J2320" s="728"/>
      <c r="K2320" s="728"/>
      <c r="L2320" s="728"/>
      <c r="M2320" s="148">
        <v>6.5000400000000003</v>
      </c>
      <c r="N2320" s="148">
        <v>-6.5000400000000003</v>
      </c>
      <c r="O2320" s="148">
        <v>-100</v>
      </c>
      <c r="P2320" s="728"/>
      <c r="Q2320" s="728"/>
      <c r="R2320" s="728"/>
    </row>
    <row r="2321" spans="2:18" ht="15.75" hidden="1" thickBot="1" x14ac:dyDescent="0.3">
      <c r="B2321" s="723" t="s">
        <v>599</v>
      </c>
      <c r="C2321" s="149" t="s">
        <v>85</v>
      </c>
      <c r="D2321" t="s">
        <v>86</v>
      </c>
      <c r="E2321" s="147">
        <v>47.283610000000003</v>
      </c>
      <c r="F2321" s="147">
        <v>-5.31881</v>
      </c>
      <c r="G2321" s="147">
        <v>52.602420000000002</v>
      </c>
      <c r="H2321" s="147">
        <v>988.98851434813423</v>
      </c>
      <c r="I2321" s="729"/>
      <c r="J2321" s="147">
        <v>47.283610000000003</v>
      </c>
      <c r="K2321" s="147">
        <v>0</v>
      </c>
      <c r="L2321" s="147">
        <v>44.813540000000003</v>
      </c>
      <c r="M2321" s="147">
        <v>67.043909999999997</v>
      </c>
      <c r="N2321" s="147">
        <v>-22.230370000000001</v>
      </c>
      <c r="O2321" s="147">
        <v>-33.157925902591302</v>
      </c>
      <c r="P2321" s="147">
        <v>-21.227450000000001</v>
      </c>
      <c r="Q2321" s="147">
        <v>66.040989999999994</v>
      </c>
      <c r="R2321" s="147">
        <v>311.1112733748048</v>
      </c>
    </row>
    <row r="2322" spans="2:18" ht="15.75" hidden="1" thickBot="1" x14ac:dyDescent="0.3">
      <c r="B2322" s="723" t="s">
        <v>599</v>
      </c>
      <c r="C2322" s="144" t="s">
        <v>87</v>
      </c>
      <c r="D2322" t="s">
        <v>87</v>
      </c>
      <c r="E2322" s="148">
        <v>171.41735</v>
      </c>
      <c r="F2322" s="148">
        <v>136.26991000000001</v>
      </c>
      <c r="G2322" s="148">
        <v>35.147440000000003</v>
      </c>
      <c r="H2322" s="148">
        <v>25.792517218217874</v>
      </c>
      <c r="I2322" s="728"/>
      <c r="J2322" s="148">
        <v>171.41735</v>
      </c>
      <c r="K2322" s="148">
        <v>0</v>
      </c>
      <c r="L2322" s="148">
        <v>1723.56612</v>
      </c>
      <c r="M2322" s="148">
        <v>1757.19499</v>
      </c>
      <c r="N2322" s="148">
        <v>-33.628869999999999</v>
      </c>
      <c r="O2322" s="148">
        <v>-1.913781349900161</v>
      </c>
      <c r="P2322" s="148">
        <v>816.19461999999999</v>
      </c>
      <c r="Q2322" s="148">
        <v>907.37149999999997</v>
      </c>
      <c r="R2322" s="148">
        <v>111.17097292310012</v>
      </c>
    </row>
    <row r="2323" spans="2:18" ht="15.75" hidden="1" thickBot="1" x14ac:dyDescent="0.3">
      <c r="B2323" s="724" t="s">
        <v>757</v>
      </c>
      <c r="C2323" s="722" t="s">
        <v>59</v>
      </c>
      <c r="D2323" t="s">
        <v>60</v>
      </c>
      <c r="E2323" s="147">
        <v>14.16005</v>
      </c>
      <c r="F2323" s="147">
        <v>16.453320000000001</v>
      </c>
      <c r="G2323" s="147">
        <v>-2.2932700000000001</v>
      </c>
      <c r="H2323" s="147">
        <v>-13.938038037307972</v>
      </c>
      <c r="I2323" s="729"/>
      <c r="J2323" s="147">
        <v>14.16005</v>
      </c>
      <c r="K2323" s="147">
        <v>0</v>
      </c>
      <c r="L2323" s="147">
        <v>201.20036999999999</v>
      </c>
      <c r="M2323" s="147">
        <v>196.40404000000001</v>
      </c>
      <c r="N2323" s="147">
        <v>4.7963300000000002</v>
      </c>
      <c r="O2323" s="147">
        <v>2.4420729838347519</v>
      </c>
      <c r="P2323" s="147">
        <v>106.66092999999999</v>
      </c>
      <c r="Q2323" s="147">
        <v>94.539439999999999</v>
      </c>
      <c r="R2323" s="147">
        <v>88.635491927550234</v>
      </c>
    </row>
    <row r="2324" spans="2:18" ht="15.75" hidden="1" thickBot="1" x14ac:dyDescent="0.3">
      <c r="B2324" s="724" t="s">
        <v>757</v>
      </c>
      <c r="C2324" s="722" t="s">
        <v>134</v>
      </c>
      <c r="D2324" t="s">
        <v>135</v>
      </c>
      <c r="E2324" s="148">
        <v>3.75</v>
      </c>
      <c r="F2324" s="728"/>
      <c r="G2324" s="148">
        <v>3.75</v>
      </c>
      <c r="H2324" s="148">
        <v>0</v>
      </c>
      <c r="I2324" s="728"/>
      <c r="J2324" s="148">
        <v>3.75</v>
      </c>
      <c r="K2324" s="148">
        <v>0</v>
      </c>
      <c r="L2324" s="148">
        <v>45</v>
      </c>
      <c r="M2324" s="728"/>
      <c r="N2324" s="148">
        <v>45</v>
      </c>
      <c r="O2324" s="148">
        <v>0</v>
      </c>
      <c r="P2324" s="148">
        <v>22.5</v>
      </c>
      <c r="Q2324" s="148">
        <v>22.5</v>
      </c>
      <c r="R2324" s="148">
        <v>100</v>
      </c>
    </row>
    <row r="2325" spans="2:18" ht="15.75" hidden="1" thickBot="1" x14ac:dyDescent="0.3">
      <c r="B2325" s="724" t="s">
        <v>757</v>
      </c>
      <c r="C2325" s="722" t="s">
        <v>61</v>
      </c>
      <c r="D2325" t="s">
        <v>62</v>
      </c>
      <c r="E2325" s="147">
        <v>2.5498699999999999</v>
      </c>
      <c r="F2325" s="147">
        <v>2.5502600000000002</v>
      </c>
      <c r="G2325" s="147">
        <v>-3.8999999999999999E-4</v>
      </c>
      <c r="H2325" s="147">
        <v>-1.5292558405809604E-2</v>
      </c>
      <c r="I2325" s="729"/>
      <c r="J2325" s="147">
        <v>2.5498699999999999</v>
      </c>
      <c r="K2325" s="147">
        <v>0</v>
      </c>
      <c r="L2325" s="147">
        <v>30.71799</v>
      </c>
      <c r="M2325" s="147">
        <v>30.44258</v>
      </c>
      <c r="N2325" s="147">
        <v>0.27540999999999999</v>
      </c>
      <c r="O2325" s="147">
        <v>0.90468679067280111</v>
      </c>
      <c r="P2325" s="147">
        <v>15.24916</v>
      </c>
      <c r="Q2325" s="147">
        <v>15.468830000000001</v>
      </c>
      <c r="R2325" s="147">
        <v>101.44053836408038</v>
      </c>
    </row>
    <row r="2326" spans="2:18" ht="15.75" hidden="1" thickBot="1" x14ac:dyDescent="0.3">
      <c r="B2326" s="724" t="s">
        <v>757</v>
      </c>
      <c r="C2326" s="722" t="s">
        <v>63</v>
      </c>
      <c r="D2326" t="s">
        <v>64</v>
      </c>
      <c r="E2326" s="148">
        <v>10.280519999999999</v>
      </c>
      <c r="F2326" s="148">
        <v>9.9213500000000003</v>
      </c>
      <c r="G2326" s="148">
        <v>0.35916999999999999</v>
      </c>
      <c r="H2326" s="148">
        <v>3.6201726579548148</v>
      </c>
      <c r="I2326" s="728"/>
      <c r="J2326" s="148">
        <v>10.280519999999999</v>
      </c>
      <c r="K2326" s="148">
        <v>0</v>
      </c>
      <c r="L2326" s="148">
        <v>123.83319</v>
      </c>
      <c r="M2326" s="148">
        <v>118.43162</v>
      </c>
      <c r="N2326" s="148">
        <v>5.4015700000000004</v>
      </c>
      <c r="O2326" s="148">
        <v>4.5609187816564525</v>
      </c>
      <c r="P2326" s="148">
        <v>61.490569999999998</v>
      </c>
      <c r="Q2326" s="148">
        <v>62.342619999999997</v>
      </c>
      <c r="R2326" s="148">
        <v>101.3856596222803</v>
      </c>
    </row>
    <row r="2327" spans="2:18" ht="15.75" hidden="1" thickBot="1" x14ac:dyDescent="0.3">
      <c r="B2327" s="724" t="s">
        <v>757</v>
      </c>
      <c r="C2327" s="149" t="s">
        <v>67</v>
      </c>
      <c r="D2327" t="s">
        <v>68</v>
      </c>
      <c r="E2327" s="147">
        <v>30.74044</v>
      </c>
      <c r="F2327" s="147">
        <v>28.92493</v>
      </c>
      <c r="G2327" s="147">
        <v>1.81551</v>
      </c>
      <c r="H2327" s="147">
        <v>6.2766271171615626</v>
      </c>
      <c r="I2327" s="729"/>
      <c r="J2327" s="147">
        <v>30.74044</v>
      </c>
      <c r="K2327" s="147">
        <v>0</v>
      </c>
      <c r="L2327" s="147">
        <v>400.75155000000001</v>
      </c>
      <c r="M2327" s="147">
        <v>345.27823999999998</v>
      </c>
      <c r="N2327" s="147">
        <v>55.473309999999998</v>
      </c>
      <c r="O2327" s="147">
        <v>16.066262965195836</v>
      </c>
      <c r="P2327" s="147">
        <v>205.90065999999999</v>
      </c>
      <c r="Q2327" s="147">
        <v>194.85088999999999</v>
      </c>
      <c r="R2327" s="147">
        <v>94.633446051119989</v>
      </c>
    </row>
    <row r="2328" spans="2:18" ht="15.75" hidden="1" thickBot="1" x14ac:dyDescent="0.3">
      <c r="B2328" s="724" t="s">
        <v>757</v>
      </c>
      <c r="C2328" s="722" t="s">
        <v>69</v>
      </c>
      <c r="D2328" t="s">
        <v>70</v>
      </c>
      <c r="E2328" s="728"/>
      <c r="F2328" s="728"/>
      <c r="G2328" s="728"/>
      <c r="H2328" s="728"/>
      <c r="I2328" s="728"/>
      <c r="J2328" s="728"/>
      <c r="K2328" s="728"/>
      <c r="L2328" s="148">
        <v>0.19900000000000001</v>
      </c>
      <c r="M2328" s="148">
        <v>5</v>
      </c>
      <c r="N2328" s="148">
        <v>-4.8010000000000002</v>
      </c>
      <c r="O2328" s="148">
        <v>-96.02</v>
      </c>
      <c r="P2328" s="728"/>
      <c r="Q2328" s="148">
        <v>0.19900000000000001</v>
      </c>
      <c r="R2328" s="148">
        <v>0</v>
      </c>
    </row>
    <row r="2329" spans="2:18" ht="15.75" hidden="1" thickBot="1" x14ac:dyDescent="0.3">
      <c r="B2329" s="724" t="s">
        <v>757</v>
      </c>
      <c r="C2329" s="722" t="s">
        <v>165</v>
      </c>
      <c r="D2329" t="s">
        <v>166</v>
      </c>
      <c r="E2329" s="147">
        <v>-6.2740000000000004E-2</v>
      </c>
      <c r="F2329" s="729"/>
      <c r="G2329" s="147">
        <v>-6.2740000000000004E-2</v>
      </c>
      <c r="H2329" s="147">
        <v>0</v>
      </c>
      <c r="I2329" s="729"/>
      <c r="J2329" s="147">
        <v>-6.2740000000000004E-2</v>
      </c>
      <c r="K2329" s="147">
        <v>0</v>
      </c>
      <c r="L2329" s="147">
        <v>0</v>
      </c>
      <c r="M2329" s="729"/>
      <c r="N2329" s="147">
        <v>0</v>
      </c>
      <c r="O2329" s="147">
        <v>0</v>
      </c>
      <c r="P2329" s="729"/>
      <c r="Q2329" s="147">
        <v>0</v>
      </c>
      <c r="R2329" s="147">
        <v>0</v>
      </c>
    </row>
    <row r="2330" spans="2:18" ht="15.75" hidden="1" thickBot="1" x14ac:dyDescent="0.3">
      <c r="B2330" s="724" t="s">
        <v>757</v>
      </c>
      <c r="C2330" s="722" t="s">
        <v>137</v>
      </c>
      <c r="D2330" t="s">
        <v>138</v>
      </c>
      <c r="E2330" s="728"/>
      <c r="F2330" s="728"/>
      <c r="G2330" s="728"/>
      <c r="H2330" s="728"/>
      <c r="I2330" s="728"/>
      <c r="J2330" s="728"/>
      <c r="K2330" s="728"/>
      <c r="L2330" s="148">
        <v>5.1229999999999998E-2</v>
      </c>
      <c r="M2330" s="148">
        <v>0.3</v>
      </c>
      <c r="N2330" s="148">
        <v>-0.24876999999999999</v>
      </c>
      <c r="O2330" s="148">
        <v>-82.923333333333332</v>
      </c>
      <c r="P2330" s="148">
        <v>5.1229999999999998E-2</v>
      </c>
      <c r="Q2330" s="148">
        <v>0</v>
      </c>
      <c r="R2330" s="148">
        <v>0</v>
      </c>
    </row>
    <row r="2331" spans="2:18" ht="15.75" hidden="1" thickBot="1" x14ac:dyDescent="0.3">
      <c r="B2331" s="724" t="s">
        <v>757</v>
      </c>
      <c r="C2331" s="722" t="s">
        <v>139</v>
      </c>
      <c r="D2331" t="s">
        <v>140</v>
      </c>
      <c r="E2331" s="729"/>
      <c r="F2331" s="729"/>
      <c r="G2331" s="729"/>
      <c r="H2331" s="729"/>
      <c r="I2331" s="729"/>
      <c r="J2331" s="729"/>
      <c r="K2331" s="729"/>
      <c r="L2331" s="147">
        <v>0.39</v>
      </c>
      <c r="M2331" s="147">
        <v>0.75</v>
      </c>
      <c r="N2331" s="147">
        <v>-0.36</v>
      </c>
      <c r="O2331" s="147">
        <v>-48</v>
      </c>
      <c r="P2331" s="147">
        <v>0.1</v>
      </c>
      <c r="Q2331" s="147">
        <v>0.28999999999999998</v>
      </c>
      <c r="R2331" s="147">
        <v>290</v>
      </c>
    </row>
    <row r="2332" spans="2:18" ht="15.75" hidden="1" thickBot="1" x14ac:dyDescent="0.3">
      <c r="B2332" s="724" t="s">
        <v>757</v>
      </c>
      <c r="C2332" s="722" t="s">
        <v>109</v>
      </c>
      <c r="D2332" t="s">
        <v>110</v>
      </c>
      <c r="E2332" s="728"/>
      <c r="F2332" s="148">
        <v>7.4999999999999997E-2</v>
      </c>
      <c r="G2332" s="148">
        <v>-7.4999999999999997E-2</v>
      </c>
      <c r="H2332" s="148">
        <v>-100</v>
      </c>
      <c r="I2332" s="728"/>
      <c r="J2332" s="728"/>
      <c r="K2332" s="728"/>
      <c r="L2332" s="728"/>
      <c r="M2332" s="148">
        <v>0.5</v>
      </c>
      <c r="N2332" s="148">
        <v>-0.5</v>
      </c>
      <c r="O2332" s="148">
        <v>-100</v>
      </c>
      <c r="P2332" s="728"/>
      <c r="Q2332" s="728"/>
      <c r="R2332" s="728"/>
    </row>
    <row r="2333" spans="2:18" ht="15.75" hidden="1" thickBot="1" x14ac:dyDescent="0.3">
      <c r="B2333" s="724" t="s">
        <v>757</v>
      </c>
      <c r="C2333" s="722" t="s">
        <v>73</v>
      </c>
      <c r="D2333" t="s">
        <v>74</v>
      </c>
      <c r="E2333" s="729"/>
      <c r="F2333" s="147">
        <v>0.05</v>
      </c>
      <c r="G2333" s="147">
        <v>-0.05</v>
      </c>
      <c r="H2333" s="147">
        <v>-100</v>
      </c>
      <c r="I2333" s="729"/>
      <c r="J2333" s="729"/>
      <c r="K2333" s="729"/>
      <c r="L2333" s="147">
        <v>0.48131000000000002</v>
      </c>
      <c r="M2333" s="147">
        <v>1.55</v>
      </c>
      <c r="N2333" s="147">
        <v>-1.0686899999999999</v>
      </c>
      <c r="O2333" s="147">
        <v>-68.947741935483876</v>
      </c>
      <c r="P2333" s="147">
        <v>0.25004999999999999</v>
      </c>
      <c r="Q2333" s="147">
        <v>0.23125999999999999</v>
      </c>
      <c r="R2333" s="147">
        <v>92.485502899420112</v>
      </c>
    </row>
    <row r="2334" spans="2:18" ht="15.75" hidden="1" thickBot="1" x14ac:dyDescent="0.3">
      <c r="B2334" s="724" t="s">
        <v>757</v>
      </c>
      <c r="C2334" s="722" t="s">
        <v>141</v>
      </c>
      <c r="D2334" t="s">
        <v>142</v>
      </c>
      <c r="E2334" s="728"/>
      <c r="F2334" s="728"/>
      <c r="G2334" s="728"/>
      <c r="H2334" s="728"/>
      <c r="I2334" s="728"/>
      <c r="J2334" s="728"/>
      <c r="K2334" s="728"/>
      <c r="L2334" s="728"/>
      <c r="M2334" s="148">
        <v>0.2</v>
      </c>
      <c r="N2334" s="148">
        <v>-0.2</v>
      </c>
      <c r="O2334" s="148">
        <v>-100</v>
      </c>
      <c r="P2334" s="728"/>
      <c r="Q2334" s="728"/>
      <c r="R2334" s="728"/>
    </row>
    <row r="2335" spans="2:18" ht="15.75" hidden="1" thickBot="1" x14ac:dyDescent="0.3">
      <c r="B2335" s="724" t="s">
        <v>757</v>
      </c>
      <c r="C2335" s="722" t="s">
        <v>145</v>
      </c>
      <c r="D2335" t="s">
        <v>146</v>
      </c>
      <c r="E2335" s="147">
        <v>1.4E-2</v>
      </c>
      <c r="F2335" s="729"/>
      <c r="G2335" s="147">
        <v>1.4E-2</v>
      </c>
      <c r="H2335" s="147">
        <v>0</v>
      </c>
      <c r="I2335" s="729"/>
      <c r="J2335" s="147">
        <v>1.4E-2</v>
      </c>
      <c r="K2335" s="147">
        <v>0</v>
      </c>
      <c r="L2335" s="147">
        <v>1.4E-2</v>
      </c>
      <c r="M2335" s="147">
        <v>0.3</v>
      </c>
      <c r="N2335" s="147">
        <v>-0.28599999999999998</v>
      </c>
      <c r="O2335" s="147">
        <v>-95.333333333333329</v>
      </c>
      <c r="P2335" s="729"/>
      <c r="Q2335" s="147">
        <v>1.4E-2</v>
      </c>
      <c r="R2335" s="147">
        <v>0</v>
      </c>
    </row>
    <row r="2336" spans="2:18" ht="15.75" hidden="1" thickBot="1" x14ac:dyDescent="0.3">
      <c r="B2336" s="724" t="s">
        <v>757</v>
      </c>
      <c r="C2336" s="722" t="s">
        <v>75</v>
      </c>
      <c r="D2336" t="s">
        <v>76</v>
      </c>
      <c r="E2336" s="148">
        <v>0.21573999999999999</v>
      </c>
      <c r="F2336" s="148">
        <v>0.2</v>
      </c>
      <c r="G2336" s="148">
        <v>1.5740000000000001E-2</v>
      </c>
      <c r="H2336" s="148">
        <v>7.87</v>
      </c>
      <c r="I2336" s="728"/>
      <c r="J2336" s="148">
        <v>0.21573999999999999</v>
      </c>
      <c r="K2336" s="148">
        <v>0</v>
      </c>
      <c r="L2336" s="148">
        <v>1.8832199999999999</v>
      </c>
      <c r="M2336" s="148">
        <v>1.9</v>
      </c>
      <c r="N2336" s="148">
        <v>-1.678E-2</v>
      </c>
      <c r="O2336" s="148">
        <v>-0.88315789473684214</v>
      </c>
      <c r="P2336" s="148">
        <v>1.0116700000000001</v>
      </c>
      <c r="Q2336" s="148">
        <v>0.87155000000000005</v>
      </c>
      <c r="R2336" s="148">
        <v>86.149633773859065</v>
      </c>
    </row>
    <row r="2337" spans="2:18" ht="15.75" hidden="1" thickBot="1" x14ac:dyDescent="0.3">
      <c r="B2337" s="724" t="s">
        <v>757</v>
      </c>
      <c r="C2337" s="722" t="s">
        <v>77</v>
      </c>
      <c r="D2337" t="s">
        <v>78</v>
      </c>
      <c r="E2337" s="729"/>
      <c r="F2337" s="729"/>
      <c r="G2337" s="729"/>
      <c r="H2337" s="729"/>
      <c r="I2337" s="729"/>
      <c r="J2337" s="729"/>
      <c r="K2337" s="729"/>
      <c r="L2337" s="729"/>
      <c r="M2337" s="147">
        <v>3</v>
      </c>
      <c r="N2337" s="147">
        <v>-3</v>
      </c>
      <c r="O2337" s="147">
        <v>-100</v>
      </c>
      <c r="P2337" s="729"/>
      <c r="Q2337" s="729"/>
      <c r="R2337" s="729"/>
    </row>
    <row r="2338" spans="2:18" ht="15.75" hidden="1" thickBot="1" x14ac:dyDescent="0.3">
      <c r="B2338" s="724" t="s">
        <v>757</v>
      </c>
      <c r="C2338" s="722" t="s">
        <v>79</v>
      </c>
      <c r="D2338" t="s">
        <v>80</v>
      </c>
      <c r="E2338" s="728"/>
      <c r="F2338" s="728"/>
      <c r="G2338" s="728"/>
      <c r="H2338" s="728"/>
      <c r="I2338" s="728"/>
      <c r="J2338" s="728"/>
      <c r="K2338" s="728"/>
      <c r="L2338" s="148">
        <v>0.45976</v>
      </c>
      <c r="M2338" s="148">
        <v>1.8</v>
      </c>
      <c r="N2338" s="148">
        <v>-1.3402400000000001</v>
      </c>
      <c r="O2338" s="148">
        <v>-74.457777777777778</v>
      </c>
      <c r="P2338" s="148">
        <v>0.45976</v>
      </c>
      <c r="Q2338" s="148">
        <v>0</v>
      </c>
      <c r="R2338" s="148">
        <v>0</v>
      </c>
    </row>
    <row r="2339" spans="2:18" ht="15.75" hidden="1" thickBot="1" x14ac:dyDescent="0.3">
      <c r="B2339" s="724" t="s">
        <v>757</v>
      </c>
      <c r="C2339" s="722" t="s">
        <v>123</v>
      </c>
      <c r="D2339" t="s">
        <v>124</v>
      </c>
      <c r="E2339" s="729"/>
      <c r="F2339" s="147">
        <v>0.05</v>
      </c>
      <c r="G2339" s="147">
        <v>-0.05</v>
      </c>
      <c r="H2339" s="147">
        <v>-100</v>
      </c>
      <c r="I2339" s="729"/>
      <c r="J2339" s="729"/>
      <c r="K2339" s="729"/>
      <c r="L2339" s="729"/>
      <c r="M2339" s="147">
        <v>0.2</v>
      </c>
      <c r="N2339" s="147">
        <v>-0.2</v>
      </c>
      <c r="O2339" s="147">
        <v>-100</v>
      </c>
      <c r="P2339" s="729"/>
      <c r="Q2339" s="729"/>
      <c r="R2339" s="729"/>
    </row>
    <row r="2340" spans="2:18" ht="15.75" hidden="1" thickBot="1" x14ac:dyDescent="0.3">
      <c r="B2340" s="724" t="s">
        <v>757</v>
      </c>
      <c r="C2340" s="722" t="s">
        <v>83</v>
      </c>
      <c r="D2340" t="s">
        <v>84</v>
      </c>
      <c r="E2340" s="728"/>
      <c r="F2340" s="728"/>
      <c r="G2340" s="728"/>
      <c r="H2340" s="728"/>
      <c r="I2340" s="728"/>
      <c r="J2340" s="728"/>
      <c r="K2340" s="728"/>
      <c r="L2340" s="728"/>
      <c r="M2340" s="148">
        <v>0.3</v>
      </c>
      <c r="N2340" s="148">
        <v>-0.3</v>
      </c>
      <c r="O2340" s="148">
        <v>-100</v>
      </c>
      <c r="P2340" s="728"/>
      <c r="Q2340" s="728"/>
      <c r="R2340" s="728"/>
    </row>
    <row r="2341" spans="2:18" ht="15.75" hidden="1" thickBot="1" x14ac:dyDescent="0.3">
      <c r="B2341" s="724" t="s">
        <v>757</v>
      </c>
      <c r="C2341" s="149" t="s">
        <v>85</v>
      </c>
      <c r="D2341" t="s">
        <v>86</v>
      </c>
      <c r="E2341" s="147">
        <v>0.16700000000000001</v>
      </c>
      <c r="F2341" s="147">
        <v>0.375</v>
      </c>
      <c r="G2341" s="147">
        <v>-0.20799999999999999</v>
      </c>
      <c r="H2341" s="147">
        <v>-55.466666666666669</v>
      </c>
      <c r="I2341" s="729"/>
      <c r="J2341" s="147">
        <v>0.16700000000000001</v>
      </c>
      <c r="K2341" s="147">
        <v>0</v>
      </c>
      <c r="L2341" s="147">
        <v>3.4785200000000001</v>
      </c>
      <c r="M2341" s="147">
        <v>15.8</v>
      </c>
      <c r="N2341" s="147">
        <v>-12.321479999999999</v>
      </c>
      <c r="O2341" s="147">
        <v>-77.984050632911391</v>
      </c>
      <c r="P2341" s="147">
        <v>1.8727100000000001</v>
      </c>
      <c r="Q2341" s="147">
        <v>1.60581</v>
      </c>
      <c r="R2341" s="147">
        <v>85.747926801266615</v>
      </c>
    </row>
    <row r="2342" spans="2:18" ht="15.75" hidden="1" thickBot="1" x14ac:dyDescent="0.3">
      <c r="B2342" s="724" t="s">
        <v>757</v>
      </c>
      <c r="C2342" s="144" t="s">
        <v>87</v>
      </c>
      <c r="D2342" t="s">
        <v>87</v>
      </c>
      <c r="E2342" s="148">
        <v>30.907440000000001</v>
      </c>
      <c r="F2342" s="148">
        <v>29.29993</v>
      </c>
      <c r="G2342" s="148">
        <v>1.60751</v>
      </c>
      <c r="H2342" s="148">
        <v>5.486395359988915</v>
      </c>
      <c r="I2342" s="728"/>
      <c r="J2342" s="148">
        <v>30.907440000000001</v>
      </c>
      <c r="K2342" s="148">
        <v>0</v>
      </c>
      <c r="L2342" s="148">
        <v>404.23007000000001</v>
      </c>
      <c r="M2342" s="148">
        <v>361.07823999999999</v>
      </c>
      <c r="N2342" s="148">
        <v>43.151829999999997</v>
      </c>
      <c r="O2342" s="148">
        <v>11.950825394518374</v>
      </c>
      <c r="P2342" s="148">
        <v>207.77337</v>
      </c>
      <c r="Q2342" s="148">
        <v>196.45670000000001</v>
      </c>
      <c r="R2342" s="148">
        <v>94.553358787028387</v>
      </c>
    </row>
    <row r="2343" spans="2:18" ht="15.75" hidden="1" thickBot="1" x14ac:dyDescent="0.3">
      <c r="B2343" s="724" t="s">
        <v>758</v>
      </c>
      <c r="C2343" s="722" t="s">
        <v>59</v>
      </c>
      <c r="D2343" t="s">
        <v>60</v>
      </c>
      <c r="E2343" s="147">
        <v>21.03256</v>
      </c>
      <c r="F2343" s="147">
        <v>26.127079999999999</v>
      </c>
      <c r="G2343" s="147">
        <v>-5.0945200000000002</v>
      </c>
      <c r="H2343" s="147">
        <v>-19.49900256745109</v>
      </c>
      <c r="I2343" s="729"/>
      <c r="J2343" s="147">
        <v>21.03256</v>
      </c>
      <c r="K2343" s="147">
        <v>0</v>
      </c>
      <c r="L2343" s="147">
        <v>331.91180000000003</v>
      </c>
      <c r="M2343" s="147">
        <v>311.88015999999999</v>
      </c>
      <c r="N2343" s="147">
        <v>20.031639999999999</v>
      </c>
      <c r="O2343" s="147">
        <v>6.4228644746110168</v>
      </c>
      <c r="P2343" s="147">
        <v>171.93459999999999</v>
      </c>
      <c r="Q2343" s="147">
        <v>159.97720000000001</v>
      </c>
      <c r="R2343" s="147">
        <v>93.045378882435529</v>
      </c>
    </row>
    <row r="2344" spans="2:18" ht="15.75" hidden="1" thickBot="1" x14ac:dyDescent="0.3">
      <c r="B2344" s="724" t="s">
        <v>758</v>
      </c>
      <c r="C2344" s="722" t="s">
        <v>61</v>
      </c>
      <c r="D2344" t="s">
        <v>62</v>
      </c>
      <c r="E2344" s="148">
        <v>4.33622</v>
      </c>
      <c r="F2344" s="148">
        <v>4.0496999999999996</v>
      </c>
      <c r="G2344" s="148">
        <v>0.28652</v>
      </c>
      <c r="H2344" s="148">
        <v>7.0750919821221325</v>
      </c>
      <c r="I2344" s="728"/>
      <c r="J2344" s="148">
        <v>4.33622</v>
      </c>
      <c r="K2344" s="148">
        <v>0</v>
      </c>
      <c r="L2344" s="148">
        <v>50.67351</v>
      </c>
      <c r="M2344" s="148">
        <v>48.341459999999998</v>
      </c>
      <c r="N2344" s="148">
        <v>2.3320500000000002</v>
      </c>
      <c r="O2344" s="148">
        <v>4.8241199169408615</v>
      </c>
      <c r="P2344" s="148">
        <v>24.655930000000001</v>
      </c>
      <c r="Q2344" s="148">
        <v>26.017579999999999</v>
      </c>
      <c r="R2344" s="148">
        <v>105.52260652913924</v>
      </c>
    </row>
    <row r="2345" spans="2:18" ht="15.75" hidden="1" thickBot="1" x14ac:dyDescent="0.3">
      <c r="B2345" s="724" t="s">
        <v>758</v>
      </c>
      <c r="C2345" s="722" t="s">
        <v>63</v>
      </c>
      <c r="D2345" t="s">
        <v>64</v>
      </c>
      <c r="E2345" s="147">
        <v>16.846029999999999</v>
      </c>
      <c r="F2345" s="147">
        <v>15.754630000000001</v>
      </c>
      <c r="G2345" s="147">
        <v>1.0913999999999999</v>
      </c>
      <c r="H2345" s="147">
        <v>6.9274873481636829</v>
      </c>
      <c r="I2345" s="729"/>
      <c r="J2345" s="147">
        <v>16.846029999999999</v>
      </c>
      <c r="K2345" s="147">
        <v>0</v>
      </c>
      <c r="L2345" s="147">
        <v>196.86248000000001</v>
      </c>
      <c r="M2345" s="147">
        <v>188.06374</v>
      </c>
      <c r="N2345" s="147">
        <v>8.7987400000000004</v>
      </c>
      <c r="O2345" s="147">
        <v>4.6785946084024488</v>
      </c>
      <c r="P2345" s="147">
        <v>95.786389999999997</v>
      </c>
      <c r="Q2345" s="147">
        <v>101.07608999999999</v>
      </c>
      <c r="R2345" s="147">
        <v>105.52239206425881</v>
      </c>
    </row>
    <row r="2346" spans="2:18" ht="15.75" hidden="1" thickBot="1" x14ac:dyDescent="0.3">
      <c r="B2346" s="724" t="s">
        <v>758</v>
      </c>
      <c r="C2346" s="722" t="s">
        <v>65</v>
      </c>
      <c r="D2346" t="s">
        <v>66</v>
      </c>
      <c r="E2346" s="148">
        <v>-8.5853099999999998</v>
      </c>
      <c r="F2346" s="728"/>
      <c r="G2346" s="148">
        <v>-8.5853099999999998</v>
      </c>
      <c r="H2346" s="148">
        <v>0</v>
      </c>
      <c r="I2346" s="728"/>
      <c r="J2346" s="148">
        <v>-8.5853099999999998</v>
      </c>
      <c r="K2346" s="148">
        <v>0</v>
      </c>
      <c r="L2346" s="148">
        <v>-75.983450000000005</v>
      </c>
      <c r="M2346" s="728"/>
      <c r="N2346" s="148">
        <v>-75.983450000000005</v>
      </c>
      <c r="O2346" s="148">
        <v>0</v>
      </c>
      <c r="P2346" s="148">
        <v>-40.877929999999999</v>
      </c>
      <c r="Q2346" s="148">
        <v>-35.105519999999999</v>
      </c>
      <c r="R2346" s="148">
        <v>-85.878908251958947</v>
      </c>
    </row>
    <row r="2347" spans="2:18" ht="15.75" hidden="1" thickBot="1" x14ac:dyDescent="0.3">
      <c r="B2347" s="724" t="s">
        <v>758</v>
      </c>
      <c r="C2347" s="149" t="s">
        <v>67</v>
      </c>
      <c r="D2347" t="s">
        <v>68</v>
      </c>
      <c r="E2347" s="147">
        <v>33.6295</v>
      </c>
      <c r="F2347" s="147">
        <v>45.93141</v>
      </c>
      <c r="G2347" s="147">
        <v>-12.301909999999999</v>
      </c>
      <c r="H2347" s="147">
        <v>-26.78321871677791</v>
      </c>
      <c r="I2347" s="729"/>
      <c r="J2347" s="147">
        <v>33.6295</v>
      </c>
      <c r="K2347" s="147">
        <v>0</v>
      </c>
      <c r="L2347" s="147">
        <v>503.46433999999999</v>
      </c>
      <c r="M2347" s="147">
        <v>548.28535999999997</v>
      </c>
      <c r="N2347" s="147">
        <v>-44.821019999999997</v>
      </c>
      <c r="O2347" s="147">
        <v>-8.1747614052653166</v>
      </c>
      <c r="P2347" s="147">
        <v>251.49898999999999</v>
      </c>
      <c r="Q2347" s="147">
        <v>251.96535</v>
      </c>
      <c r="R2347" s="147">
        <v>100.18543215620866</v>
      </c>
    </row>
    <row r="2348" spans="2:18" ht="15.75" hidden="1" thickBot="1" x14ac:dyDescent="0.3">
      <c r="B2348" s="724" t="s">
        <v>758</v>
      </c>
      <c r="C2348" s="722" t="s">
        <v>69</v>
      </c>
      <c r="D2348" t="s">
        <v>70</v>
      </c>
      <c r="E2348" s="728"/>
      <c r="F2348" s="148">
        <v>1</v>
      </c>
      <c r="G2348" s="148">
        <v>-1</v>
      </c>
      <c r="H2348" s="148">
        <v>-100</v>
      </c>
      <c r="I2348" s="728"/>
      <c r="J2348" s="728"/>
      <c r="K2348" s="728"/>
      <c r="L2348" s="148">
        <v>1.96085</v>
      </c>
      <c r="M2348" s="148">
        <v>16</v>
      </c>
      <c r="N2348" s="148">
        <v>-14.039149999999999</v>
      </c>
      <c r="O2348" s="148">
        <v>-87.744687499999998</v>
      </c>
      <c r="P2348" s="148">
        <v>0.38585000000000003</v>
      </c>
      <c r="Q2348" s="148">
        <v>1.575</v>
      </c>
      <c r="R2348" s="148">
        <v>408.18971102760139</v>
      </c>
    </row>
    <row r="2349" spans="2:18" ht="15.75" hidden="1" thickBot="1" x14ac:dyDescent="0.3">
      <c r="B2349" s="724" t="s">
        <v>758</v>
      </c>
      <c r="C2349" s="722" t="s">
        <v>99</v>
      </c>
      <c r="D2349" t="s">
        <v>100</v>
      </c>
      <c r="E2349" s="147">
        <v>7.3</v>
      </c>
      <c r="F2349" s="729"/>
      <c r="G2349" s="147">
        <v>7.3</v>
      </c>
      <c r="H2349" s="147">
        <v>0</v>
      </c>
      <c r="I2349" s="729"/>
      <c r="J2349" s="147">
        <v>7.3</v>
      </c>
      <c r="K2349" s="147">
        <v>0</v>
      </c>
      <c r="L2349" s="147">
        <v>25.356069999999999</v>
      </c>
      <c r="M2349" s="147">
        <v>3</v>
      </c>
      <c r="N2349" s="147">
        <v>22.356069999999999</v>
      </c>
      <c r="O2349" s="147">
        <v>745.20233333333329</v>
      </c>
      <c r="P2349" s="147">
        <v>17.17886</v>
      </c>
      <c r="Q2349" s="147">
        <v>8.1772100000000005</v>
      </c>
      <c r="R2349" s="147">
        <v>47.600422845287753</v>
      </c>
    </row>
    <row r="2350" spans="2:18" ht="15.75" hidden="1" thickBot="1" x14ac:dyDescent="0.3">
      <c r="B2350" s="724" t="s">
        <v>758</v>
      </c>
      <c r="C2350" s="722" t="s">
        <v>165</v>
      </c>
      <c r="D2350" t="s">
        <v>166</v>
      </c>
      <c r="E2350" s="728"/>
      <c r="F2350" s="728"/>
      <c r="G2350" s="728"/>
      <c r="H2350" s="728"/>
      <c r="I2350" s="728"/>
      <c r="J2350" s="728"/>
      <c r="K2350" s="728"/>
      <c r="L2350" s="148">
        <v>0.30055999999999999</v>
      </c>
      <c r="M2350" s="728"/>
      <c r="N2350" s="148">
        <v>0.30055999999999999</v>
      </c>
      <c r="O2350" s="148">
        <v>0</v>
      </c>
      <c r="P2350" s="148">
        <v>7.1389999999999995E-2</v>
      </c>
      <c r="Q2350" s="148">
        <v>0.22917000000000001</v>
      </c>
      <c r="R2350" s="148">
        <v>321.01134612690851</v>
      </c>
    </row>
    <row r="2351" spans="2:18" ht="15.75" hidden="1" thickBot="1" x14ac:dyDescent="0.3">
      <c r="B2351" s="724" t="s">
        <v>758</v>
      </c>
      <c r="C2351" s="722" t="s">
        <v>190</v>
      </c>
      <c r="D2351" t="s">
        <v>191</v>
      </c>
      <c r="E2351" s="147">
        <v>1.004</v>
      </c>
      <c r="F2351" s="147">
        <v>2.2949999999999999</v>
      </c>
      <c r="G2351" s="147">
        <v>-1.2909999999999999</v>
      </c>
      <c r="H2351" s="147">
        <v>-56.252723311546838</v>
      </c>
      <c r="I2351" s="729"/>
      <c r="J2351" s="147">
        <v>1.004</v>
      </c>
      <c r="K2351" s="147">
        <v>0</v>
      </c>
      <c r="L2351" s="147">
        <v>12.243029999999999</v>
      </c>
      <c r="M2351" s="147">
        <v>30.16</v>
      </c>
      <c r="N2351" s="147">
        <v>-17.916969999999999</v>
      </c>
      <c r="O2351" s="147">
        <v>-59.406399204244032</v>
      </c>
      <c r="P2351" s="147">
        <v>6.2190300000000001</v>
      </c>
      <c r="Q2351" s="147">
        <v>6.024</v>
      </c>
      <c r="R2351" s="147">
        <v>96.863980395656554</v>
      </c>
    </row>
    <row r="2352" spans="2:18" ht="15.75" hidden="1" thickBot="1" x14ac:dyDescent="0.3">
      <c r="B2352" s="724" t="s">
        <v>758</v>
      </c>
      <c r="C2352" s="722" t="s">
        <v>36</v>
      </c>
      <c r="D2352" t="s">
        <v>192</v>
      </c>
      <c r="E2352" s="728"/>
      <c r="F2352" s="728"/>
      <c r="G2352" s="728"/>
      <c r="H2352" s="728"/>
      <c r="I2352" s="728"/>
      <c r="J2352" s="728"/>
      <c r="K2352" s="728"/>
      <c r="L2352" s="148">
        <v>0.63941999999999999</v>
      </c>
      <c r="M2352" s="728"/>
      <c r="N2352" s="148">
        <v>0.63941999999999999</v>
      </c>
      <c r="O2352" s="148">
        <v>0</v>
      </c>
      <c r="P2352" s="148">
        <v>0.58660000000000001</v>
      </c>
      <c r="Q2352" s="148">
        <v>5.2819999999999999E-2</v>
      </c>
      <c r="R2352" s="148">
        <v>9.0044323218547557</v>
      </c>
    </row>
    <row r="2353" spans="2:18" ht="15.75" hidden="1" thickBot="1" x14ac:dyDescent="0.3">
      <c r="B2353" s="724" t="s">
        <v>758</v>
      </c>
      <c r="C2353" s="722" t="s">
        <v>139</v>
      </c>
      <c r="D2353" t="s">
        <v>140</v>
      </c>
      <c r="E2353" s="147">
        <v>0.155</v>
      </c>
      <c r="F2353" s="729"/>
      <c r="G2353" s="147">
        <v>0.155</v>
      </c>
      <c r="H2353" s="147">
        <v>0</v>
      </c>
      <c r="I2353" s="729"/>
      <c r="J2353" s="147">
        <v>0.155</v>
      </c>
      <c r="K2353" s="147">
        <v>0</v>
      </c>
      <c r="L2353" s="147">
        <v>0.31</v>
      </c>
      <c r="M2353" s="729"/>
      <c r="N2353" s="147">
        <v>0.31</v>
      </c>
      <c r="O2353" s="147">
        <v>0</v>
      </c>
      <c r="P2353" s="147">
        <v>0.155</v>
      </c>
      <c r="Q2353" s="147">
        <v>0.155</v>
      </c>
      <c r="R2353" s="147">
        <v>100</v>
      </c>
    </row>
    <row r="2354" spans="2:18" ht="15.75" hidden="1" thickBot="1" x14ac:dyDescent="0.3">
      <c r="B2354" s="724" t="s">
        <v>758</v>
      </c>
      <c r="C2354" s="722" t="s">
        <v>101</v>
      </c>
      <c r="D2354" t="s">
        <v>102</v>
      </c>
      <c r="E2354" s="148">
        <v>2.9807199999999998</v>
      </c>
      <c r="F2354" s="148">
        <v>2</v>
      </c>
      <c r="G2354" s="148">
        <v>0.98072000000000004</v>
      </c>
      <c r="H2354" s="148">
        <v>49.036000000000001</v>
      </c>
      <c r="I2354" s="728"/>
      <c r="J2354" s="148">
        <v>2.9807199999999998</v>
      </c>
      <c r="K2354" s="148">
        <v>0</v>
      </c>
      <c r="L2354" s="148">
        <v>26.165890000000001</v>
      </c>
      <c r="M2354" s="148">
        <v>30</v>
      </c>
      <c r="N2354" s="148">
        <v>-3.8341099999999999</v>
      </c>
      <c r="O2354" s="148">
        <v>-12.780366666666668</v>
      </c>
      <c r="P2354" s="148">
        <v>19.57077</v>
      </c>
      <c r="Q2354" s="148">
        <v>6.5951199999999996</v>
      </c>
      <c r="R2354" s="148">
        <v>33.698827383899562</v>
      </c>
    </row>
    <row r="2355" spans="2:18" ht="15.75" hidden="1" thickBot="1" x14ac:dyDescent="0.3">
      <c r="B2355" s="724" t="s">
        <v>758</v>
      </c>
      <c r="C2355" s="722" t="s">
        <v>71</v>
      </c>
      <c r="D2355" t="s">
        <v>72</v>
      </c>
      <c r="E2355" s="729"/>
      <c r="F2355" s="729"/>
      <c r="G2355" s="729"/>
      <c r="H2355" s="729"/>
      <c r="I2355" s="729"/>
      <c r="J2355" s="729"/>
      <c r="K2355" s="729"/>
      <c r="L2355" s="147">
        <v>0.437</v>
      </c>
      <c r="M2355" s="729"/>
      <c r="N2355" s="147">
        <v>0.437</v>
      </c>
      <c r="O2355" s="147">
        <v>0</v>
      </c>
      <c r="P2355" s="147">
        <v>0.437</v>
      </c>
      <c r="Q2355" s="147">
        <v>0</v>
      </c>
      <c r="R2355" s="147">
        <v>0</v>
      </c>
    </row>
    <row r="2356" spans="2:18" ht="15.75" hidden="1" thickBot="1" x14ac:dyDescent="0.3">
      <c r="B2356" s="724" t="s">
        <v>758</v>
      </c>
      <c r="C2356" s="722" t="s">
        <v>109</v>
      </c>
      <c r="D2356" t="s">
        <v>110</v>
      </c>
      <c r="E2356" s="728"/>
      <c r="F2356" s="728"/>
      <c r="G2356" s="728"/>
      <c r="H2356" s="728"/>
      <c r="I2356" s="728"/>
      <c r="J2356" s="728"/>
      <c r="K2356" s="728"/>
      <c r="L2356" s="728"/>
      <c r="M2356" s="148">
        <v>0.6</v>
      </c>
      <c r="N2356" s="148">
        <v>-0.6</v>
      </c>
      <c r="O2356" s="148">
        <v>-100</v>
      </c>
      <c r="P2356" s="728"/>
      <c r="Q2356" s="728"/>
      <c r="R2356" s="728"/>
    </row>
    <row r="2357" spans="2:18" ht="15.75" hidden="1" thickBot="1" x14ac:dyDescent="0.3">
      <c r="B2357" s="724" t="s">
        <v>758</v>
      </c>
      <c r="C2357" s="722" t="s">
        <v>73</v>
      </c>
      <c r="D2357" t="s">
        <v>74</v>
      </c>
      <c r="E2357" s="147">
        <v>4.8180000000000001E-2</v>
      </c>
      <c r="F2357" s="147">
        <v>0.1</v>
      </c>
      <c r="G2357" s="147">
        <v>-5.1819999999999998E-2</v>
      </c>
      <c r="H2357" s="147">
        <v>-51.82</v>
      </c>
      <c r="I2357" s="729"/>
      <c r="J2357" s="147">
        <v>4.8180000000000001E-2</v>
      </c>
      <c r="K2357" s="147">
        <v>0</v>
      </c>
      <c r="L2357" s="147">
        <v>0.61397999999999997</v>
      </c>
      <c r="M2357" s="147">
        <v>1.2</v>
      </c>
      <c r="N2357" s="147">
        <v>-0.58601999999999999</v>
      </c>
      <c r="O2357" s="147">
        <v>-48.835000000000001</v>
      </c>
      <c r="P2357" s="147">
        <v>0.30991000000000002</v>
      </c>
      <c r="Q2357" s="147">
        <v>0.30407000000000001</v>
      </c>
      <c r="R2357" s="147">
        <v>98.11558194314479</v>
      </c>
    </row>
    <row r="2358" spans="2:18" ht="15.75" hidden="1" thickBot="1" x14ac:dyDescent="0.3">
      <c r="B2358" s="724" t="s">
        <v>758</v>
      </c>
      <c r="C2358" s="722" t="s">
        <v>141</v>
      </c>
      <c r="D2358" t="s">
        <v>142</v>
      </c>
      <c r="E2358" s="728"/>
      <c r="F2358" s="148">
        <v>1.8</v>
      </c>
      <c r="G2358" s="148">
        <v>-1.8</v>
      </c>
      <c r="H2358" s="148">
        <v>-100</v>
      </c>
      <c r="I2358" s="728"/>
      <c r="J2358" s="728"/>
      <c r="K2358" s="728"/>
      <c r="L2358" s="148">
        <v>0.29899999999999999</v>
      </c>
      <c r="M2358" s="148">
        <v>4</v>
      </c>
      <c r="N2358" s="148">
        <v>-3.7010000000000001</v>
      </c>
      <c r="O2358" s="148">
        <v>-92.525000000000006</v>
      </c>
      <c r="P2358" s="148">
        <v>0.29899999999999999</v>
      </c>
      <c r="Q2358" s="148">
        <v>0</v>
      </c>
      <c r="R2358" s="148">
        <v>0</v>
      </c>
    </row>
    <row r="2359" spans="2:18" ht="15.75" hidden="1" thickBot="1" x14ac:dyDescent="0.3">
      <c r="B2359" s="724" t="s">
        <v>758</v>
      </c>
      <c r="C2359" s="722" t="s">
        <v>113</v>
      </c>
      <c r="D2359" t="s">
        <v>114</v>
      </c>
      <c r="E2359" s="729"/>
      <c r="F2359" s="147">
        <v>0.1</v>
      </c>
      <c r="G2359" s="147">
        <v>-0.1</v>
      </c>
      <c r="H2359" s="147">
        <v>-100</v>
      </c>
      <c r="I2359" s="729"/>
      <c r="J2359" s="729"/>
      <c r="K2359" s="729"/>
      <c r="L2359" s="147">
        <v>0.15740999999999999</v>
      </c>
      <c r="M2359" s="147">
        <v>1</v>
      </c>
      <c r="N2359" s="147">
        <v>-0.84258999999999995</v>
      </c>
      <c r="O2359" s="147">
        <v>-84.259</v>
      </c>
      <c r="P2359" s="147">
        <v>9.6689999999999998E-2</v>
      </c>
      <c r="Q2359" s="147">
        <v>6.0720000000000003E-2</v>
      </c>
      <c r="R2359" s="147">
        <v>62.798634812286693</v>
      </c>
    </row>
    <row r="2360" spans="2:18" ht="15.75" hidden="1" thickBot="1" x14ac:dyDescent="0.3">
      <c r="B2360" s="724" t="s">
        <v>758</v>
      </c>
      <c r="C2360" s="722" t="s">
        <v>201</v>
      </c>
      <c r="D2360" t="s">
        <v>202</v>
      </c>
      <c r="E2360" s="728"/>
      <c r="F2360" s="728"/>
      <c r="G2360" s="728"/>
      <c r="H2360" s="728"/>
      <c r="I2360" s="728"/>
      <c r="J2360" s="728"/>
      <c r="K2360" s="728"/>
      <c r="L2360" s="728"/>
      <c r="M2360" s="148">
        <v>6</v>
      </c>
      <c r="N2360" s="148">
        <v>-6</v>
      </c>
      <c r="O2360" s="148">
        <v>-100</v>
      </c>
      <c r="P2360" s="728"/>
      <c r="Q2360" s="728"/>
      <c r="R2360" s="728"/>
    </row>
    <row r="2361" spans="2:18" ht="15.75" hidden="1" thickBot="1" x14ac:dyDescent="0.3">
      <c r="B2361" s="724" t="s">
        <v>758</v>
      </c>
      <c r="C2361" s="722" t="s">
        <v>145</v>
      </c>
      <c r="D2361" t="s">
        <v>146</v>
      </c>
      <c r="E2361" s="147">
        <v>5.0000000000000001E-4</v>
      </c>
      <c r="F2361" s="729"/>
      <c r="G2361" s="147">
        <v>5.0000000000000001E-4</v>
      </c>
      <c r="H2361" s="147">
        <v>0</v>
      </c>
      <c r="I2361" s="729"/>
      <c r="J2361" s="147">
        <v>5.0000000000000001E-4</v>
      </c>
      <c r="K2361" s="147">
        <v>0</v>
      </c>
      <c r="L2361" s="147">
        <v>7.4499999999999997E-2</v>
      </c>
      <c r="M2361" s="729"/>
      <c r="N2361" s="147">
        <v>7.4499999999999997E-2</v>
      </c>
      <c r="O2361" s="147">
        <v>0</v>
      </c>
      <c r="P2361" s="147">
        <v>2E-3</v>
      </c>
      <c r="Q2361" s="147">
        <v>7.2499999999999995E-2</v>
      </c>
      <c r="R2361" s="147">
        <v>3625</v>
      </c>
    </row>
    <row r="2362" spans="2:18" ht="15.75" hidden="1" thickBot="1" x14ac:dyDescent="0.3">
      <c r="B2362" s="724" t="s">
        <v>758</v>
      </c>
      <c r="C2362" s="722" t="s">
        <v>149</v>
      </c>
      <c r="D2362" t="s">
        <v>150</v>
      </c>
      <c r="E2362" s="148">
        <v>17.285</v>
      </c>
      <c r="F2362" s="148">
        <v>3.5</v>
      </c>
      <c r="G2362" s="148">
        <v>13.785</v>
      </c>
      <c r="H2362" s="148">
        <v>393.85714285714283</v>
      </c>
      <c r="I2362" s="728"/>
      <c r="J2362" s="148">
        <v>17.285</v>
      </c>
      <c r="K2362" s="148">
        <v>0</v>
      </c>
      <c r="L2362" s="148">
        <v>54.408569999999997</v>
      </c>
      <c r="M2362" s="148">
        <v>76</v>
      </c>
      <c r="N2362" s="148">
        <v>-21.591429999999999</v>
      </c>
      <c r="O2362" s="148">
        <v>-28.409776315789475</v>
      </c>
      <c r="P2362" s="148">
        <v>26.815809999999999</v>
      </c>
      <c r="Q2362" s="148">
        <v>27.592759999999998</v>
      </c>
      <c r="R2362" s="148">
        <v>102.89735793921571</v>
      </c>
    </row>
    <row r="2363" spans="2:18" ht="15.75" hidden="1" thickBot="1" x14ac:dyDescent="0.3">
      <c r="B2363" s="724" t="s">
        <v>758</v>
      </c>
      <c r="C2363" s="722" t="s">
        <v>151</v>
      </c>
      <c r="D2363" t="s">
        <v>152</v>
      </c>
      <c r="E2363" s="147">
        <v>17.74896</v>
      </c>
      <c r="F2363" s="147">
        <v>0</v>
      </c>
      <c r="G2363" s="147">
        <v>17.74896</v>
      </c>
      <c r="H2363" s="147">
        <v>0</v>
      </c>
      <c r="I2363" s="729"/>
      <c r="J2363" s="147">
        <v>17.74896</v>
      </c>
      <c r="K2363" s="147">
        <v>0</v>
      </c>
      <c r="L2363" s="147">
        <v>65.898960000000002</v>
      </c>
      <c r="M2363" s="147">
        <v>66</v>
      </c>
      <c r="N2363" s="147">
        <v>-0.10104</v>
      </c>
      <c r="O2363" s="147">
        <v>-0.15309090909090908</v>
      </c>
      <c r="P2363" s="147">
        <v>2.694</v>
      </c>
      <c r="Q2363" s="147">
        <v>63.20496</v>
      </c>
      <c r="R2363" s="147">
        <v>2346.1380846325169</v>
      </c>
    </row>
    <row r="2364" spans="2:18" ht="15.75" hidden="1" thickBot="1" x14ac:dyDescent="0.3">
      <c r="B2364" s="724" t="s">
        <v>758</v>
      </c>
      <c r="C2364" s="722" t="s">
        <v>75</v>
      </c>
      <c r="D2364" t="s">
        <v>76</v>
      </c>
      <c r="E2364" s="148">
        <v>1.51058</v>
      </c>
      <c r="F2364" s="728"/>
      <c r="G2364" s="148">
        <v>1.51058</v>
      </c>
      <c r="H2364" s="148">
        <v>0</v>
      </c>
      <c r="I2364" s="728"/>
      <c r="J2364" s="148">
        <v>1.51058</v>
      </c>
      <c r="K2364" s="148">
        <v>0</v>
      </c>
      <c r="L2364" s="148">
        <v>3.25482</v>
      </c>
      <c r="M2364" s="148">
        <v>2</v>
      </c>
      <c r="N2364" s="148">
        <v>1.25482</v>
      </c>
      <c r="O2364" s="148">
        <v>62.741</v>
      </c>
      <c r="P2364" s="148">
        <v>0.97396000000000005</v>
      </c>
      <c r="Q2364" s="148">
        <v>2.2808600000000001</v>
      </c>
      <c r="R2364" s="148">
        <v>234.18415540679288</v>
      </c>
    </row>
    <row r="2365" spans="2:18" ht="15.75" hidden="1" thickBot="1" x14ac:dyDescent="0.3">
      <c r="B2365" s="724" t="s">
        <v>758</v>
      </c>
      <c r="C2365" s="722" t="s">
        <v>77</v>
      </c>
      <c r="D2365" t="s">
        <v>78</v>
      </c>
      <c r="E2365" s="729"/>
      <c r="F2365" s="729"/>
      <c r="G2365" s="729"/>
      <c r="H2365" s="729"/>
      <c r="I2365" s="729"/>
      <c r="J2365" s="729"/>
      <c r="K2365" s="729"/>
      <c r="L2365" s="147">
        <v>8.1010299999999997</v>
      </c>
      <c r="M2365" s="147">
        <v>8</v>
      </c>
      <c r="N2365" s="147">
        <v>0.10102999999999999</v>
      </c>
      <c r="O2365" s="147">
        <v>1.262875</v>
      </c>
      <c r="P2365" s="147">
        <v>3.0275300000000001</v>
      </c>
      <c r="Q2365" s="147">
        <v>5.0735000000000001</v>
      </c>
      <c r="R2365" s="147">
        <v>167.57885140692247</v>
      </c>
    </row>
    <row r="2366" spans="2:18" ht="15.75" hidden="1" thickBot="1" x14ac:dyDescent="0.3">
      <c r="B2366" s="724" t="s">
        <v>758</v>
      </c>
      <c r="C2366" s="722" t="s">
        <v>79</v>
      </c>
      <c r="D2366" t="s">
        <v>80</v>
      </c>
      <c r="E2366" s="728"/>
      <c r="F2366" s="728"/>
      <c r="G2366" s="728"/>
      <c r="H2366" s="728"/>
      <c r="I2366" s="728"/>
      <c r="J2366" s="728"/>
      <c r="K2366" s="728"/>
      <c r="L2366" s="148">
        <v>0.03</v>
      </c>
      <c r="M2366" s="148">
        <v>4</v>
      </c>
      <c r="N2366" s="148">
        <v>-3.97</v>
      </c>
      <c r="O2366" s="148">
        <v>-99.25</v>
      </c>
      <c r="P2366" s="728"/>
      <c r="Q2366" s="148">
        <v>0.03</v>
      </c>
      <c r="R2366" s="148">
        <v>0</v>
      </c>
    </row>
    <row r="2367" spans="2:18" ht="15.75" hidden="1" thickBot="1" x14ac:dyDescent="0.3">
      <c r="B2367" s="724" t="s">
        <v>758</v>
      </c>
      <c r="C2367" s="722" t="s">
        <v>81</v>
      </c>
      <c r="D2367" t="s">
        <v>82</v>
      </c>
      <c r="E2367" s="147">
        <v>1</v>
      </c>
      <c r="F2367" s="729"/>
      <c r="G2367" s="147">
        <v>1</v>
      </c>
      <c r="H2367" s="147">
        <v>0</v>
      </c>
      <c r="I2367" s="729"/>
      <c r="J2367" s="147">
        <v>1</v>
      </c>
      <c r="K2367" s="147">
        <v>0</v>
      </c>
      <c r="L2367" s="147">
        <v>1</v>
      </c>
      <c r="M2367" s="147">
        <v>2.5</v>
      </c>
      <c r="N2367" s="147">
        <v>-1.5</v>
      </c>
      <c r="O2367" s="147">
        <v>-60</v>
      </c>
      <c r="P2367" s="729"/>
      <c r="Q2367" s="147">
        <v>1</v>
      </c>
      <c r="R2367" s="147">
        <v>0</v>
      </c>
    </row>
    <row r="2368" spans="2:18" ht="15.75" hidden="1" thickBot="1" x14ac:dyDescent="0.3">
      <c r="B2368" s="724" t="s">
        <v>758</v>
      </c>
      <c r="C2368" s="722" t="s">
        <v>123</v>
      </c>
      <c r="D2368" t="s">
        <v>124</v>
      </c>
      <c r="E2368" s="728"/>
      <c r="F2368" s="728"/>
      <c r="G2368" s="728"/>
      <c r="H2368" s="728"/>
      <c r="I2368" s="728"/>
      <c r="J2368" s="728"/>
      <c r="K2368" s="728"/>
      <c r="L2368" s="728"/>
      <c r="M2368" s="148">
        <v>1</v>
      </c>
      <c r="N2368" s="148">
        <v>-1</v>
      </c>
      <c r="O2368" s="148">
        <v>-100</v>
      </c>
      <c r="P2368" s="728"/>
      <c r="Q2368" s="728"/>
      <c r="R2368" s="728"/>
    </row>
    <row r="2369" spans="2:18" ht="15.75" hidden="1" thickBot="1" x14ac:dyDescent="0.3">
      <c r="B2369" s="724" t="s">
        <v>758</v>
      </c>
      <c r="C2369" s="149" t="s">
        <v>85</v>
      </c>
      <c r="D2369" t="s">
        <v>86</v>
      </c>
      <c r="E2369" s="147">
        <v>49.032940000000004</v>
      </c>
      <c r="F2369" s="147">
        <v>10.795</v>
      </c>
      <c r="G2369" s="147">
        <v>38.237940000000002</v>
      </c>
      <c r="H2369" s="147">
        <v>354.21899027327464</v>
      </c>
      <c r="I2369" s="729"/>
      <c r="J2369" s="147">
        <v>49.032940000000004</v>
      </c>
      <c r="K2369" s="147">
        <v>0</v>
      </c>
      <c r="L2369" s="147">
        <v>201.25109</v>
      </c>
      <c r="M2369" s="147">
        <v>251.46</v>
      </c>
      <c r="N2369" s="147">
        <v>-50.208910000000003</v>
      </c>
      <c r="O2369" s="147">
        <v>-19.966956971287679</v>
      </c>
      <c r="P2369" s="147">
        <v>78.823400000000007</v>
      </c>
      <c r="Q2369" s="147">
        <v>122.42769</v>
      </c>
      <c r="R2369" s="147">
        <v>155.31896619531764</v>
      </c>
    </row>
    <row r="2370" spans="2:18" ht="15.75" hidden="1" thickBot="1" x14ac:dyDescent="0.3">
      <c r="B2370" s="724" t="s">
        <v>758</v>
      </c>
      <c r="C2370" s="144" t="s">
        <v>87</v>
      </c>
      <c r="D2370" t="s">
        <v>87</v>
      </c>
      <c r="E2370" s="148">
        <v>82.662440000000004</v>
      </c>
      <c r="F2370" s="148">
        <v>56.726410000000001</v>
      </c>
      <c r="G2370" s="148">
        <v>25.936029999999999</v>
      </c>
      <c r="H2370" s="148">
        <v>45.721261049306662</v>
      </c>
      <c r="I2370" s="728"/>
      <c r="J2370" s="148">
        <v>82.662440000000004</v>
      </c>
      <c r="K2370" s="148">
        <v>0</v>
      </c>
      <c r="L2370" s="148">
        <v>704.71542999999997</v>
      </c>
      <c r="M2370" s="148">
        <v>799.74536000000001</v>
      </c>
      <c r="N2370" s="148">
        <v>-95.029929999999993</v>
      </c>
      <c r="O2370" s="148">
        <v>-11.882523457216433</v>
      </c>
      <c r="P2370" s="148">
        <v>330.32238999999998</v>
      </c>
      <c r="Q2370" s="148">
        <v>374.39303999999998</v>
      </c>
      <c r="R2370" s="148">
        <v>113.3417083837399</v>
      </c>
    </row>
    <row r="2371" spans="2:18" ht="15.75" hidden="1" thickBot="1" x14ac:dyDescent="0.3">
      <c r="B2371" s="724" t="s">
        <v>759</v>
      </c>
      <c r="C2371" s="722" t="s">
        <v>59</v>
      </c>
      <c r="D2371" t="s">
        <v>60</v>
      </c>
      <c r="E2371" s="147">
        <v>36.305329999999998</v>
      </c>
      <c r="F2371" s="147">
        <v>41.050809999999998</v>
      </c>
      <c r="G2371" s="147">
        <v>-4.7454799999999997</v>
      </c>
      <c r="H2371" s="147">
        <v>-11.560015502739166</v>
      </c>
      <c r="I2371" s="729"/>
      <c r="J2371" s="147">
        <v>36.305329999999998</v>
      </c>
      <c r="K2371" s="147">
        <v>0</v>
      </c>
      <c r="L2371" s="147">
        <v>477.32891999999998</v>
      </c>
      <c r="M2371" s="147">
        <v>490.02542</v>
      </c>
      <c r="N2371" s="147">
        <v>-12.6965</v>
      </c>
      <c r="O2371" s="147">
        <v>-2.59098803486562</v>
      </c>
      <c r="P2371" s="147">
        <v>242.00493</v>
      </c>
      <c r="Q2371" s="147">
        <v>235.32399000000001</v>
      </c>
      <c r="R2371" s="147">
        <v>97.239337231683663</v>
      </c>
    </row>
    <row r="2372" spans="2:18" ht="15.75" hidden="1" thickBot="1" x14ac:dyDescent="0.3">
      <c r="B2372" s="724" t="s">
        <v>759</v>
      </c>
      <c r="C2372" s="722" t="s">
        <v>91</v>
      </c>
      <c r="D2372" t="s">
        <v>92</v>
      </c>
      <c r="E2372" s="728"/>
      <c r="F2372" s="728"/>
      <c r="G2372" s="728"/>
      <c r="H2372" s="728"/>
      <c r="I2372" s="728"/>
      <c r="J2372" s="728"/>
      <c r="K2372" s="728"/>
      <c r="L2372" s="148">
        <v>-0.53290000000000004</v>
      </c>
      <c r="M2372" s="728"/>
      <c r="N2372" s="148">
        <v>-0.53290000000000004</v>
      </c>
      <c r="O2372" s="148">
        <v>0</v>
      </c>
      <c r="P2372" s="728"/>
      <c r="Q2372" s="148">
        <v>-0.53290000000000004</v>
      </c>
      <c r="R2372" s="148">
        <v>0</v>
      </c>
    </row>
    <row r="2373" spans="2:18" ht="15.75" hidden="1" thickBot="1" x14ac:dyDescent="0.3">
      <c r="B2373" s="724" t="s">
        <v>759</v>
      </c>
      <c r="C2373" s="722" t="s">
        <v>568</v>
      </c>
      <c r="D2373" t="s">
        <v>569</v>
      </c>
      <c r="E2373" s="147">
        <v>2.2543700000000002</v>
      </c>
      <c r="F2373" s="729"/>
      <c r="G2373" s="147">
        <v>2.2543700000000002</v>
      </c>
      <c r="H2373" s="147">
        <v>0</v>
      </c>
      <c r="I2373" s="729"/>
      <c r="J2373" s="147">
        <v>2.2543700000000002</v>
      </c>
      <c r="K2373" s="147">
        <v>0</v>
      </c>
      <c r="L2373" s="147">
        <v>12.378920000000001</v>
      </c>
      <c r="M2373" s="729"/>
      <c r="N2373" s="147">
        <v>12.378920000000001</v>
      </c>
      <c r="O2373" s="147">
        <v>0</v>
      </c>
      <c r="P2373" s="729"/>
      <c r="Q2373" s="147">
        <v>12.378920000000001</v>
      </c>
      <c r="R2373" s="147">
        <v>0</v>
      </c>
    </row>
    <row r="2374" spans="2:18" ht="15.75" hidden="1" thickBot="1" x14ac:dyDescent="0.3">
      <c r="B2374" s="724" t="s">
        <v>759</v>
      </c>
      <c r="C2374" s="722" t="s">
        <v>61</v>
      </c>
      <c r="D2374" t="s">
        <v>62</v>
      </c>
      <c r="E2374" s="148">
        <v>6.4775499999999999</v>
      </c>
      <c r="F2374" s="148">
        <v>6.36287</v>
      </c>
      <c r="G2374" s="148">
        <v>0.11468</v>
      </c>
      <c r="H2374" s="148">
        <v>1.8023313379025503</v>
      </c>
      <c r="I2374" s="728"/>
      <c r="J2374" s="148">
        <v>6.4775499999999999</v>
      </c>
      <c r="K2374" s="148">
        <v>0</v>
      </c>
      <c r="L2374" s="148">
        <v>74.777699999999996</v>
      </c>
      <c r="M2374" s="148">
        <v>75.953879999999998</v>
      </c>
      <c r="N2374" s="148">
        <v>-1.17618</v>
      </c>
      <c r="O2374" s="148">
        <v>-1.5485449854569642</v>
      </c>
      <c r="P2374" s="148">
        <v>36.131399999999999</v>
      </c>
      <c r="Q2374" s="148">
        <v>38.646299999999997</v>
      </c>
      <c r="R2374" s="148">
        <v>106.96042777196566</v>
      </c>
    </row>
    <row r="2375" spans="2:18" ht="15.75" hidden="1" thickBot="1" x14ac:dyDescent="0.3">
      <c r="B2375" s="724" t="s">
        <v>759</v>
      </c>
      <c r="C2375" s="722" t="s">
        <v>63</v>
      </c>
      <c r="D2375" t="s">
        <v>64</v>
      </c>
      <c r="E2375" s="147">
        <v>25.164960000000001</v>
      </c>
      <c r="F2375" s="147">
        <v>24.753640000000001</v>
      </c>
      <c r="G2375" s="147">
        <v>0.41132000000000002</v>
      </c>
      <c r="H2375" s="147">
        <v>1.6616546091807103</v>
      </c>
      <c r="I2375" s="729"/>
      <c r="J2375" s="147">
        <v>25.164960000000001</v>
      </c>
      <c r="K2375" s="147">
        <v>0</v>
      </c>
      <c r="L2375" s="147">
        <v>290.50623000000002</v>
      </c>
      <c r="M2375" s="147">
        <v>295.48534000000001</v>
      </c>
      <c r="N2375" s="147">
        <v>-4.9791100000000004</v>
      </c>
      <c r="O2375" s="147">
        <v>-1.6850616006871948</v>
      </c>
      <c r="P2375" s="147">
        <v>140.36775</v>
      </c>
      <c r="Q2375" s="147">
        <v>150.13847999999999</v>
      </c>
      <c r="R2375" s="147">
        <v>106.96080830532654</v>
      </c>
    </row>
    <row r="2376" spans="2:18" ht="15.75" hidden="1" thickBot="1" x14ac:dyDescent="0.3">
      <c r="B2376" s="724" t="s">
        <v>759</v>
      </c>
      <c r="C2376" s="722" t="s">
        <v>156</v>
      </c>
      <c r="D2376" t="s">
        <v>157</v>
      </c>
      <c r="E2376" s="148">
        <v>5.5995400000000002</v>
      </c>
      <c r="F2376" s="148">
        <v>10.955690000000001</v>
      </c>
      <c r="G2376" s="148">
        <v>-5.3561500000000004</v>
      </c>
      <c r="H2376" s="148">
        <v>-48.889207343398724</v>
      </c>
      <c r="I2376" s="728"/>
      <c r="J2376" s="148">
        <v>5.5995400000000002</v>
      </c>
      <c r="K2376" s="148">
        <v>0</v>
      </c>
      <c r="L2376" s="148">
        <v>88.346890000000002</v>
      </c>
      <c r="M2376" s="148">
        <v>130.77856</v>
      </c>
      <c r="N2376" s="148">
        <v>-42.431669999999997</v>
      </c>
      <c r="O2376" s="148">
        <v>-32.445432951700951</v>
      </c>
      <c r="P2376" s="148">
        <v>42.822780000000002</v>
      </c>
      <c r="Q2376" s="148">
        <v>45.52411</v>
      </c>
      <c r="R2376" s="148">
        <v>106.30816121699712</v>
      </c>
    </row>
    <row r="2377" spans="2:18" ht="15.75" hidden="1" thickBot="1" x14ac:dyDescent="0.3">
      <c r="B2377" s="724" t="s">
        <v>759</v>
      </c>
      <c r="C2377" s="722" t="s">
        <v>574</v>
      </c>
      <c r="D2377" t="s">
        <v>575</v>
      </c>
      <c r="E2377" s="147">
        <v>4.1338900000000001</v>
      </c>
      <c r="F2377" s="729"/>
      <c r="G2377" s="147">
        <v>4.1338900000000001</v>
      </c>
      <c r="H2377" s="147">
        <v>0</v>
      </c>
      <c r="I2377" s="729"/>
      <c r="J2377" s="147">
        <v>4.1338900000000001</v>
      </c>
      <c r="K2377" s="147">
        <v>0</v>
      </c>
      <c r="L2377" s="147">
        <v>23.381519999999998</v>
      </c>
      <c r="M2377" s="729"/>
      <c r="N2377" s="147">
        <v>23.381519999999998</v>
      </c>
      <c r="O2377" s="147">
        <v>0</v>
      </c>
      <c r="P2377" s="729"/>
      <c r="Q2377" s="147">
        <v>23.381519999999998</v>
      </c>
      <c r="R2377" s="147">
        <v>0</v>
      </c>
    </row>
    <row r="2378" spans="2:18" ht="15.75" hidden="1" thickBot="1" x14ac:dyDescent="0.3">
      <c r="B2378" s="724" t="s">
        <v>759</v>
      </c>
      <c r="C2378" s="722" t="s">
        <v>65</v>
      </c>
      <c r="D2378" t="s">
        <v>66</v>
      </c>
      <c r="E2378" s="148">
        <v>-16.037949999999999</v>
      </c>
      <c r="F2378" s="148">
        <v>-16.390630000000002</v>
      </c>
      <c r="G2378" s="148">
        <v>0.35267999999999999</v>
      </c>
      <c r="H2378" s="148">
        <v>2.1517171701148765</v>
      </c>
      <c r="I2378" s="728"/>
      <c r="J2378" s="148">
        <v>-16.037949999999999</v>
      </c>
      <c r="K2378" s="148">
        <v>0</v>
      </c>
      <c r="L2378" s="148">
        <v>-168.26907</v>
      </c>
      <c r="M2378" s="148">
        <v>-195.65572</v>
      </c>
      <c r="N2378" s="148">
        <v>27.386649999999999</v>
      </c>
      <c r="O2378" s="148">
        <v>13.997367416603</v>
      </c>
      <c r="P2378" s="148">
        <v>-81.30444</v>
      </c>
      <c r="Q2378" s="148">
        <v>-86.96463</v>
      </c>
      <c r="R2378" s="148">
        <v>-106.96172312360801</v>
      </c>
    </row>
    <row r="2379" spans="2:18" ht="15.75" hidden="1" thickBot="1" x14ac:dyDescent="0.3">
      <c r="B2379" s="724" t="s">
        <v>759</v>
      </c>
      <c r="C2379" s="722" t="s">
        <v>580</v>
      </c>
      <c r="D2379" t="s">
        <v>581</v>
      </c>
      <c r="E2379" s="147">
        <v>-4.1338900000000001</v>
      </c>
      <c r="F2379" s="729"/>
      <c r="G2379" s="147">
        <v>-4.1338900000000001</v>
      </c>
      <c r="H2379" s="147">
        <v>0</v>
      </c>
      <c r="I2379" s="729"/>
      <c r="J2379" s="147">
        <v>-4.1338900000000001</v>
      </c>
      <c r="K2379" s="147">
        <v>0</v>
      </c>
      <c r="L2379" s="147">
        <v>-23.381519999999998</v>
      </c>
      <c r="M2379" s="729"/>
      <c r="N2379" s="147">
        <v>-23.381519999999998</v>
      </c>
      <c r="O2379" s="147">
        <v>0</v>
      </c>
      <c r="P2379" s="729"/>
      <c r="Q2379" s="147">
        <v>-23.381519999999998</v>
      </c>
      <c r="R2379" s="147">
        <v>0</v>
      </c>
    </row>
    <row r="2380" spans="2:18" ht="15.75" hidden="1" thickBot="1" x14ac:dyDescent="0.3">
      <c r="B2380" s="724" t="s">
        <v>759</v>
      </c>
      <c r="C2380" s="149" t="s">
        <v>67</v>
      </c>
      <c r="D2380" t="s">
        <v>68</v>
      </c>
      <c r="E2380" s="148">
        <v>59.763800000000003</v>
      </c>
      <c r="F2380" s="148">
        <v>66.732380000000006</v>
      </c>
      <c r="G2380" s="148">
        <v>-6.9685800000000002</v>
      </c>
      <c r="H2380" s="148">
        <v>-10.442576752095459</v>
      </c>
      <c r="I2380" s="728"/>
      <c r="J2380" s="148">
        <v>59.763800000000003</v>
      </c>
      <c r="K2380" s="148">
        <v>0</v>
      </c>
      <c r="L2380" s="148">
        <v>774.53669000000002</v>
      </c>
      <c r="M2380" s="148">
        <v>796.58748000000003</v>
      </c>
      <c r="N2380" s="148">
        <v>-22.050789999999999</v>
      </c>
      <c r="O2380" s="148">
        <v>-2.7681567377885479</v>
      </c>
      <c r="P2380" s="148">
        <v>380.02242000000001</v>
      </c>
      <c r="Q2380" s="148">
        <v>394.51427000000001</v>
      </c>
      <c r="R2380" s="148">
        <v>103.81341974507714</v>
      </c>
    </row>
    <row r="2381" spans="2:18" ht="15.75" hidden="1" thickBot="1" x14ac:dyDescent="0.3">
      <c r="B2381" s="724" t="s">
        <v>759</v>
      </c>
      <c r="C2381" s="722" t="s">
        <v>69</v>
      </c>
      <c r="D2381" t="s">
        <v>70</v>
      </c>
      <c r="E2381" s="729"/>
      <c r="F2381" s="147">
        <v>0.65</v>
      </c>
      <c r="G2381" s="147">
        <v>-0.65</v>
      </c>
      <c r="H2381" s="147">
        <v>-100</v>
      </c>
      <c r="I2381" s="729"/>
      <c r="J2381" s="729"/>
      <c r="K2381" s="729"/>
      <c r="L2381" s="147">
        <v>6.6017400000000004</v>
      </c>
      <c r="M2381" s="147">
        <v>7.8</v>
      </c>
      <c r="N2381" s="147">
        <v>-1.1982600000000001</v>
      </c>
      <c r="O2381" s="147">
        <v>-15.362307692307692</v>
      </c>
      <c r="P2381" s="147">
        <v>4.5579700000000001</v>
      </c>
      <c r="Q2381" s="147">
        <v>2.0437699999999999</v>
      </c>
      <c r="R2381" s="147">
        <v>44.839478978580374</v>
      </c>
    </row>
    <row r="2382" spans="2:18" ht="15.75" hidden="1" thickBot="1" x14ac:dyDescent="0.3">
      <c r="B2382" s="724" t="s">
        <v>759</v>
      </c>
      <c r="C2382" s="722" t="s">
        <v>99</v>
      </c>
      <c r="D2382" t="s">
        <v>100</v>
      </c>
      <c r="E2382" s="728"/>
      <c r="F2382" s="148">
        <v>0</v>
      </c>
      <c r="G2382" s="148">
        <v>0</v>
      </c>
      <c r="H2382" s="148">
        <v>0</v>
      </c>
      <c r="I2382" s="728"/>
      <c r="J2382" s="728"/>
      <c r="K2382" s="728"/>
      <c r="L2382" s="148">
        <v>0.13894999999999999</v>
      </c>
      <c r="M2382" s="148">
        <v>1.31</v>
      </c>
      <c r="N2382" s="148">
        <v>-1.1710499999999999</v>
      </c>
      <c r="O2382" s="148">
        <v>-89.39312977099236</v>
      </c>
      <c r="P2382" s="148">
        <v>0.13894999999999999</v>
      </c>
      <c r="Q2382" s="148">
        <v>0</v>
      </c>
      <c r="R2382" s="148">
        <v>0</v>
      </c>
    </row>
    <row r="2383" spans="2:18" ht="15.75" hidden="1" thickBot="1" x14ac:dyDescent="0.3">
      <c r="B2383" s="724" t="s">
        <v>759</v>
      </c>
      <c r="C2383" s="722" t="s">
        <v>137</v>
      </c>
      <c r="D2383" t="s">
        <v>138</v>
      </c>
      <c r="E2383" s="729"/>
      <c r="F2383" s="147">
        <v>0.05</v>
      </c>
      <c r="G2383" s="147">
        <v>-0.05</v>
      </c>
      <c r="H2383" s="147">
        <v>-100</v>
      </c>
      <c r="I2383" s="729"/>
      <c r="J2383" s="729"/>
      <c r="K2383" s="729"/>
      <c r="L2383" s="147">
        <v>1.6799200000000001</v>
      </c>
      <c r="M2383" s="147">
        <v>0.5</v>
      </c>
      <c r="N2383" s="147">
        <v>1.1799200000000001</v>
      </c>
      <c r="O2383" s="147">
        <v>235.98400000000001</v>
      </c>
      <c r="P2383" s="147">
        <v>0.85324999999999995</v>
      </c>
      <c r="Q2383" s="147">
        <v>0.82667000000000002</v>
      </c>
      <c r="R2383" s="147">
        <v>96.884852036331679</v>
      </c>
    </row>
    <row r="2384" spans="2:18" ht="15.75" hidden="1" thickBot="1" x14ac:dyDescent="0.3">
      <c r="B2384" s="724" t="s">
        <v>759</v>
      </c>
      <c r="C2384" s="722" t="s">
        <v>190</v>
      </c>
      <c r="D2384" t="s">
        <v>191</v>
      </c>
      <c r="E2384" s="728"/>
      <c r="F2384" s="728"/>
      <c r="G2384" s="728"/>
      <c r="H2384" s="728"/>
      <c r="I2384" s="728"/>
      <c r="J2384" s="728"/>
      <c r="K2384" s="728"/>
      <c r="L2384" s="148">
        <v>0.42163</v>
      </c>
      <c r="M2384" s="728"/>
      <c r="N2384" s="148">
        <v>0.42163</v>
      </c>
      <c r="O2384" s="148">
        <v>0</v>
      </c>
      <c r="P2384" s="148">
        <v>0.20416999999999999</v>
      </c>
      <c r="Q2384" s="148">
        <v>0.21745999999999999</v>
      </c>
      <c r="R2384" s="148">
        <v>106.50928148111868</v>
      </c>
    </row>
    <row r="2385" spans="2:18" ht="15.75" hidden="1" thickBot="1" x14ac:dyDescent="0.3">
      <c r="B2385" s="724" t="s">
        <v>759</v>
      </c>
      <c r="C2385" s="722" t="s">
        <v>36</v>
      </c>
      <c r="D2385" t="s">
        <v>192</v>
      </c>
      <c r="E2385" s="729"/>
      <c r="F2385" s="147">
        <v>0</v>
      </c>
      <c r="G2385" s="147">
        <v>0</v>
      </c>
      <c r="H2385" s="147">
        <v>0</v>
      </c>
      <c r="I2385" s="729"/>
      <c r="J2385" s="729"/>
      <c r="K2385" s="729"/>
      <c r="L2385" s="147">
        <v>0</v>
      </c>
      <c r="M2385" s="147">
        <v>2.5</v>
      </c>
      <c r="N2385" s="147">
        <v>-2.5</v>
      </c>
      <c r="O2385" s="147">
        <v>-100</v>
      </c>
      <c r="P2385" s="729"/>
      <c r="Q2385" s="147">
        <v>0</v>
      </c>
      <c r="R2385" s="147">
        <v>0</v>
      </c>
    </row>
    <row r="2386" spans="2:18" ht="15.75" hidden="1" thickBot="1" x14ac:dyDescent="0.3">
      <c r="B2386" s="724" t="s">
        <v>759</v>
      </c>
      <c r="C2386" s="722" t="s">
        <v>139</v>
      </c>
      <c r="D2386" t="s">
        <v>140</v>
      </c>
      <c r="E2386" s="728"/>
      <c r="F2386" s="148">
        <v>1.6666399999999999</v>
      </c>
      <c r="G2386" s="148">
        <v>-1.6666399999999999</v>
      </c>
      <c r="H2386" s="148">
        <v>-100</v>
      </c>
      <c r="I2386" s="728"/>
      <c r="J2386" s="728"/>
      <c r="K2386" s="728"/>
      <c r="L2386" s="148">
        <v>19.45</v>
      </c>
      <c r="M2386" s="148">
        <v>21.55001</v>
      </c>
      <c r="N2386" s="148">
        <v>-2.1000100000000002</v>
      </c>
      <c r="O2386" s="148">
        <v>-9.7448214641199709</v>
      </c>
      <c r="P2386" s="148">
        <v>16</v>
      </c>
      <c r="Q2386" s="148">
        <v>3.45</v>
      </c>
      <c r="R2386" s="148">
        <v>21.5625</v>
      </c>
    </row>
    <row r="2387" spans="2:18" ht="15.75" hidden="1" thickBot="1" x14ac:dyDescent="0.3">
      <c r="B2387" s="724" t="s">
        <v>759</v>
      </c>
      <c r="C2387" s="722" t="s">
        <v>169</v>
      </c>
      <c r="D2387" t="s">
        <v>170</v>
      </c>
      <c r="E2387" s="729"/>
      <c r="F2387" s="147">
        <v>0.05</v>
      </c>
      <c r="G2387" s="147">
        <v>-0.05</v>
      </c>
      <c r="H2387" s="147">
        <v>-100</v>
      </c>
      <c r="I2387" s="729"/>
      <c r="J2387" s="729"/>
      <c r="K2387" s="729"/>
      <c r="L2387" s="147">
        <v>7.356E-2</v>
      </c>
      <c r="M2387" s="147">
        <v>1.25</v>
      </c>
      <c r="N2387" s="147">
        <v>-1.1764399999999999</v>
      </c>
      <c r="O2387" s="147">
        <v>-94.115200000000002</v>
      </c>
      <c r="P2387" s="147">
        <v>0.17777000000000001</v>
      </c>
      <c r="Q2387" s="147">
        <v>-0.10421</v>
      </c>
      <c r="R2387" s="147">
        <v>-58.620689655172413</v>
      </c>
    </row>
    <row r="2388" spans="2:18" ht="15.75" hidden="1" thickBot="1" x14ac:dyDescent="0.3">
      <c r="B2388" s="724" t="s">
        <v>759</v>
      </c>
      <c r="C2388" s="722" t="s">
        <v>101</v>
      </c>
      <c r="D2388" t="s">
        <v>102</v>
      </c>
      <c r="E2388" s="148">
        <v>0.216</v>
      </c>
      <c r="F2388" s="148">
        <v>0</v>
      </c>
      <c r="G2388" s="148">
        <v>0.216</v>
      </c>
      <c r="H2388" s="148">
        <v>0</v>
      </c>
      <c r="I2388" s="728"/>
      <c r="J2388" s="148">
        <v>0.216</v>
      </c>
      <c r="K2388" s="148">
        <v>0</v>
      </c>
      <c r="L2388" s="148">
        <v>0.61345000000000005</v>
      </c>
      <c r="M2388" s="148">
        <v>0</v>
      </c>
      <c r="N2388" s="148">
        <v>0.61345000000000005</v>
      </c>
      <c r="O2388" s="148">
        <v>0</v>
      </c>
      <c r="P2388" s="148">
        <v>0.31097999999999998</v>
      </c>
      <c r="Q2388" s="148">
        <v>0.30247000000000002</v>
      </c>
      <c r="R2388" s="148">
        <v>97.263489613479962</v>
      </c>
    </row>
    <row r="2389" spans="2:18" ht="15.75" hidden="1" thickBot="1" x14ac:dyDescent="0.3">
      <c r="B2389" s="724" t="s">
        <v>759</v>
      </c>
      <c r="C2389" s="722" t="s">
        <v>71</v>
      </c>
      <c r="D2389" t="s">
        <v>72</v>
      </c>
      <c r="E2389" s="729"/>
      <c r="F2389" s="729"/>
      <c r="G2389" s="729"/>
      <c r="H2389" s="729"/>
      <c r="I2389" s="729"/>
      <c r="J2389" s="729"/>
      <c r="K2389" s="729"/>
      <c r="L2389" s="147">
        <v>0</v>
      </c>
      <c r="M2389" s="729"/>
      <c r="N2389" s="147">
        <v>0</v>
      </c>
      <c r="O2389" s="147">
        <v>0</v>
      </c>
      <c r="P2389" s="147">
        <v>1.6979999999999999E-2</v>
      </c>
      <c r="Q2389" s="147">
        <v>-1.6979999999999999E-2</v>
      </c>
      <c r="R2389" s="147">
        <v>-100</v>
      </c>
    </row>
    <row r="2390" spans="2:18" ht="15.75" hidden="1" thickBot="1" x14ac:dyDescent="0.3">
      <c r="B2390" s="724" t="s">
        <v>759</v>
      </c>
      <c r="C2390" s="722" t="s">
        <v>109</v>
      </c>
      <c r="D2390" t="s">
        <v>110</v>
      </c>
      <c r="E2390" s="728"/>
      <c r="F2390" s="148">
        <v>0</v>
      </c>
      <c r="G2390" s="148">
        <v>0</v>
      </c>
      <c r="H2390" s="148">
        <v>0</v>
      </c>
      <c r="I2390" s="728"/>
      <c r="J2390" s="728"/>
      <c r="K2390" s="728"/>
      <c r="L2390" s="148">
        <v>0.24773999999999999</v>
      </c>
      <c r="M2390" s="148">
        <v>1.54</v>
      </c>
      <c r="N2390" s="148">
        <v>-1.29226</v>
      </c>
      <c r="O2390" s="148">
        <v>-83.912987012987017</v>
      </c>
      <c r="P2390" s="148">
        <v>0.22500000000000001</v>
      </c>
      <c r="Q2390" s="148">
        <v>2.274E-2</v>
      </c>
      <c r="R2390" s="148">
        <v>10.106666666666667</v>
      </c>
    </row>
    <row r="2391" spans="2:18" ht="15.75" hidden="1" thickBot="1" x14ac:dyDescent="0.3">
      <c r="B2391" s="724" t="s">
        <v>759</v>
      </c>
      <c r="C2391" s="722" t="s">
        <v>73</v>
      </c>
      <c r="D2391" t="s">
        <v>74</v>
      </c>
      <c r="E2391" s="147">
        <v>3.2120000000000003E-2</v>
      </c>
      <c r="F2391" s="147">
        <v>0.35</v>
      </c>
      <c r="G2391" s="147">
        <v>-0.31788</v>
      </c>
      <c r="H2391" s="147">
        <v>-90.822857142857146</v>
      </c>
      <c r="I2391" s="729"/>
      <c r="J2391" s="147">
        <v>3.2120000000000003E-2</v>
      </c>
      <c r="K2391" s="147">
        <v>0</v>
      </c>
      <c r="L2391" s="147">
        <v>1.26545</v>
      </c>
      <c r="M2391" s="147">
        <v>4.5</v>
      </c>
      <c r="N2391" s="147">
        <v>-3.23455</v>
      </c>
      <c r="O2391" s="147">
        <v>-71.878888888888895</v>
      </c>
      <c r="P2391" s="147">
        <v>0.88604000000000005</v>
      </c>
      <c r="Q2391" s="147">
        <v>0.37941000000000003</v>
      </c>
      <c r="R2391" s="147">
        <v>42.82086587512979</v>
      </c>
    </row>
    <row r="2392" spans="2:18" ht="15.75" hidden="1" thickBot="1" x14ac:dyDescent="0.3">
      <c r="B2392" s="724" t="s">
        <v>759</v>
      </c>
      <c r="C2392" s="722" t="s">
        <v>111</v>
      </c>
      <c r="D2392" t="s">
        <v>112</v>
      </c>
      <c r="E2392" s="148">
        <v>0</v>
      </c>
      <c r="F2392" s="148">
        <v>0</v>
      </c>
      <c r="G2392" s="148">
        <v>0</v>
      </c>
      <c r="H2392" s="148">
        <v>0</v>
      </c>
      <c r="I2392" s="728"/>
      <c r="J2392" s="148">
        <v>0</v>
      </c>
      <c r="K2392" s="148">
        <v>0</v>
      </c>
      <c r="L2392" s="148">
        <v>0.14624999999999999</v>
      </c>
      <c r="M2392" s="148">
        <v>8.7750000000000004</v>
      </c>
      <c r="N2392" s="148">
        <v>-8.6287500000000001</v>
      </c>
      <c r="O2392" s="148">
        <v>-98.333333333333329</v>
      </c>
      <c r="P2392" s="148">
        <v>0</v>
      </c>
      <c r="Q2392" s="148">
        <v>0.14624999999999999</v>
      </c>
      <c r="R2392" s="148">
        <v>0</v>
      </c>
    </row>
    <row r="2393" spans="2:18" ht="15.75" hidden="1" thickBot="1" x14ac:dyDescent="0.3">
      <c r="B2393" s="724" t="s">
        <v>759</v>
      </c>
      <c r="C2393" s="722" t="s">
        <v>141</v>
      </c>
      <c r="D2393" t="s">
        <v>142</v>
      </c>
      <c r="E2393" s="729"/>
      <c r="F2393" s="729"/>
      <c r="G2393" s="729"/>
      <c r="H2393" s="729"/>
      <c r="I2393" s="729"/>
      <c r="J2393" s="729"/>
      <c r="K2393" s="729"/>
      <c r="L2393" s="147">
        <v>0.12</v>
      </c>
      <c r="M2393" s="147">
        <v>0.15</v>
      </c>
      <c r="N2393" s="147">
        <v>-0.03</v>
      </c>
      <c r="O2393" s="147">
        <v>-20</v>
      </c>
      <c r="P2393" s="729"/>
      <c r="Q2393" s="147">
        <v>0.12</v>
      </c>
      <c r="R2393" s="147">
        <v>0</v>
      </c>
    </row>
    <row r="2394" spans="2:18" ht="15.75" hidden="1" thickBot="1" x14ac:dyDescent="0.3">
      <c r="B2394" s="724" t="s">
        <v>759</v>
      </c>
      <c r="C2394" s="722" t="s">
        <v>113</v>
      </c>
      <c r="D2394" t="s">
        <v>114</v>
      </c>
      <c r="E2394" s="148">
        <v>8.9999999999999993E-3</v>
      </c>
      <c r="F2394" s="148">
        <v>2.5000000000000001E-2</v>
      </c>
      <c r="G2394" s="148">
        <v>-1.6E-2</v>
      </c>
      <c r="H2394" s="148">
        <v>-64</v>
      </c>
      <c r="I2394" s="728"/>
      <c r="J2394" s="148">
        <v>8.9999999999999993E-3</v>
      </c>
      <c r="K2394" s="148">
        <v>0</v>
      </c>
      <c r="L2394" s="148">
        <v>8.906E-2</v>
      </c>
      <c r="M2394" s="148">
        <v>0.5</v>
      </c>
      <c r="N2394" s="148">
        <v>-0.41094000000000003</v>
      </c>
      <c r="O2394" s="148">
        <v>-82.188000000000002</v>
      </c>
      <c r="P2394" s="148">
        <v>3.3410000000000002E-2</v>
      </c>
      <c r="Q2394" s="148">
        <v>5.5649999999999998E-2</v>
      </c>
      <c r="R2394" s="148">
        <v>166.56689613888057</v>
      </c>
    </row>
    <row r="2395" spans="2:18" ht="15.75" hidden="1" thickBot="1" x14ac:dyDescent="0.3">
      <c r="B2395" s="724" t="s">
        <v>759</v>
      </c>
      <c r="C2395" s="722" t="s">
        <v>635</v>
      </c>
      <c r="D2395" t="s">
        <v>636</v>
      </c>
      <c r="E2395" s="147">
        <v>-372.18711000000002</v>
      </c>
      <c r="F2395" s="147">
        <v>-242.69186999999999</v>
      </c>
      <c r="G2395" s="147">
        <v>-129.49524</v>
      </c>
      <c r="H2395" s="147">
        <v>-53.357881333231312</v>
      </c>
      <c r="I2395" s="729"/>
      <c r="J2395" s="147">
        <v>-372.18711000000002</v>
      </c>
      <c r="K2395" s="147">
        <v>0</v>
      </c>
      <c r="L2395" s="147">
        <v>-4426.0128999999997</v>
      </c>
      <c r="M2395" s="147">
        <v>-3918.6577000000002</v>
      </c>
      <c r="N2395" s="147">
        <v>-507.35520000000002</v>
      </c>
      <c r="O2395" s="147">
        <v>-12.947168108099874</v>
      </c>
      <c r="P2395" s="147">
        <v>-2029.7476300000001</v>
      </c>
      <c r="Q2395" s="147">
        <v>-2396.2652699999999</v>
      </c>
      <c r="R2395" s="147">
        <v>-118.05730104485946</v>
      </c>
    </row>
    <row r="2396" spans="2:18" ht="15.75" hidden="1" thickBot="1" x14ac:dyDescent="0.3">
      <c r="B2396" s="724" t="s">
        <v>759</v>
      </c>
      <c r="C2396" s="722" t="s">
        <v>143</v>
      </c>
      <c r="D2396" t="s">
        <v>144</v>
      </c>
      <c r="E2396" s="728"/>
      <c r="F2396" s="728"/>
      <c r="G2396" s="728"/>
      <c r="H2396" s="728"/>
      <c r="I2396" s="728"/>
      <c r="J2396" s="728"/>
      <c r="K2396" s="728"/>
      <c r="L2396" s="148">
        <v>9.0999999999999998E-2</v>
      </c>
      <c r="M2396" s="728"/>
      <c r="N2396" s="148">
        <v>9.0999999999999998E-2</v>
      </c>
      <c r="O2396" s="148">
        <v>0</v>
      </c>
      <c r="P2396" s="148">
        <v>9.0999999999999998E-2</v>
      </c>
      <c r="Q2396" s="148">
        <v>0</v>
      </c>
      <c r="R2396" s="148">
        <v>0</v>
      </c>
    </row>
    <row r="2397" spans="2:18" ht="15.75" hidden="1" thickBot="1" x14ac:dyDescent="0.3">
      <c r="B2397" s="724" t="s">
        <v>759</v>
      </c>
      <c r="C2397" s="722" t="s">
        <v>145</v>
      </c>
      <c r="D2397" t="s">
        <v>146</v>
      </c>
      <c r="E2397" s="147">
        <v>2.93E-2</v>
      </c>
      <c r="F2397" s="147">
        <v>0.01</v>
      </c>
      <c r="G2397" s="147">
        <v>1.9300000000000001E-2</v>
      </c>
      <c r="H2397" s="147">
        <v>193</v>
      </c>
      <c r="I2397" s="729"/>
      <c r="J2397" s="147">
        <v>2.93E-2</v>
      </c>
      <c r="K2397" s="147">
        <v>0</v>
      </c>
      <c r="L2397" s="147">
        <v>0.16234000000000001</v>
      </c>
      <c r="M2397" s="147">
        <v>0.15</v>
      </c>
      <c r="N2397" s="147">
        <v>1.234E-2</v>
      </c>
      <c r="O2397" s="147">
        <v>8.2266666666666666</v>
      </c>
      <c r="P2397" s="147">
        <v>4.9500000000000002E-2</v>
      </c>
      <c r="Q2397" s="147">
        <v>0.11284</v>
      </c>
      <c r="R2397" s="147">
        <v>227.95959595959596</v>
      </c>
    </row>
    <row r="2398" spans="2:18" ht="15.75" hidden="1" thickBot="1" x14ac:dyDescent="0.3">
      <c r="B2398" s="724" t="s">
        <v>759</v>
      </c>
      <c r="C2398" s="722" t="s">
        <v>147</v>
      </c>
      <c r="D2398" t="s">
        <v>148</v>
      </c>
      <c r="E2398" s="148">
        <v>7.6350000000000001E-2</v>
      </c>
      <c r="F2398" s="728"/>
      <c r="G2398" s="148">
        <v>7.6350000000000001E-2</v>
      </c>
      <c r="H2398" s="148">
        <v>0</v>
      </c>
      <c r="I2398" s="728"/>
      <c r="J2398" s="148">
        <v>7.6350000000000001E-2</v>
      </c>
      <c r="K2398" s="148">
        <v>0</v>
      </c>
      <c r="L2398" s="148">
        <v>0.11985</v>
      </c>
      <c r="M2398" s="728"/>
      <c r="N2398" s="148">
        <v>0.11985</v>
      </c>
      <c r="O2398" s="148">
        <v>0</v>
      </c>
      <c r="P2398" s="148">
        <v>4.3499999999999997E-2</v>
      </c>
      <c r="Q2398" s="148">
        <v>7.6350000000000001E-2</v>
      </c>
      <c r="R2398" s="148">
        <v>175.51724137931035</v>
      </c>
    </row>
    <row r="2399" spans="2:18" ht="15.75" hidden="1" thickBot="1" x14ac:dyDescent="0.3">
      <c r="B2399" s="724" t="s">
        <v>759</v>
      </c>
      <c r="C2399" s="722" t="s">
        <v>149</v>
      </c>
      <c r="D2399" t="s">
        <v>150</v>
      </c>
      <c r="E2399" s="147">
        <v>134.60872000000001</v>
      </c>
      <c r="F2399" s="147">
        <v>69.751379999999997</v>
      </c>
      <c r="G2399" s="147">
        <v>64.857339999999994</v>
      </c>
      <c r="H2399" s="147">
        <v>92.98359401634778</v>
      </c>
      <c r="I2399" s="729"/>
      <c r="J2399" s="147">
        <v>134.60872000000001</v>
      </c>
      <c r="K2399" s="147">
        <v>0</v>
      </c>
      <c r="L2399" s="147">
        <v>1224.32674</v>
      </c>
      <c r="M2399" s="147">
        <v>909.91656</v>
      </c>
      <c r="N2399" s="147">
        <v>314.41018000000003</v>
      </c>
      <c r="O2399" s="147">
        <v>34.553737542703914</v>
      </c>
      <c r="P2399" s="147">
        <v>453.82835</v>
      </c>
      <c r="Q2399" s="147">
        <v>770.49838999999997</v>
      </c>
      <c r="R2399" s="147">
        <v>169.77749186449017</v>
      </c>
    </row>
    <row r="2400" spans="2:18" ht="15.75" hidden="1" thickBot="1" x14ac:dyDescent="0.3">
      <c r="B2400" s="724" t="s">
        <v>759</v>
      </c>
      <c r="C2400" s="722" t="s">
        <v>645</v>
      </c>
      <c r="D2400" t="s">
        <v>646</v>
      </c>
      <c r="E2400" s="728"/>
      <c r="F2400" s="148">
        <v>0</v>
      </c>
      <c r="G2400" s="148">
        <v>0</v>
      </c>
      <c r="H2400" s="148">
        <v>0</v>
      </c>
      <c r="I2400" s="728"/>
      <c r="J2400" s="728"/>
      <c r="K2400" s="728"/>
      <c r="L2400" s="148">
        <v>-0.13469</v>
      </c>
      <c r="M2400" s="148">
        <v>1</v>
      </c>
      <c r="N2400" s="148">
        <v>-1.13469</v>
      </c>
      <c r="O2400" s="148">
        <v>-113.46899999999999</v>
      </c>
      <c r="P2400" s="148">
        <v>-0.13469</v>
      </c>
      <c r="Q2400" s="148">
        <v>0</v>
      </c>
      <c r="R2400" s="148">
        <v>0</v>
      </c>
    </row>
    <row r="2401" spans="2:18" ht="15.75" hidden="1" thickBot="1" x14ac:dyDescent="0.3">
      <c r="B2401" s="724" t="s">
        <v>759</v>
      </c>
      <c r="C2401" s="722" t="s">
        <v>483</v>
      </c>
      <c r="D2401" t="s">
        <v>484</v>
      </c>
      <c r="E2401" s="729"/>
      <c r="F2401" s="729"/>
      <c r="G2401" s="729"/>
      <c r="H2401" s="729"/>
      <c r="I2401" s="729"/>
      <c r="J2401" s="729"/>
      <c r="K2401" s="729"/>
      <c r="L2401" s="147">
        <v>5</v>
      </c>
      <c r="M2401" s="147">
        <v>5</v>
      </c>
      <c r="N2401" s="147">
        <v>0</v>
      </c>
      <c r="O2401" s="147">
        <v>0</v>
      </c>
      <c r="P2401" s="729"/>
      <c r="Q2401" s="147">
        <v>5</v>
      </c>
      <c r="R2401" s="147">
        <v>0</v>
      </c>
    </row>
    <row r="2402" spans="2:18" ht="15.75" hidden="1" thickBot="1" x14ac:dyDescent="0.3">
      <c r="B2402" s="724" t="s">
        <v>759</v>
      </c>
      <c r="C2402" s="722" t="s">
        <v>665</v>
      </c>
      <c r="D2402" t="s">
        <v>666</v>
      </c>
      <c r="E2402" s="148">
        <v>232.19092000000001</v>
      </c>
      <c r="F2402" s="148">
        <v>150</v>
      </c>
      <c r="G2402" s="148">
        <v>82.190920000000006</v>
      </c>
      <c r="H2402" s="148">
        <v>54.793946666666663</v>
      </c>
      <c r="I2402" s="728"/>
      <c r="J2402" s="148">
        <v>232.19092000000001</v>
      </c>
      <c r="K2402" s="148">
        <v>0</v>
      </c>
      <c r="L2402" s="148">
        <v>2972.1191600000002</v>
      </c>
      <c r="M2402" s="148">
        <v>2700</v>
      </c>
      <c r="N2402" s="148">
        <v>272.11916000000002</v>
      </c>
      <c r="O2402" s="148">
        <v>10.078487407407408</v>
      </c>
      <c r="P2402" s="148">
        <v>1439.9604300000001</v>
      </c>
      <c r="Q2402" s="148">
        <v>1532.1587300000001</v>
      </c>
      <c r="R2402" s="148">
        <v>106.40283566681065</v>
      </c>
    </row>
    <row r="2403" spans="2:18" ht="15.75" hidden="1" thickBot="1" x14ac:dyDescent="0.3">
      <c r="B2403" s="724" t="s">
        <v>759</v>
      </c>
      <c r="C2403" s="722" t="s">
        <v>153</v>
      </c>
      <c r="D2403" t="s">
        <v>154</v>
      </c>
      <c r="E2403" s="729"/>
      <c r="F2403" s="729"/>
      <c r="G2403" s="729"/>
      <c r="H2403" s="729"/>
      <c r="I2403" s="729"/>
      <c r="J2403" s="729"/>
      <c r="K2403" s="729"/>
      <c r="L2403" s="147">
        <v>6.0666500000000001</v>
      </c>
      <c r="M2403" s="729"/>
      <c r="N2403" s="147">
        <v>6.0666500000000001</v>
      </c>
      <c r="O2403" s="147">
        <v>0</v>
      </c>
      <c r="P2403" s="729"/>
      <c r="Q2403" s="147">
        <v>6.0666500000000001</v>
      </c>
      <c r="R2403" s="147">
        <v>0</v>
      </c>
    </row>
    <row r="2404" spans="2:18" ht="15.75" hidden="1" thickBot="1" x14ac:dyDescent="0.3">
      <c r="B2404" s="724" t="s">
        <v>759</v>
      </c>
      <c r="C2404" s="722" t="s">
        <v>75</v>
      </c>
      <c r="D2404" t="s">
        <v>76</v>
      </c>
      <c r="E2404" s="148">
        <v>0.73512</v>
      </c>
      <c r="F2404" s="148">
        <v>1.25</v>
      </c>
      <c r="G2404" s="148">
        <v>-0.51488</v>
      </c>
      <c r="H2404" s="148">
        <v>-41.190399999999997</v>
      </c>
      <c r="I2404" s="728"/>
      <c r="J2404" s="148">
        <v>0.73512</v>
      </c>
      <c r="K2404" s="148">
        <v>0</v>
      </c>
      <c r="L2404" s="148">
        <v>7.0333899999999998</v>
      </c>
      <c r="M2404" s="148">
        <v>15</v>
      </c>
      <c r="N2404" s="148">
        <v>-7.9666100000000002</v>
      </c>
      <c r="O2404" s="148">
        <v>-53.110733333333336</v>
      </c>
      <c r="P2404" s="148">
        <v>3.3501699999999999</v>
      </c>
      <c r="Q2404" s="148">
        <v>3.6832199999999999</v>
      </c>
      <c r="R2404" s="148">
        <v>109.94128656157747</v>
      </c>
    </row>
    <row r="2405" spans="2:18" ht="15.75" hidden="1" thickBot="1" x14ac:dyDescent="0.3">
      <c r="B2405" s="724" t="s">
        <v>759</v>
      </c>
      <c r="C2405" s="722" t="s">
        <v>121</v>
      </c>
      <c r="D2405" t="s">
        <v>122</v>
      </c>
      <c r="E2405" s="729"/>
      <c r="F2405" s="729"/>
      <c r="G2405" s="729"/>
      <c r="H2405" s="729"/>
      <c r="I2405" s="729"/>
      <c r="J2405" s="729"/>
      <c r="K2405" s="729"/>
      <c r="L2405" s="147">
        <v>3.211E-2</v>
      </c>
      <c r="M2405" s="729"/>
      <c r="N2405" s="147">
        <v>3.211E-2</v>
      </c>
      <c r="O2405" s="147">
        <v>0</v>
      </c>
      <c r="P2405" s="147">
        <v>2.3310000000000001E-2</v>
      </c>
      <c r="Q2405" s="147">
        <v>8.8000000000000005E-3</v>
      </c>
      <c r="R2405" s="147">
        <v>37.752037752037751</v>
      </c>
    </row>
    <row r="2406" spans="2:18" ht="15.75" hidden="1" thickBot="1" x14ac:dyDescent="0.3">
      <c r="B2406" s="724" t="s">
        <v>759</v>
      </c>
      <c r="C2406" s="722" t="s">
        <v>77</v>
      </c>
      <c r="D2406" t="s">
        <v>78</v>
      </c>
      <c r="E2406" s="148">
        <v>0.37717000000000001</v>
      </c>
      <c r="F2406" s="148">
        <v>1.8333699999999999</v>
      </c>
      <c r="G2406" s="148">
        <v>-1.4561999999999999</v>
      </c>
      <c r="H2406" s="148">
        <v>-79.427502359043729</v>
      </c>
      <c r="I2406" s="728"/>
      <c r="J2406" s="148">
        <v>0.37717000000000001</v>
      </c>
      <c r="K2406" s="148">
        <v>0</v>
      </c>
      <c r="L2406" s="148">
        <v>13.573399999999999</v>
      </c>
      <c r="M2406" s="148">
        <v>27.7</v>
      </c>
      <c r="N2406" s="148">
        <v>-14.1266</v>
      </c>
      <c r="O2406" s="148">
        <v>-50.9985559566787</v>
      </c>
      <c r="P2406" s="148">
        <v>5.2433199999999998</v>
      </c>
      <c r="Q2406" s="148">
        <v>8.3300800000000006</v>
      </c>
      <c r="R2406" s="148">
        <v>158.87033406315084</v>
      </c>
    </row>
    <row r="2407" spans="2:18" ht="15.75" hidden="1" thickBot="1" x14ac:dyDescent="0.3">
      <c r="B2407" s="724" t="s">
        <v>759</v>
      </c>
      <c r="C2407" s="722" t="s">
        <v>79</v>
      </c>
      <c r="D2407" t="s">
        <v>80</v>
      </c>
      <c r="E2407" s="147">
        <v>0.51543000000000005</v>
      </c>
      <c r="F2407" s="147">
        <v>0</v>
      </c>
      <c r="G2407" s="147">
        <v>0.51543000000000005</v>
      </c>
      <c r="H2407" s="147">
        <v>0</v>
      </c>
      <c r="I2407" s="729"/>
      <c r="J2407" s="147">
        <v>0.51543000000000005</v>
      </c>
      <c r="K2407" s="147">
        <v>0</v>
      </c>
      <c r="L2407" s="147">
        <v>5.0448899999999997</v>
      </c>
      <c r="M2407" s="147">
        <v>2.5</v>
      </c>
      <c r="N2407" s="147">
        <v>2.5448900000000001</v>
      </c>
      <c r="O2407" s="147">
        <v>101.79559999999999</v>
      </c>
      <c r="P2407" s="147">
        <v>1.86365</v>
      </c>
      <c r="Q2407" s="147">
        <v>3.1812399999999998</v>
      </c>
      <c r="R2407" s="147">
        <v>170.69943390658116</v>
      </c>
    </row>
    <row r="2408" spans="2:18" ht="15.75" hidden="1" thickBot="1" x14ac:dyDescent="0.3">
      <c r="B2408" s="724" t="s">
        <v>759</v>
      </c>
      <c r="C2408" s="722" t="s">
        <v>81</v>
      </c>
      <c r="D2408" t="s">
        <v>82</v>
      </c>
      <c r="E2408" s="148">
        <v>1.12565</v>
      </c>
      <c r="F2408" s="148">
        <v>0.05</v>
      </c>
      <c r="G2408" s="148">
        <v>1.07565</v>
      </c>
      <c r="H2408" s="148">
        <v>2151.3000000000002</v>
      </c>
      <c r="I2408" s="728"/>
      <c r="J2408" s="148">
        <v>1.12565</v>
      </c>
      <c r="K2408" s="148">
        <v>0</v>
      </c>
      <c r="L2408" s="148">
        <v>1.25265</v>
      </c>
      <c r="M2408" s="148">
        <v>0.6</v>
      </c>
      <c r="N2408" s="148">
        <v>0.65264999999999995</v>
      </c>
      <c r="O2408" s="148">
        <v>108.77500000000001</v>
      </c>
      <c r="P2408" s="148">
        <v>0.1</v>
      </c>
      <c r="Q2408" s="148">
        <v>1.15265</v>
      </c>
      <c r="R2408" s="148">
        <v>1152.6500000000001</v>
      </c>
    </row>
    <row r="2409" spans="2:18" ht="15.75" hidden="1" thickBot="1" x14ac:dyDescent="0.3">
      <c r="B2409" s="724" t="s">
        <v>759</v>
      </c>
      <c r="C2409" s="722" t="s">
        <v>123</v>
      </c>
      <c r="D2409" t="s">
        <v>124</v>
      </c>
      <c r="E2409" s="147">
        <v>0.35499999999999998</v>
      </c>
      <c r="F2409" s="147">
        <v>0</v>
      </c>
      <c r="G2409" s="147">
        <v>0.35499999999999998</v>
      </c>
      <c r="H2409" s="147">
        <v>0</v>
      </c>
      <c r="I2409" s="729"/>
      <c r="J2409" s="147">
        <v>0.35499999999999998</v>
      </c>
      <c r="K2409" s="147">
        <v>0</v>
      </c>
      <c r="L2409" s="147">
        <v>0.56159000000000003</v>
      </c>
      <c r="M2409" s="147">
        <v>0</v>
      </c>
      <c r="N2409" s="147">
        <v>0.56159000000000003</v>
      </c>
      <c r="O2409" s="147">
        <v>0</v>
      </c>
      <c r="P2409" s="147">
        <v>1.7989999999999999E-2</v>
      </c>
      <c r="Q2409" s="147">
        <v>0.54359999999999997</v>
      </c>
      <c r="R2409" s="147">
        <v>3021.6787103946635</v>
      </c>
    </row>
    <row r="2410" spans="2:18" ht="15.75" hidden="1" thickBot="1" x14ac:dyDescent="0.3">
      <c r="B2410" s="724" t="s">
        <v>759</v>
      </c>
      <c r="C2410" s="722" t="s">
        <v>695</v>
      </c>
      <c r="D2410" t="s">
        <v>696</v>
      </c>
      <c r="E2410" s="728"/>
      <c r="F2410" s="728"/>
      <c r="G2410" s="728"/>
      <c r="H2410" s="728"/>
      <c r="I2410" s="728"/>
      <c r="J2410" s="728"/>
      <c r="K2410" s="728"/>
      <c r="L2410" s="148">
        <v>0</v>
      </c>
      <c r="M2410" s="728"/>
      <c r="N2410" s="148">
        <v>0</v>
      </c>
      <c r="O2410" s="148">
        <v>0</v>
      </c>
      <c r="P2410" s="148">
        <v>-1.6979999999999999E-2</v>
      </c>
      <c r="Q2410" s="148">
        <v>1.6979999999999999E-2</v>
      </c>
      <c r="R2410" s="148">
        <v>100</v>
      </c>
    </row>
    <row r="2411" spans="2:18" ht="15.75" hidden="1" thickBot="1" x14ac:dyDescent="0.3">
      <c r="B2411" s="724" t="s">
        <v>759</v>
      </c>
      <c r="C2411" s="722" t="s">
        <v>83</v>
      </c>
      <c r="D2411" t="s">
        <v>84</v>
      </c>
      <c r="E2411" s="729"/>
      <c r="F2411" s="147">
        <v>0.51666999999999996</v>
      </c>
      <c r="G2411" s="147">
        <v>-0.51666999999999996</v>
      </c>
      <c r="H2411" s="147">
        <v>-100</v>
      </c>
      <c r="I2411" s="729"/>
      <c r="J2411" s="729"/>
      <c r="K2411" s="729"/>
      <c r="L2411" s="729"/>
      <c r="M2411" s="147">
        <v>6.2000400000000004</v>
      </c>
      <c r="N2411" s="147">
        <v>-6.2000400000000004</v>
      </c>
      <c r="O2411" s="147">
        <v>-100</v>
      </c>
      <c r="P2411" s="729"/>
      <c r="Q2411" s="729"/>
      <c r="R2411" s="729"/>
    </row>
    <row r="2412" spans="2:18" ht="15.75" hidden="1" thickBot="1" x14ac:dyDescent="0.3">
      <c r="B2412" s="724" t="s">
        <v>759</v>
      </c>
      <c r="C2412" s="149" t="s">
        <v>85</v>
      </c>
      <c r="D2412" t="s">
        <v>86</v>
      </c>
      <c r="E2412" s="148">
        <v>-1.9163300000000001</v>
      </c>
      <c r="F2412" s="148">
        <v>-16.488810000000001</v>
      </c>
      <c r="G2412" s="148">
        <v>14.572480000000001</v>
      </c>
      <c r="H2412" s="148">
        <v>88.37799695672399</v>
      </c>
      <c r="I2412" s="728"/>
      <c r="J2412" s="148">
        <v>-1.9163300000000001</v>
      </c>
      <c r="K2412" s="148">
        <v>0</v>
      </c>
      <c r="L2412" s="148">
        <v>-159.91606999999999</v>
      </c>
      <c r="M2412" s="148">
        <v>-200.21609000000001</v>
      </c>
      <c r="N2412" s="148">
        <v>40.300020000000004</v>
      </c>
      <c r="O2412" s="148">
        <v>20.128262418869532</v>
      </c>
      <c r="P2412" s="148">
        <v>-101.92355999999999</v>
      </c>
      <c r="Q2412" s="148">
        <v>-57.992510000000003</v>
      </c>
      <c r="R2412" s="148">
        <v>-56.898042022864978</v>
      </c>
    </row>
    <row r="2413" spans="2:18" ht="15.75" hidden="1" thickBot="1" x14ac:dyDescent="0.3">
      <c r="B2413" s="724" t="s">
        <v>759</v>
      </c>
      <c r="C2413" s="144" t="s">
        <v>87</v>
      </c>
      <c r="D2413" t="s">
        <v>87</v>
      </c>
      <c r="E2413" s="147">
        <v>57.847470000000001</v>
      </c>
      <c r="F2413" s="147">
        <v>50.243569999999998</v>
      </c>
      <c r="G2413" s="147">
        <v>7.6039000000000003</v>
      </c>
      <c r="H2413" s="147">
        <v>15.134075862841753</v>
      </c>
      <c r="I2413" s="729"/>
      <c r="J2413" s="147">
        <v>57.847470000000001</v>
      </c>
      <c r="K2413" s="147">
        <v>0</v>
      </c>
      <c r="L2413" s="147">
        <v>614.62062000000003</v>
      </c>
      <c r="M2413" s="147">
        <v>596.37139000000002</v>
      </c>
      <c r="N2413" s="147">
        <v>18.249230000000001</v>
      </c>
      <c r="O2413" s="147">
        <v>3.0600445135371097</v>
      </c>
      <c r="P2413" s="147">
        <v>278.09886</v>
      </c>
      <c r="Q2413" s="147">
        <v>336.52175999999997</v>
      </c>
      <c r="R2413" s="147">
        <v>121.00796098193283</v>
      </c>
    </row>
    <row r="2414" spans="2:18" ht="15.75" hidden="1" thickBot="1" x14ac:dyDescent="0.3">
      <c r="B2414" s="725" t="s">
        <v>760</v>
      </c>
      <c r="C2414" s="722" t="s">
        <v>59</v>
      </c>
      <c r="D2414" t="s">
        <v>60</v>
      </c>
      <c r="E2414" s="148">
        <v>25.655429999999999</v>
      </c>
      <c r="F2414" s="148">
        <v>25.662849999999999</v>
      </c>
      <c r="G2414" s="148">
        <v>-7.4200000000000004E-3</v>
      </c>
      <c r="H2414" s="148">
        <v>-2.8913390367788457E-2</v>
      </c>
      <c r="I2414" s="728"/>
      <c r="J2414" s="148">
        <v>25.655429999999999</v>
      </c>
      <c r="K2414" s="148">
        <v>0</v>
      </c>
      <c r="L2414" s="148">
        <v>316.87383</v>
      </c>
      <c r="M2414" s="148">
        <v>306.33861999999999</v>
      </c>
      <c r="N2414" s="148">
        <v>10.535209999999999</v>
      </c>
      <c r="O2414" s="148">
        <v>3.4390734018453175</v>
      </c>
      <c r="P2414" s="148">
        <v>160.50948</v>
      </c>
      <c r="Q2414" s="148">
        <v>156.36435</v>
      </c>
      <c r="R2414" s="148">
        <v>97.41751702142453</v>
      </c>
    </row>
    <row r="2415" spans="2:18" ht="15.75" hidden="1" thickBot="1" x14ac:dyDescent="0.3">
      <c r="B2415" s="725" t="s">
        <v>760</v>
      </c>
      <c r="C2415" s="722" t="s">
        <v>568</v>
      </c>
      <c r="D2415" t="s">
        <v>569</v>
      </c>
      <c r="E2415" s="147">
        <v>2.2543700000000002</v>
      </c>
      <c r="F2415" s="729"/>
      <c r="G2415" s="147">
        <v>2.2543700000000002</v>
      </c>
      <c r="H2415" s="147">
        <v>0</v>
      </c>
      <c r="I2415" s="729"/>
      <c r="J2415" s="147">
        <v>2.2543700000000002</v>
      </c>
      <c r="K2415" s="147">
        <v>0</v>
      </c>
      <c r="L2415" s="147">
        <v>12.378920000000001</v>
      </c>
      <c r="M2415" s="729"/>
      <c r="N2415" s="147">
        <v>12.378920000000001</v>
      </c>
      <c r="O2415" s="147">
        <v>0</v>
      </c>
      <c r="P2415" s="729"/>
      <c r="Q2415" s="147">
        <v>12.378920000000001</v>
      </c>
      <c r="R2415" s="147">
        <v>0</v>
      </c>
    </row>
    <row r="2416" spans="2:18" ht="15.75" hidden="1" thickBot="1" x14ac:dyDescent="0.3">
      <c r="B2416" s="725" t="s">
        <v>760</v>
      </c>
      <c r="C2416" s="722" t="s">
        <v>61</v>
      </c>
      <c r="D2416" t="s">
        <v>62</v>
      </c>
      <c r="E2416" s="148">
        <v>4.40733</v>
      </c>
      <c r="F2416" s="148">
        <v>3.9777399999999998</v>
      </c>
      <c r="G2416" s="148">
        <v>0.42959000000000003</v>
      </c>
      <c r="H2416" s="148">
        <v>10.799851171770905</v>
      </c>
      <c r="I2416" s="728"/>
      <c r="J2416" s="148">
        <v>4.40733</v>
      </c>
      <c r="K2416" s="148">
        <v>0</v>
      </c>
      <c r="L2416" s="148">
        <v>50.193249999999999</v>
      </c>
      <c r="M2416" s="148">
        <v>47.482460000000003</v>
      </c>
      <c r="N2416" s="148">
        <v>2.7107899999999998</v>
      </c>
      <c r="O2416" s="148">
        <v>5.7090344518797043</v>
      </c>
      <c r="P2416" s="148">
        <v>23.968160000000001</v>
      </c>
      <c r="Q2416" s="148">
        <v>26.225090000000002</v>
      </c>
      <c r="R2416" s="148">
        <v>109.41636738072509</v>
      </c>
    </row>
    <row r="2417" spans="2:18" ht="15.75" hidden="1" thickBot="1" x14ac:dyDescent="0.3">
      <c r="B2417" s="725" t="s">
        <v>760</v>
      </c>
      <c r="C2417" s="722" t="s">
        <v>63</v>
      </c>
      <c r="D2417" t="s">
        <v>64</v>
      </c>
      <c r="E2417" s="147">
        <v>17.122330000000002</v>
      </c>
      <c r="F2417" s="147">
        <v>15.4747</v>
      </c>
      <c r="G2417" s="147">
        <v>1.6476299999999999</v>
      </c>
      <c r="H2417" s="147">
        <v>10.647250027464183</v>
      </c>
      <c r="I2417" s="729"/>
      <c r="J2417" s="147">
        <v>17.122330000000002</v>
      </c>
      <c r="K2417" s="147">
        <v>0</v>
      </c>
      <c r="L2417" s="147">
        <v>194.99736999999999</v>
      </c>
      <c r="M2417" s="147">
        <v>184.72219999999999</v>
      </c>
      <c r="N2417" s="147">
        <v>10.275169999999999</v>
      </c>
      <c r="O2417" s="147">
        <v>5.5624987142855593</v>
      </c>
      <c r="P2417" s="147">
        <v>93.114540000000005</v>
      </c>
      <c r="Q2417" s="147">
        <v>101.88283</v>
      </c>
      <c r="R2417" s="147">
        <v>109.41667112354311</v>
      </c>
    </row>
    <row r="2418" spans="2:18" ht="15.75" hidden="1" thickBot="1" x14ac:dyDescent="0.3">
      <c r="B2418" s="725" t="s">
        <v>760</v>
      </c>
      <c r="C2418" s="722" t="s">
        <v>156</v>
      </c>
      <c r="D2418" t="s">
        <v>157</v>
      </c>
      <c r="E2418" s="148">
        <v>1.94868</v>
      </c>
      <c r="F2418" s="148">
        <v>3.6271499999999999</v>
      </c>
      <c r="G2418" s="148">
        <v>-1.6784699999999999</v>
      </c>
      <c r="H2418" s="148">
        <v>-46.275174723956823</v>
      </c>
      <c r="I2418" s="728"/>
      <c r="J2418" s="148">
        <v>1.94868</v>
      </c>
      <c r="K2418" s="148">
        <v>0</v>
      </c>
      <c r="L2418" s="148">
        <v>30.405760000000001</v>
      </c>
      <c r="M2418" s="148">
        <v>43.297460000000001</v>
      </c>
      <c r="N2418" s="148">
        <v>-12.8917</v>
      </c>
      <c r="O2418" s="148">
        <v>-29.774725815324963</v>
      </c>
      <c r="P2418" s="148">
        <v>12.363099999999999</v>
      </c>
      <c r="Q2418" s="148">
        <v>18.042660000000001</v>
      </c>
      <c r="R2418" s="148">
        <v>145.93961061546054</v>
      </c>
    </row>
    <row r="2419" spans="2:18" ht="15.75" hidden="1" thickBot="1" x14ac:dyDescent="0.3">
      <c r="B2419" s="725" t="s">
        <v>760</v>
      </c>
      <c r="C2419" s="722" t="s">
        <v>574</v>
      </c>
      <c r="D2419" t="s">
        <v>575</v>
      </c>
      <c r="E2419" s="147">
        <v>3.32056</v>
      </c>
      <c r="F2419" s="729"/>
      <c r="G2419" s="147">
        <v>3.32056</v>
      </c>
      <c r="H2419" s="147">
        <v>0</v>
      </c>
      <c r="I2419" s="729"/>
      <c r="J2419" s="147">
        <v>3.32056</v>
      </c>
      <c r="K2419" s="147">
        <v>0</v>
      </c>
      <c r="L2419" s="147">
        <v>16.229780000000002</v>
      </c>
      <c r="M2419" s="729"/>
      <c r="N2419" s="147">
        <v>16.229780000000002</v>
      </c>
      <c r="O2419" s="147">
        <v>0</v>
      </c>
      <c r="P2419" s="729"/>
      <c r="Q2419" s="147">
        <v>16.229780000000002</v>
      </c>
      <c r="R2419" s="147">
        <v>0</v>
      </c>
    </row>
    <row r="2420" spans="2:18" ht="15.75" hidden="1" thickBot="1" x14ac:dyDescent="0.3">
      <c r="B2420" s="725" t="s">
        <v>760</v>
      </c>
      <c r="C2420" s="722" t="s">
        <v>65</v>
      </c>
      <c r="D2420" t="s">
        <v>66</v>
      </c>
      <c r="E2420" s="148">
        <v>-10.697190000000001</v>
      </c>
      <c r="F2420" s="148">
        <v>-8.2155500000000004</v>
      </c>
      <c r="G2420" s="148">
        <v>-2.4816400000000001</v>
      </c>
      <c r="H2420" s="148">
        <v>-30.206620372342691</v>
      </c>
      <c r="I2420" s="728"/>
      <c r="J2420" s="148">
        <v>-10.697190000000001</v>
      </c>
      <c r="K2420" s="148">
        <v>0</v>
      </c>
      <c r="L2420" s="148">
        <v>-91.767669999999995</v>
      </c>
      <c r="M2420" s="148">
        <v>-98.069400000000002</v>
      </c>
      <c r="N2420" s="148">
        <v>6.3017300000000001</v>
      </c>
      <c r="O2420" s="148">
        <v>6.4257862289358352</v>
      </c>
      <c r="P2420" s="148">
        <v>-46.445450000000001</v>
      </c>
      <c r="Q2420" s="148">
        <v>-45.322220000000002</v>
      </c>
      <c r="R2420" s="148">
        <v>-97.581614560737378</v>
      </c>
    </row>
    <row r="2421" spans="2:18" ht="15.75" hidden="1" thickBot="1" x14ac:dyDescent="0.3">
      <c r="B2421" s="725" t="s">
        <v>760</v>
      </c>
      <c r="C2421" s="722" t="s">
        <v>580</v>
      </c>
      <c r="D2421" t="s">
        <v>581</v>
      </c>
      <c r="E2421" s="147">
        <v>-4.1338900000000001</v>
      </c>
      <c r="F2421" s="729"/>
      <c r="G2421" s="147">
        <v>-4.1338900000000001</v>
      </c>
      <c r="H2421" s="147">
        <v>0</v>
      </c>
      <c r="I2421" s="729"/>
      <c r="J2421" s="147">
        <v>-4.1338900000000001</v>
      </c>
      <c r="K2421" s="147">
        <v>0</v>
      </c>
      <c r="L2421" s="147">
        <v>-23.381519999999998</v>
      </c>
      <c r="M2421" s="729"/>
      <c r="N2421" s="147">
        <v>-23.381519999999998</v>
      </c>
      <c r="O2421" s="147">
        <v>0</v>
      </c>
      <c r="P2421" s="729"/>
      <c r="Q2421" s="147">
        <v>-23.381519999999998</v>
      </c>
      <c r="R2421" s="147">
        <v>0</v>
      </c>
    </row>
    <row r="2422" spans="2:18" ht="15.75" hidden="1" thickBot="1" x14ac:dyDescent="0.3">
      <c r="B2422" s="725" t="s">
        <v>760</v>
      </c>
      <c r="C2422" s="149" t="s">
        <v>67</v>
      </c>
      <c r="D2422" t="s">
        <v>68</v>
      </c>
      <c r="E2422" s="148">
        <v>39.87762</v>
      </c>
      <c r="F2422" s="148">
        <v>40.526890000000002</v>
      </c>
      <c r="G2422" s="148">
        <v>-0.64927000000000001</v>
      </c>
      <c r="H2422" s="148">
        <v>-1.6020721057056191</v>
      </c>
      <c r="I2422" s="728"/>
      <c r="J2422" s="148">
        <v>39.87762</v>
      </c>
      <c r="K2422" s="148">
        <v>0</v>
      </c>
      <c r="L2422" s="148">
        <v>505.92971999999997</v>
      </c>
      <c r="M2422" s="148">
        <v>483.77134000000001</v>
      </c>
      <c r="N2422" s="148">
        <v>22.158380000000001</v>
      </c>
      <c r="O2422" s="148">
        <v>4.5803416134572998</v>
      </c>
      <c r="P2422" s="148">
        <v>243.50982999999999</v>
      </c>
      <c r="Q2422" s="148">
        <v>262.41989000000001</v>
      </c>
      <c r="R2422" s="148">
        <v>107.76562490310967</v>
      </c>
    </row>
    <row r="2423" spans="2:18" ht="15.75" hidden="1" thickBot="1" x14ac:dyDescent="0.3">
      <c r="B2423" s="725" t="s">
        <v>760</v>
      </c>
      <c r="C2423" s="722" t="s">
        <v>69</v>
      </c>
      <c r="D2423" t="s">
        <v>70</v>
      </c>
      <c r="E2423" s="729"/>
      <c r="F2423" s="147">
        <v>0.5</v>
      </c>
      <c r="G2423" s="147">
        <v>-0.5</v>
      </c>
      <c r="H2423" s="147">
        <v>-100</v>
      </c>
      <c r="I2423" s="729"/>
      <c r="J2423" s="729"/>
      <c r="K2423" s="729"/>
      <c r="L2423" s="147">
        <v>4.9774700000000003</v>
      </c>
      <c r="M2423" s="147">
        <v>6</v>
      </c>
      <c r="N2423" s="147">
        <v>-1.0225299999999999</v>
      </c>
      <c r="O2423" s="147">
        <v>-17.042166666666667</v>
      </c>
      <c r="P2423" s="147">
        <v>3.4582000000000002</v>
      </c>
      <c r="Q2423" s="147">
        <v>1.5192699999999999</v>
      </c>
      <c r="R2423" s="147">
        <v>43.932392574171537</v>
      </c>
    </row>
    <row r="2424" spans="2:18" ht="15.75" hidden="1" thickBot="1" x14ac:dyDescent="0.3">
      <c r="B2424" s="725" t="s">
        <v>760</v>
      </c>
      <c r="C2424" s="722" t="s">
        <v>99</v>
      </c>
      <c r="D2424" t="s">
        <v>100</v>
      </c>
      <c r="E2424" s="728"/>
      <c r="F2424" s="728"/>
      <c r="G2424" s="728"/>
      <c r="H2424" s="728"/>
      <c r="I2424" s="728"/>
      <c r="J2424" s="728"/>
      <c r="K2424" s="728"/>
      <c r="L2424" s="148">
        <v>0.13894999999999999</v>
      </c>
      <c r="M2424" s="728"/>
      <c r="N2424" s="148">
        <v>0.13894999999999999</v>
      </c>
      <c r="O2424" s="148">
        <v>0</v>
      </c>
      <c r="P2424" s="148">
        <v>0.13894999999999999</v>
      </c>
      <c r="Q2424" s="148">
        <v>0</v>
      </c>
      <c r="R2424" s="148">
        <v>0</v>
      </c>
    </row>
    <row r="2425" spans="2:18" ht="15.75" hidden="1" thickBot="1" x14ac:dyDescent="0.3">
      <c r="B2425" s="725" t="s">
        <v>760</v>
      </c>
      <c r="C2425" s="722" t="s">
        <v>137</v>
      </c>
      <c r="D2425" t="s">
        <v>138</v>
      </c>
      <c r="E2425" s="729"/>
      <c r="F2425" s="729"/>
      <c r="G2425" s="729"/>
      <c r="H2425" s="729"/>
      <c r="I2425" s="729"/>
      <c r="J2425" s="729"/>
      <c r="K2425" s="729"/>
      <c r="L2425" s="147">
        <v>0.69699999999999995</v>
      </c>
      <c r="M2425" s="729"/>
      <c r="N2425" s="147">
        <v>0.69699999999999995</v>
      </c>
      <c r="O2425" s="147">
        <v>0</v>
      </c>
      <c r="P2425" s="147">
        <v>0.48254000000000002</v>
      </c>
      <c r="Q2425" s="147">
        <v>0.21446000000000001</v>
      </c>
      <c r="R2425" s="147">
        <v>44.443983918431634</v>
      </c>
    </row>
    <row r="2426" spans="2:18" ht="15.75" hidden="1" thickBot="1" x14ac:dyDescent="0.3">
      <c r="B2426" s="725" t="s">
        <v>760</v>
      </c>
      <c r="C2426" s="722" t="s">
        <v>190</v>
      </c>
      <c r="D2426" t="s">
        <v>191</v>
      </c>
      <c r="E2426" s="728"/>
      <c r="F2426" s="728"/>
      <c r="G2426" s="728"/>
      <c r="H2426" s="728"/>
      <c r="I2426" s="728"/>
      <c r="J2426" s="728"/>
      <c r="K2426" s="728"/>
      <c r="L2426" s="148">
        <v>0.11454</v>
      </c>
      <c r="M2426" s="728"/>
      <c r="N2426" s="148">
        <v>0.11454</v>
      </c>
      <c r="O2426" s="148">
        <v>0</v>
      </c>
      <c r="P2426" s="148">
        <v>5.2540000000000003E-2</v>
      </c>
      <c r="Q2426" s="148">
        <v>6.2E-2</v>
      </c>
      <c r="R2426" s="148">
        <v>118.0053292729349</v>
      </c>
    </row>
    <row r="2427" spans="2:18" ht="15.75" hidden="1" thickBot="1" x14ac:dyDescent="0.3">
      <c r="B2427" s="725" t="s">
        <v>760</v>
      </c>
      <c r="C2427" s="722" t="s">
        <v>36</v>
      </c>
      <c r="D2427" t="s">
        <v>192</v>
      </c>
      <c r="E2427" s="729"/>
      <c r="F2427" s="729"/>
      <c r="G2427" s="729"/>
      <c r="H2427" s="729"/>
      <c r="I2427" s="729"/>
      <c r="J2427" s="729"/>
      <c r="K2427" s="729"/>
      <c r="L2427" s="147">
        <v>0</v>
      </c>
      <c r="M2427" s="729"/>
      <c r="N2427" s="147">
        <v>0</v>
      </c>
      <c r="O2427" s="147">
        <v>0</v>
      </c>
      <c r="P2427" s="729"/>
      <c r="Q2427" s="147">
        <v>0</v>
      </c>
      <c r="R2427" s="147">
        <v>0</v>
      </c>
    </row>
    <row r="2428" spans="2:18" ht="15.75" hidden="1" thickBot="1" x14ac:dyDescent="0.3">
      <c r="B2428" s="725" t="s">
        <v>760</v>
      </c>
      <c r="C2428" s="722" t="s">
        <v>139</v>
      </c>
      <c r="D2428" t="s">
        <v>140</v>
      </c>
      <c r="E2428" s="728"/>
      <c r="F2428" s="148">
        <v>1.6666399999999999</v>
      </c>
      <c r="G2428" s="148">
        <v>-1.6666399999999999</v>
      </c>
      <c r="H2428" s="148">
        <v>-100</v>
      </c>
      <c r="I2428" s="728"/>
      <c r="J2428" s="728"/>
      <c r="K2428" s="728"/>
      <c r="L2428" s="148">
        <v>17.5</v>
      </c>
      <c r="M2428" s="148">
        <v>20.00001</v>
      </c>
      <c r="N2428" s="148">
        <v>-2.5000100000000001</v>
      </c>
      <c r="O2428" s="148">
        <v>-12.500043749978126</v>
      </c>
      <c r="P2428" s="148">
        <v>16</v>
      </c>
      <c r="Q2428" s="148">
        <v>1.5</v>
      </c>
      <c r="R2428" s="148">
        <v>9.375</v>
      </c>
    </row>
    <row r="2429" spans="2:18" ht="15.75" hidden="1" thickBot="1" x14ac:dyDescent="0.3">
      <c r="B2429" s="725" t="s">
        <v>760</v>
      </c>
      <c r="C2429" s="722" t="s">
        <v>101</v>
      </c>
      <c r="D2429" t="s">
        <v>102</v>
      </c>
      <c r="E2429" s="147">
        <v>0.216</v>
      </c>
      <c r="F2429" s="729"/>
      <c r="G2429" s="147">
        <v>0.216</v>
      </c>
      <c r="H2429" s="147">
        <v>0</v>
      </c>
      <c r="I2429" s="729"/>
      <c r="J2429" s="147">
        <v>0.216</v>
      </c>
      <c r="K2429" s="147">
        <v>0</v>
      </c>
      <c r="L2429" s="147">
        <v>0.52698</v>
      </c>
      <c r="M2429" s="729"/>
      <c r="N2429" s="147">
        <v>0.52698</v>
      </c>
      <c r="O2429" s="147">
        <v>0</v>
      </c>
      <c r="P2429" s="147">
        <v>0.31097999999999998</v>
      </c>
      <c r="Q2429" s="147">
        <v>0.216</v>
      </c>
      <c r="R2429" s="147">
        <v>69.457842948099554</v>
      </c>
    </row>
    <row r="2430" spans="2:18" ht="15.75" hidden="1" thickBot="1" x14ac:dyDescent="0.3">
      <c r="B2430" s="725" t="s">
        <v>760</v>
      </c>
      <c r="C2430" s="722" t="s">
        <v>71</v>
      </c>
      <c r="D2430" t="s">
        <v>72</v>
      </c>
      <c r="E2430" s="728"/>
      <c r="F2430" s="728"/>
      <c r="G2430" s="728"/>
      <c r="H2430" s="728"/>
      <c r="I2430" s="728"/>
      <c r="J2430" s="728"/>
      <c r="K2430" s="728"/>
      <c r="L2430" s="148">
        <v>0</v>
      </c>
      <c r="M2430" s="728"/>
      <c r="N2430" s="148">
        <v>0</v>
      </c>
      <c r="O2430" s="148">
        <v>0</v>
      </c>
      <c r="P2430" s="148">
        <v>1.6979999999999999E-2</v>
      </c>
      <c r="Q2430" s="148">
        <v>-1.6979999999999999E-2</v>
      </c>
      <c r="R2430" s="148">
        <v>-100</v>
      </c>
    </row>
    <row r="2431" spans="2:18" ht="15.75" hidden="1" thickBot="1" x14ac:dyDescent="0.3">
      <c r="B2431" s="725" t="s">
        <v>760</v>
      </c>
      <c r="C2431" s="722" t="s">
        <v>73</v>
      </c>
      <c r="D2431" t="s">
        <v>74</v>
      </c>
      <c r="E2431" s="147">
        <v>3.2120000000000003E-2</v>
      </c>
      <c r="F2431" s="147">
        <v>0.25</v>
      </c>
      <c r="G2431" s="147">
        <v>-0.21787999999999999</v>
      </c>
      <c r="H2431" s="147">
        <v>-87.152000000000001</v>
      </c>
      <c r="I2431" s="729"/>
      <c r="J2431" s="147">
        <v>3.2120000000000003E-2</v>
      </c>
      <c r="K2431" s="147">
        <v>0</v>
      </c>
      <c r="L2431" s="147">
        <v>0.76537999999999995</v>
      </c>
      <c r="M2431" s="147">
        <v>3</v>
      </c>
      <c r="N2431" s="147">
        <v>-2.2346200000000001</v>
      </c>
      <c r="O2431" s="147">
        <v>-74.487333333333339</v>
      </c>
      <c r="P2431" s="147">
        <v>0.44412000000000001</v>
      </c>
      <c r="Q2431" s="147">
        <v>0.32125999999999999</v>
      </c>
      <c r="R2431" s="147">
        <v>72.336305503017201</v>
      </c>
    </row>
    <row r="2432" spans="2:18" ht="15.75" hidden="1" thickBot="1" x14ac:dyDescent="0.3">
      <c r="B2432" s="725" t="s">
        <v>760</v>
      </c>
      <c r="C2432" s="722" t="s">
        <v>113</v>
      </c>
      <c r="D2432" t="s">
        <v>114</v>
      </c>
      <c r="E2432" s="148">
        <v>8.9999999999999993E-3</v>
      </c>
      <c r="F2432" s="728"/>
      <c r="G2432" s="148">
        <v>8.9999999999999993E-3</v>
      </c>
      <c r="H2432" s="148">
        <v>0</v>
      </c>
      <c r="I2432" s="728"/>
      <c r="J2432" s="148">
        <v>8.9999999999999993E-3</v>
      </c>
      <c r="K2432" s="148">
        <v>0</v>
      </c>
      <c r="L2432" s="148">
        <v>8.4260000000000002E-2</v>
      </c>
      <c r="M2432" s="728"/>
      <c r="N2432" s="148">
        <v>8.4260000000000002E-2</v>
      </c>
      <c r="O2432" s="148">
        <v>0</v>
      </c>
      <c r="P2432" s="148">
        <v>3.3410000000000002E-2</v>
      </c>
      <c r="Q2432" s="148">
        <v>5.0849999999999999E-2</v>
      </c>
      <c r="R2432" s="148">
        <v>152.19994013768334</v>
      </c>
    </row>
    <row r="2433" spans="2:18" ht="15.75" hidden="1" thickBot="1" x14ac:dyDescent="0.3">
      <c r="B2433" s="725" t="s">
        <v>760</v>
      </c>
      <c r="C2433" s="722" t="s">
        <v>143</v>
      </c>
      <c r="D2433" t="s">
        <v>144</v>
      </c>
      <c r="E2433" s="729"/>
      <c r="F2433" s="729"/>
      <c r="G2433" s="729"/>
      <c r="H2433" s="729"/>
      <c r="I2433" s="729"/>
      <c r="J2433" s="729"/>
      <c r="K2433" s="729"/>
      <c r="L2433" s="147">
        <v>9.0999999999999998E-2</v>
      </c>
      <c r="M2433" s="729"/>
      <c r="N2433" s="147">
        <v>9.0999999999999998E-2</v>
      </c>
      <c r="O2433" s="147">
        <v>0</v>
      </c>
      <c r="P2433" s="147">
        <v>9.0999999999999998E-2</v>
      </c>
      <c r="Q2433" s="147">
        <v>0</v>
      </c>
      <c r="R2433" s="147">
        <v>0</v>
      </c>
    </row>
    <row r="2434" spans="2:18" ht="15.75" hidden="1" thickBot="1" x14ac:dyDescent="0.3">
      <c r="B2434" s="725" t="s">
        <v>760</v>
      </c>
      <c r="C2434" s="722" t="s">
        <v>145</v>
      </c>
      <c r="D2434" t="s">
        <v>146</v>
      </c>
      <c r="E2434" s="148">
        <v>2.93E-2</v>
      </c>
      <c r="F2434" s="728"/>
      <c r="G2434" s="148">
        <v>2.93E-2</v>
      </c>
      <c r="H2434" s="148">
        <v>0</v>
      </c>
      <c r="I2434" s="728"/>
      <c r="J2434" s="148">
        <v>2.93E-2</v>
      </c>
      <c r="K2434" s="148">
        <v>0</v>
      </c>
      <c r="L2434" s="148">
        <v>0.13333999999999999</v>
      </c>
      <c r="M2434" s="728"/>
      <c r="N2434" s="148">
        <v>0.13333999999999999</v>
      </c>
      <c r="O2434" s="148">
        <v>0</v>
      </c>
      <c r="P2434" s="148">
        <v>2.9499999999999998E-2</v>
      </c>
      <c r="Q2434" s="148">
        <v>0.10384</v>
      </c>
      <c r="R2434" s="148">
        <v>352</v>
      </c>
    </row>
    <row r="2435" spans="2:18" ht="15.75" hidden="1" thickBot="1" x14ac:dyDescent="0.3">
      <c r="B2435" s="725" t="s">
        <v>760</v>
      </c>
      <c r="C2435" s="722" t="s">
        <v>147</v>
      </c>
      <c r="D2435" t="s">
        <v>148</v>
      </c>
      <c r="E2435" s="147">
        <v>7.6350000000000001E-2</v>
      </c>
      <c r="F2435" s="729"/>
      <c r="G2435" s="147">
        <v>7.6350000000000001E-2</v>
      </c>
      <c r="H2435" s="147">
        <v>0</v>
      </c>
      <c r="I2435" s="729"/>
      <c r="J2435" s="147">
        <v>7.6350000000000001E-2</v>
      </c>
      <c r="K2435" s="147">
        <v>0</v>
      </c>
      <c r="L2435" s="147">
        <v>0.11985</v>
      </c>
      <c r="M2435" s="729"/>
      <c r="N2435" s="147">
        <v>0.11985</v>
      </c>
      <c r="O2435" s="147">
        <v>0</v>
      </c>
      <c r="P2435" s="147">
        <v>4.3499999999999997E-2</v>
      </c>
      <c r="Q2435" s="147">
        <v>7.6350000000000001E-2</v>
      </c>
      <c r="R2435" s="147">
        <v>175.51724137931035</v>
      </c>
    </row>
    <row r="2436" spans="2:18" ht="15.75" hidden="1" thickBot="1" x14ac:dyDescent="0.3">
      <c r="B2436" s="725" t="s">
        <v>760</v>
      </c>
      <c r="C2436" s="722" t="s">
        <v>149</v>
      </c>
      <c r="D2436" t="s">
        <v>150</v>
      </c>
      <c r="E2436" s="148">
        <v>15</v>
      </c>
      <c r="F2436" s="148">
        <v>5</v>
      </c>
      <c r="G2436" s="148">
        <v>10</v>
      </c>
      <c r="H2436" s="148">
        <v>200</v>
      </c>
      <c r="I2436" s="728"/>
      <c r="J2436" s="148">
        <v>15</v>
      </c>
      <c r="K2436" s="148">
        <v>0</v>
      </c>
      <c r="L2436" s="148">
        <v>56.780790000000003</v>
      </c>
      <c r="M2436" s="148">
        <v>60</v>
      </c>
      <c r="N2436" s="148">
        <v>-3.2192099999999999</v>
      </c>
      <c r="O2436" s="148">
        <v>-5.3653500000000003</v>
      </c>
      <c r="P2436" s="148">
        <v>6.0871399999999998</v>
      </c>
      <c r="Q2436" s="148">
        <v>50.693649999999998</v>
      </c>
      <c r="R2436" s="148">
        <v>832.79914705428166</v>
      </c>
    </row>
    <row r="2437" spans="2:18" ht="15.75" hidden="1" thickBot="1" x14ac:dyDescent="0.3">
      <c r="B2437" s="725" t="s">
        <v>760</v>
      </c>
      <c r="C2437" s="722" t="s">
        <v>153</v>
      </c>
      <c r="D2437" t="s">
        <v>154</v>
      </c>
      <c r="E2437" s="729"/>
      <c r="F2437" s="729"/>
      <c r="G2437" s="729"/>
      <c r="H2437" s="729"/>
      <c r="I2437" s="729"/>
      <c r="J2437" s="729"/>
      <c r="K2437" s="729"/>
      <c r="L2437" s="147">
        <v>6</v>
      </c>
      <c r="M2437" s="729"/>
      <c r="N2437" s="147">
        <v>6</v>
      </c>
      <c r="O2437" s="147">
        <v>0</v>
      </c>
      <c r="P2437" s="729"/>
      <c r="Q2437" s="147">
        <v>6</v>
      </c>
      <c r="R2437" s="147">
        <v>0</v>
      </c>
    </row>
    <row r="2438" spans="2:18" ht="15.75" hidden="1" thickBot="1" x14ac:dyDescent="0.3">
      <c r="B2438" s="725" t="s">
        <v>760</v>
      </c>
      <c r="C2438" s="722" t="s">
        <v>75</v>
      </c>
      <c r="D2438" t="s">
        <v>76</v>
      </c>
      <c r="E2438" s="148">
        <v>0.61782999999999999</v>
      </c>
      <c r="F2438" s="148">
        <v>1</v>
      </c>
      <c r="G2438" s="148">
        <v>-0.38217000000000001</v>
      </c>
      <c r="H2438" s="148">
        <v>-38.216999999999999</v>
      </c>
      <c r="I2438" s="728"/>
      <c r="J2438" s="148">
        <v>0.61782999999999999</v>
      </c>
      <c r="K2438" s="148">
        <v>0</v>
      </c>
      <c r="L2438" s="148">
        <v>5.6992599999999998</v>
      </c>
      <c r="M2438" s="148">
        <v>8</v>
      </c>
      <c r="N2438" s="148">
        <v>-2.3007399999999998</v>
      </c>
      <c r="O2438" s="148">
        <v>-28.759250000000002</v>
      </c>
      <c r="P2438" s="148">
        <v>2.8573</v>
      </c>
      <c r="Q2438" s="148">
        <v>2.8419599999999998</v>
      </c>
      <c r="R2438" s="148">
        <v>99.463129527875964</v>
      </c>
    </row>
    <row r="2439" spans="2:18" ht="15.75" hidden="1" thickBot="1" x14ac:dyDescent="0.3">
      <c r="B2439" s="725" t="s">
        <v>760</v>
      </c>
      <c r="C2439" s="722" t="s">
        <v>121</v>
      </c>
      <c r="D2439" t="s">
        <v>122</v>
      </c>
      <c r="E2439" s="729"/>
      <c r="F2439" s="729"/>
      <c r="G2439" s="729"/>
      <c r="H2439" s="729"/>
      <c r="I2439" s="729"/>
      <c r="J2439" s="729"/>
      <c r="K2439" s="729"/>
      <c r="L2439" s="147">
        <v>3.211E-2</v>
      </c>
      <c r="M2439" s="729"/>
      <c r="N2439" s="147">
        <v>3.211E-2</v>
      </c>
      <c r="O2439" s="147">
        <v>0</v>
      </c>
      <c r="P2439" s="147">
        <v>2.3310000000000001E-2</v>
      </c>
      <c r="Q2439" s="147">
        <v>8.8000000000000005E-3</v>
      </c>
      <c r="R2439" s="147">
        <v>37.752037752037751</v>
      </c>
    </row>
    <row r="2440" spans="2:18" ht="15.75" hidden="1" thickBot="1" x14ac:dyDescent="0.3">
      <c r="B2440" s="725" t="s">
        <v>760</v>
      </c>
      <c r="C2440" s="722" t="s">
        <v>77</v>
      </c>
      <c r="D2440" t="s">
        <v>78</v>
      </c>
      <c r="E2440" s="148">
        <v>0.37717000000000001</v>
      </c>
      <c r="F2440" s="148">
        <v>0.83337000000000006</v>
      </c>
      <c r="G2440" s="148">
        <v>-0.45619999999999999</v>
      </c>
      <c r="H2440" s="148">
        <v>-54.741591369979723</v>
      </c>
      <c r="I2440" s="728"/>
      <c r="J2440" s="148">
        <v>0.37717000000000001</v>
      </c>
      <c r="K2440" s="148">
        <v>0</v>
      </c>
      <c r="L2440" s="148">
        <v>8.5548400000000004</v>
      </c>
      <c r="M2440" s="148">
        <v>10</v>
      </c>
      <c r="N2440" s="148">
        <v>-1.44516</v>
      </c>
      <c r="O2440" s="148">
        <v>-14.451599999999999</v>
      </c>
      <c r="P2440" s="148">
        <v>2.5548999999999999</v>
      </c>
      <c r="Q2440" s="148">
        <v>5.9999399999999996</v>
      </c>
      <c r="R2440" s="148">
        <v>234.84050256370114</v>
      </c>
    </row>
    <row r="2441" spans="2:18" ht="15.75" hidden="1" thickBot="1" x14ac:dyDescent="0.3">
      <c r="B2441" s="725" t="s">
        <v>760</v>
      </c>
      <c r="C2441" s="722" t="s">
        <v>79</v>
      </c>
      <c r="D2441" t="s">
        <v>80</v>
      </c>
      <c r="E2441" s="147">
        <v>0.51543000000000005</v>
      </c>
      <c r="F2441" s="729"/>
      <c r="G2441" s="147">
        <v>0.51543000000000005</v>
      </c>
      <c r="H2441" s="147">
        <v>0</v>
      </c>
      <c r="I2441" s="729"/>
      <c r="J2441" s="147">
        <v>0.51543000000000005</v>
      </c>
      <c r="K2441" s="147">
        <v>0</v>
      </c>
      <c r="L2441" s="147">
        <v>5.0448899999999997</v>
      </c>
      <c r="M2441" s="729"/>
      <c r="N2441" s="147">
        <v>5.0448899999999997</v>
      </c>
      <c r="O2441" s="147">
        <v>0</v>
      </c>
      <c r="P2441" s="147">
        <v>1.86365</v>
      </c>
      <c r="Q2441" s="147">
        <v>3.1812399999999998</v>
      </c>
      <c r="R2441" s="147">
        <v>170.69943390658116</v>
      </c>
    </row>
    <row r="2442" spans="2:18" ht="15.75" hidden="1" thickBot="1" x14ac:dyDescent="0.3">
      <c r="B2442" s="725" t="s">
        <v>760</v>
      </c>
      <c r="C2442" s="722" t="s">
        <v>81</v>
      </c>
      <c r="D2442" t="s">
        <v>82</v>
      </c>
      <c r="E2442" s="148">
        <v>0.74165000000000003</v>
      </c>
      <c r="F2442" s="728"/>
      <c r="G2442" s="148">
        <v>0.74165000000000003</v>
      </c>
      <c r="H2442" s="148">
        <v>0</v>
      </c>
      <c r="I2442" s="728"/>
      <c r="J2442" s="148">
        <v>0.74165000000000003</v>
      </c>
      <c r="K2442" s="148">
        <v>0</v>
      </c>
      <c r="L2442" s="148">
        <v>0.86865000000000003</v>
      </c>
      <c r="M2442" s="728"/>
      <c r="N2442" s="148">
        <v>0.86865000000000003</v>
      </c>
      <c r="O2442" s="148">
        <v>0</v>
      </c>
      <c r="P2442" s="148">
        <v>0.1</v>
      </c>
      <c r="Q2442" s="148">
        <v>0.76865000000000006</v>
      </c>
      <c r="R2442" s="148">
        <v>768.65</v>
      </c>
    </row>
    <row r="2443" spans="2:18" ht="15.75" hidden="1" thickBot="1" x14ac:dyDescent="0.3">
      <c r="B2443" s="725" t="s">
        <v>760</v>
      </c>
      <c r="C2443" s="722" t="s">
        <v>123</v>
      </c>
      <c r="D2443" t="s">
        <v>124</v>
      </c>
      <c r="E2443" s="147">
        <v>0.35499999999999998</v>
      </c>
      <c r="F2443" s="729"/>
      <c r="G2443" s="147">
        <v>0.35499999999999998</v>
      </c>
      <c r="H2443" s="147">
        <v>0</v>
      </c>
      <c r="I2443" s="729"/>
      <c r="J2443" s="147">
        <v>0.35499999999999998</v>
      </c>
      <c r="K2443" s="147">
        <v>0</v>
      </c>
      <c r="L2443" s="147">
        <v>0.56159000000000003</v>
      </c>
      <c r="M2443" s="729"/>
      <c r="N2443" s="147">
        <v>0.56159000000000003</v>
      </c>
      <c r="O2443" s="147">
        <v>0</v>
      </c>
      <c r="P2443" s="147">
        <v>1.7989999999999999E-2</v>
      </c>
      <c r="Q2443" s="147">
        <v>0.54359999999999997</v>
      </c>
      <c r="R2443" s="147">
        <v>3021.6787103946635</v>
      </c>
    </row>
    <row r="2444" spans="2:18" ht="15.75" hidden="1" thickBot="1" x14ac:dyDescent="0.3">
      <c r="B2444" s="725" t="s">
        <v>760</v>
      </c>
      <c r="C2444" s="722" t="s">
        <v>695</v>
      </c>
      <c r="D2444" t="s">
        <v>696</v>
      </c>
      <c r="E2444" s="728"/>
      <c r="F2444" s="728"/>
      <c r="G2444" s="728"/>
      <c r="H2444" s="728"/>
      <c r="I2444" s="728"/>
      <c r="J2444" s="728"/>
      <c r="K2444" s="728"/>
      <c r="L2444" s="148">
        <v>0</v>
      </c>
      <c r="M2444" s="728"/>
      <c r="N2444" s="148">
        <v>0</v>
      </c>
      <c r="O2444" s="148">
        <v>0</v>
      </c>
      <c r="P2444" s="148">
        <v>-1.6979999999999999E-2</v>
      </c>
      <c r="Q2444" s="148">
        <v>1.6979999999999999E-2</v>
      </c>
      <c r="R2444" s="148">
        <v>100</v>
      </c>
    </row>
    <row r="2445" spans="2:18" ht="15.75" hidden="1" thickBot="1" x14ac:dyDescent="0.3">
      <c r="B2445" s="725" t="s">
        <v>760</v>
      </c>
      <c r="C2445" s="722" t="s">
        <v>83</v>
      </c>
      <c r="D2445" t="s">
        <v>84</v>
      </c>
      <c r="E2445" s="729"/>
      <c r="F2445" s="147">
        <v>0.46666999999999997</v>
      </c>
      <c r="G2445" s="147">
        <v>-0.46666999999999997</v>
      </c>
      <c r="H2445" s="147">
        <v>-100</v>
      </c>
      <c r="I2445" s="729"/>
      <c r="J2445" s="729"/>
      <c r="K2445" s="729"/>
      <c r="L2445" s="729"/>
      <c r="M2445" s="147">
        <v>5.6000399999999999</v>
      </c>
      <c r="N2445" s="147">
        <v>-5.6000399999999999</v>
      </c>
      <c r="O2445" s="147">
        <v>-100</v>
      </c>
      <c r="P2445" s="729"/>
      <c r="Q2445" s="729"/>
      <c r="R2445" s="729"/>
    </row>
    <row r="2446" spans="2:18" ht="15.75" hidden="1" thickBot="1" x14ac:dyDescent="0.3">
      <c r="B2446" s="725" t="s">
        <v>760</v>
      </c>
      <c r="C2446" s="149" t="s">
        <v>85</v>
      </c>
      <c r="D2446" t="s">
        <v>86</v>
      </c>
      <c r="E2446" s="148">
        <v>17.969850000000001</v>
      </c>
      <c r="F2446" s="148">
        <v>9.7166800000000002</v>
      </c>
      <c r="G2446" s="148">
        <v>8.2531700000000008</v>
      </c>
      <c r="H2446" s="148">
        <v>84.9381681809013</v>
      </c>
      <c r="I2446" s="728"/>
      <c r="J2446" s="148">
        <v>17.969850000000001</v>
      </c>
      <c r="K2446" s="148">
        <v>0</v>
      </c>
      <c r="L2446" s="148">
        <v>108.6909</v>
      </c>
      <c r="M2446" s="148">
        <v>112.60005</v>
      </c>
      <c r="N2446" s="148">
        <v>-3.9091499999999999</v>
      </c>
      <c r="O2446" s="148">
        <v>-3.4717124903585743</v>
      </c>
      <c r="P2446" s="148">
        <v>34.589030000000001</v>
      </c>
      <c r="Q2446" s="148">
        <v>74.101870000000005</v>
      </c>
      <c r="R2446" s="148">
        <v>214.23517803187889</v>
      </c>
    </row>
    <row r="2447" spans="2:18" ht="15.75" hidden="1" thickBot="1" x14ac:dyDescent="0.3">
      <c r="B2447" s="725" t="s">
        <v>760</v>
      </c>
      <c r="C2447" s="144" t="s">
        <v>87</v>
      </c>
      <c r="D2447" t="s">
        <v>87</v>
      </c>
      <c r="E2447" s="147">
        <v>57.847470000000001</v>
      </c>
      <c r="F2447" s="147">
        <v>50.243569999999998</v>
      </c>
      <c r="G2447" s="147">
        <v>7.6039000000000003</v>
      </c>
      <c r="H2447" s="147">
        <v>15.134075862841753</v>
      </c>
      <c r="I2447" s="729"/>
      <c r="J2447" s="147">
        <v>57.847470000000001</v>
      </c>
      <c r="K2447" s="147">
        <v>0</v>
      </c>
      <c r="L2447" s="147">
        <v>614.62062000000003</v>
      </c>
      <c r="M2447" s="147">
        <v>596.37139000000002</v>
      </c>
      <c r="N2447" s="147">
        <v>18.249230000000001</v>
      </c>
      <c r="O2447" s="147">
        <v>3.0600445135371097</v>
      </c>
      <c r="P2447" s="147">
        <v>278.09886</v>
      </c>
      <c r="Q2447" s="147">
        <v>336.52175999999997</v>
      </c>
      <c r="R2447" s="147">
        <v>121.00796098193283</v>
      </c>
    </row>
    <row r="2448" spans="2:18" ht="15.75" hidden="1" thickBot="1" x14ac:dyDescent="0.3">
      <c r="B2448" s="725" t="s">
        <v>761</v>
      </c>
      <c r="C2448" s="722" t="s">
        <v>59</v>
      </c>
      <c r="D2448" t="s">
        <v>60</v>
      </c>
      <c r="E2448" s="148">
        <v>10.649900000000001</v>
      </c>
      <c r="F2448" s="148">
        <v>15.38796</v>
      </c>
      <c r="G2448" s="148">
        <v>-4.7380599999999999</v>
      </c>
      <c r="H2448" s="148">
        <v>-30.79069610266728</v>
      </c>
      <c r="I2448" s="728"/>
      <c r="J2448" s="148">
        <v>10.649900000000001</v>
      </c>
      <c r="K2448" s="148">
        <v>0</v>
      </c>
      <c r="L2448" s="148">
        <v>160.45509000000001</v>
      </c>
      <c r="M2448" s="148">
        <v>183.68680000000001</v>
      </c>
      <c r="N2448" s="148">
        <v>-23.23171</v>
      </c>
      <c r="O2448" s="148">
        <v>-12.647457520083098</v>
      </c>
      <c r="P2448" s="148">
        <v>81.495450000000005</v>
      </c>
      <c r="Q2448" s="148">
        <v>78.959639999999993</v>
      </c>
      <c r="R2448" s="148">
        <v>96.888402972190477</v>
      </c>
    </row>
    <row r="2449" spans="2:18" ht="15.75" hidden="1" thickBot="1" x14ac:dyDescent="0.3">
      <c r="B2449" s="725" t="s">
        <v>761</v>
      </c>
      <c r="C2449" s="722" t="s">
        <v>91</v>
      </c>
      <c r="D2449" t="s">
        <v>92</v>
      </c>
      <c r="E2449" s="729"/>
      <c r="F2449" s="729"/>
      <c r="G2449" s="729"/>
      <c r="H2449" s="729"/>
      <c r="I2449" s="729"/>
      <c r="J2449" s="729"/>
      <c r="K2449" s="729"/>
      <c r="L2449" s="147">
        <v>-0.53290000000000004</v>
      </c>
      <c r="M2449" s="729"/>
      <c r="N2449" s="147">
        <v>-0.53290000000000004</v>
      </c>
      <c r="O2449" s="147">
        <v>0</v>
      </c>
      <c r="P2449" s="729"/>
      <c r="Q2449" s="147">
        <v>-0.53290000000000004</v>
      </c>
      <c r="R2449" s="147">
        <v>0</v>
      </c>
    </row>
    <row r="2450" spans="2:18" ht="15.75" hidden="1" thickBot="1" x14ac:dyDescent="0.3">
      <c r="B2450" s="725" t="s">
        <v>761</v>
      </c>
      <c r="C2450" s="722" t="s">
        <v>61</v>
      </c>
      <c r="D2450" t="s">
        <v>62</v>
      </c>
      <c r="E2450" s="148">
        <v>2.0702199999999999</v>
      </c>
      <c r="F2450" s="148">
        <v>2.3851300000000002</v>
      </c>
      <c r="G2450" s="148">
        <v>-0.31491000000000002</v>
      </c>
      <c r="H2450" s="148">
        <v>-13.203053921589179</v>
      </c>
      <c r="I2450" s="728"/>
      <c r="J2450" s="148">
        <v>2.0702199999999999</v>
      </c>
      <c r="K2450" s="148">
        <v>0</v>
      </c>
      <c r="L2450" s="148">
        <v>24.58445</v>
      </c>
      <c r="M2450" s="148">
        <v>28.471419999999998</v>
      </c>
      <c r="N2450" s="148">
        <v>-3.8869699999999998</v>
      </c>
      <c r="O2450" s="148">
        <v>-13.652181731715524</v>
      </c>
      <c r="P2450" s="148">
        <v>12.16324</v>
      </c>
      <c r="Q2450" s="148">
        <v>12.42121</v>
      </c>
      <c r="R2450" s="148">
        <v>102.12089870791006</v>
      </c>
    </row>
    <row r="2451" spans="2:18" ht="15.75" hidden="1" thickBot="1" x14ac:dyDescent="0.3">
      <c r="B2451" s="725" t="s">
        <v>761</v>
      </c>
      <c r="C2451" s="722" t="s">
        <v>63</v>
      </c>
      <c r="D2451" t="s">
        <v>64</v>
      </c>
      <c r="E2451" s="147">
        <v>8.0426300000000008</v>
      </c>
      <c r="F2451" s="147">
        <v>9.2789400000000004</v>
      </c>
      <c r="G2451" s="147">
        <v>-1.23631</v>
      </c>
      <c r="H2451" s="147">
        <v>-13.323827937242832</v>
      </c>
      <c r="I2451" s="729"/>
      <c r="J2451" s="147">
        <v>8.0426300000000008</v>
      </c>
      <c r="K2451" s="147">
        <v>0</v>
      </c>
      <c r="L2451" s="147">
        <v>95.508859999999999</v>
      </c>
      <c r="M2451" s="147">
        <v>110.76314000000001</v>
      </c>
      <c r="N2451" s="147">
        <v>-15.25428</v>
      </c>
      <c r="O2451" s="147">
        <v>-13.771982267747195</v>
      </c>
      <c r="P2451" s="147">
        <v>47.253210000000003</v>
      </c>
      <c r="Q2451" s="147">
        <v>48.255650000000003</v>
      </c>
      <c r="R2451" s="147">
        <v>102.12142201556254</v>
      </c>
    </row>
    <row r="2452" spans="2:18" ht="15.75" hidden="1" thickBot="1" x14ac:dyDescent="0.3">
      <c r="B2452" s="725" t="s">
        <v>761</v>
      </c>
      <c r="C2452" s="722" t="s">
        <v>156</v>
      </c>
      <c r="D2452" t="s">
        <v>157</v>
      </c>
      <c r="E2452" s="148">
        <v>3.6508600000000002</v>
      </c>
      <c r="F2452" s="148">
        <v>7.3285400000000003</v>
      </c>
      <c r="G2452" s="148">
        <v>-3.6776800000000001</v>
      </c>
      <c r="H2452" s="148">
        <v>-50.182983240863798</v>
      </c>
      <c r="I2452" s="728"/>
      <c r="J2452" s="148">
        <v>3.6508600000000002</v>
      </c>
      <c r="K2452" s="148">
        <v>0</v>
      </c>
      <c r="L2452" s="148">
        <v>57.941130000000001</v>
      </c>
      <c r="M2452" s="148">
        <v>87.481099999999998</v>
      </c>
      <c r="N2452" s="148">
        <v>-29.53997</v>
      </c>
      <c r="O2452" s="148">
        <v>-33.767259442325255</v>
      </c>
      <c r="P2452" s="148">
        <v>30.459679999999999</v>
      </c>
      <c r="Q2452" s="148">
        <v>27.481449999999999</v>
      </c>
      <c r="R2452" s="148">
        <v>90.222385790001738</v>
      </c>
    </row>
    <row r="2453" spans="2:18" ht="15.75" hidden="1" thickBot="1" x14ac:dyDescent="0.3">
      <c r="B2453" s="725" t="s">
        <v>761</v>
      </c>
      <c r="C2453" s="722" t="s">
        <v>574</v>
      </c>
      <c r="D2453" t="s">
        <v>575</v>
      </c>
      <c r="E2453" s="147">
        <v>0.81333</v>
      </c>
      <c r="F2453" s="729"/>
      <c r="G2453" s="147">
        <v>0.81333</v>
      </c>
      <c r="H2453" s="147">
        <v>0</v>
      </c>
      <c r="I2453" s="729"/>
      <c r="J2453" s="147">
        <v>0.81333</v>
      </c>
      <c r="K2453" s="147">
        <v>0</v>
      </c>
      <c r="L2453" s="147">
        <v>7.1517400000000002</v>
      </c>
      <c r="M2453" s="729"/>
      <c r="N2453" s="147">
        <v>7.1517400000000002</v>
      </c>
      <c r="O2453" s="147">
        <v>0</v>
      </c>
      <c r="P2453" s="729"/>
      <c r="Q2453" s="147">
        <v>7.1517400000000002</v>
      </c>
      <c r="R2453" s="147">
        <v>0</v>
      </c>
    </row>
    <row r="2454" spans="2:18" ht="15.75" hidden="1" thickBot="1" x14ac:dyDescent="0.3">
      <c r="B2454" s="725" t="s">
        <v>761</v>
      </c>
      <c r="C2454" s="722" t="s">
        <v>65</v>
      </c>
      <c r="D2454" t="s">
        <v>66</v>
      </c>
      <c r="E2454" s="148">
        <v>-5.3407600000000004</v>
      </c>
      <c r="F2454" s="148">
        <v>-8.1750799999999995</v>
      </c>
      <c r="G2454" s="148">
        <v>2.83432</v>
      </c>
      <c r="H2454" s="148">
        <v>34.670241759102055</v>
      </c>
      <c r="I2454" s="728"/>
      <c r="J2454" s="148">
        <v>-5.3407600000000004</v>
      </c>
      <c r="K2454" s="148">
        <v>0</v>
      </c>
      <c r="L2454" s="148">
        <v>-76.501400000000004</v>
      </c>
      <c r="M2454" s="148">
        <v>-97.586320000000001</v>
      </c>
      <c r="N2454" s="148">
        <v>21.08492</v>
      </c>
      <c r="O2454" s="148">
        <v>21.606430081593405</v>
      </c>
      <c r="P2454" s="148">
        <v>-34.858989999999999</v>
      </c>
      <c r="Q2454" s="148">
        <v>-41.642409999999998</v>
      </c>
      <c r="R2454" s="148">
        <v>-119.45959994824864</v>
      </c>
    </row>
    <row r="2455" spans="2:18" ht="15.75" hidden="1" thickBot="1" x14ac:dyDescent="0.3">
      <c r="B2455" s="725" t="s">
        <v>761</v>
      </c>
      <c r="C2455" s="149" t="s">
        <v>67</v>
      </c>
      <c r="D2455" t="s">
        <v>68</v>
      </c>
      <c r="E2455" s="147">
        <v>19.88618</v>
      </c>
      <c r="F2455" s="147">
        <v>26.205490000000001</v>
      </c>
      <c r="G2455" s="147">
        <v>-6.3193099999999998</v>
      </c>
      <c r="H2455" s="147">
        <v>-24.114450826906882</v>
      </c>
      <c r="I2455" s="729"/>
      <c r="J2455" s="147">
        <v>19.88618</v>
      </c>
      <c r="K2455" s="147">
        <v>0</v>
      </c>
      <c r="L2455" s="147">
        <v>268.60696999999999</v>
      </c>
      <c r="M2455" s="147">
        <v>312.81614000000002</v>
      </c>
      <c r="N2455" s="147">
        <v>-44.20917</v>
      </c>
      <c r="O2455" s="147">
        <v>-14.132637145896627</v>
      </c>
      <c r="P2455" s="147">
        <v>136.51258999999999</v>
      </c>
      <c r="Q2455" s="147">
        <v>132.09438</v>
      </c>
      <c r="R2455" s="147">
        <v>96.763514632606416</v>
      </c>
    </row>
    <row r="2456" spans="2:18" ht="15.75" hidden="1" thickBot="1" x14ac:dyDescent="0.3">
      <c r="B2456" s="725" t="s">
        <v>761</v>
      </c>
      <c r="C2456" s="722" t="s">
        <v>69</v>
      </c>
      <c r="D2456" t="s">
        <v>70</v>
      </c>
      <c r="E2456" s="728"/>
      <c r="F2456" s="148">
        <v>0.15</v>
      </c>
      <c r="G2456" s="148">
        <v>-0.15</v>
      </c>
      <c r="H2456" s="148">
        <v>-100</v>
      </c>
      <c r="I2456" s="728"/>
      <c r="J2456" s="728"/>
      <c r="K2456" s="728"/>
      <c r="L2456" s="148">
        <v>1.6242700000000001</v>
      </c>
      <c r="M2456" s="148">
        <v>1.8</v>
      </c>
      <c r="N2456" s="148">
        <v>-0.17573</v>
      </c>
      <c r="O2456" s="148">
        <v>-9.762777777777778</v>
      </c>
      <c r="P2456" s="148">
        <v>1.0997699999999999</v>
      </c>
      <c r="Q2456" s="148">
        <v>0.52449999999999997</v>
      </c>
      <c r="R2456" s="148">
        <v>47.691790101566689</v>
      </c>
    </row>
    <row r="2457" spans="2:18" ht="15.75" hidden="1" thickBot="1" x14ac:dyDescent="0.3">
      <c r="B2457" s="725" t="s">
        <v>761</v>
      </c>
      <c r="C2457" s="722" t="s">
        <v>99</v>
      </c>
      <c r="D2457" t="s">
        <v>100</v>
      </c>
      <c r="E2457" s="729"/>
      <c r="F2457" s="147">
        <v>0</v>
      </c>
      <c r="G2457" s="147">
        <v>0</v>
      </c>
      <c r="H2457" s="147">
        <v>0</v>
      </c>
      <c r="I2457" s="729"/>
      <c r="J2457" s="729"/>
      <c r="K2457" s="729"/>
      <c r="L2457" s="729"/>
      <c r="M2457" s="147">
        <v>1.31</v>
      </c>
      <c r="N2457" s="147">
        <v>-1.31</v>
      </c>
      <c r="O2457" s="147">
        <v>-100</v>
      </c>
      <c r="P2457" s="729"/>
      <c r="Q2457" s="729"/>
      <c r="R2457" s="729"/>
    </row>
    <row r="2458" spans="2:18" ht="15.75" hidden="1" thickBot="1" x14ac:dyDescent="0.3">
      <c r="B2458" s="725" t="s">
        <v>761</v>
      </c>
      <c r="C2458" s="722" t="s">
        <v>137</v>
      </c>
      <c r="D2458" t="s">
        <v>138</v>
      </c>
      <c r="E2458" s="728"/>
      <c r="F2458" s="148">
        <v>0.05</v>
      </c>
      <c r="G2458" s="148">
        <v>-0.05</v>
      </c>
      <c r="H2458" s="148">
        <v>-100</v>
      </c>
      <c r="I2458" s="728"/>
      <c r="J2458" s="728"/>
      <c r="K2458" s="728"/>
      <c r="L2458" s="148">
        <v>0.98292000000000002</v>
      </c>
      <c r="M2458" s="148">
        <v>0.5</v>
      </c>
      <c r="N2458" s="148">
        <v>0.48292000000000002</v>
      </c>
      <c r="O2458" s="148">
        <v>96.584000000000003</v>
      </c>
      <c r="P2458" s="148">
        <v>0.37070999999999998</v>
      </c>
      <c r="Q2458" s="148">
        <v>0.61221000000000003</v>
      </c>
      <c r="R2458" s="148">
        <v>165.14526179493404</v>
      </c>
    </row>
    <row r="2459" spans="2:18" ht="15.75" hidden="1" thickBot="1" x14ac:dyDescent="0.3">
      <c r="B2459" s="725" t="s">
        <v>761</v>
      </c>
      <c r="C2459" s="722" t="s">
        <v>190</v>
      </c>
      <c r="D2459" t="s">
        <v>191</v>
      </c>
      <c r="E2459" s="729"/>
      <c r="F2459" s="729"/>
      <c r="G2459" s="729"/>
      <c r="H2459" s="729"/>
      <c r="I2459" s="729"/>
      <c r="J2459" s="729"/>
      <c r="K2459" s="729"/>
      <c r="L2459" s="147">
        <v>0.30708999999999997</v>
      </c>
      <c r="M2459" s="729"/>
      <c r="N2459" s="147">
        <v>0.30708999999999997</v>
      </c>
      <c r="O2459" s="147">
        <v>0</v>
      </c>
      <c r="P2459" s="147">
        <v>0.15162999999999999</v>
      </c>
      <c r="Q2459" s="147">
        <v>0.15545999999999999</v>
      </c>
      <c r="R2459" s="147">
        <v>102.5258853788828</v>
      </c>
    </row>
    <row r="2460" spans="2:18" ht="15.75" hidden="1" thickBot="1" x14ac:dyDescent="0.3">
      <c r="B2460" s="725" t="s">
        <v>761</v>
      </c>
      <c r="C2460" s="722" t="s">
        <v>36</v>
      </c>
      <c r="D2460" t="s">
        <v>192</v>
      </c>
      <c r="E2460" s="728"/>
      <c r="F2460" s="148">
        <v>0</v>
      </c>
      <c r="G2460" s="148">
        <v>0</v>
      </c>
      <c r="H2460" s="148">
        <v>0</v>
      </c>
      <c r="I2460" s="728"/>
      <c r="J2460" s="728"/>
      <c r="K2460" s="728"/>
      <c r="L2460" s="728"/>
      <c r="M2460" s="148">
        <v>2.5</v>
      </c>
      <c r="N2460" s="148">
        <v>-2.5</v>
      </c>
      <c r="O2460" s="148">
        <v>-100</v>
      </c>
      <c r="P2460" s="728"/>
      <c r="Q2460" s="728"/>
      <c r="R2460" s="728"/>
    </row>
    <row r="2461" spans="2:18" ht="15.75" hidden="1" thickBot="1" x14ac:dyDescent="0.3">
      <c r="B2461" s="725" t="s">
        <v>761</v>
      </c>
      <c r="C2461" s="722" t="s">
        <v>139</v>
      </c>
      <c r="D2461" t="s">
        <v>140</v>
      </c>
      <c r="E2461" s="729"/>
      <c r="F2461" s="147">
        <v>0</v>
      </c>
      <c r="G2461" s="147">
        <v>0</v>
      </c>
      <c r="H2461" s="147">
        <v>0</v>
      </c>
      <c r="I2461" s="729"/>
      <c r="J2461" s="729"/>
      <c r="K2461" s="729"/>
      <c r="L2461" s="147">
        <v>1.95</v>
      </c>
      <c r="M2461" s="147">
        <v>1.55</v>
      </c>
      <c r="N2461" s="147">
        <v>0.4</v>
      </c>
      <c r="O2461" s="147">
        <v>25.806451612903224</v>
      </c>
      <c r="P2461" s="729"/>
      <c r="Q2461" s="147">
        <v>1.95</v>
      </c>
      <c r="R2461" s="147">
        <v>0</v>
      </c>
    </row>
    <row r="2462" spans="2:18" ht="15.75" hidden="1" thickBot="1" x14ac:dyDescent="0.3">
      <c r="B2462" s="725" t="s">
        <v>761</v>
      </c>
      <c r="C2462" s="722" t="s">
        <v>169</v>
      </c>
      <c r="D2462" t="s">
        <v>170</v>
      </c>
      <c r="E2462" s="728"/>
      <c r="F2462" s="148">
        <v>0.05</v>
      </c>
      <c r="G2462" s="148">
        <v>-0.05</v>
      </c>
      <c r="H2462" s="148">
        <v>-100</v>
      </c>
      <c r="I2462" s="728"/>
      <c r="J2462" s="728"/>
      <c r="K2462" s="728"/>
      <c r="L2462" s="148">
        <v>7.356E-2</v>
      </c>
      <c r="M2462" s="148">
        <v>1.25</v>
      </c>
      <c r="N2462" s="148">
        <v>-1.1764399999999999</v>
      </c>
      <c r="O2462" s="148">
        <v>-94.115200000000002</v>
      </c>
      <c r="P2462" s="148">
        <v>0.17777000000000001</v>
      </c>
      <c r="Q2462" s="148">
        <v>-0.10421</v>
      </c>
      <c r="R2462" s="148">
        <v>-58.620689655172413</v>
      </c>
    </row>
    <row r="2463" spans="2:18" ht="15.75" hidden="1" thickBot="1" x14ac:dyDescent="0.3">
      <c r="B2463" s="725" t="s">
        <v>761</v>
      </c>
      <c r="C2463" s="722" t="s">
        <v>101</v>
      </c>
      <c r="D2463" t="s">
        <v>102</v>
      </c>
      <c r="E2463" s="729"/>
      <c r="F2463" s="147">
        <v>0</v>
      </c>
      <c r="G2463" s="147">
        <v>0</v>
      </c>
      <c r="H2463" s="147">
        <v>0</v>
      </c>
      <c r="I2463" s="729"/>
      <c r="J2463" s="729"/>
      <c r="K2463" s="729"/>
      <c r="L2463" s="147">
        <v>8.6470000000000005E-2</v>
      </c>
      <c r="M2463" s="147">
        <v>0</v>
      </c>
      <c r="N2463" s="147">
        <v>8.6470000000000005E-2</v>
      </c>
      <c r="O2463" s="147">
        <v>0</v>
      </c>
      <c r="P2463" s="729"/>
      <c r="Q2463" s="147">
        <v>8.6470000000000005E-2</v>
      </c>
      <c r="R2463" s="147">
        <v>0</v>
      </c>
    </row>
    <row r="2464" spans="2:18" ht="15.75" hidden="1" thickBot="1" x14ac:dyDescent="0.3">
      <c r="B2464" s="725" t="s">
        <v>761</v>
      </c>
      <c r="C2464" s="722" t="s">
        <v>109</v>
      </c>
      <c r="D2464" t="s">
        <v>110</v>
      </c>
      <c r="E2464" s="728"/>
      <c r="F2464" s="148">
        <v>0</v>
      </c>
      <c r="G2464" s="148">
        <v>0</v>
      </c>
      <c r="H2464" s="148">
        <v>0</v>
      </c>
      <c r="I2464" s="728"/>
      <c r="J2464" s="728"/>
      <c r="K2464" s="728"/>
      <c r="L2464" s="148">
        <v>0.24773999999999999</v>
      </c>
      <c r="M2464" s="148">
        <v>1.54</v>
      </c>
      <c r="N2464" s="148">
        <v>-1.29226</v>
      </c>
      <c r="O2464" s="148">
        <v>-83.912987012987017</v>
      </c>
      <c r="P2464" s="148">
        <v>0.22500000000000001</v>
      </c>
      <c r="Q2464" s="148">
        <v>2.274E-2</v>
      </c>
      <c r="R2464" s="148">
        <v>10.106666666666667</v>
      </c>
    </row>
    <row r="2465" spans="2:18" ht="15.75" hidden="1" thickBot="1" x14ac:dyDescent="0.3">
      <c r="B2465" s="725" t="s">
        <v>761</v>
      </c>
      <c r="C2465" s="722" t="s">
        <v>73</v>
      </c>
      <c r="D2465" t="s">
        <v>74</v>
      </c>
      <c r="E2465" s="729"/>
      <c r="F2465" s="147">
        <v>0.1</v>
      </c>
      <c r="G2465" s="147">
        <v>-0.1</v>
      </c>
      <c r="H2465" s="147">
        <v>-100</v>
      </c>
      <c r="I2465" s="729"/>
      <c r="J2465" s="729"/>
      <c r="K2465" s="729"/>
      <c r="L2465" s="147">
        <v>0.50007000000000001</v>
      </c>
      <c r="M2465" s="147">
        <v>1.5</v>
      </c>
      <c r="N2465" s="147">
        <v>-0.99992999999999999</v>
      </c>
      <c r="O2465" s="147">
        <v>-66.662000000000006</v>
      </c>
      <c r="P2465" s="147">
        <v>0.44191999999999998</v>
      </c>
      <c r="Q2465" s="147">
        <v>5.815E-2</v>
      </c>
      <c r="R2465" s="147">
        <v>13.158490224475019</v>
      </c>
    </row>
    <row r="2466" spans="2:18" ht="15.75" hidden="1" thickBot="1" x14ac:dyDescent="0.3">
      <c r="B2466" s="725" t="s">
        <v>761</v>
      </c>
      <c r="C2466" s="722" t="s">
        <v>111</v>
      </c>
      <c r="D2466" t="s">
        <v>112</v>
      </c>
      <c r="E2466" s="148">
        <v>0</v>
      </c>
      <c r="F2466" s="148">
        <v>0</v>
      </c>
      <c r="G2466" s="148">
        <v>0</v>
      </c>
      <c r="H2466" s="148">
        <v>0</v>
      </c>
      <c r="I2466" s="728"/>
      <c r="J2466" s="148">
        <v>0</v>
      </c>
      <c r="K2466" s="148">
        <v>0</v>
      </c>
      <c r="L2466" s="148">
        <v>0.14624999999999999</v>
      </c>
      <c r="M2466" s="148">
        <v>8.7750000000000004</v>
      </c>
      <c r="N2466" s="148">
        <v>-8.6287500000000001</v>
      </c>
      <c r="O2466" s="148">
        <v>-98.333333333333329</v>
      </c>
      <c r="P2466" s="148">
        <v>0</v>
      </c>
      <c r="Q2466" s="148">
        <v>0.14624999999999999</v>
      </c>
      <c r="R2466" s="148">
        <v>0</v>
      </c>
    </row>
    <row r="2467" spans="2:18" ht="15.75" hidden="1" thickBot="1" x14ac:dyDescent="0.3">
      <c r="B2467" s="725" t="s">
        <v>761</v>
      </c>
      <c r="C2467" s="722" t="s">
        <v>141</v>
      </c>
      <c r="D2467" t="s">
        <v>142</v>
      </c>
      <c r="E2467" s="729"/>
      <c r="F2467" s="729"/>
      <c r="G2467" s="729"/>
      <c r="H2467" s="729"/>
      <c r="I2467" s="729"/>
      <c r="J2467" s="729"/>
      <c r="K2467" s="729"/>
      <c r="L2467" s="147">
        <v>0.12</v>
      </c>
      <c r="M2467" s="147">
        <v>0.15</v>
      </c>
      <c r="N2467" s="147">
        <v>-0.03</v>
      </c>
      <c r="O2467" s="147">
        <v>-20</v>
      </c>
      <c r="P2467" s="729"/>
      <c r="Q2467" s="147">
        <v>0.12</v>
      </c>
      <c r="R2467" s="147">
        <v>0</v>
      </c>
    </row>
    <row r="2468" spans="2:18" ht="15.75" hidden="1" thickBot="1" x14ac:dyDescent="0.3">
      <c r="B2468" s="725" t="s">
        <v>761</v>
      </c>
      <c r="C2468" s="722" t="s">
        <v>113</v>
      </c>
      <c r="D2468" t="s">
        <v>114</v>
      </c>
      <c r="E2468" s="728"/>
      <c r="F2468" s="148">
        <v>2.5000000000000001E-2</v>
      </c>
      <c r="G2468" s="148">
        <v>-2.5000000000000001E-2</v>
      </c>
      <c r="H2468" s="148">
        <v>-100</v>
      </c>
      <c r="I2468" s="728"/>
      <c r="J2468" s="728"/>
      <c r="K2468" s="728"/>
      <c r="L2468" s="148">
        <v>4.7999999999999996E-3</v>
      </c>
      <c r="M2468" s="148">
        <v>0.5</v>
      </c>
      <c r="N2468" s="148">
        <v>-0.49519999999999997</v>
      </c>
      <c r="O2468" s="148">
        <v>-99.04</v>
      </c>
      <c r="P2468" s="728"/>
      <c r="Q2468" s="148">
        <v>4.7999999999999996E-3</v>
      </c>
      <c r="R2468" s="148">
        <v>0</v>
      </c>
    </row>
    <row r="2469" spans="2:18" ht="15.75" hidden="1" thickBot="1" x14ac:dyDescent="0.3">
      <c r="B2469" s="725" t="s">
        <v>761</v>
      </c>
      <c r="C2469" s="722" t="s">
        <v>635</v>
      </c>
      <c r="D2469" t="s">
        <v>636</v>
      </c>
      <c r="E2469" s="147">
        <v>-372.18711000000002</v>
      </c>
      <c r="F2469" s="147">
        <v>-242.69186999999999</v>
      </c>
      <c r="G2469" s="147">
        <v>-129.49524</v>
      </c>
      <c r="H2469" s="147">
        <v>-53.357881333231312</v>
      </c>
      <c r="I2469" s="729"/>
      <c r="J2469" s="147">
        <v>-372.18711000000002</v>
      </c>
      <c r="K2469" s="147">
        <v>0</v>
      </c>
      <c r="L2469" s="147">
        <v>-4426.0128999999997</v>
      </c>
      <c r="M2469" s="147">
        <v>-3918.6577000000002</v>
      </c>
      <c r="N2469" s="147">
        <v>-507.35520000000002</v>
      </c>
      <c r="O2469" s="147">
        <v>-12.947168108099874</v>
      </c>
      <c r="P2469" s="147">
        <v>-2029.7476300000001</v>
      </c>
      <c r="Q2469" s="147">
        <v>-2396.2652699999999</v>
      </c>
      <c r="R2469" s="147">
        <v>-118.05730104485946</v>
      </c>
    </row>
    <row r="2470" spans="2:18" ht="15.75" hidden="1" thickBot="1" x14ac:dyDescent="0.3">
      <c r="B2470" s="725" t="s">
        <v>761</v>
      </c>
      <c r="C2470" s="722" t="s">
        <v>145</v>
      </c>
      <c r="D2470" t="s">
        <v>146</v>
      </c>
      <c r="E2470" s="728"/>
      <c r="F2470" s="148">
        <v>0.01</v>
      </c>
      <c r="G2470" s="148">
        <v>-0.01</v>
      </c>
      <c r="H2470" s="148">
        <v>-100</v>
      </c>
      <c r="I2470" s="728"/>
      <c r="J2470" s="728"/>
      <c r="K2470" s="728"/>
      <c r="L2470" s="148">
        <v>2.9000000000000001E-2</v>
      </c>
      <c r="M2470" s="148">
        <v>0.15</v>
      </c>
      <c r="N2470" s="148">
        <v>-0.121</v>
      </c>
      <c r="O2470" s="148">
        <v>-80.666666666666671</v>
      </c>
      <c r="P2470" s="148">
        <v>0.02</v>
      </c>
      <c r="Q2470" s="148">
        <v>8.9999999999999993E-3</v>
      </c>
      <c r="R2470" s="148">
        <v>45</v>
      </c>
    </row>
    <row r="2471" spans="2:18" ht="15.75" hidden="1" thickBot="1" x14ac:dyDescent="0.3">
      <c r="B2471" s="725" t="s">
        <v>761</v>
      </c>
      <c r="C2471" s="722" t="s">
        <v>149</v>
      </c>
      <c r="D2471" t="s">
        <v>150</v>
      </c>
      <c r="E2471" s="147">
        <v>119.60872000000001</v>
      </c>
      <c r="F2471" s="147">
        <v>64.751379999999997</v>
      </c>
      <c r="G2471" s="147">
        <v>54.857340000000001</v>
      </c>
      <c r="H2471" s="147">
        <v>84.719955003275601</v>
      </c>
      <c r="I2471" s="729"/>
      <c r="J2471" s="147">
        <v>119.60872000000001</v>
      </c>
      <c r="K2471" s="147">
        <v>0</v>
      </c>
      <c r="L2471" s="147">
        <v>1167.5459499999999</v>
      </c>
      <c r="M2471" s="147">
        <v>849.91656</v>
      </c>
      <c r="N2471" s="147">
        <v>317.62939</v>
      </c>
      <c r="O2471" s="147">
        <v>37.371832124320534</v>
      </c>
      <c r="P2471" s="147">
        <v>447.74121000000002</v>
      </c>
      <c r="Q2471" s="147">
        <v>719.80474000000004</v>
      </c>
      <c r="R2471" s="147">
        <v>160.76356697209087</v>
      </c>
    </row>
    <row r="2472" spans="2:18" ht="15.75" hidden="1" thickBot="1" x14ac:dyDescent="0.3">
      <c r="B2472" s="725" t="s">
        <v>761</v>
      </c>
      <c r="C2472" s="722" t="s">
        <v>645</v>
      </c>
      <c r="D2472" t="s">
        <v>646</v>
      </c>
      <c r="E2472" s="728"/>
      <c r="F2472" s="148">
        <v>0</v>
      </c>
      <c r="G2472" s="148">
        <v>0</v>
      </c>
      <c r="H2472" s="148">
        <v>0</v>
      </c>
      <c r="I2472" s="728"/>
      <c r="J2472" s="728"/>
      <c r="K2472" s="728"/>
      <c r="L2472" s="148">
        <v>-0.13469</v>
      </c>
      <c r="M2472" s="148">
        <v>1</v>
      </c>
      <c r="N2472" s="148">
        <v>-1.13469</v>
      </c>
      <c r="O2472" s="148">
        <v>-113.46899999999999</v>
      </c>
      <c r="P2472" s="148">
        <v>-0.13469</v>
      </c>
      <c r="Q2472" s="148">
        <v>0</v>
      </c>
      <c r="R2472" s="148">
        <v>0</v>
      </c>
    </row>
    <row r="2473" spans="2:18" ht="15.75" hidden="1" thickBot="1" x14ac:dyDescent="0.3">
      <c r="B2473" s="725" t="s">
        <v>761</v>
      </c>
      <c r="C2473" s="722" t="s">
        <v>483</v>
      </c>
      <c r="D2473" t="s">
        <v>484</v>
      </c>
      <c r="E2473" s="729"/>
      <c r="F2473" s="729"/>
      <c r="G2473" s="729"/>
      <c r="H2473" s="729"/>
      <c r="I2473" s="729"/>
      <c r="J2473" s="729"/>
      <c r="K2473" s="729"/>
      <c r="L2473" s="147">
        <v>5</v>
      </c>
      <c r="M2473" s="147">
        <v>5</v>
      </c>
      <c r="N2473" s="147">
        <v>0</v>
      </c>
      <c r="O2473" s="147">
        <v>0</v>
      </c>
      <c r="P2473" s="729"/>
      <c r="Q2473" s="147">
        <v>5</v>
      </c>
      <c r="R2473" s="147">
        <v>0</v>
      </c>
    </row>
    <row r="2474" spans="2:18" ht="15.75" hidden="1" thickBot="1" x14ac:dyDescent="0.3">
      <c r="B2474" s="725" t="s">
        <v>761</v>
      </c>
      <c r="C2474" s="722" t="s">
        <v>665</v>
      </c>
      <c r="D2474" t="s">
        <v>666</v>
      </c>
      <c r="E2474" s="148">
        <v>232.19092000000001</v>
      </c>
      <c r="F2474" s="148">
        <v>150</v>
      </c>
      <c r="G2474" s="148">
        <v>82.190920000000006</v>
      </c>
      <c r="H2474" s="148">
        <v>54.793946666666663</v>
      </c>
      <c r="I2474" s="728"/>
      <c r="J2474" s="148">
        <v>232.19092000000001</v>
      </c>
      <c r="K2474" s="148">
        <v>0</v>
      </c>
      <c r="L2474" s="148">
        <v>2972.1191600000002</v>
      </c>
      <c r="M2474" s="148">
        <v>2700</v>
      </c>
      <c r="N2474" s="148">
        <v>272.11916000000002</v>
      </c>
      <c r="O2474" s="148">
        <v>10.078487407407408</v>
      </c>
      <c r="P2474" s="148">
        <v>1439.9604300000001</v>
      </c>
      <c r="Q2474" s="148">
        <v>1532.1587300000001</v>
      </c>
      <c r="R2474" s="148">
        <v>106.40283566681065</v>
      </c>
    </row>
    <row r="2475" spans="2:18" ht="15.75" hidden="1" thickBot="1" x14ac:dyDescent="0.3">
      <c r="B2475" s="725" t="s">
        <v>761</v>
      </c>
      <c r="C2475" s="722" t="s">
        <v>153</v>
      </c>
      <c r="D2475" t="s">
        <v>154</v>
      </c>
      <c r="E2475" s="729"/>
      <c r="F2475" s="729"/>
      <c r="G2475" s="729"/>
      <c r="H2475" s="729"/>
      <c r="I2475" s="729"/>
      <c r="J2475" s="729"/>
      <c r="K2475" s="729"/>
      <c r="L2475" s="147">
        <v>6.6650000000000001E-2</v>
      </c>
      <c r="M2475" s="729"/>
      <c r="N2475" s="147">
        <v>6.6650000000000001E-2</v>
      </c>
      <c r="O2475" s="147">
        <v>0</v>
      </c>
      <c r="P2475" s="729"/>
      <c r="Q2475" s="147">
        <v>6.6650000000000001E-2</v>
      </c>
      <c r="R2475" s="147">
        <v>0</v>
      </c>
    </row>
    <row r="2476" spans="2:18" ht="15.75" hidden="1" thickBot="1" x14ac:dyDescent="0.3">
      <c r="B2476" s="725" t="s">
        <v>761</v>
      </c>
      <c r="C2476" s="722" t="s">
        <v>75</v>
      </c>
      <c r="D2476" t="s">
        <v>76</v>
      </c>
      <c r="E2476" s="148">
        <v>0.11729000000000001</v>
      </c>
      <c r="F2476" s="148">
        <v>0.25</v>
      </c>
      <c r="G2476" s="148">
        <v>-0.13270999999999999</v>
      </c>
      <c r="H2476" s="148">
        <v>-53.084000000000003</v>
      </c>
      <c r="I2476" s="728"/>
      <c r="J2476" s="148">
        <v>0.11729000000000001</v>
      </c>
      <c r="K2476" s="148">
        <v>0</v>
      </c>
      <c r="L2476" s="148">
        <v>1.33413</v>
      </c>
      <c r="M2476" s="148">
        <v>7</v>
      </c>
      <c r="N2476" s="148">
        <v>-5.66587</v>
      </c>
      <c r="O2476" s="148">
        <v>-80.941000000000003</v>
      </c>
      <c r="P2476" s="148">
        <v>0.49286999999999997</v>
      </c>
      <c r="Q2476" s="148">
        <v>0.84126000000000001</v>
      </c>
      <c r="R2476" s="148">
        <v>170.68598210481466</v>
      </c>
    </row>
    <row r="2477" spans="2:18" ht="15.75" hidden="1" thickBot="1" x14ac:dyDescent="0.3">
      <c r="B2477" s="725" t="s">
        <v>761</v>
      </c>
      <c r="C2477" s="722" t="s">
        <v>77</v>
      </c>
      <c r="D2477" t="s">
        <v>78</v>
      </c>
      <c r="E2477" s="729"/>
      <c r="F2477" s="147">
        <v>1</v>
      </c>
      <c r="G2477" s="147">
        <v>-1</v>
      </c>
      <c r="H2477" s="147">
        <v>-100</v>
      </c>
      <c r="I2477" s="729"/>
      <c r="J2477" s="729"/>
      <c r="K2477" s="729"/>
      <c r="L2477" s="147">
        <v>5.0185599999999999</v>
      </c>
      <c r="M2477" s="147">
        <v>17.7</v>
      </c>
      <c r="N2477" s="147">
        <v>-12.68144</v>
      </c>
      <c r="O2477" s="147">
        <v>-71.646553672316386</v>
      </c>
      <c r="P2477" s="147">
        <v>2.6884199999999998</v>
      </c>
      <c r="Q2477" s="147">
        <v>2.3301400000000001</v>
      </c>
      <c r="R2477" s="147">
        <v>86.673213262808645</v>
      </c>
    </row>
    <row r="2478" spans="2:18" ht="15.75" hidden="1" thickBot="1" x14ac:dyDescent="0.3">
      <c r="B2478" s="725" t="s">
        <v>761</v>
      </c>
      <c r="C2478" s="722" t="s">
        <v>79</v>
      </c>
      <c r="D2478" t="s">
        <v>80</v>
      </c>
      <c r="E2478" s="728"/>
      <c r="F2478" s="148">
        <v>0</v>
      </c>
      <c r="G2478" s="148">
        <v>0</v>
      </c>
      <c r="H2478" s="148">
        <v>0</v>
      </c>
      <c r="I2478" s="728"/>
      <c r="J2478" s="728"/>
      <c r="K2478" s="728"/>
      <c r="L2478" s="728"/>
      <c r="M2478" s="148">
        <v>2.5</v>
      </c>
      <c r="N2478" s="148">
        <v>-2.5</v>
      </c>
      <c r="O2478" s="148">
        <v>-100</v>
      </c>
      <c r="P2478" s="728"/>
      <c r="Q2478" s="728"/>
      <c r="R2478" s="728"/>
    </row>
    <row r="2479" spans="2:18" ht="15.75" hidden="1" thickBot="1" x14ac:dyDescent="0.3">
      <c r="B2479" s="725" t="s">
        <v>761</v>
      </c>
      <c r="C2479" s="722" t="s">
        <v>81</v>
      </c>
      <c r="D2479" t="s">
        <v>82</v>
      </c>
      <c r="E2479" s="147">
        <v>0.38400000000000001</v>
      </c>
      <c r="F2479" s="147">
        <v>0.05</v>
      </c>
      <c r="G2479" s="147">
        <v>0.33400000000000002</v>
      </c>
      <c r="H2479" s="147">
        <v>668</v>
      </c>
      <c r="I2479" s="729"/>
      <c r="J2479" s="147">
        <v>0.38400000000000001</v>
      </c>
      <c r="K2479" s="147">
        <v>0</v>
      </c>
      <c r="L2479" s="147">
        <v>0.38400000000000001</v>
      </c>
      <c r="M2479" s="147">
        <v>0.6</v>
      </c>
      <c r="N2479" s="147">
        <v>-0.216</v>
      </c>
      <c r="O2479" s="147">
        <v>-36</v>
      </c>
      <c r="P2479" s="729"/>
      <c r="Q2479" s="147">
        <v>0.38400000000000001</v>
      </c>
      <c r="R2479" s="147">
        <v>0</v>
      </c>
    </row>
    <row r="2480" spans="2:18" ht="15.75" hidden="1" thickBot="1" x14ac:dyDescent="0.3">
      <c r="B2480" s="725" t="s">
        <v>761</v>
      </c>
      <c r="C2480" s="722" t="s">
        <v>123</v>
      </c>
      <c r="D2480" t="s">
        <v>124</v>
      </c>
      <c r="E2480" s="728"/>
      <c r="F2480" s="148">
        <v>0</v>
      </c>
      <c r="G2480" s="148">
        <v>0</v>
      </c>
      <c r="H2480" s="148">
        <v>0</v>
      </c>
      <c r="I2480" s="728"/>
      <c r="J2480" s="728"/>
      <c r="K2480" s="728"/>
      <c r="L2480" s="728"/>
      <c r="M2480" s="148">
        <v>0</v>
      </c>
      <c r="N2480" s="148">
        <v>0</v>
      </c>
      <c r="O2480" s="148">
        <v>0</v>
      </c>
      <c r="P2480" s="728"/>
      <c r="Q2480" s="728"/>
      <c r="R2480" s="728"/>
    </row>
    <row r="2481" spans="2:18" ht="15.75" hidden="1" thickBot="1" x14ac:dyDescent="0.3">
      <c r="B2481" s="725" t="s">
        <v>761</v>
      </c>
      <c r="C2481" s="722" t="s">
        <v>83</v>
      </c>
      <c r="D2481" t="s">
        <v>84</v>
      </c>
      <c r="E2481" s="729"/>
      <c r="F2481" s="147">
        <v>0.05</v>
      </c>
      <c r="G2481" s="147">
        <v>-0.05</v>
      </c>
      <c r="H2481" s="147">
        <v>-100</v>
      </c>
      <c r="I2481" s="729"/>
      <c r="J2481" s="729"/>
      <c r="K2481" s="729"/>
      <c r="L2481" s="729"/>
      <c r="M2481" s="147">
        <v>0.6</v>
      </c>
      <c r="N2481" s="147">
        <v>-0.6</v>
      </c>
      <c r="O2481" s="147">
        <v>-100</v>
      </c>
      <c r="P2481" s="729"/>
      <c r="Q2481" s="729"/>
      <c r="R2481" s="729"/>
    </row>
    <row r="2482" spans="2:18" ht="15.75" hidden="1" thickBot="1" x14ac:dyDescent="0.3">
      <c r="B2482" s="725" t="s">
        <v>761</v>
      </c>
      <c r="C2482" s="149" t="s">
        <v>85</v>
      </c>
      <c r="D2482" t="s">
        <v>86</v>
      </c>
      <c r="E2482" s="148">
        <v>-19.88618</v>
      </c>
      <c r="F2482" s="148">
        <v>-26.205490000000001</v>
      </c>
      <c r="G2482" s="148">
        <v>6.3193099999999998</v>
      </c>
      <c r="H2482" s="148">
        <v>24.114450826906882</v>
      </c>
      <c r="I2482" s="728"/>
      <c r="J2482" s="148">
        <v>-19.88618</v>
      </c>
      <c r="K2482" s="148">
        <v>0</v>
      </c>
      <c r="L2482" s="148">
        <v>-268.60696999999999</v>
      </c>
      <c r="M2482" s="148">
        <v>-312.81614000000002</v>
      </c>
      <c r="N2482" s="148">
        <v>44.20917</v>
      </c>
      <c r="O2482" s="148">
        <v>14.132637145896627</v>
      </c>
      <c r="P2482" s="148">
        <v>-136.51258999999999</v>
      </c>
      <c r="Q2482" s="148">
        <v>-132.09438</v>
      </c>
      <c r="R2482" s="148">
        <v>-96.763514632606416</v>
      </c>
    </row>
    <row r="2483" spans="2:18" ht="15.75" hidden="1" thickBot="1" x14ac:dyDescent="0.3">
      <c r="B2483" s="725" t="s">
        <v>761</v>
      </c>
      <c r="C2483" s="144" t="s">
        <v>87</v>
      </c>
      <c r="D2483" t="s">
        <v>87</v>
      </c>
      <c r="E2483" s="147">
        <v>0</v>
      </c>
      <c r="F2483" s="147">
        <v>0</v>
      </c>
      <c r="G2483" s="147">
        <v>0</v>
      </c>
      <c r="H2483" s="147">
        <v>0</v>
      </c>
      <c r="I2483" s="729"/>
      <c r="J2483" s="147">
        <v>0</v>
      </c>
      <c r="K2483" s="147">
        <v>0</v>
      </c>
      <c r="L2483" s="147">
        <v>0</v>
      </c>
      <c r="M2483" s="147">
        <v>0</v>
      </c>
      <c r="N2483" s="147">
        <v>0</v>
      </c>
      <c r="O2483" s="147">
        <v>0</v>
      </c>
      <c r="P2483" s="147">
        <v>0</v>
      </c>
      <c r="Q2483" s="147">
        <v>0</v>
      </c>
      <c r="R2483" s="147">
        <v>0</v>
      </c>
    </row>
    <row r="2484" spans="2:18" ht="15.75" hidden="1" thickBot="1" x14ac:dyDescent="0.3">
      <c r="B2484" s="726" t="s">
        <v>762</v>
      </c>
      <c r="C2484" s="722" t="s">
        <v>59</v>
      </c>
      <c r="D2484" t="s">
        <v>60</v>
      </c>
      <c r="E2484" s="148">
        <v>4.4408200000000004</v>
      </c>
      <c r="F2484" s="148">
        <v>7.0420800000000003</v>
      </c>
      <c r="G2484" s="148">
        <v>-2.6012599999999999</v>
      </c>
      <c r="H2484" s="148">
        <v>-36.938802172085524</v>
      </c>
      <c r="I2484" s="728"/>
      <c r="J2484" s="148">
        <v>4.4408200000000004</v>
      </c>
      <c r="K2484" s="148">
        <v>0</v>
      </c>
      <c r="L2484" s="148">
        <v>85.108320000000006</v>
      </c>
      <c r="M2484" s="148">
        <v>84.061639999999997</v>
      </c>
      <c r="N2484" s="148">
        <v>1.0466800000000001</v>
      </c>
      <c r="O2484" s="148">
        <v>1.2451339279128981</v>
      </c>
      <c r="P2484" s="148">
        <v>44.585839999999997</v>
      </c>
      <c r="Q2484" s="148">
        <v>40.522480000000002</v>
      </c>
      <c r="R2484" s="148">
        <v>90.886433899193108</v>
      </c>
    </row>
    <row r="2485" spans="2:18" ht="15.75" hidden="1" thickBot="1" x14ac:dyDescent="0.3">
      <c r="B2485" s="726" t="s">
        <v>762</v>
      </c>
      <c r="C2485" s="722" t="s">
        <v>91</v>
      </c>
      <c r="D2485" t="s">
        <v>92</v>
      </c>
      <c r="E2485" s="729"/>
      <c r="F2485" s="729"/>
      <c r="G2485" s="729"/>
      <c r="H2485" s="729"/>
      <c r="I2485" s="729"/>
      <c r="J2485" s="729"/>
      <c r="K2485" s="729"/>
      <c r="L2485" s="147">
        <v>-0.53290000000000004</v>
      </c>
      <c r="M2485" s="729"/>
      <c r="N2485" s="147">
        <v>-0.53290000000000004</v>
      </c>
      <c r="O2485" s="147">
        <v>0</v>
      </c>
      <c r="P2485" s="729"/>
      <c r="Q2485" s="147">
        <v>-0.53290000000000004</v>
      </c>
      <c r="R2485" s="147">
        <v>0</v>
      </c>
    </row>
    <row r="2486" spans="2:18" ht="15.75" hidden="1" thickBot="1" x14ac:dyDescent="0.3">
      <c r="B2486" s="726" t="s">
        <v>762</v>
      </c>
      <c r="C2486" s="722" t="s">
        <v>61</v>
      </c>
      <c r="D2486" t="s">
        <v>62</v>
      </c>
      <c r="E2486" s="148">
        <v>1.0966800000000001</v>
      </c>
      <c r="F2486" s="148">
        <v>1.09152</v>
      </c>
      <c r="G2486" s="148">
        <v>5.1599999999999997E-3</v>
      </c>
      <c r="H2486" s="148">
        <v>0.47273526824978013</v>
      </c>
      <c r="I2486" s="728"/>
      <c r="J2486" s="148">
        <v>1.0966800000000001</v>
      </c>
      <c r="K2486" s="148">
        <v>0</v>
      </c>
      <c r="L2486" s="148">
        <v>13.088839999999999</v>
      </c>
      <c r="M2486" s="148">
        <v>13.029540000000001</v>
      </c>
      <c r="N2486" s="148">
        <v>5.9299999999999999E-2</v>
      </c>
      <c r="O2486" s="148">
        <v>0.45511967421720184</v>
      </c>
      <c r="P2486" s="148">
        <v>6.5088600000000003</v>
      </c>
      <c r="Q2486" s="148">
        <v>6.5799799999999999</v>
      </c>
      <c r="R2486" s="148">
        <v>101.09266446044315</v>
      </c>
    </row>
    <row r="2487" spans="2:18" ht="15.75" hidden="1" thickBot="1" x14ac:dyDescent="0.3">
      <c r="B2487" s="726" t="s">
        <v>762</v>
      </c>
      <c r="C2487" s="722" t="s">
        <v>63</v>
      </c>
      <c r="D2487" t="s">
        <v>64</v>
      </c>
      <c r="E2487" s="147">
        <v>4.2604699999999998</v>
      </c>
      <c r="F2487" s="147">
        <v>4.2463699999999998</v>
      </c>
      <c r="G2487" s="147">
        <v>1.41E-2</v>
      </c>
      <c r="H2487" s="147">
        <v>0.33204831420719344</v>
      </c>
      <c r="I2487" s="729"/>
      <c r="J2487" s="147">
        <v>4.2604699999999998</v>
      </c>
      <c r="K2487" s="147">
        <v>0</v>
      </c>
      <c r="L2487" s="147">
        <v>50.849110000000003</v>
      </c>
      <c r="M2487" s="147">
        <v>50.689120000000003</v>
      </c>
      <c r="N2487" s="147">
        <v>0.15998999999999999</v>
      </c>
      <c r="O2487" s="147">
        <v>0.31562986297651252</v>
      </c>
      <c r="P2487" s="147">
        <v>25.286429999999999</v>
      </c>
      <c r="Q2487" s="147">
        <v>25.56268</v>
      </c>
      <c r="R2487" s="147">
        <v>101.09248320146419</v>
      </c>
    </row>
    <row r="2488" spans="2:18" ht="15.75" hidden="1" thickBot="1" x14ac:dyDescent="0.3">
      <c r="B2488" s="726" t="s">
        <v>762</v>
      </c>
      <c r="C2488" s="722" t="s">
        <v>156</v>
      </c>
      <c r="D2488" t="s">
        <v>157</v>
      </c>
      <c r="E2488" s="728"/>
      <c r="F2488" s="148">
        <v>0.4405</v>
      </c>
      <c r="G2488" s="148">
        <v>-0.4405</v>
      </c>
      <c r="H2488" s="148">
        <v>-100</v>
      </c>
      <c r="I2488" s="728"/>
      <c r="J2488" s="728"/>
      <c r="K2488" s="728"/>
      <c r="L2488" s="728"/>
      <c r="M2488" s="148">
        <v>5.2582599999999999</v>
      </c>
      <c r="N2488" s="148">
        <v>-5.2582599999999999</v>
      </c>
      <c r="O2488" s="148">
        <v>-100</v>
      </c>
      <c r="P2488" s="728"/>
      <c r="Q2488" s="728"/>
      <c r="R2488" s="728"/>
    </row>
    <row r="2489" spans="2:18" ht="15.75" hidden="1" thickBot="1" x14ac:dyDescent="0.3">
      <c r="B2489" s="726" t="s">
        <v>762</v>
      </c>
      <c r="C2489" s="722" t="s">
        <v>574</v>
      </c>
      <c r="D2489" t="s">
        <v>575</v>
      </c>
      <c r="E2489" s="729"/>
      <c r="F2489" s="729"/>
      <c r="G2489" s="729"/>
      <c r="H2489" s="729"/>
      <c r="I2489" s="729"/>
      <c r="J2489" s="729"/>
      <c r="K2489" s="729"/>
      <c r="L2489" s="147">
        <v>0.77127999999999997</v>
      </c>
      <c r="M2489" s="729"/>
      <c r="N2489" s="147">
        <v>0.77127999999999997</v>
      </c>
      <c r="O2489" s="147">
        <v>0</v>
      </c>
      <c r="P2489" s="729"/>
      <c r="Q2489" s="147">
        <v>0.77127999999999997</v>
      </c>
      <c r="R2489" s="147">
        <v>0</v>
      </c>
    </row>
    <row r="2490" spans="2:18" ht="15.75" hidden="1" thickBot="1" x14ac:dyDescent="0.3">
      <c r="B2490" s="726" t="s">
        <v>762</v>
      </c>
      <c r="C2490" s="149" t="s">
        <v>67</v>
      </c>
      <c r="D2490" t="s">
        <v>68</v>
      </c>
      <c r="E2490" s="148">
        <v>9.7979699999999994</v>
      </c>
      <c r="F2490" s="148">
        <v>12.82047</v>
      </c>
      <c r="G2490" s="148">
        <v>-3.0225</v>
      </c>
      <c r="H2490" s="148">
        <v>-23.575578742432999</v>
      </c>
      <c r="I2490" s="728"/>
      <c r="J2490" s="148">
        <v>9.7979699999999994</v>
      </c>
      <c r="K2490" s="148">
        <v>0</v>
      </c>
      <c r="L2490" s="148">
        <v>149.28465</v>
      </c>
      <c r="M2490" s="148">
        <v>153.03855999999999</v>
      </c>
      <c r="N2490" s="148">
        <v>-3.7539099999999999</v>
      </c>
      <c r="O2490" s="148">
        <v>-2.4529177483112754</v>
      </c>
      <c r="P2490" s="148">
        <v>76.381129999999999</v>
      </c>
      <c r="Q2490" s="148">
        <v>72.90352</v>
      </c>
      <c r="R2490" s="148">
        <v>95.447029914325697</v>
      </c>
    </row>
    <row r="2491" spans="2:18" ht="15.75" hidden="1" thickBot="1" x14ac:dyDescent="0.3">
      <c r="B2491" s="726" t="s">
        <v>762</v>
      </c>
      <c r="C2491" s="722" t="s">
        <v>69</v>
      </c>
      <c r="D2491" t="s">
        <v>70</v>
      </c>
      <c r="E2491" s="729"/>
      <c r="F2491" s="147">
        <v>0.15</v>
      </c>
      <c r="G2491" s="147">
        <v>-0.15</v>
      </c>
      <c r="H2491" s="147">
        <v>-100</v>
      </c>
      <c r="I2491" s="729"/>
      <c r="J2491" s="729"/>
      <c r="K2491" s="729"/>
      <c r="L2491" s="147">
        <v>0.29949999999999999</v>
      </c>
      <c r="M2491" s="147">
        <v>1.8</v>
      </c>
      <c r="N2491" s="147">
        <v>-1.5004999999999999</v>
      </c>
      <c r="O2491" s="147">
        <v>-83.361111111111114</v>
      </c>
      <c r="P2491" s="729"/>
      <c r="Q2491" s="147">
        <v>0.29949999999999999</v>
      </c>
      <c r="R2491" s="147">
        <v>0</v>
      </c>
    </row>
    <row r="2492" spans="2:18" ht="15.75" hidden="1" thickBot="1" x14ac:dyDescent="0.3">
      <c r="B2492" s="726" t="s">
        <v>762</v>
      </c>
      <c r="C2492" s="722" t="s">
        <v>99</v>
      </c>
      <c r="D2492" t="s">
        <v>100</v>
      </c>
      <c r="E2492" s="728"/>
      <c r="F2492" s="148">
        <v>0</v>
      </c>
      <c r="G2492" s="148">
        <v>0</v>
      </c>
      <c r="H2492" s="148">
        <v>0</v>
      </c>
      <c r="I2492" s="728"/>
      <c r="J2492" s="728"/>
      <c r="K2492" s="728"/>
      <c r="L2492" s="728"/>
      <c r="M2492" s="148">
        <v>1.31</v>
      </c>
      <c r="N2492" s="148">
        <v>-1.31</v>
      </c>
      <c r="O2492" s="148">
        <v>-100</v>
      </c>
      <c r="P2492" s="728"/>
      <c r="Q2492" s="728"/>
      <c r="R2492" s="728"/>
    </row>
    <row r="2493" spans="2:18" ht="15.75" hidden="1" thickBot="1" x14ac:dyDescent="0.3">
      <c r="B2493" s="726" t="s">
        <v>762</v>
      </c>
      <c r="C2493" s="722" t="s">
        <v>137</v>
      </c>
      <c r="D2493" t="s">
        <v>138</v>
      </c>
      <c r="E2493" s="729"/>
      <c r="F2493" s="147">
        <v>0.05</v>
      </c>
      <c r="G2493" s="147">
        <v>-0.05</v>
      </c>
      <c r="H2493" s="147">
        <v>-100</v>
      </c>
      <c r="I2493" s="729"/>
      <c r="J2493" s="729"/>
      <c r="K2493" s="729"/>
      <c r="L2493" s="147">
        <v>2.5069999999999999E-2</v>
      </c>
      <c r="M2493" s="147">
        <v>0.5</v>
      </c>
      <c r="N2493" s="147">
        <v>-0.47493000000000002</v>
      </c>
      <c r="O2493" s="147">
        <v>-94.986000000000004</v>
      </c>
      <c r="P2493" s="729"/>
      <c r="Q2493" s="147">
        <v>2.5069999999999999E-2</v>
      </c>
      <c r="R2493" s="147">
        <v>0</v>
      </c>
    </row>
    <row r="2494" spans="2:18" ht="15.75" hidden="1" thickBot="1" x14ac:dyDescent="0.3">
      <c r="B2494" s="726" t="s">
        <v>762</v>
      </c>
      <c r="C2494" s="722" t="s">
        <v>36</v>
      </c>
      <c r="D2494" t="s">
        <v>192</v>
      </c>
      <c r="E2494" s="728"/>
      <c r="F2494" s="148">
        <v>0</v>
      </c>
      <c r="G2494" s="148">
        <v>0</v>
      </c>
      <c r="H2494" s="148">
        <v>0</v>
      </c>
      <c r="I2494" s="728"/>
      <c r="J2494" s="728"/>
      <c r="K2494" s="728"/>
      <c r="L2494" s="728"/>
      <c r="M2494" s="148">
        <v>2.5</v>
      </c>
      <c r="N2494" s="148">
        <v>-2.5</v>
      </c>
      <c r="O2494" s="148">
        <v>-100</v>
      </c>
      <c r="P2494" s="728"/>
      <c r="Q2494" s="728"/>
      <c r="R2494" s="728"/>
    </row>
    <row r="2495" spans="2:18" ht="15.75" hidden="1" thickBot="1" x14ac:dyDescent="0.3">
      <c r="B2495" s="726" t="s">
        <v>762</v>
      </c>
      <c r="C2495" s="722" t="s">
        <v>139</v>
      </c>
      <c r="D2495" t="s">
        <v>140</v>
      </c>
      <c r="E2495" s="729"/>
      <c r="F2495" s="147">
        <v>0</v>
      </c>
      <c r="G2495" s="147">
        <v>0</v>
      </c>
      <c r="H2495" s="147">
        <v>0</v>
      </c>
      <c r="I2495" s="729"/>
      <c r="J2495" s="729"/>
      <c r="K2495" s="729"/>
      <c r="L2495" s="147">
        <v>1.55</v>
      </c>
      <c r="M2495" s="147">
        <v>1.55</v>
      </c>
      <c r="N2495" s="147">
        <v>0</v>
      </c>
      <c r="O2495" s="147">
        <v>0</v>
      </c>
      <c r="P2495" s="729"/>
      <c r="Q2495" s="147">
        <v>1.55</v>
      </c>
      <c r="R2495" s="147">
        <v>0</v>
      </c>
    </row>
    <row r="2496" spans="2:18" ht="15.75" hidden="1" thickBot="1" x14ac:dyDescent="0.3">
      <c r="B2496" s="726" t="s">
        <v>762</v>
      </c>
      <c r="C2496" s="722" t="s">
        <v>169</v>
      </c>
      <c r="D2496" t="s">
        <v>170</v>
      </c>
      <c r="E2496" s="728"/>
      <c r="F2496" s="148">
        <v>0.05</v>
      </c>
      <c r="G2496" s="148">
        <v>-0.05</v>
      </c>
      <c r="H2496" s="148">
        <v>-100</v>
      </c>
      <c r="I2496" s="728"/>
      <c r="J2496" s="728"/>
      <c r="K2496" s="728"/>
      <c r="L2496" s="148">
        <v>7.356E-2</v>
      </c>
      <c r="M2496" s="148">
        <v>1.25</v>
      </c>
      <c r="N2496" s="148">
        <v>-1.1764399999999999</v>
      </c>
      <c r="O2496" s="148">
        <v>-94.115200000000002</v>
      </c>
      <c r="P2496" s="148">
        <v>0.17777000000000001</v>
      </c>
      <c r="Q2496" s="148">
        <v>-0.10421</v>
      </c>
      <c r="R2496" s="148">
        <v>-58.620689655172413</v>
      </c>
    </row>
    <row r="2497" spans="2:18" ht="15.75" hidden="1" thickBot="1" x14ac:dyDescent="0.3">
      <c r="B2497" s="726" t="s">
        <v>762</v>
      </c>
      <c r="C2497" s="722" t="s">
        <v>101</v>
      </c>
      <c r="D2497" t="s">
        <v>102</v>
      </c>
      <c r="E2497" s="729"/>
      <c r="F2497" s="147">
        <v>0</v>
      </c>
      <c r="G2497" s="147">
        <v>0</v>
      </c>
      <c r="H2497" s="147">
        <v>0</v>
      </c>
      <c r="I2497" s="729"/>
      <c r="J2497" s="729"/>
      <c r="K2497" s="729"/>
      <c r="L2497" s="729"/>
      <c r="M2497" s="147">
        <v>0</v>
      </c>
      <c r="N2497" s="147">
        <v>0</v>
      </c>
      <c r="O2497" s="147">
        <v>0</v>
      </c>
      <c r="P2497" s="729"/>
      <c r="Q2497" s="729"/>
      <c r="R2497" s="729"/>
    </row>
    <row r="2498" spans="2:18" ht="15.75" hidden="1" thickBot="1" x14ac:dyDescent="0.3">
      <c r="B2498" s="726" t="s">
        <v>762</v>
      </c>
      <c r="C2498" s="722" t="s">
        <v>109</v>
      </c>
      <c r="D2498" t="s">
        <v>110</v>
      </c>
      <c r="E2498" s="728"/>
      <c r="F2498" s="148">
        <v>0</v>
      </c>
      <c r="G2498" s="148">
        <v>0</v>
      </c>
      <c r="H2498" s="148">
        <v>0</v>
      </c>
      <c r="I2498" s="728"/>
      <c r="J2498" s="728"/>
      <c r="K2498" s="728"/>
      <c r="L2498" s="148">
        <v>0.23583000000000001</v>
      </c>
      <c r="M2498" s="148">
        <v>1.54</v>
      </c>
      <c r="N2498" s="148">
        <v>-1.3041700000000001</v>
      </c>
      <c r="O2498" s="148">
        <v>-84.686363636363637</v>
      </c>
      <c r="P2498" s="148">
        <v>0.22500000000000001</v>
      </c>
      <c r="Q2498" s="148">
        <v>1.0829999999999999E-2</v>
      </c>
      <c r="R2498" s="148">
        <v>4.8133333333333335</v>
      </c>
    </row>
    <row r="2499" spans="2:18" ht="15.75" hidden="1" thickBot="1" x14ac:dyDescent="0.3">
      <c r="B2499" s="726" t="s">
        <v>762</v>
      </c>
      <c r="C2499" s="722" t="s">
        <v>73</v>
      </c>
      <c r="D2499" t="s">
        <v>74</v>
      </c>
      <c r="E2499" s="729"/>
      <c r="F2499" s="147">
        <v>0.1</v>
      </c>
      <c r="G2499" s="147">
        <v>-0.1</v>
      </c>
      <c r="H2499" s="147">
        <v>-100</v>
      </c>
      <c r="I2499" s="729"/>
      <c r="J2499" s="729"/>
      <c r="K2499" s="729"/>
      <c r="L2499" s="147">
        <v>0.46317000000000003</v>
      </c>
      <c r="M2499" s="147">
        <v>1.5</v>
      </c>
      <c r="N2499" s="147">
        <v>-1.0368299999999999</v>
      </c>
      <c r="O2499" s="147">
        <v>-69.122</v>
      </c>
      <c r="P2499" s="147">
        <v>0.43342999999999998</v>
      </c>
      <c r="Q2499" s="147">
        <v>2.9739999999999999E-2</v>
      </c>
      <c r="R2499" s="147">
        <v>6.861546270447362</v>
      </c>
    </row>
    <row r="2500" spans="2:18" ht="15.75" hidden="1" thickBot="1" x14ac:dyDescent="0.3">
      <c r="B2500" s="726" t="s">
        <v>762</v>
      </c>
      <c r="C2500" s="722" t="s">
        <v>111</v>
      </c>
      <c r="D2500" t="s">
        <v>112</v>
      </c>
      <c r="E2500" s="148">
        <v>0</v>
      </c>
      <c r="F2500" s="148">
        <v>0</v>
      </c>
      <c r="G2500" s="148">
        <v>0</v>
      </c>
      <c r="H2500" s="148">
        <v>0</v>
      </c>
      <c r="I2500" s="728"/>
      <c r="J2500" s="148">
        <v>0</v>
      </c>
      <c r="K2500" s="148">
        <v>0</v>
      </c>
      <c r="L2500" s="148">
        <v>0.14624999999999999</v>
      </c>
      <c r="M2500" s="148">
        <v>8.7750000000000004</v>
      </c>
      <c r="N2500" s="148">
        <v>-8.6287500000000001</v>
      </c>
      <c r="O2500" s="148">
        <v>-98.333333333333329</v>
      </c>
      <c r="P2500" s="148">
        <v>0</v>
      </c>
      <c r="Q2500" s="148">
        <v>0.14624999999999999</v>
      </c>
      <c r="R2500" s="148">
        <v>0</v>
      </c>
    </row>
    <row r="2501" spans="2:18" ht="15.75" hidden="1" thickBot="1" x14ac:dyDescent="0.3">
      <c r="B2501" s="726" t="s">
        <v>762</v>
      </c>
      <c r="C2501" s="722" t="s">
        <v>141</v>
      </c>
      <c r="D2501" t="s">
        <v>142</v>
      </c>
      <c r="E2501" s="729"/>
      <c r="F2501" s="729"/>
      <c r="G2501" s="729"/>
      <c r="H2501" s="729"/>
      <c r="I2501" s="729"/>
      <c r="J2501" s="729"/>
      <c r="K2501" s="729"/>
      <c r="L2501" s="147">
        <v>0.12</v>
      </c>
      <c r="M2501" s="147">
        <v>0.15</v>
      </c>
      <c r="N2501" s="147">
        <v>-0.03</v>
      </c>
      <c r="O2501" s="147">
        <v>-20</v>
      </c>
      <c r="P2501" s="729"/>
      <c r="Q2501" s="147">
        <v>0.12</v>
      </c>
      <c r="R2501" s="147">
        <v>0</v>
      </c>
    </row>
    <row r="2502" spans="2:18" ht="15.75" hidden="1" thickBot="1" x14ac:dyDescent="0.3">
      <c r="B2502" s="726" t="s">
        <v>762</v>
      </c>
      <c r="C2502" s="722" t="s">
        <v>113</v>
      </c>
      <c r="D2502" t="s">
        <v>114</v>
      </c>
      <c r="E2502" s="728"/>
      <c r="F2502" s="148">
        <v>2.5000000000000001E-2</v>
      </c>
      <c r="G2502" s="148">
        <v>-2.5000000000000001E-2</v>
      </c>
      <c r="H2502" s="148">
        <v>-100</v>
      </c>
      <c r="I2502" s="728"/>
      <c r="J2502" s="728"/>
      <c r="K2502" s="728"/>
      <c r="L2502" s="728"/>
      <c r="M2502" s="148">
        <v>0.5</v>
      </c>
      <c r="N2502" s="148">
        <v>-0.5</v>
      </c>
      <c r="O2502" s="148">
        <v>-100</v>
      </c>
      <c r="P2502" s="728"/>
      <c r="Q2502" s="728"/>
      <c r="R2502" s="728"/>
    </row>
    <row r="2503" spans="2:18" ht="15.75" hidden="1" thickBot="1" x14ac:dyDescent="0.3">
      <c r="B2503" s="726" t="s">
        <v>762</v>
      </c>
      <c r="C2503" s="722" t="s">
        <v>635</v>
      </c>
      <c r="D2503" t="s">
        <v>636</v>
      </c>
      <c r="E2503" s="147">
        <v>-110.92164</v>
      </c>
      <c r="F2503" s="147">
        <v>-78.106849999999994</v>
      </c>
      <c r="G2503" s="147">
        <v>-32.814790000000002</v>
      </c>
      <c r="H2503" s="147">
        <v>-42.012691588509846</v>
      </c>
      <c r="I2503" s="729"/>
      <c r="J2503" s="147">
        <v>-110.92164</v>
      </c>
      <c r="K2503" s="147">
        <v>0</v>
      </c>
      <c r="L2503" s="147">
        <v>-1236.20651</v>
      </c>
      <c r="M2503" s="147">
        <v>-999.68011999999999</v>
      </c>
      <c r="N2503" s="147">
        <v>-236.52638999999999</v>
      </c>
      <c r="O2503" s="147">
        <v>-23.660207427151796</v>
      </c>
      <c r="P2503" s="147">
        <v>-481.14080000000001</v>
      </c>
      <c r="Q2503" s="147">
        <v>-755.06570999999997</v>
      </c>
      <c r="R2503" s="147">
        <v>-156.93238029283737</v>
      </c>
    </row>
    <row r="2504" spans="2:18" ht="15.75" hidden="1" thickBot="1" x14ac:dyDescent="0.3">
      <c r="B2504" s="726" t="s">
        <v>762</v>
      </c>
      <c r="C2504" s="722" t="s">
        <v>145</v>
      </c>
      <c r="D2504" t="s">
        <v>146</v>
      </c>
      <c r="E2504" s="728"/>
      <c r="F2504" s="148">
        <v>0.01</v>
      </c>
      <c r="G2504" s="148">
        <v>-0.01</v>
      </c>
      <c r="H2504" s="148">
        <v>-100</v>
      </c>
      <c r="I2504" s="728"/>
      <c r="J2504" s="728"/>
      <c r="K2504" s="728"/>
      <c r="L2504" s="148">
        <v>1.0500000000000001E-2</v>
      </c>
      <c r="M2504" s="148">
        <v>0.15</v>
      </c>
      <c r="N2504" s="148">
        <v>-0.13950000000000001</v>
      </c>
      <c r="O2504" s="148">
        <v>-93</v>
      </c>
      <c r="P2504" s="148">
        <v>6.0000000000000001E-3</v>
      </c>
      <c r="Q2504" s="148">
        <v>4.4999999999999997E-3</v>
      </c>
      <c r="R2504" s="148">
        <v>75</v>
      </c>
    </row>
    <row r="2505" spans="2:18" ht="15.75" hidden="1" thickBot="1" x14ac:dyDescent="0.3">
      <c r="B2505" s="726" t="s">
        <v>762</v>
      </c>
      <c r="C2505" s="722" t="s">
        <v>149</v>
      </c>
      <c r="D2505" t="s">
        <v>150</v>
      </c>
      <c r="E2505" s="147">
        <v>100.73967</v>
      </c>
      <c r="F2505" s="147">
        <v>64.751379999999997</v>
      </c>
      <c r="G2505" s="147">
        <v>35.988289999999999</v>
      </c>
      <c r="H2505" s="147">
        <v>55.579186111554691</v>
      </c>
      <c r="I2505" s="729"/>
      <c r="J2505" s="147">
        <v>100.73967</v>
      </c>
      <c r="K2505" s="147">
        <v>0</v>
      </c>
      <c r="L2505" s="147">
        <v>1077.94318</v>
      </c>
      <c r="M2505" s="147">
        <v>809.91656</v>
      </c>
      <c r="N2505" s="147">
        <v>268.02661999999998</v>
      </c>
      <c r="O2505" s="147">
        <v>33.093115172259225</v>
      </c>
      <c r="P2505" s="147">
        <v>404.01916</v>
      </c>
      <c r="Q2505" s="147">
        <v>673.92402000000004</v>
      </c>
      <c r="R2505" s="147">
        <v>166.80496538827515</v>
      </c>
    </row>
    <row r="2506" spans="2:18" ht="15.75" hidden="1" thickBot="1" x14ac:dyDescent="0.3">
      <c r="B2506" s="726" t="s">
        <v>762</v>
      </c>
      <c r="C2506" s="722" t="s">
        <v>645</v>
      </c>
      <c r="D2506" t="s">
        <v>646</v>
      </c>
      <c r="E2506" s="728"/>
      <c r="F2506" s="148">
        <v>0</v>
      </c>
      <c r="G2506" s="148">
        <v>0</v>
      </c>
      <c r="H2506" s="148">
        <v>0</v>
      </c>
      <c r="I2506" s="728"/>
      <c r="J2506" s="728"/>
      <c r="K2506" s="728"/>
      <c r="L2506" s="148">
        <v>-0.13469</v>
      </c>
      <c r="M2506" s="148">
        <v>1</v>
      </c>
      <c r="N2506" s="148">
        <v>-1.13469</v>
      </c>
      <c r="O2506" s="148">
        <v>-113.46899999999999</v>
      </c>
      <c r="P2506" s="148">
        <v>-0.13469</v>
      </c>
      <c r="Q2506" s="148">
        <v>0</v>
      </c>
      <c r="R2506" s="148">
        <v>0</v>
      </c>
    </row>
    <row r="2507" spans="2:18" ht="15.75" hidden="1" thickBot="1" x14ac:dyDescent="0.3">
      <c r="B2507" s="726" t="s">
        <v>762</v>
      </c>
      <c r="C2507" s="722" t="s">
        <v>483</v>
      </c>
      <c r="D2507" t="s">
        <v>484</v>
      </c>
      <c r="E2507" s="729"/>
      <c r="F2507" s="729"/>
      <c r="G2507" s="729"/>
      <c r="H2507" s="729"/>
      <c r="I2507" s="729"/>
      <c r="J2507" s="729"/>
      <c r="K2507" s="729"/>
      <c r="L2507" s="147">
        <v>5</v>
      </c>
      <c r="M2507" s="147">
        <v>5</v>
      </c>
      <c r="N2507" s="147">
        <v>0</v>
      </c>
      <c r="O2507" s="147">
        <v>0</v>
      </c>
      <c r="P2507" s="729"/>
      <c r="Q2507" s="147">
        <v>5</v>
      </c>
      <c r="R2507" s="147">
        <v>0</v>
      </c>
    </row>
    <row r="2508" spans="2:18" ht="15.75" hidden="1" thickBot="1" x14ac:dyDescent="0.3">
      <c r="B2508" s="726" t="s">
        <v>762</v>
      </c>
      <c r="C2508" s="722" t="s">
        <v>75</v>
      </c>
      <c r="D2508" t="s">
        <v>76</v>
      </c>
      <c r="E2508" s="728"/>
      <c r="F2508" s="148">
        <v>0.05</v>
      </c>
      <c r="G2508" s="148">
        <v>-0.05</v>
      </c>
      <c r="H2508" s="148">
        <v>-100</v>
      </c>
      <c r="I2508" s="728"/>
      <c r="J2508" s="728"/>
      <c r="K2508" s="728"/>
      <c r="L2508" s="148">
        <v>0.12470000000000001</v>
      </c>
      <c r="M2508" s="148">
        <v>1</v>
      </c>
      <c r="N2508" s="148">
        <v>-0.87529999999999997</v>
      </c>
      <c r="O2508" s="148">
        <v>-87.53</v>
      </c>
      <c r="P2508" s="148">
        <v>3.3000000000000002E-2</v>
      </c>
      <c r="Q2508" s="148">
        <v>9.1700000000000004E-2</v>
      </c>
      <c r="R2508" s="148">
        <v>277.87878787878788</v>
      </c>
    </row>
    <row r="2509" spans="2:18" ht="15.75" hidden="1" thickBot="1" x14ac:dyDescent="0.3">
      <c r="B2509" s="726" t="s">
        <v>762</v>
      </c>
      <c r="C2509" s="722" t="s">
        <v>77</v>
      </c>
      <c r="D2509" t="s">
        <v>78</v>
      </c>
      <c r="E2509" s="729"/>
      <c r="F2509" s="729"/>
      <c r="G2509" s="729"/>
      <c r="H2509" s="729"/>
      <c r="I2509" s="729"/>
      <c r="J2509" s="729"/>
      <c r="K2509" s="729"/>
      <c r="L2509" s="147">
        <v>0.68079000000000001</v>
      </c>
      <c r="M2509" s="147">
        <v>4.5</v>
      </c>
      <c r="N2509" s="147">
        <v>-3.81921</v>
      </c>
      <c r="O2509" s="147">
        <v>-84.87133333333334</v>
      </c>
      <c r="P2509" s="147">
        <v>0</v>
      </c>
      <c r="Q2509" s="147">
        <v>0.68079000000000001</v>
      </c>
      <c r="R2509" s="147">
        <v>0</v>
      </c>
    </row>
    <row r="2510" spans="2:18" ht="15.75" hidden="1" thickBot="1" x14ac:dyDescent="0.3">
      <c r="B2510" s="726" t="s">
        <v>762</v>
      </c>
      <c r="C2510" s="722" t="s">
        <v>79</v>
      </c>
      <c r="D2510" t="s">
        <v>80</v>
      </c>
      <c r="E2510" s="728"/>
      <c r="F2510" s="148">
        <v>0</v>
      </c>
      <c r="G2510" s="148">
        <v>0</v>
      </c>
      <c r="H2510" s="148">
        <v>0</v>
      </c>
      <c r="I2510" s="728"/>
      <c r="J2510" s="728"/>
      <c r="K2510" s="728"/>
      <c r="L2510" s="728"/>
      <c r="M2510" s="148">
        <v>2.5</v>
      </c>
      <c r="N2510" s="148">
        <v>-2.5</v>
      </c>
      <c r="O2510" s="148">
        <v>-100</v>
      </c>
      <c r="P2510" s="728"/>
      <c r="Q2510" s="728"/>
      <c r="R2510" s="728"/>
    </row>
    <row r="2511" spans="2:18" ht="15.75" hidden="1" thickBot="1" x14ac:dyDescent="0.3">
      <c r="B2511" s="726" t="s">
        <v>762</v>
      </c>
      <c r="C2511" s="722" t="s">
        <v>81</v>
      </c>
      <c r="D2511" t="s">
        <v>82</v>
      </c>
      <c r="E2511" s="147">
        <v>0.38400000000000001</v>
      </c>
      <c r="F2511" s="147">
        <v>0.05</v>
      </c>
      <c r="G2511" s="147">
        <v>0.33400000000000002</v>
      </c>
      <c r="H2511" s="147">
        <v>668</v>
      </c>
      <c r="I2511" s="729"/>
      <c r="J2511" s="147">
        <v>0.38400000000000001</v>
      </c>
      <c r="K2511" s="147">
        <v>0</v>
      </c>
      <c r="L2511" s="147">
        <v>0.38400000000000001</v>
      </c>
      <c r="M2511" s="147">
        <v>0.6</v>
      </c>
      <c r="N2511" s="147">
        <v>-0.216</v>
      </c>
      <c r="O2511" s="147">
        <v>-36</v>
      </c>
      <c r="P2511" s="729"/>
      <c r="Q2511" s="147">
        <v>0.38400000000000001</v>
      </c>
      <c r="R2511" s="147">
        <v>0</v>
      </c>
    </row>
    <row r="2512" spans="2:18" ht="15.75" hidden="1" thickBot="1" x14ac:dyDescent="0.3">
      <c r="B2512" s="726" t="s">
        <v>762</v>
      </c>
      <c r="C2512" s="722" t="s">
        <v>123</v>
      </c>
      <c r="D2512" t="s">
        <v>124</v>
      </c>
      <c r="E2512" s="728"/>
      <c r="F2512" s="148">
        <v>0</v>
      </c>
      <c r="G2512" s="148">
        <v>0</v>
      </c>
      <c r="H2512" s="148">
        <v>0</v>
      </c>
      <c r="I2512" s="728"/>
      <c r="J2512" s="728"/>
      <c r="K2512" s="728"/>
      <c r="L2512" s="728"/>
      <c r="M2512" s="148">
        <v>0</v>
      </c>
      <c r="N2512" s="148">
        <v>0</v>
      </c>
      <c r="O2512" s="148">
        <v>0</v>
      </c>
      <c r="P2512" s="728"/>
      <c r="Q2512" s="728"/>
      <c r="R2512" s="728"/>
    </row>
    <row r="2513" spans="2:18" ht="15.75" hidden="1" thickBot="1" x14ac:dyDescent="0.3">
      <c r="B2513" s="726" t="s">
        <v>762</v>
      </c>
      <c r="C2513" s="722" t="s">
        <v>83</v>
      </c>
      <c r="D2513" t="s">
        <v>84</v>
      </c>
      <c r="E2513" s="729"/>
      <c r="F2513" s="147">
        <v>0.05</v>
      </c>
      <c r="G2513" s="147">
        <v>-0.05</v>
      </c>
      <c r="H2513" s="147">
        <v>-100</v>
      </c>
      <c r="I2513" s="729"/>
      <c r="J2513" s="729"/>
      <c r="K2513" s="729"/>
      <c r="L2513" s="729"/>
      <c r="M2513" s="147">
        <v>0.6</v>
      </c>
      <c r="N2513" s="147">
        <v>-0.6</v>
      </c>
      <c r="O2513" s="147">
        <v>-100</v>
      </c>
      <c r="P2513" s="729"/>
      <c r="Q2513" s="729"/>
      <c r="R2513" s="729"/>
    </row>
    <row r="2514" spans="2:18" ht="15.75" hidden="1" thickBot="1" x14ac:dyDescent="0.3">
      <c r="B2514" s="726" t="s">
        <v>762</v>
      </c>
      <c r="C2514" s="149" t="s">
        <v>85</v>
      </c>
      <c r="D2514" t="s">
        <v>86</v>
      </c>
      <c r="E2514" s="148">
        <v>-9.7979699999999994</v>
      </c>
      <c r="F2514" s="148">
        <v>-12.82047</v>
      </c>
      <c r="G2514" s="148">
        <v>3.0225</v>
      </c>
      <c r="H2514" s="148">
        <v>23.575578742432999</v>
      </c>
      <c r="I2514" s="728"/>
      <c r="J2514" s="148">
        <v>-9.7979699999999994</v>
      </c>
      <c r="K2514" s="148">
        <v>0</v>
      </c>
      <c r="L2514" s="148">
        <v>-149.28465</v>
      </c>
      <c r="M2514" s="148">
        <v>-153.03855999999999</v>
      </c>
      <c r="N2514" s="148">
        <v>3.7539099999999999</v>
      </c>
      <c r="O2514" s="148">
        <v>2.4529177483112754</v>
      </c>
      <c r="P2514" s="148">
        <v>-76.381129999999999</v>
      </c>
      <c r="Q2514" s="148">
        <v>-72.90352</v>
      </c>
      <c r="R2514" s="148">
        <v>-95.447029914325697</v>
      </c>
    </row>
    <row r="2515" spans="2:18" ht="15.75" hidden="1" thickBot="1" x14ac:dyDescent="0.3">
      <c r="B2515" s="726" t="s">
        <v>762</v>
      </c>
      <c r="C2515" s="144" t="s">
        <v>87</v>
      </c>
      <c r="D2515" t="s">
        <v>87</v>
      </c>
      <c r="E2515" s="147">
        <v>0</v>
      </c>
      <c r="F2515" s="147">
        <v>0</v>
      </c>
      <c r="G2515" s="147">
        <v>0</v>
      </c>
      <c r="H2515" s="147">
        <v>0</v>
      </c>
      <c r="I2515" s="729"/>
      <c r="J2515" s="147">
        <v>0</v>
      </c>
      <c r="K2515" s="147">
        <v>0</v>
      </c>
      <c r="L2515" s="147">
        <v>0</v>
      </c>
      <c r="M2515" s="147">
        <v>0</v>
      </c>
      <c r="N2515" s="147">
        <v>0</v>
      </c>
      <c r="O2515" s="147">
        <v>0</v>
      </c>
      <c r="P2515" s="147">
        <v>0</v>
      </c>
      <c r="Q2515" s="147">
        <v>0</v>
      </c>
      <c r="R2515" s="147">
        <v>0</v>
      </c>
    </row>
    <row r="2516" spans="2:18" ht="15.75" hidden="1" thickBot="1" x14ac:dyDescent="0.3">
      <c r="B2516" s="726" t="s">
        <v>763</v>
      </c>
      <c r="C2516" s="722" t="s">
        <v>59</v>
      </c>
      <c r="D2516" t="s">
        <v>60</v>
      </c>
      <c r="E2516" s="728"/>
      <c r="F2516" s="148">
        <v>2.3862800000000002</v>
      </c>
      <c r="G2516" s="148">
        <v>-2.3862800000000002</v>
      </c>
      <c r="H2516" s="148">
        <v>-100</v>
      </c>
      <c r="I2516" s="728"/>
      <c r="J2516" s="728"/>
      <c r="K2516" s="728"/>
      <c r="L2516" s="148">
        <v>-0.22116</v>
      </c>
      <c r="M2516" s="148">
        <v>28.485140000000001</v>
      </c>
      <c r="N2516" s="148">
        <v>-28.706299999999999</v>
      </c>
      <c r="O2516" s="148">
        <v>-100.77640482019748</v>
      </c>
      <c r="P2516" s="148">
        <v>-0.22116</v>
      </c>
      <c r="Q2516" s="148">
        <v>0</v>
      </c>
      <c r="R2516" s="148">
        <v>0</v>
      </c>
    </row>
    <row r="2517" spans="2:18" ht="15.75" hidden="1" thickBot="1" x14ac:dyDescent="0.3">
      <c r="B2517" s="726" t="s">
        <v>763</v>
      </c>
      <c r="C2517" s="722" t="s">
        <v>61</v>
      </c>
      <c r="D2517" t="s">
        <v>62</v>
      </c>
      <c r="E2517" s="729"/>
      <c r="F2517" s="147">
        <v>0.36986999999999998</v>
      </c>
      <c r="G2517" s="147">
        <v>-0.36986999999999998</v>
      </c>
      <c r="H2517" s="147">
        <v>-100</v>
      </c>
      <c r="I2517" s="729"/>
      <c r="J2517" s="729"/>
      <c r="K2517" s="729"/>
      <c r="L2517" s="729"/>
      <c r="M2517" s="147">
        <v>4.4151600000000002</v>
      </c>
      <c r="N2517" s="147">
        <v>-4.4151600000000002</v>
      </c>
      <c r="O2517" s="147">
        <v>-100</v>
      </c>
      <c r="P2517" s="729"/>
      <c r="Q2517" s="729"/>
      <c r="R2517" s="729"/>
    </row>
    <row r="2518" spans="2:18" ht="15.75" hidden="1" thickBot="1" x14ac:dyDescent="0.3">
      <c r="B2518" s="726" t="s">
        <v>763</v>
      </c>
      <c r="C2518" s="722" t="s">
        <v>63</v>
      </c>
      <c r="D2518" t="s">
        <v>64</v>
      </c>
      <c r="E2518" s="728"/>
      <c r="F2518" s="148">
        <v>1.43893</v>
      </c>
      <c r="G2518" s="148">
        <v>-1.43893</v>
      </c>
      <c r="H2518" s="148">
        <v>-100</v>
      </c>
      <c r="I2518" s="728"/>
      <c r="J2518" s="728"/>
      <c r="K2518" s="728"/>
      <c r="L2518" s="728"/>
      <c r="M2518" s="148">
        <v>17.176580000000001</v>
      </c>
      <c r="N2518" s="148">
        <v>-17.176580000000001</v>
      </c>
      <c r="O2518" s="148">
        <v>-100</v>
      </c>
      <c r="P2518" s="728"/>
      <c r="Q2518" s="728"/>
      <c r="R2518" s="728"/>
    </row>
    <row r="2519" spans="2:18" ht="15.75" hidden="1" thickBot="1" x14ac:dyDescent="0.3">
      <c r="B2519" s="726" t="s">
        <v>763</v>
      </c>
      <c r="C2519" s="722" t="s">
        <v>156</v>
      </c>
      <c r="D2519" t="s">
        <v>157</v>
      </c>
      <c r="E2519" s="147">
        <v>3.6508600000000002</v>
      </c>
      <c r="F2519" s="147">
        <v>5.7523999999999997</v>
      </c>
      <c r="G2519" s="147">
        <v>-2.10154</v>
      </c>
      <c r="H2519" s="147">
        <v>-36.533273068632226</v>
      </c>
      <c r="I2519" s="729"/>
      <c r="J2519" s="147">
        <v>3.6508600000000002</v>
      </c>
      <c r="K2519" s="147">
        <v>0</v>
      </c>
      <c r="L2519" s="147">
        <v>57.941130000000001</v>
      </c>
      <c r="M2519" s="147">
        <v>68.666659999999993</v>
      </c>
      <c r="N2519" s="147">
        <v>-10.725529999999999</v>
      </c>
      <c r="O2519" s="147">
        <v>-15.619705399971398</v>
      </c>
      <c r="P2519" s="147">
        <v>30.459679999999999</v>
      </c>
      <c r="Q2519" s="147">
        <v>27.481449999999999</v>
      </c>
      <c r="R2519" s="147">
        <v>90.222385790001738</v>
      </c>
    </row>
    <row r="2520" spans="2:18" ht="15.75" hidden="1" thickBot="1" x14ac:dyDescent="0.3">
      <c r="B2520" s="726" t="s">
        <v>763</v>
      </c>
      <c r="C2520" s="722" t="s">
        <v>574</v>
      </c>
      <c r="D2520" t="s">
        <v>575</v>
      </c>
      <c r="E2520" s="148">
        <v>0.75722999999999996</v>
      </c>
      <c r="F2520" s="728"/>
      <c r="G2520" s="148">
        <v>0.75722999999999996</v>
      </c>
      <c r="H2520" s="148">
        <v>0</v>
      </c>
      <c r="I2520" s="728"/>
      <c r="J2520" s="148">
        <v>0.75722999999999996</v>
      </c>
      <c r="K2520" s="148">
        <v>0</v>
      </c>
      <c r="L2520" s="148">
        <v>5.5530400000000002</v>
      </c>
      <c r="M2520" s="728"/>
      <c r="N2520" s="148">
        <v>5.5530400000000002</v>
      </c>
      <c r="O2520" s="148">
        <v>0</v>
      </c>
      <c r="P2520" s="728"/>
      <c r="Q2520" s="148">
        <v>5.5530400000000002</v>
      </c>
      <c r="R2520" s="148">
        <v>0</v>
      </c>
    </row>
    <row r="2521" spans="2:18" ht="15.75" hidden="1" thickBot="1" x14ac:dyDescent="0.3">
      <c r="B2521" s="726" t="s">
        <v>763</v>
      </c>
      <c r="C2521" s="722" t="s">
        <v>65</v>
      </c>
      <c r="D2521" t="s">
        <v>66</v>
      </c>
      <c r="E2521" s="729"/>
      <c r="F2521" s="147">
        <v>-2.9365800000000002</v>
      </c>
      <c r="G2521" s="147">
        <v>2.9365800000000002</v>
      </c>
      <c r="H2521" s="147">
        <v>100</v>
      </c>
      <c r="I2521" s="729"/>
      <c r="J2521" s="729"/>
      <c r="K2521" s="729"/>
      <c r="L2521" s="729"/>
      <c r="M2521" s="147">
        <v>-35.054099999999998</v>
      </c>
      <c r="N2521" s="147">
        <v>35.054099999999998</v>
      </c>
      <c r="O2521" s="147">
        <v>100</v>
      </c>
      <c r="P2521" s="729"/>
      <c r="Q2521" s="729"/>
      <c r="R2521" s="729"/>
    </row>
    <row r="2522" spans="2:18" ht="15.75" hidden="1" thickBot="1" x14ac:dyDescent="0.3">
      <c r="B2522" s="726" t="s">
        <v>763</v>
      </c>
      <c r="C2522" s="149" t="s">
        <v>67</v>
      </c>
      <c r="D2522" t="s">
        <v>68</v>
      </c>
      <c r="E2522" s="148">
        <v>4.4080899999999996</v>
      </c>
      <c r="F2522" s="148">
        <v>7.0109000000000004</v>
      </c>
      <c r="G2522" s="148">
        <v>-2.6028099999999998</v>
      </c>
      <c r="H2522" s="148">
        <v>-37.125190774365628</v>
      </c>
      <c r="I2522" s="728"/>
      <c r="J2522" s="148">
        <v>4.4080899999999996</v>
      </c>
      <c r="K2522" s="148">
        <v>0</v>
      </c>
      <c r="L2522" s="148">
        <v>63.273009999999999</v>
      </c>
      <c r="M2522" s="148">
        <v>83.689440000000005</v>
      </c>
      <c r="N2522" s="148">
        <v>-20.416429999999998</v>
      </c>
      <c r="O2522" s="148">
        <v>-24.395467337336704</v>
      </c>
      <c r="P2522" s="148">
        <v>30.238520000000001</v>
      </c>
      <c r="Q2522" s="148">
        <v>33.034489999999998</v>
      </c>
      <c r="R2522" s="148">
        <v>109.24638507440179</v>
      </c>
    </row>
    <row r="2523" spans="2:18" ht="15.75" hidden="1" thickBot="1" x14ac:dyDescent="0.3">
      <c r="B2523" s="726" t="s">
        <v>763</v>
      </c>
      <c r="C2523" s="722" t="s">
        <v>69</v>
      </c>
      <c r="D2523" t="s">
        <v>70</v>
      </c>
      <c r="E2523" s="729"/>
      <c r="F2523" s="729"/>
      <c r="G2523" s="729"/>
      <c r="H2523" s="729"/>
      <c r="I2523" s="729"/>
      <c r="J2523" s="729"/>
      <c r="K2523" s="729"/>
      <c r="L2523" s="147">
        <v>0.72399999999999998</v>
      </c>
      <c r="M2523" s="729"/>
      <c r="N2523" s="147">
        <v>0.72399999999999998</v>
      </c>
      <c r="O2523" s="147">
        <v>0</v>
      </c>
      <c r="P2523" s="147">
        <v>0.499</v>
      </c>
      <c r="Q2523" s="147">
        <v>0.22500000000000001</v>
      </c>
      <c r="R2523" s="147">
        <v>45.09018036072144</v>
      </c>
    </row>
    <row r="2524" spans="2:18" ht="15.75" hidden="1" thickBot="1" x14ac:dyDescent="0.3">
      <c r="B2524" s="726" t="s">
        <v>763</v>
      </c>
      <c r="C2524" s="722" t="s">
        <v>137</v>
      </c>
      <c r="D2524" t="s">
        <v>138</v>
      </c>
      <c r="E2524" s="728"/>
      <c r="F2524" s="728"/>
      <c r="G2524" s="728"/>
      <c r="H2524" s="728"/>
      <c r="I2524" s="728"/>
      <c r="J2524" s="728"/>
      <c r="K2524" s="728"/>
      <c r="L2524" s="148">
        <v>0.47225</v>
      </c>
      <c r="M2524" s="728"/>
      <c r="N2524" s="148">
        <v>0.47225</v>
      </c>
      <c r="O2524" s="148">
        <v>0</v>
      </c>
      <c r="P2524" s="148">
        <v>0.14660999999999999</v>
      </c>
      <c r="Q2524" s="148">
        <v>0.32563999999999999</v>
      </c>
      <c r="R2524" s="148">
        <v>222.11308914807995</v>
      </c>
    </row>
    <row r="2525" spans="2:18" ht="15.75" hidden="1" thickBot="1" x14ac:dyDescent="0.3">
      <c r="B2525" s="726" t="s">
        <v>763</v>
      </c>
      <c r="C2525" s="722" t="s">
        <v>190</v>
      </c>
      <c r="D2525" t="s">
        <v>191</v>
      </c>
      <c r="E2525" s="729"/>
      <c r="F2525" s="729"/>
      <c r="G2525" s="729"/>
      <c r="H2525" s="729"/>
      <c r="I2525" s="729"/>
      <c r="J2525" s="729"/>
      <c r="K2525" s="729"/>
      <c r="L2525" s="147">
        <v>0.11773</v>
      </c>
      <c r="M2525" s="729"/>
      <c r="N2525" s="147">
        <v>0.11773</v>
      </c>
      <c r="O2525" s="147">
        <v>0</v>
      </c>
      <c r="P2525" s="147">
        <v>0.11773</v>
      </c>
      <c r="Q2525" s="147">
        <v>0</v>
      </c>
      <c r="R2525" s="147">
        <v>0</v>
      </c>
    </row>
    <row r="2526" spans="2:18" ht="15.75" hidden="1" thickBot="1" x14ac:dyDescent="0.3">
      <c r="B2526" s="726" t="s">
        <v>763</v>
      </c>
      <c r="C2526" s="722" t="s">
        <v>139</v>
      </c>
      <c r="D2526" t="s">
        <v>140</v>
      </c>
      <c r="E2526" s="728"/>
      <c r="F2526" s="728"/>
      <c r="G2526" s="728"/>
      <c r="H2526" s="728"/>
      <c r="I2526" s="728"/>
      <c r="J2526" s="728"/>
      <c r="K2526" s="728"/>
      <c r="L2526" s="148">
        <v>0.4</v>
      </c>
      <c r="M2526" s="728"/>
      <c r="N2526" s="148">
        <v>0.4</v>
      </c>
      <c r="O2526" s="148">
        <v>0</v>
      </c>
      <c r="P2526" s="728"/>
      <c r="Q2526" s="148">
        <v>0.4</v>
      </c>
      <c r="R2526" s="148">
        <v>0</v>
      </c>
    </row>
    <row r="2527" spans="2:18" ht="15.75" hidden="1" thickBot="1" x14ac:dyDescent="0.3">
      <c r="B2527" s="726" t="s">
        <v>763</v>
      </c>
      <c r="C2527" s="722" t="s">
        <v>101</v>
      </c>
      <c r="D2527" t="s">
        <v>102</v>
      </c>
      <c r="E2527" s="729"/>
      <c r="F2527" s="729"/>
      <c r="G2527" s="729"/>
      <c r="H2527" s="729"/>
      <c r="I2527" s="729"/>
      <c r="J2527" s="729"/>
      <c r="K2527" s="729"/>
      <c r="L2527" s="147">
        <v>8.6470000000000005E-2</v>
      </c>
      <c r="M2527" s="729"/>
      <c r="N2527" s="147">
        <v>8.6470000000000005E-2</v>
      </c>
      <c r="O2527" s="147">
        <v>0</v>
      </c>
      <c r="P2527" s="729"/>
      <c r="Q2527" s="147">
        <v>8.6470000000000005E-2</v>
      </c>
      <c r="R2527" s="147">
        <v>0</v>
      </c>
    </row>
    <row r="2528" spans="2:18" ht="15.75" hidden="1" thickBot="1" x14ac:dyDescent="0.3">
      <c r="B2528" s="726" t="s">
        <v>763</v>
      </c>
      <c r="C2528" s="722" t="s">
        <v>109</v>
      </c>
      <c r="D2528" t="s">
        <v>110</v>
      </c>
      <c r="E2528" s="728"/>
      <c r="F2528" s="728"/>
      <c r="G2528" s="728"/>
      <c r="H2528" s="728"/>
      <c r="I2528" s="728"/>
      <c r="J2528" s="728"/>
      <c r="K2528" s="728"/>
      <c r="L2528" s="148">
        <v>1.191E-2</v>
      </c>
      <c r="M2528" s="728"/>
      <c r="N2528" s="148">
        <v>1.191E-2</v>
      </c>
      <c r="O2528" s="148">
        <v>0</v>
      </c>
      <c r="P2528" s="728"/>
      <c r="Q2528" s="148">
        <v>1.191E-2</v>
      </c>
      <c r="R2528" s="148">
        <v>0</v>
      </c>
    </row>
    <row r="2529" spans="2:18" ht="15.75" hidden="1" thickBot="1" x14ac:dyDescent="0.3">
      <c r="B2529" s="726" t="s">
        <v>763</v>
      </c>
      <c r="C2529" s="722" t="s">
        <v>73</v>
      </c>
      <c r="D2529" t="s">
        <v>74</v>
      </c>
      <c r="E2529" s="729"/>
      <c r="F2529" s="729"/>
      <c r="G2529" s="729"/>
      <c r="H2529" s="729"/>
      <c r="I2529" s="729"/>
      <c r="J2529" s="729"/>
      <c r="K2529" s="729"/>
      <c r="L2529" s="147">
        <v>3.6900000000000002E-2</v>
      </c>
      <c r="M2529" s="729"/>
      <c r="N2529" s="147">
        <v>3.6900000000000002E-2</v>
      </c>
      <c r="O2529" s="147">
        <v>0</v>
      </c>
      <c r="P2529" s="147">
        <v>8.4899999999999993E-3</v>
      </c>
      <c r="Q2529" s="147">
        <v>2.8410000000000001E-2</v>
      </c>
      <c r="R2529" s="147">
        <v>334.62897526501769</v>
      </c>
    </row>
    <row r="2530" spans="2:18" ht="15.75" hidden="1" thickBot="1" x14ac:dyDescent="0.3">
      <c r="B2530" s="726" t="s">
        <v>763</v>
      </c>
      <c r="C2530" s="722" t="s">
        <v>635</v>
      </c>
      <c r="D2530" t="s">
        <v>636</v>
      </c>
      <c r="E2530" s="148">
        <v>-202.29974000000001</v>
      </c>
      <c r="F2530" s="148">
        <v>-157.01089999999999</v>
      </c>
      <c r="G2530" s="148">
        <v>-45.28884</v>
      </c>
      <c r="H2530" s="148">
        <v>-28.844392331997334</v>
      </c>
      <c r="I2530" s="728"/>
      <c r="J2530" s="148">
        <v>-202.29974000000001</v>
      </c>
      <c r="K2530" s="148">
        <v>0</v>
      </c>
      <c r="L2530" s="148">
        <v>-3021.2867200000001</v>
      </c>
      <c r="M2530" s="148">
        <v>-2830.0894400000002</v>
      </c>
      <c r="N2530" s="148">
        <v>-191.19728000000001</v>
      </c>
      <c r="O2530" s="148">
        <v>-6.7558741182398814</v>
      </c>
      <c r="P2530" s="148">
        <v>-1477.35286</v>
      </c>
      <c r="Q2530" s="148">
        <v>-1543.9338600000001</v>
      </c>
      <c r="R2530" s="148">
        <v>-104.50677707423263</v>
      </c>
    </row>
    <row r="2531" spans="2:18" ht="15.75" hidden="1" thickBot="1" x14ac:dyDescent="0.3">
      <c r="B2531" s="726" t="s">
        <v>763</v>
      </c>
      <c r="C2531" s="722" t="s">
        <v>145</v>
      </c>
      <c r="D2531" t="s">
        <v>146</v>
      </c>
      <c r="E2531" s="729"/>
      <c r="F2531" s="729"/>
      <c r="G2531" s="729"/>
      <c r="H2531" s="729"/>
      <c r="I2531" s="729"/>
      <c r="J2531" s="729"/>
      <c r="K2531" s="729"/>
      <c r="L2531" s="147">
        <v>1.8499999999999999E-2</v>
      </c>
      <c r="M2531" s="729"/>
      <c r="N2531" s="147">
        <v>1.8499999999999999E-2</v>
      </c>
      <c r="O2531" s="147">
        <v>0</v>
      </c>
      <c r="P2531" s="147">
        <v>1.4E-2</v>
      </c>
      <c r="Q2531" s="147">
        <v>4.4999999999999997E-3</v>
      </c>
      <c r="R2531" s="147">
        <v>32.142857142857146</v>
      </c>
    </row>
    <row r="2532" spans="2:18" ht="15.75" hidden="1" thickBot="1" x14ac:dyDescent="0.3">
      <c r="B2532" s="726" t="s">
        <v>763</v>
      </c>
      <c r="C2532" s="722" t="s">
        <v>149</v>
      </c>
      <c r="D2532" t="s">
        <v>150</v>
      </c>
      <c r="E2532" s="148">
        <v>3.9135499999999999</v>
      </c>
      <c r="F2532" s="148">
        <v>0</v>
      </c>
      <c r="G2532" s="148">
        <v>3.9135499999999999</v>
      </c>
      <c r="H2532" s="148">
        <v>0</v>
      </c>
      <c r="I2532" s="728"/>
      <c r="J2532" s="148">
        <v>3.9135499999999999</v>
      </c>
      <c r="K2532" s="148">
        <v>0</v>
      </c>
      <c r="L2532" s="148">
        <v>74.414330000000007</v>
      </c>
      <c r="M2532" s="148">
        <v>40</v>
      </c>
      <c r="N2532" s="148">
        <v>34.41433</v>
      </c>
      <c r="O2532" s="148">
        <v>86.035825000000003</v>
      </c>
      <c r="P2532" s="148">
        <v>43.513629999999999</v>
      </c>
      <c r="Q2532" s="148">
        <v>30.900700000000001</v>
      </c>
      <c r="R2532" s="148">
        <v>71.01384095052515</v>
      </c>
    </row>
    <row r="2533" spans="2:18" ht="15.75" hidden="1" thickBot="1" x14ac:dyDescent="0.3">
      <c r="B2533" s="726" t="s">
        <v>763</v>
      </c>
      <c r="C2533" s="722" t="s">
        <v>665</v>
      </c>
      <c r="D2533" t="s">
        <v>666</v>
      </c>
      <c r="E2533" s="147">
        <v>193.86080999999999</v>
      </c>
      <c r="F2533" s="147">
        <v>150</v>
      </c>
      <c r="G2533" s="147">
        <v>43.860810000000001</v>
      </c>
      <c r="H2533" s="147">
        <v>29.240539999999999</v>
      </c>
      <c r="I2533" s="729"/>
      <c r="J2533" s="147">
        <v>193.86080999999999</v>
      </c>
      <c r="K2533" s="147">
        <v>0</v>
      </c>
      <c r="L2533" s="147">
        <v>2879.1330499999999</v>
      </c>
      <c r="M2533" s="147">
        <v>2700</v>
      </c>
      <c r="N2533" s="147">
        <v>179.13305</v>
      </c>
      <c r="O2533" s="147">
        <v>6.6345574074074074</v>
      </c>
      <c r="P2533" s="147">
        <v>1401.2884300000001</v>
      </c>
      <c r="Q2533" s="147">
        <v>1477.8446200000001</v>
      </c>
      <c r="R2533" s="147">
        <v>105.46327139802332</v>
      </c>
    </row>
    <row r="2534" spans="2:18" ht="15.75" hidden="1" thickBot="1" x14ac:dyDescent="0.3">
      <c r="B2534" s="726" t="s">
        <v>763</v>
      </c>
      <c r="C2534" s="722" t="s">
        <v>153</v>
      </c>
      <c r="D2534" t="s">
        <v>154</v>
      </c>
      <c r="E2534" s="728"/>
      <c r="F2534" s="728"/>
      <c r="G2534" s="728"/>
      <c r="H2534" s="728"/>
      <c r="I2534" s="728"/>
      <c r="J2534" s="728"/>
      <c r="K2534" s="728"/>
      <c r="L2534" s="148">
        <v>6.6650000000000001E-2</v>
      </c>
      <c r="M2534" s="728"/>
      <c r="N2534" s="148">
        <v>6.6650000000000001E-2</v>
      </c>
      <c r="O2534" s="148">
        <v>0</v>
      </c>
      <c r="P2534" s="728"/>
      <c r="Q2534" s="148">
        <v>6.6650000000000001E-2</v>
      </c>
      <c r="R2534" s="148">
        <v>0</v>
      </c>
    </row>
    <row r="2535" spans="2:18" ht="15.75" hidden="1" thickBot="1" x14ac:dyDescent="0.3">
      <c r="B2535" s="726" t="s">
        <v>763</v>
      </c>
      <c r="C2535" s="722" t="s">
        <v>75</v>
      </c>
      <c r="D2535" t="s">
        <v>76</v>
      </c>
      <c r="E2535" s="147">
        <v>0.11729000000000001</v>
      </c>
      <c r="F2535" s="147">
        <v>0</v>
      </c>
      <c r="G2535" s="147">
        <v>0.11729000000000001</v>
      </c>
      <c r="H2535" s="147">
        <v>0</v>
      </c>
      <c r="I2535" s="729"/>
      <c r="J2535" s="147">
        <v>0.11729000000000001</v>
      </c>
      <c r="K2535" s="147">
        <v>0</v>
      </c>
      <c r="L2535" s="147">
        <v>0.87487000000000004</v>
      </c>
      <c r="M2535" s="147">
        <v>1.8</v>
      </c>
      <c r="N2535" s="147">
        <v>-0.92513000000000001</v>
      </c>
      <c r="O2535" s="147">
        <v>-51.396111111111111</v>
      </c>
      <c r="P2535" s="147">
        <v>0.26247999999999999</v>
      </c>
      <c r="Q2535" s="147">
        <v>0.61238999999999999</v>
      </c>
      <c r="R2535" s="147">
        <v>233.30920451081988</v>
      </c>
    </row>
    <row r="2536" spans="2:18" ht="15.75" hidden="1" thickBot="1" x14ac:dyDescent="0.3">
      <c r="B2536" s="726" t="s">
        <v>763</v>
      </c>
      <c r="C2536" s="722" t="s">
        <v>77</v>
      </c>
      <c r="D2536" t="s">
        <v>78</v>
      </c>
      <c r="E2536" s="728"/>
      <c r="F2536" s="148">
        <v>0</v>
      </c>
      <c r="G2536" s="148">
        <v>0</v>
      </c>
      <c r="H2536" s="148">
        <v>0</v>
      </c>
      <c r="I2536" s="728"/>
      <c r="J2536" s="728"/>
      <c r="K2536" s="728"/>
      <c r="L2536" s="148">
        <v>1.6570499999999999</v>
      </c>
      <c r="M2536" s="148">
        <v>4.5999999999999996</v>
      </c>
      <c r="N2536" s="148">
        <v>-2.9429500000000002</v>
      </c>
      <c r="O2536" s="148">
        <v>-63.97717391304348</v>
      </c>
      <c r="P2536" s="148">
        <v>1.26397</v>
      </c>
      <c r="Q2536" s="148">
        <v>0.39307999999999998</v>
      </c>
      <c r="R2536" s="148">
        <v>31.098839371187609</v>
      </c>
    </row>
    <row r="2537" spans="2:18" ht="15.75" hidden="1" thickBot="1" x14ac:dyDescent="0.3">
      <c r="B2537" s="726" t="s">
        <v>763</v>
      </c>
      <c r="C2537" s="149" t="s">
        <v>85</v>
      </c>
      <c r="D2537" t="s">
        <v>86</v>
      </c>
      <c r="E2537" s="147">
        <v>-4.4080899999999996</v>
      </c>
      <c r="F2537" s="147">
        <v>-7.0109000000000004</v>
      </c>
      <c r="G2537" s="147">
        <v>2.6028099999999998</v>
      </c>
      <c r="H2537" s="147">
        <v>37.125190774365628</v>
      </c>
      <c r="I2537" s="729"/>
      <c r="J2537" s="147">
        <v>-4.4080899999999996</v>
      </c>
      <c r="K2537" s="147">
        <v>0</v>
      </c>
      <c r="L2537" s="147">
        <v>-63.273009999999999</v>
      </c>
      <c r="M2537" s="147">
        <v>-83.689440000000005</v>
      </c>
      <c r="N2537" s="147">
        <v>20.416429999999998</v>
      </c>
      <c r="O2537" s="147">
        <v>24.395467337336704</v>
      </c>
      <c r="P2537" s="147">
        <v>-30.238520000000001</v>
      </c>
      <c r="Q2537" s="147">
        <v>-33.034489999999998</v>
      </c>
      <c r="R2537" s="147">
        <v>-109.24638507440179</v>
      </c>
    </row>
    <row r="2538" spans="2:18" ht="15.75" hidden="1" thickBot="1" x14ac:dyDescent="0.3">
      <c r="B2538" s="726" t="s">
        <v>763</v>
      </c>
      <c r="C2538" s="144" t="s">
        <v>87</v>
      </c>
      <c r="D2538" t="s">
        <v>87</v>
      </c>
      <c r="E2538" s="148">
        <v>0</v>
      </c>
      <c r="F2538" s="148">
        <v>0</v>
      </c>
      <c r="G2538" s="148">
        <v>0</v>
      </c>
      <c r="H2538" s="148">
        <v>0</v>
      </c>
      <c r="I2538" s="728"/>
      <c r="J2538" s="148">
        <v>0</v>
      </c>
      <c r="K2538" s="148">
        <v>0</v>
      </c>
      <c r="L2538" s="148">
        <v>0</v>
      </c>
      <c r="M2538" s="148">
        <v>0</v>
      </c>
      <c r="N2538" s="148">
        <v>0</v>
      </c>
      <c r="O2538" s="148">
        <v>0</v>
      </c>
      <c r="P2538" s="148">
        <v>0</v>
      </c>
      <c r="Q2538" s="148">
        <v>0</v>
      </c>
      <c r="R2538" s="148">
        <v>0</v>
      </c>
    </row>
    <row r="2539" spans="2:18" ht="15.75" hidden="1" thickBot="1" x14ac:dyDescent="0.3">
      <c r="B2539" s="726" t="s">
        <v>764</v>
      </c>
      <c r="C2539" s="722" t="s">
        <v>574</v>
      </c>
      <c r="D2539" t="s">
        <v>575</v>
      </c>
      <c r="E2539" s="147">
        <v>5.6099999999999997E-2</v>
      </c>
      <c r="F2539" s="729"/>
      <c r="G2539" s="147">
        <v>5.6099999999999997E-2</v>
      </c>
      <c r="H2539" s="147">
        <v>0</v>
      </c>
      <c r="I2539" s="729"/>
      <c r="J2539" s="147">
        <v>5.6099999999999997E-2</v>
      </c>
      <c r="K2539" s="147">
        <v>0</v>
      </c>
      <c r="L2539" s="147">
        <v>0.54691999999999996</v>
      </c>
      <c r="M2539" s="729"/>
      <c r="N2539" s="147">
        <v>0.54691999999999996</v>
      </c>
      <c r="O2539" s="147">
        <v>0</v>
      </c>
      <c r="P2539" s="729"/>
      <c r="Q2539" s="147">
        <v>0.54691999999999996</v>
      </c>
      <c r="R2539" s="147">
        <v>0</v>
      </c>
    </row>
    <row r="2540" spans="2:18" ht="15.75" hidden="1" thickBot="1" x14ac:dyDescent="0.3">
      <c r="B2540" s="726" t="s">
        <v>764</v>
      </c>
      <c r="C2540" s="149" t="s">
        <v>67</v>
      </c>
      <c r="D2540" t="s">
        <v>68</v>
      </c>
      <c r="E2540" s="148">
        <v>5.6099999999999997E-2</v>
      </c>
      <c r="F2540" s="728"/>
      <c r="G2540" s="148">
        <v>5.6099999999999997E-2</v>
      </c>
      <c r="H2540" s="148">
        <v>0</v>
      </c>
      <c r="I2540" s="728"/>
      <c r="J2540" s="148">
        <v>5.6099999999999997E-2</v>
      </c>
      <c r="K2540" s="148">
        <v>0</v>
      </c>
      <c r="L2540" s="148">
        <v>0.54691999999999996</v>
      </c>
      <c r="M2540" s="728"/>
      <c r="N2540" s="148">
        <v>0.54691999999999996</v>
      </c>
      <c r="O2540" s="148">
        <v>0</v>
      </c>
      <c r="P2540" s="728"/>
      <c r="Q2540" s="148">
        <v>0.54691999999999996</v>
      </c>
      <c r="R2540" s="148">
        <v>0</v>
      </c>
    </row>
    <row r="2541" spans="2:18" ht="15.75" hidden="1" thickBot="1" x14ac:dyDescent="0.3">
      <c r="B2541" s="726" t="s">
        <v>764</v>
      </c>
      <c r="C2541" s="722" t="s">
        <v>635</v>
      </c>
      <c r="D2541" t="s">
        <v>636</v>
      </c>
      <c r="E2541" s="147">
        <v>-38.386209999999998</v>
      </c>
      <c r="F2541" s="147">
        <v>0</v>
      </c>
      <c r="G2541" s="147">
        <v>-38.386209999999998</v>
      </c>
      <c r="H2541" s="147">
        <v>0</v>
      </c>
      <c r="I2541" s="729"/>
      <c r="J2541" s="147">
        <v>-38.386209999999998</v>
      </c>
      <c r="K2541" s="147">
        <v>0</v>
      </c>
      <c r="L2541" s="147">
        <v>-93.97927</v>
      </c>
      <c r="M2541" s="147">
        <v>-6.4</v>
      </c>
      <c r="N2541" s="147">
        <v>-87.579269999999994</v>
      </c>
      <c r="O2541" s="147">
        <v>-1368.4260937500001</v>
      </c>
      <c r="P2541" s="147">
        <v>-38.751690000000004</v>
      </c>
      <c r="Q2541" s="147">
        <v>-55.227580000000003</v>
      </c>
      <c r="R2541" s="147">
        <v>-142.51657153533174</v>
      </c>
    </row>
    <row r="2542" spans="2:18" ht="15.75" hidden="1" thickBot="1" x14ac:dyDescent="0.3">
      <c r="B2542" s="726" t="s">
        <v>764</v>
      </c>
      <c r="C2542" s="722" t="s">
        <v>149</v>
      </c>
      <c r="D2542" t="s">
        <v>150</v>
      </c>
      <c r="E2542" s="728"/>
      <c r="F2542" s="728"/>
      <c r="G2542" s="728"/>
      <c r="H2542" s="728"/>
      <c r="I2542" s="728"/>
      <c r="J2542" s="728"/>
      <c r="K2542" s="728"/>
      <c r="L2542" s="148">
        <v>7.9689999999999997E-2</v>
      </c>
      <c r="M2542" s="728"/>
      <c r="N2542" s="148">
        <v>7.9689999999999997E-2</v>
      </c>
      <c r="O2542" s="148">
        <v>0</v>
      </c>
      <c r="P2542" s="148">
        <v>7.9689999999999997E-2</v>
      </c>
      <c r="Q2542" s="148">
        <v>0</v>
      </c>
      <c r="R2542" s="148">
        <v>0</v>
      </c>
    </row>
    <row r="2543" spans="2:18" ht="15.75" hidden="1" thickBot="1" x14ac:dyDescent="0.3">
      <c r="B2543" s="726" t="s">
        <v>764</v>
      </c>
      <c r="C2543" s="722" t="s">
        <v>665</v>
      </c>
      <c r="D2543" t="s">
        <v>666</v>
      </c>
      <c r="E2543" s="147">
        <v>38.330109999999998</v>
      </c>
      <c r="F2543" s="729"/>
      <c r="G2543" s="147">
        <v>38.330109999999998</v>
      </c>
      <c r="H2543" s="147">
        <v>0</v>
      </c>
      <c r="I2543" s="729"/>
      <c r="J2543" s="147">
        <v>38.330109999999998</v>
      </c>
      <c r="K2543" s="147">
        <v>0</v>
      </c>
      <c r="L2543" s="147">
        <v>92.986109999999996</v>
      </c>
      <c r="M2543" s="729"/>
      <c r="N2543" s="147">
        <v>92.986109999999996</v>
      </c>
      <c r="O2543" s="147">
        <v>0</v>
      </c>
      <c r="P2543" s="147">
        <v>38.671999999999997</v>
      </c>
      <c r="Q2543" s="147">
        <v>54.314109999999999</v>
      </c>
      <c r="R2543" s="147">
        <v>140.44815370293753</v>
      </c>
    </row>
    <row r="2544" spans="2:18" ht="15.75" hidden="1" thickBot="1" x14ac:dyDescent="0.3">
      <c r="B2544" s="726" t="s">
        <v>764</v>
      </c>
      <c r="C2544" s="722" t="s">
        <v>75</v>
      </c>
      <c r="D2544" t="s">
        <v>76</v>
      </c>
      <c r="E2544" s="728"/>
      <c r="F2544" s="148">
        <v>0</v>
      </c>
      <c r="G2544" s="148">
        <v>0</v>
      </c>
      <c r="H2544" s="148">
        <v>0</v>
      </c>
      <c r="I2544" s="728"/>
      <c r="J2544" s="728"/>
      <c r="K2544" s="728"/>
      <c r="L2544" s="728"/>
      <c r="M2544" s="148">
        <v>1.8</v>
      </c>
      <c r="N2544" s="148">
        <v>-1.8</v>
      </c>
      <c r="O2544" s="148">
        <v>-100</v>
      </c>
      <c r="P2544" s="728"/>
      <c r="Q2544" s="728"/>
      <c r="R2544" s="728"/>
    </row>
    <row r="2545" spans="2:18" ht="15.75" hidden="1" thickBot="1" x14ac:dyDescent="0.3">
      <c r="B2545" s="726" t="s">
        <v>764</v>
      </c>
      <c r="C2545" s="722" t="s">
        <v>77</v>
      </c>
      <c r="D2545" t="s">
        <v>78</v>
      </c>
      <c r="E2545" s="729"/>
      <c r="F2545" s="147">
        <v>0</v>
      </c>
      <c r="G2545" s="147">
        <v>0</v>
      </c>
      <c r="H2545" s="147">
        <v>0</v>
      </c>
      <c r="I2545" s="729"/>
      <c r="J2545" s="729"/>
      <c r="K2545" s="729"/>
      <c r="L2545" s="147">
        <v>0.36654999999999999</v>
      </c>
      <c r="M2545" s="147">
        <v>4.5999999999999996</v>
      </c>
      <c r="N2545" s="147">
        <v>-4.2334500000000004</v>
      </c>
      <c r="O2545" s="147">
        <v>-92.03152173913044</v>
      </c>
      <c r="P2545" s="729"/>
      <c r="Q2545" s="147">
        <v>0.36654999999999999</v>
      </c>
      <c r="R2545" s="147">
        <v>0</v>
      </c>
    </row>
    <row r="2546" spans="2:18" ht="15.75" hidden="1" thickBot="1" x14ac:dyDescent="0.3">
      <c r="B2546" s="726" t="s">
        <v>764</v>
      </c>
      <c r="C2546" s="149" t="s">
        <v>85</v>
      </c>
      <c r="D2546" t="s">
        <v>86</v>
      </c>
      <c r="E2546" s="148">
        <v>-5.6099999999999997E-2</v>
      </c>
      <c r="F2546" s="148">
        <v>0</v>
      </c>
      <c r="G2546" s="148">
        <v>-5.6099999999999997E-2</v>
      </c>
      <c r="H2546" s="148">
        <v>0</v>
      </c>
      <c r="I2546" s="728"/>
      <c r="J2546" s="148">
        <v>-5.6099999999999997E-2</v>
      </c>
      <c r="K2546" s="148">
        <v>0</v>
      </c>
      <c r="L2546" s="148">
        <v>-0.54691999999999996</v>
      </c>
      <c r="M2546" s="148">
        <v>0</v>
      </c>
      <c r="N2546" s="148">
        <v>-0.54691999999999996</v>
      </c>
      <c r="O2546" s="148">
        <v>0</v>
      </c>
      <c r="P2546" s="148">
        <v>0</v>
      </c>
      <c r="Q2546" s="148">
        <v>-0.54691999999999996</v>
      </c>
      <c r="R2546" s="148">
        <v>0</v>
      </c>
    </row>
    <row r="2547" spans="2:18" ht="15.75" hidden="1" thickBot="1" x14ac:dyDescent="0.3">
      <c r="B2547" s="726" t="s">
        <v>764</v>
      </c>
      <c r="C2547" s="144" t="s">
        <v>87</v>
      </c>
      <c r="D2547" t="s">
        <v>87</v>
      </c>
      <c r="E2547" s="147">
        <v>0</v>
      </c>
      <c r="F2547" s="147">
        <v>0</v>
      </c>
      <c r="G2547" s="147">
        <v>0</v>
      </c>
      <c r="H2547" s="147">
        <v>0</v>
      </c>
      <c r="I2547" s="729"/>
      <c r="J2547" s="147">
        <v>0</v>
      </c>
      <c r="K2547" s="147">
        <v>0</v>
      </c>
      <c r="L2547" s="147">
        <v>0</v>
      </c>
      <c r="M2547" s="147">
        <v>0</v>
      </c>
      <c r="N2547" s="147">
        <v>0</v>
      </c>
      <c r="O2547" s="147">
        <v>0</v>
      </c>
      <c r="P2547" s="147">
        <v>0</v>
      </c>
      <c r="Q2547" s="147">
        <v>0</v>
      </c>
      <c r="R2547" s="147">
        <v>0</v>
      </c>
    </row>
    <row r="2548" spans="2:18" ht="15.75" hidden="1" thickBot="1" x14ac:dyDescent="0.3">
      <c r="B2548" s="726" t="s">
        <v>765</v>
      </c>
      <c r="C2548" s="722" t="s">
        <v>59</v>
      </c>
      <c r="D2548" t="s">
        <v>60</v>
      </c>
      <c r="E2548" s="148">
        <v>6.2090800000000002</v>
      </c>
      <c r="F2548" s="148">
        <v>5.9596</v>
      </c>
      <c r="G2548" s="148">
        <v>0.24948000000000001</v>
      </c>
      <c r="H2548" s="148">
        <v>4.1861869924155988</v>
      </c>
      <c r="I2548" s="728"/>
      <c r="J2548" s="148">
        <v>6.2090800000000002</v>
      </c>
      <c r="K2548" s="148">
        <v>0</v>
      </c>
      <c r="L2548" s="148">
        <v>75.567930000000004</v>
      </c>
      <c r="M2548" s="148">
        <v>71.140020000000007</v>
      </c>
      <c r="N2548" s="148">
        <v>4.4279099999999998</v>
      </c>
      <c r="O2548" s="148">
        <v>6.2242180983362108</v>
      </c>
      <c r="P2548" s="148">
        <v>37.130769999999998</v>
      </c>
      <c r="Q2548" s="148">
        <v>38.437159999999999</v>
      </c>
      <c r="R2548" s="148">
        <v>103.51834879804539</v>
      </c>
    </row>
    <row r="2549" spans="2:18" ht="15.75" hidden="1" thickBot="1" x14ac:dyDescent="0.3">
      <c r="B2549" s="726" t="s">
        <v>765</v>
      </c>
      <c r="C2549" s="722" t="s">
        <v>61</v>
      </c>
      <c r="D2549" t="s">
        <v>62</v>
      </c>
      <c r="E2549" s="147">
        <v>0.97353999999999996</v>
      </c>
      <c r="F2549" s="147">
        <v>0.92374000000000001</v>
      </c>
      <c r="G2549" s="147">
        <v>4.9799999999999997E-2</v>
      </c>
      <c r="H2549" s="147">
        <v>5.3911273735033669</v>
      </c>
      <c r="I2549" s="729"/>
      <c r="J2549" s="147">
        <v>0.97353999999999996</v>
      </c>
      <c r="K2549" s="147">
        <v>0</v>
      </c>
      <c r="L2549" s="147">
        <v>11.495609999999999</v>
      </c>
      <c r="M2549" s="147">
        <v>11.026719999999999</v>
      </c>
      <c r="N2549" s="147">
        <v>0.46888999999999997</v>
      </c>
      <c r="O2549" s="147">
        <v>4.2523071230610734</v>
      </c>
      <c r="P2549" s="147">
        <v>5.6543799999999997</v>
      </c>
      <c r="Q2549" s="147">
        <v>5.8412300000000004</v>
      </c>
      <c r="R2549" s="147">
        <v>103.30451791354666</v>
      </c>
    </row>
    <row r="2550" spans="2:18" ht="15.75" hidden="1" thickBot="1" x14ac:dyDescent="0.3">
      <c r="B2550" s="726" t="s">
        <v>765</v>
      </c>
      <c r="C2550" s="722" t="s">
        <v>63</v>
      </c>
      <c r="D2550" t="s">
        <v>64</v>
      </c>
      <c r="E2550" s="148">
        <v>3.7821600000000002</v>
      </c>
      <c r="F2550" s="148">
        <v>3.5936400000000002</v>
      </c>
      <c r="G2550" s="148">
        <v>0.18851999999999999</v>
      </c>
      <c r="H2550" s="148">
        <v>5.2459344842555184</v>
      </c>
      <c r="I2550" s="728"/>
      <c r="J2550" s="148">
        <v>3.7821600000000002</v>
      </c>
      <c r="K2550" s="148">
        <v>0</v>
      </c>
      <c r="L2550" s="148">
        <v>44.659750000000003</v>
      </c>
      <c r="M2550" s="148">
        <v>42.897440000000003</v>
      </c>
      <c r="N2550" s="148">
        <v>1.76231</v>
      </c>
      <c r="O2550" s="148">
        <v>4.1081938689115249</v>
      </c>
      <c r="P2550" s="148">
        <v>21.96678</v>
      </c>
      <c r="Q2550" s="148">
        <v>22.692969999999999</v>
      </c>
      <c r="R2550" s="148">
        <v>103.30585547813563</v>
      </c>
    </row>
    <row r="2551" spans="2:18" ht="15.75" hidden="1" thickBot="1" x14ac:dyDescent="0.3">
      <c r="B2551" s="726" t="s">
        <v>765</v>
      </c>
      <c r="C2551" s="722" t="s">
        <v>156</v>
      </c>
      <c r="D2551" t="s">
        <v>157</v>
      </c>
      <c r="E2551" s="729"/>
      <c r="F2551" s="147">
        <v>1.13564</v>
      </c>
      <c r="G2551" s="147">
        <v>-1.13564</v>
      </c>
      <c r="H2551" s="147">
        <v>-100</v>
      </c>
      <c r="I2551" s="729"/>
      <c r="J2551" s="729"/>
      <c r="K2551" s="729"/>
      <c r="L2551" s="729"/>
      <c r="M2551" s="147">
        <v>13.556179999999999</v>
      </c>
      <c r="N2551" s="147">
        <v>-13.556179999999999</v>
      </c>
      <c r="O2551" s="147">
        <v>-100</v>
      </c>
      <c r="P2551" s="729"/>
      <c r="Q2551" s="729"/>
      <c r="R2551" s="729"/>
    </row>
    <row r="2552" spans="2:18" ht="15.75" hidden="1" thickBot="1" x14ac:dyDescent="0.3">
      <c r="B2552" s="726" t="s">
        <v>765</v>
      </c>
      <c r="C2552" s="722" t="s">
        <v>574</v>
      </c>
      <c r="D2552" t="s">
        <v>575</v>
      </c>
      <c r="E2552" s="728"/>
      <c r="F2552" s="728"/>
      <c r="G2552" s="728"/>
      <c r="H2552" s="728"/>
      <c r="I2552" s="728"/>
      <c r="J2552" s="728"/>
      <c r="K2552" s="728"/>
      <c r="L2552" s="148">
        <v>0.28050000000000003</v>
      </c>
      <c r="M2552" s="728"/>
      <c r="N2552" s="148">
        <v>0.28050000000000003</v>
      </c>
      <c r="O2552" s="148">
        <v>0</v>
      </c>
      <c r="P2552" s="728"/>
      <c r="Q2552" s="148">
        <v>0.28050000000000003</v>
      </c>
      <c r="R2552" s="148">
        <v>0</v>
      </c>
    </row>
    <row r="2553" spans="2:18" ht="15.75" hidden="1" thickBot="1" x14ac:dyDescent="0.3">
      <c r="B2553" s="726" t="s">
        <v>765</v>
      </c>
      <c r="C2553" s="722" t="s">
        <v>65</v>
      </c>
      <c r="D2553" t="s">
        <v>66</v>
      </c>
      <c r="E2553" s="147">
        <v>-5.3407600000000004</v>
      </c>
      <c r="F2553" s="147">
        <v>-5.2385000000000002</v>
      </c>
      <c r="G2553" s="147">
        <v>-0.10226</v>
      </c>
      <c r="H2553" s="147">
        <v>-1.9520855206643124</v>
      </c>
      <c r="I2553" s="729"/>
      <c r="J2553" s="147">
        <v>-5.3407600000000004</v>
      </c>
      <c r="K2553" s="147">
        <v>0</v>
      </c>
      <c r="L2553" s="147">
        <v>-76.501400000000004</v>
      </c>
      <c r="M2553" s="147">
        <v>-62.532220000000002</v>
      </c>
      <c r="N2553" s="147">
        <v>-13.96918</v>
      </c>
      <c r="O2553" s="147">
        <v>-22.339171710199956</v>
      </c>
      <c r="P2553" s="147">
        <v>-34.858989999999999</v>
      </c>
      <c r="Q2553" s="147">
        <v>-41.642409999999998</v>
      </c>
      <c r="R2553" s="147">
        <v>-119.45959994824864</v>
      </c>
    </row>
    <row r="2554" spans="2:18" ht="15.75" hidden="1" thickBot="1" x14ac:dyDescent="0.3">
      <c r="B2554" s="726" t="s">
        <v>765</v>
      </c>
      <c r="C2554" s="149" t="s">
        <v>67</v>
      </c>
      <c r="D2554" t="s">
        <v>68</v>
      </c>
      <c r="E2554" s="148">
        <v>5.6240199999999998</v>
      </c>
      <c r="F2554" s="148">
        <v>6.3741199999999996</v>
      </c>
      <c r="G2554" s="148">
        <v>-0.75009999999999999</v>
      </c>
      <c r="H2554" s="148">
        <v>-11.767898941344059</v>
      </c>
      <c r="I2554" s="728"/>
      <c r="J2554" s="148">
        <v>5.6240199999999998</v>
      </c>
      <c r="K2554" s="148">
        <v>0</v>
      </c>
      <c r="L2554" s="148">
        <v>55.502389999999998</v>
      </c>
      <c r="M2554" s="148">
        <v>76.088139999999996</v>
      </c>
      <c r="N2554" s="148">
        <v>-20.585750000000001</v>
      </c>
      <c r="O2554" s="148">
        <v>-27.055136319536789</v>
      </c>
      <c r="P2554" s="148">
        <v>29.892939999999999</v>
      </c>
      <c r="Q2554" s="148">
        <v>25.609449999999999</v>
      </c>
      <c r="R2554" s="148">
        <v>85.670563015882678</v>
      </c>
    </row>
    <row r="2555" spans="2:18" ht="15.75" hidden="1" thickBot="1" x14ac:dyDescent="0.3">
      <c r="B2555" s="726" t="s">
        <v>765</v>
      </c>
      <c r="C2555" s="722" t="s">
        <v>69</v>
      </c>
      <c r="D2555" t="s">
        <v>70</v>
      </c>
      <c r="E2555" s="729"/>
      <c r="F2555" s="729"/>
      <c r="G2555" s="729"/>
      <c r="H2555" s="729"/>
      <c r="I2555" s="729"/>
      <c r="J2555" s="729"/>
      <c r="K2555" s="729"/>
      <c r="L2555" s="147">
        <v>0.60077000000000003</v>
      </c>
      <c r="M2555" s="729"/>
      <c r="N2555" s="147">
        <v>0.60077000000000003</v>
      </c>
      <c r="O2555" s="147">
        <v>0</v>
      </c>
      <c r="P2555" s="147">
        <v>0.60077000000000003</v>
      </c>
      <c r="Q2555" s="147">
        <v>0</v>
      </c>
      <c r="R2555" s="147">
        <v>0</v>
      </c>
    </row>
    <row r="2556" spans="2:18" ht="15.75" hidden="1" thickBot="1" x14ac:dyDescent="0.3">
      <c r="B2556" s="726" t="s">
        <v>765</v>
      </c>
      <c r="C2556" s="722" t="s">
        <v>137</v>
      </c>
      <c r="D2556" t="s">
        <v>138</v>
      </c>
      <c r="E2556" s="728"/>
      <c r="F2556" s="728"/>
      <c r="G2556" s="728"/>
      <c r="H2556" s="728"/>
      <c r="I2556" s="728"/>
      <c r="J2556" s="728"/>
      <c r="K2556" s="728"/>
      <c r="L2556" s="148">
        <v>0.48559999999999998</v>
      </c>
      <c r="M2556" s="728"/>
      <c r="N2556" s="148">
        <v>0.48559999999999998</v>
      </c>
      <c r="O2556" s="148">
        <v>0</v>
      </c>
      <c r="P2556" s="148">
        <v>0.22409999999999999</v>
      </c>
      <c r="Q2556" s="148">
        <v>0.26150000000000001</v>
      </c>
      <c r="R2556" s="148">
        <v>116.68897813476127</v>
      </c>
    </row>
    <row r="2557" spans="2:18" ht="15.75" hidden="1" thickBot="1" x14ac:dyDescent="0.3">
      <c r="B2557" s="726" t="s">
        <v>765</v>
      </c>
      <c r="C2557" s="722" t="s">
        <v>190</v>
      </c>
      <c r="D2557" t="s">
        <v>191</v>
      </c>
      <c r="E2557" s="729"/>
      <c r="F2557" s="729"/>
      <c r="G2557" s="729"/>
      <c r="H2557" s="729"/>
      <c r="I2557" s="729"/>
      <c r="J2557" s="729"/>
      <c r="K2557" s="729"/>
      <c r="L2557" s="147">
        <v>0.18936</v>
      </c>
      <c r="M2557" s="729"/>
      <c r="N2557" s="147">
        <v>0.18936</v>
      </c>
      <c r="O2557" s="147">
        <v>0</v>
      </c>
      <c r="P2557" s="147">
        <v>3.39E-2</v>
      </c>
      <c r="Q2557" s="147">
        <v>0.15545999999999999</v>
      </c>
      <c r="R2557" s="147">
        <v>458.5840707964602</v>
      </c>
    </row>
    <row r="2558" spans="2:18" ht="15.75" hidden="1" thickBot="1" x14ac:dyDescent="0.3">
      <c r="B2558" s="726" t="s">
        <v>765</v>
      </c>
      <c r="C2558" s="722" t="s">
        <v>113</v>
      </c>
      <c r="D2558" t="s">
        <v>114</v>
      </c>
      <c r="E2558" s="728"/>
      <c r="F2558" s="728"/>
      <c r="G2558" s="728"/>
      <c r="H2558" s="728"/>
      <c r="I2558" s="728"/>
      <c r="J2558" s="728"/>
      <c r="K2558" s="728"/>
      <c r="L2558" s="148">
        <v>4.7999999999999996E-3</v>
      </c>
      <c r="M2558" s="728"/>
      <c r="N2558" s="148">
        <v>4.7999999999999996E-3</v>
      </c>
      <c r="O2558" s="148">
        <v>0</v>
      </c>
      <c r="P2558" s="728"/>
      <c r="Q2558" s="148">
        <v>4.7999999999999996E-3</v>
      </c>
      <c r="R2558" s="148">
        <v>0</v>
      </c>
    </row>
    <row r="2559" spans="2:18" ht="15.75" hidden="1" thickBot="1" x14ac:dyDescent="0.3">
      <c r="B2559" s="726" t="s">
        <v>765</v>
      </c>
      <c r="C2559" s="722" t="s">
        <v>635</v>
      </c>
      <c r="D2559" t="s">
        <v>636</v>
      </c>
      <c r="E2559" s="147">
        <v>-20.579519999999999</v>
      </c>
      <c r="F2559" s="147">
        <v>-7.5741199999999997</v>
      </c>
      <c r="G2559" s="147">
        <v>-13.0054</v>
      </c>
      <c r="H2559" s="147">
        <v>-171.70839648698464</v>
      </c>
      <c r="I2559" s="729"/>
      <c r="J2559" s="147">
        <v>-20.579519999999999</v>
      </c>
      <c r="K2559" s="147">
        <v>0</v>
      </c>
      <c r="L2559" s="147">
        <v>-74.540400000000005</v>
      </c>
      <c r="M2559" s="147">
        <v>-82.488140000000001</v>
      </c>
      <c r="N2559" s="147">
        <v>7.9477399999999996</v>
      </c>
      <c r="O2559" s="147">
        <v>9.6350093480105148</v>
      </c>
      <c r="P2559" s="147">
        <v>-32.502279999999999</v>
      </c>
      <c r="Q2559" s="147">
        <v>-42.038119999999999</v>
      </c>
      <c r="R2559" s="147">
        <v>-129.33898791100194</v>
      </c>
    </row>
    <row r="2560" spans="2:18" ht="15.75" hidden="1" thickBot="1" x14ac:dyDescent="0.3">
      <c r="B2560" s="726" t="s">
        <v>765</v>
      </c>
      <c r="C2560" s="722" t="s">
        <v>149</v>
      </c>
      <c r="D2560" t="s">
        <v>150</v>
      </c>
      <c r="E2560" s="148">
        <v>14.955500000000001</v>
      </c>
      <c r="F2560" s="728"/>
      <c r="G2560" s="148">
        <v>14.955500000000001</v>
      </c>
      <c r="H2560" s="148">
        <v>0</v>
      </c>
      <c r="I2560" s="728"/>
      <c r="J2560" s="148">
        <v>14.955500000000001</v>
      </c>
      <c r="K2560" s="148">
        <v>0</v>
      </c>
      <c r="L2560" s="148">
        <v>15.108750000000001</v>
      </c>
      <c r="M2560" s="728"/>
      <c r="N2560" s="148">
        <v>15.108750000000001</v>
      </c>
      <c r="O2560" s="148">
        <v>0</v>
      </c>
      <c r="P2560" s="148">
        <v>0.12873000000000001</v>
      </c>
      <c r="Q2560" s="148">
        <v>14.98002</v>
      </c>
      <c r="R2560" s="148">
        <v>11636.774644604988</v>
      </c>
    </row>
    <row r="2561" spans="2:18" ht="15.75" hidden="1" thickBot="1" x14ac:dyDescent="0.3">
      <c r="B2561" s="726" t="s">
        <v>765</v>
      </c>
      <c r="C2561" s="722" t="s">
        <v>75</v>
      </c>
      <c r="D2561" t="s">
        <v>76</v>
      </c>
      <c r="E2561" s="729"/>
      <c r="F2561" s="147">
        <v>0.2</v>
      </c>
      <c r="G2561" s="147">
        <v>-0.2</v>
      </c>
      <c r="H2561" s="147">
        <v>-100</v>
      </c>
      <c r="I2561" s="729"/>
      <c r="J2561" s="729"/>
      <c r="K2561" s="729"/>
      <c r="L2561" s="147">
        <v>0.33456000000000002</v>
      </c>
      <c r="M2561" s="147">
        <v>2.4</v>
      </c>
      <c r="N2561" s="147">
        <v>-2.0654400000000002</v>
      </c>
      <c r="O2561" s="147">
        <v>-86.06</v>
      </c>
      <c r="P2561" s="147">
        <v>0.19739000000000001</v>
      </c>
      <c r="Q2561" s="147">
        <v>0.13716999999999999</v>
      </c>
      <c r="R2561" s="147">
        <v>69.491868889001466</v>
      </c>
    </row>
    <row r="2562" spans="2:18" ht="15.75" hidden="1" thickBot="1" x14ac:dyDescent="0.3">
      <c r="B2562" s="726" t="s">
        <v>765</v>
      </c>
      <c r="C2562" s="722" t="s">
        <v>77</v>
      </c>
      <c r="D2562" t="s">
        <v>78</v>
      </c>
      <c r="E2562" s="728"/>
      <c r="F2562" s="148">
        <v>1</v>
      </c>
      <c r="G2562" s="148">
        <v>-1</v>
      </c>
      <c r="H2562" s="148">
        <v>-100</v>
      </c>
      <c r="I2562" s="728"/>
      <c r="J2562" s="728"/>
      <c r="K2562" s="728"/>
      <c r="L2562" s="148">
        <v>2.3141699999999998</v>
      </c>
      <c r="M2562" s="148">
        <v>4</v>
      </c>
      <c r="N2562" s="148">
        <v>-1.6858299999999999</v>
      </c>
      <c r="O2562" s="148">
        <v>-42.14575</v>
      </c>
      <c r="P2562" s="148">
        <v>1.42445</v>
      </c>
      <c r="Q2562" s="148">
        <v>0.88971999999999996</v>
      </c>
      <c r="R2562" s="148">
        <v>62.46059882761768</v>
      </c>
    </row>
    <row r="2563" spans="2:18" ht="15.75" hidden="1" thickBot="1" x14ac:dyDescent="0.3">
      <c r="B2563" s="726" t="s">
        <v>765</v>
      </c>
      <c r="C2563" s="149" t="s">
        <v>85</v>
      </c>
      <c r="D2563" t="s">
        <v>86</v>
      </c>
      <c r="E2563" s="147">
        <v>-5.6240199999999998</v>
      </c>
      <c r="F2563" s="147">
        <v>-6.3741199999999996</v>
      </c>
      <c r="G2563" s="147">
        <v>0.75009999999999999</v>
      </c>
      <c r="H2563" s="147">
        <v>11.767898941344059</v>
      </c>
      <c r="I2563" s="729"/>
      <c r="J2563" s="147">
        <v>-5.6240199999999998</v>
      </c>
      <c r="K2563" s="147">
        <v>0</v>
      </c>
      <c r="L2563" s="147">
        <v>-55.502389999999998</v>
      </c>
      <c r="M2563" s="147">
        <v>-76.088139999999996</v>
      </c>
      <c r="N2563" s="147">
        <v>20.585750000000001</v>
      </c>
      <c r="O2563" s="147">
        <v>27.055136319536789</v>
      </c>
      <c r="P2563" s="147">
        <v>-29.892939999999999</v>
      </c>
      <c r="Q2563" s="147">
        <v>-25.609449999999999</v>
      </c>
      <c r="R2563" s="147">
        <v>-85.670563015882678</v>
      </c>
    </row>
    <row r="2564" spans="2:18" ht="15.75" hidden="1" thickBot="1" x14ac:dyDescent="0.3">
      <c r="B2564" s="726" t="s">
        <v>765</v>
      </c>
      <c r="C2564" s="144" t="s">
        <v>87</v>
      </c>
      <c r="D2564" t="s">
        <v>87</v>
      </c>
      <c r="E2564" s="148">
        <v>0</v>
      </c>
      <c r="F2564" s="148">
        <v>0</v>
      </c>
      <c r="G2564" s="148">
        <v>0</v>
      </c>
      <c r="H2564" s="148">
        <v>0</v>
      </c>
      <c r="I2564" s="728"/>
      <c r="J2564" s="148">
        <v>0</v>
      </c>
      <c r="K2564" s="148">
        <v>0</v>
      </c>
      <c r="L2564" s="148">
        <v>0</v>
      </c>
      <c r="M2564" s="148">
        <v>0</v>
      </c>
      <c r="N2564" s="148">
        <v>0</v>
      </c>
      <c r="O2564" s="148">
        <v>0</v>
      </c>
      <c r="P2564" s="148">
        <v>0</v>
      </c>
      <c r="Q2564" s="148">
        <v>0</v>
      </c>
      <c r="R2564" s="148">
        <v>0</v>
      </c>
    </row>
    <row r="2565" spans="2:18" ht="15.75" hidden="1" thickBot="1" x14ac:dyDescent="0.3">
      <c r="B2565" s="145" t="s">
        <v>766</v>
      </c>
      <c r="C2565" s="722" t="s">
        <v>59</v>
      </c>
      <c r="D2565" t="s">
        <v>60</v>
      </c>
      <c r="E2565" s="147">
        <v>42.498170000000002</v>
      </c>
      <c r="F2565" s="147">
        <v>50.656129999999997</v>
      </c>
      <c r="G2565" s="147">
        <v>-8.1579599999999992</v>
      </c>
      <c r="H2565" s="147">
        <v>-16.10458596027766</v>
      </c>
      <c r="I2565" s="729"/>
      <c r="J2565" s="147">
        <v>42.498170000000002</v>
      </c>
      <c r="K2565" s="147">
        <v>0</v>
      </c>
      <c r="L2565" s="147">
        <v>558.66713000000004</v>
      </c>
      <c r="M2565" s="147">
        <v>604.68456000000003</v>
      </c>
      <c r="N2565" s="147">
        <v>-46.017429999999997</v>
      </c>
      <c r="O2565" s="147">
        <v>-7.6101546234287838</v>
      </c>
      <c r="P2565" s="147">
        <v>294.53271000000001</v>
      </c>
      <c r="Q2565" s="147">
        <v>264.13441999999998</v>
      </c>
      <c r="R2565" s="147">
        <v>89.679146333186551</v>
      </c>
    </row>
    <row r="2566" spans="2:18" ht="15.75" hidden="1" thickBot="1" x14ac:dyDescent="0.3">
      <c r="B2566" s="145" t="s">
        <v>766</v>
      </c>
      <c r="C2566" s="722" t="s">
        <v>134</v>
      </c>
      <c r="D2566" t="s">
        <v>135</v>
      </c>
      <c r="E2566" s="148">
        <v>1.49803</v>
      </c>
      <c r="F2566" s="728"/>
      <c r="G2566" s="148">
        <v>1.49803</v>
      </c>
      <c r="H2566" s="148">
        <v>0</v>
      </c>
      <c r="I2566" s="728"/>
      <c r="J2566" s="148">
        <v>1.49803</v>
      </c>
      <c r="K2566" s="148">
        <v>0</v>
      </c>
      <c r="L2566" s="148">
        <v>19.960170000000002</v>
      </c>
      <c r="M2566" s="728"/>
      <c r="N2566" s="148">
        <v>19.960170000000002</v>
      </c>
      <c r="O2566" s="148">
        <v>0</v>
      </c>
      <c r="P2566" s="148">
        <v>9.6872500000000006</v>
      </c>
      <c r="Q2566" s="148">
        <v>10.272919999999999</v>
      </c>
      <c r="R2566" s="148">
        <v>106.04578182662779</v>
      </c>
    </row>
    <row r="2567" spans="2:18" ht="15.75" hidden="1" thickBot="1" x14ac:dyDescent="0.3">
      <c r="B2567" s="145" t="s">
        <v>766</v>
      </c>
      <c r="C2567" s="722" t="s">
        <v>61</v>
      </c>
      <c r="D2567" t="s">
        <v>62</v>
      </c>
      <c r="E2567" s="147">
        <v>7.3629199999999999</v>
      </c>
      <c r="F2567" s="147">
        <v>7.8517000000000001</v>
      </c>
      <c r="G2567" s="147">
        <v>-0.48877999999999999</v>
      </c>
      <c r="H2567" s="147">
        <v>-6.22514869391342</v>
      </c>
      <c r="I2567" s="729"/>
      <c r="J2567" s="147">
        <v>7.3629199999999999</v>
      </c>
      <c r="K2567" s="147">
        <v>0</v>
      </c>
      <c r="L2567" s="147">
        <v>88.08887</v>
      </c>
      <c r="M2567" s="147">
        <v>93.726100000000002</v>
      </c>
      <c r="N2567" s="147">
        <v>-5.6372299999999997</v>
      </c>
      <c r="O2567" s="147">
        <v>-6.0145786499171523</v>
      </c>
      <c r="P2567" s="147">
        <v>43.750320000000002</v>
      </c>
      <c r="Q2567" s="147">
        <v>44.338549999999998</v>
      </c>
      <c r="R2567" s="147">
        <v>101.34451588011243</v>
      </c>
    </row>
    <row r="2568" spans="2:18" ht="15.75" hidden="1" thickBot="1" x14ac:dyDescent="0.3">
      <c r="B2568" s="145" t="s">
        <v>766</v>
      </c>
      <c r="C2568" s="722" t="s">
        <v>63</v>
      </c>
      <c r="D2568" t="s">
        <v>64</v>
      </c>
      <c r="E2568" s="148">
        <v>28.753779999999999</v>
      </c>
      <c r="F2568" s="148">
        <v>30.545649999999998</v>
      </c>
      <c r="G2568" s="148">
        <v>-1.7918700000000001</v>
      </c>
      <c r="H2568" s="148">
        <v>-5.8662035347095252</v>
      </c>
      <c r="I2568" s="728"/>
      <c r="J2568" s="148">
        <v>28.753779999999999</v>
      </c>
      <c r="K2568" s="148">
        <v>0</v>
      </c>
      <c r="L2568" s="148">
        <v>344.08215000000001</v>
      </c>
      <c r="M2568" s="148">
        <v>364.62482</v>
      </c>
      <c r="N2568" s="148">
        <v>-20.542670000000001</v>
      </c>
      <c r="O2568" s="148">
        <v>-5.6339198192816387</v>
      </c>
      <c r="P2568" s="148">
        <v>170.93451999999999</v>
      </c>
      <c r="Q2568" s="148">
        <v>173.14762999999999</v>
      </c>
      <c r="R2568" s="148">
        <v>101.29471215059428</v>
      </c>
    </row>
    <row r="2569" spans="2:18" ht="15.75" hidden="1" thickBot="1" x14ac:dyDescent="0.3">
      <c r="B2569" s="145" t="s">
        <v>766</v>
      </c>
      <c r="C2569" s="722" t="s">
        <v>65</v>
      </c>
      <c r="D2569" t="s">
        <v>66</v>
      </c>
      <c r="E2569" s="147">
        <v>-1.61696</v>
      </c>
      <c r="F2569" s="147">
        <v>-1.97461</v>
      </c>
      <c r="G2569" s="147">
        <v>0.35765000000000002</v>
      </c>
      <c r="H2569" s="147">
        <v>18.112437392700329</v>
      </c>
      <c r="I2569" s="729"/>
      <c r="J2569" s="147">
        <v>-1.61696</v>
      </c>
      <c r="K2569" s="147">
        <v>0</v>
      </c>
      <c r="L2569" s="147">
        <v>-23.858409999999999</v>
      </c>
      <c r="M2569" s="147">
        <v>-23.571020000000001</v>
      </c>
      <c r="N2569" s="147">
        <v>-0.28738999999999998</v>
      </c>
      <c r="O2569" s="147">
        <v>-1.219251436721873</v>
      </c>
      <c r="P2569" s="147">
        <v>-10.70589</v>
      </c>
      <c r="Q2569" s="147">
        <v>-13.152520000000001</v>
      </c>
      <c r="R2569" s="147">
        <v>-122.85312103897948</v>
      </c>
    </row>
    <row r="2570" spans="2:18" ht="15.75" hidden="1" thickBot="1" x14ac:dyDescent="0.3">
      <c r="B2570" s="145" t="s">
        <v>766</v>
      </c>
      <c r="C2570" s="149" t="s">
        <v>67</v>
      </c>
      <c r="D2570" t="s">
        <v>68</v>
      </c>
      <c r="E2570" s="148">
        <v>78.495940000000004</v>
      </c>
      <c r="F2570" s="148">
        <v>87.078869999999995</v>
      </c>
      <c r="G2570" s="148">
        <v>-8.5829299999999993</v>
      </c>
      <c r="H2570" s="148">
        <v>-9.8565013533133818</v>
      </c>
      <c r="I2570" s="728"/>
      <c r="J2570" s="148">
        <v>78.495940000000004</v>
      </c>
      <c r="K2570" s="148">
        <v>0</v>
      </c>
      <c r="L2570" s="148">
        <v>986.93991000000005</v>
      </c>
      <c r="M2570" s="148">
        <v>1039.4644599999999</v>
      </c>
      <c r="N2570" s="148">
        <v>-52.524549999999998</v>
      </c>
      <c r="O2570" s="148">
        <v>-5.053039523833263</v>
      </c>
      <c r="P2570" s="148">
        <v>508.19891000000001</v>
      </c>
      <c r="Q2570" s="148">
        <v>478.74099999999999</v>
      </c>
      <c r="R2570" s="148">
        <v>94.203468480481391</v>
      </c>
    </row>
    <row r="2571" spans="2:18" ht="15.75" hidden="1" thickBot="1" x14ac:dyDescent="0.3">
      <c r="B2571" s="145" t="s">
        <v>766</v>
      </c>
      <c r="C2571" s="722" t="s">
        <v>69</v>
      </c>
      <c r="D2571" t="s">
        <v>70</v>
      </c>
      <c r="E2571" s="729"/>
      <c r="F2571" s="147">
        <v>0</v>
      </c>
      <c r="G2571" s="147">
        <v>0</v>
      </c>
      <c r="H2571" s="147">
        <v>0</v>
      </c>
      <c r="I2571" s="729"/>
      <c r="J2571" s="729"/>
      <c r="K2571" s="729"/>
      <c r="L2571" s="147">
        <v>10.086080000000001</v>
      </c>
      <c r="M2571" s="147">
        <v>7.15</v>
      </c>
      <c r="N2571" s="147">
        <v>2.93608</v>
      </c>
      <c r="O2571" s="147">
        <v>41.064055944055944</v>
      </c>
      <c r="P2571" s="147">
        <v>4.0060799999999999</v>
      </c>
      <c r="Q2571" s="147">
        <v>6.08</v>
      </c>
      <c r="R2571" s="147">
        <v>151.76931064781533</v>
      </c>
    </row>
    <row r="2572" spans="2:18" ht="15.75" hidden="1" thickBot="1" x14ac:dyDescent="0.3">
      <c r="B2572" s="145" t="s">
        <v>766</v>
      </c>
      <c r="C2572" s="722" t="s">
        <v>582</v>
      </c>
      <c r="D2572" t="s">
        <v>583</v>
      </c>
      <c r="E2572" s="148">
        <v>0.50924000000000003</v>
      </c>
      <c r="F2572" s="148">
        <v>0.501</v>
      </c>
      <c r="G2572" s="148">
        <v>8.2400000000000008E-3</v>
      </c>
      <c r="H2572" s="148">
        <v>1.6447105788423153</v>
      </c>
      <c r="I2572" s="728"/>
      <c r="J2572" s="148">
        <v>0.50924000000000003</v>
      </c>
      <c r="K2572" s="148">
        <v>0</v>
      </c>
      <c r="L2572" s="148">
        <v>6.1108799999999999</v>
      </c>
      <c r="M2572" s="148">
        <v>6.0549999999999997</v>
      </c>
      <c r="N2572" s="148">
        <v>5.5879999999999999E-2</v>
      </c>
      <c r="O2572" s="148">
        <v>0.92287365813377376</v>
      </c>
      <c r="P2572" s="148">
        <v>3.0554399999999999</v>
      </c>
      <c r="Q2572" s="148">
        <v>3.0554399999999999</v>
      </c>
      <c r="R2572" s="148">
        <v>100</v>
      </c>
    </row>
    <row r="2573" spans="2:18" ht="15.75" hidden="1" thickBot="1" x14ac:dyDescent="0.3">
      <c r="B2573" s="145" t="s">
        <v>766</v>
      </c>
      <c r="C2573" s="722" t="s">
        <v>137</v>
      </c>
      <c r="D2573" t="s">
        <v>138</v>
      </c>
      <c r="E2573" s="147">
        <v>0.23805999999999999</v>
      </c>
      <c r="F2573" s="147">
        <v>0.1118</v>
      </c>
      <c r="G2573" s="147">
        <v>0.12626000000000001</v>
      </c>
      <c r="H2573" s="147">
        <v>112.93381037567084</v>
      </c>
      <c r="I2573" s="729"/>
      <c r="J2573" s="147">
        <v>0.23805999999999999</v>
      </c>
      <c r="K2573" s="147">
        <v>0</v>
      </c>
      <c r="L2573" s="147">
        <v>1.47096</v>
      </c>
      <c r="M2573" s="147">
        <v>1.3420000000000001</v>
      </c>
      <c r="N2573" s="147">
        <v>0.12895999999999999</v>
      </c>
      <c r="O2573" s="147">
        <v>9.6095380029806261</v>
      </c>
      <c r="P2573" s="147">
        <v>0.87339999999999995</v>
      </c>
      <c r="Q2573" s="147">
        <v>0.59755999999999998</v>
      </c>
      <c r="R2573" s="147">
        <v>68.41767803984429</v>
      </c>
    </row>
    <row r="2574" spans="2:18" ht="15.75" hidden="1" thickBot="1" x14ac:dyDescent="0.3">
      <c r="B2574" s="145" t="s">
        <v>766</v>
      </c>
      <c r="C2574" s="722" t="s">
        <v>190</v>
      </c>
      <c r="D2574" t="s">
        <v>191</v>
      </c>
      <c r="E2574" s="728"/>
      <c r="F2574" s="728"/>
      <c r="G2574" s="728"/>
      <c r="H2574" s="728"/>
      <c r="I2574" s="728"/>
      <c r="J2574" s="728"/>
      <c r="K2574" s="728"/>
      <c r="L2574" s="148">
        <v>3.5779999999999999E-2</v>
      </c>
      <c r="M2574" s="728"/>
      <c r="N2574" s="148">
        <v>3.5779999999999999E-2</v>
      </c>
      <c r="O2574" s="148">
        <v>0</v>
      </c>
      <c r="P2574" s="728"/>
      <c r="Q2574" s="148">
        <v>3.5779999999999999E-2</v>
      </c>
      <c r="R2574" s="148">
        <v>0</v>
      </c>
    </row>
    <row r="2575" spans="2:18" ht="15.75" hidden="1" thickBot="1" x14ac:dyDescent="0.3">
      <c r="B2575" s="145" t="s">
        <v>766</v>
      </c>
      <c r="C2575" s="722" t="s">
        <v>139</v>
      </c>
      <c r="D2575" t="s">
        <v>140</v>
      </c>
      <c r="E2575" s="729"/>
      <c r="F2575" s="147">
        <v>0</v>
      </c>
      <c r="G2575" s="147">
        <v>0</v>
      </c>
      <c r="H2575" s="147">
        <v>0</v>
      </c>
      <c r="I2575" s="729"/>
      <c r="J2575" s="729"/>
      <c r="K2575" s="729"/>
      <c r="L2575" s="147">
        <v>57.843000000000004</v>
      </c>
      <c r="M2575" s="147">
        <v>65.454999999999998</v>
      </c>
      <c r="N2575" s="147">
        <v>-7.6120000000000001</v>
      </c>
      <c r="O2575" s="147">
        <v>-11.629363684974409</v>
      </c>
      <c r="P2575" s="147">
        <v>27.042999999999999</v>
      </c>
      <c r="Q2575" s="147">
        <v>30.8</v>
      </c>
      <c r="R2575" s="147">
        <v>113.89268942055246</v>
      </c>
    </row>
    <row r="2576" spans="2:18" ht="15.75" hidden="1" thickBot="1" x14ac:dyDescent="0.3">
      <c r="B2576" s="145" t="s">
        <v>766</v>
      </c>
      <c r="C2576" s="722" t="s">
        <v>101</v>
      </c>
      <c r="D2576" t="s">
        <v>102</v>
      </c>
      <c r="E2576" s="728"/>
      <c r="F2576" s="148">
        <v>0.1</v>
      </c>
      <c r="G2576" s="148">
        <v>-0.1</v>
      </c>
      <c r="H2576" s="148">
        <v>-100</v>
      </c>
      <c r="I2576" s="728"/>
      <c r="J2576" s="728"/>
      <c r="K2576" s="728"/>
      <c r="L2576" s="728"/>
      <c r="M2576" s="148">
        <v>0.5</v>
      </c>
      <c r="N2576" s="148">
        <v>-0.5</v>
      </c>
      <c r="O2576" s="148">
        <v>-100</v>
      </c>
      <c r="P2576" s="728"/>
      <c r="Q2576" s="728"/>
      <c r="R2576" s="728"/>
    </row>
    <row r="2577" spans="2:18" ht="15.75" hidden="1" thickBot="1" x14ac:dyDescent="0.3">
      <c r="B2577" s="145" t="s">
        <v>766</v>
      </c>
      <c r="C2577" s="722" t="s">
        <v>464</v>
      </c>
      <c r="D2577" t="s">
        <v>465</v>
      </c>
      <c r="E2577" s="729"/>
      <c r="F2577" s="729"/>
      <c r="G2577" s="729"/>
      <c r="H2577" s="729"/>
      <c r="I2577" s="729"/>
      <c r="J2577" s="729"/>
      <c r="K2577" s="729"/>
      <c r="L2577" s="147">
        <v>6.8492699999999997</v>
      </c>
      <c r="M2577" s="729"/>
      <c r="N2577" s="147">
        <v>6.8492699999999997</v>
      </c>
      <c r="O2577" s="147">
        <v>0</v>
      </c>
      <c r="P2577" s="147">
        <v>5.2492700000000001</v>
      </c>
      <c r="Q2577" s="147">
        <v>1.6</v>
      </c>
      <c r="R2577" s="147">
        <v>30.480428707229766</v>
      </c>
    </row>
    <row r="2578" spans="2:18" ht="15.75" hidden="1" thickBot="1" x14ac:dyDescent="0.3">
      <c r="B2578" s="145" t="s">
        <v>766</v>
      </c>
      <c r="C2578" s="722" t="s">
        <v>623</v>
      </c>
      <c r="D2578" t="s">
        <v>624</v>
      </c>
      <c r="E2578" s="148">
        <v>39.677500000000002</v>
      </c>
      <c r="F2578" s="148">
        <v>15.683770000000001</v>
      </c>
      <c r="G2578" s="148">
        <v>23.993729999999999</v>
      </c>
      <c r="H2578" s="148">
        <v>152.98445463048745</v>
      </c>
      <c r="I2578" s="728"/>
      <c r="J2578" s="148">
        <v>39.677500000000002</v>
      </c>
      <c r="K2578" s="148">
        <v>0</v>
      </c>
      <c r="L2578" s="148">
        <v>262.67471999999998</v>
      </c>
      <c r="M2578" s="148">
        <v>266.83769999999998</v>
      </c>
      <c r="N2578" s="148">
        <v>-4.1629800000000001</v>
      </c>
      <c r="O2578" s="148">
        <v>-1.560116880036067</v>
      </c>
      <c r="P2578" s="148">
        <v>127.14894</v>
      </c>
      <c r="Q2578" s="148">
        <v>135.52578</v>
      </c>
      <c r="R2578" s="148">
        <v>106.58821064493341</v>
      </c>
    </row>
    <row r="2579" spans="2:18" ht="15.75" hidden="1" thickBot="1" x14ac:dyDescent="0.3">
      <c r="B2579" s="145" t="s">
        <v>766</v>
      </c>
      <c r="C2579" s="722" t="s">
        <v>103</v>
      </c>
      <c r="D2579" t="s">
        <v>104</v>
      </c>
      <c r="E2579" s="729"/>
      <c r="F2579" s="729"/>
      <c r="G2579" s="729"/>
      <c r="H2579" s="729"/>
      <c r="I2579" s="729"/>
      <c r="J2579" s="729"/>
      <c r="K2579" s="729"/>
      <c r="L2579" s="147">
        <v>0</v>
      </c>
      <c r="M2579" s="729"/>
      <c r="N2579" s="147">
        <v>0</v>
      </c>
      <c r="O2579" s="147">
        <v>0</v>
      </c>
      <c r="P2579" s="729"/>
      <c r="Q2579" s="147">
        <v>0</v>
      </c>
      <c r="R2579" s="147">
        <v>0</v>
      </c>
    </row>
    <row r="2580" spans="2:18" ht="15.75" hidden="1" thickBot="1" x14ac:dyDescent="0.3">
      <c r="B2580" s="145" t="s">
        <v>766</v>
      </c>
      <c r="C2580" s="722" t="s">
        <v>71</v>
      </c>
      <c r="D2580" t="s">
        <v>72</v>
      </c>
      <c r="E2580" s="728"/>
      <c r="F2580" s="728"/>
      <c r="G2580" s="728"/>
      <c r="H2580" s="728"/>
      <c r="I2580" s="728"/>
      <c r="J2580" s="728"/>
      <c r="K2580" s="728"/>
      <c r="L2580" s="148">
        <v>0</v>
      </c>
      <c r="M2580" s="728"/>
      <c r="N2580" s="148">
        <v>0</v>
      </c>
      <c r="O2580" s="148">
        <v>0</v>
      </c>
      <c r="P2580" s="728"/>
      <c r="Q2580" s="148">
        <v>0</v>
      </c>
      <c r="R2580" s="148">
        <v>0</v>
      </c>
    </row>
    <row r="2581" spans="2:18" ht="15.75" hidden="1" thickBot="1" x14ac:dyDescent="0.3">
      <c r="B2581" s="145" t="s">
        <v>766</v>
      </c>
      <c r="C2581" s="722" t="s">
        <v>627</v>
      </c>
      <c r="D2581" t="s">
        <v>628</v>
      </c>
      <c r="E2581" s="729"/>
      <c r="F2581" s="729"/>
      <c r="G2581" s="729"/>
      <c r="H2581" s="729"/>
      <c r="I2581" s="729"/>
      <c r="J2581" s="729"/>
      <c r="K2581" s="729"/>
      <c r="L2581" s="147">
        <v>4.1160000000000002E-2</v>
      </c>
      <c r="M2581" s="729"/>
      <c r="N2581" s="147">
        <v>4.1160000000000002E-2</v>
      </c>
      <c r="O2581" s="147">
        <v>0</v>
      </c>
      <c r="P2581" s="729"/>
      <c r="Q2581" s="147">
        <v>4.1160000000000002E-2</v>
      </c>
      <c r="R2581" s="147">
        <v>0</v>
      </c>
    </row>
    <row r="2582" spans="2:18" ht="15.75" hidden="1" thickBot="1" x14ac:dyDescent="0.3">
      <c r="B2582" s="145" t="s">
        <v>766</v>
      </c>
      <c r="C2582" s="722" t="s">
        <v>107</v>
      </c>
      <c r="D2582" t="s">
        <v>108</v>
      </c>
      <c r="E2582" s="728"/>
      <c r="F2582" s="728"/>
      <c r="G2582" s="728"/>
      <c r="H2582" s="728"/>
      <c r="I2582" s="728"/>
      <c r="J2582" s="728"/>
      <c r="K2582" s="728"/>
      <c r="L2582" s="148">
        <v>1.4999999999999999E-2</v>
      </c>
      <c r="M2582" s="728"/>
      <c r="N2582" s="148">
        <v>1.4999999999999999E-2</v>
      </c>
      <c r="O2582" s="148">
        <v>0</v>
      </c>
      <c r="P2582" s="148">
        <v>1.4999999999999999E-2</v>
      </c>
      <c r="Q2582" s="148">
        <v>0</v>
      </c>
      <c r="R2582" s="148">
        <v>0</v>
      </c>
    </row>
    <row r="2583" spans="2:18" ht="15.75" hidden="1" thickBot="1" x14ac:dyDescent="0.3">
      <c r="B2583" s="145" t="s">
        <v>766</v>
      </c>
      <c r="C2583" s="722" t="s">
        <v>109</v>
      </c>
      <c r="D2583" t="s">
        <v>110</v>
      </c>
      <c r="E2583" s="147">
        <v>1.9380000000000001E-2</v>
      </c>
      <c r="F2583" s="729"/>
      <c r="G2583" s="147">
        <v>1.9380000000000001E-2</v>
      </c>
      <c r="H2583" s="147">
        <v>0</v>
      </c>
      <c r="I2583" s="729"/>
      <c r="J2583" s="147">
        <v>1.9380000000000001E-2</v>
      </c>
      <c r="K2583" s="147">
        <v>0</v>
      </c>
      <c r="L2583" s="147">
        <v>0.17075000000000001</v>
      </c>
      <c r="M2583" s="729"/>
      <c r="N2583" s="147">
        <v>0.17075000000000001</v>
      </c>
      <c r="O2583" s="147">
        <v>0</v>
      </c>
      <c r="P2583" s="147">
        <v>1.6029999999999999E-2</v>
      </c>
      <c r="Q2583" s="147">
        <v>0.15472</v>
      </c>
      <c r="R2583" s="147">
        <v>965.19026824703678</v>
      </c>
    </row>
    <row r="2584" spans="2:18" ht="15.75" hidden="1" thickBot="1" x14ac:dyDescent="0.3">
      <c r="B2584" s="145" t="s">
        <v>766</v>
      </c>
      <c r="C2584" s="722" t="s">
        <v>73</v>
      </c>
      <c r="D2584" t="s">
        <v>74</v>
      </c>
      <c r="E2584" s="148">
        <v>0.37694</v>
      </c>
      <c r="F2584" s="148">
        <v>0.5</v>
      </c>
      <c r="G2584" s="148">
        <v>-0.12306</v>
      </c>
      <c r="H2584" s="148">
        <v>-24.611999999999998</v>
      </c>
      <c r="I2584" s="728"/>
      <c r="J2584" s="148">
        <v>0.37694</v>
      </c>
      <c r="K2584" s="148">
        <v>0</v>
      </c>
      <c r="L2584" s="148">
        <v>3.2232099999999999</v>
      </c>
      <c r="M2584" s="148">
        <v>3.25698</v>
      </c>
      <c r="N2584" s="148">
        <v>-3.3770000000000001E-2</v>
      </c>
      <c r="O2584" s="148">
        <v>-1.036850088118441</v>
      </c>
      <c r="P2584" s="148">
        <v>1.36199</v>
      </c>
      <c r="Q2584" s="148">
        <v>1.8612200000000001</v>
      </c>
      <c r="R2584" s="148">
        <v>136.65445414430354</v>
      </c>
    </row>
    <row r="2585" spans="2:18" ht="15.75" hidden="1" thickBot="1" x14ac:dyDescent="0.3">
      <c r="B2585" s="145" t="s">
        <v>766</v>
      </c>
      <c r="C2585" s="722" t="s">
        <v>141</v>
      </c>
      <c r="D2585" t="s">
        <v>142</v>
      </c>
      <c r="E2585" s="729"/>
      <c r="F2585" s="729"/>
      <c r="G2585" s="729"/>
      <c r="H2585" s="729"/>
      <c r="I2585" s="729"/>
      <c r="J2585" s="729"/>
      <c r="K2585" s="729"/>
      <c r="L2585" s="147">
        <v>6.6349999999999998</v>
      </c>
      <c r="M2585" s="147">
        <v>5</v>
      </c>
      <c r="N2585" s="147">
        <v>1.635</v>
      </c>
      <c r="O2585" s="147">
        <v>32.700000000000003</v>
      </c>
      <c r="P2585" s="147">
        <v>6.6349999999999998</v>
      </c>
      <c r="Q2585" s="147">
        <v>0</v>
      </c>
      <c r="R2585" s="147">
        <v>0</v>
      </c>
    </row>
    <row r="2586" spans="2:18" ht="15.75" hidden="1" thickBot="1" x14ac:dyDescent="0.3">
      <c r="B2586" s="145" t="s">
        <v>766</v>
      </c>
      <c r="C2586" s="722" t="s">
        <v>113</v>
      </c>
      <c r="D2586" t="s">
        <v>114</v>
      </c>
      <c r="E2586" s="148">
        <v>8.8789999999999994E-2</v>
      </c>
      <c r="F2586" s="728"/>
      <c r="G2586" s="148">
        <v>8.8789999999999994E-2</v>
      </c>
      <c r="H2586" s="148">
        <v>0</v>
      </c>
      <c r="I2586" s="728"/>
      <c r="J2586" s="148">
        <v>8.8789999999999994E-2</v>
      </c>
      <c r="K2586" s="148">
        <v>0</v>
      </c>
      <c r="L2586" s="148">
        <v>0.54854999999999998</v>
      </c>
      <c r="M2586" s="148">
        <v>0.1575</v>
      </c>
      <c r="N2586" s="148">
        <v>0.39105000000000001</v>
      </c>
      <c r="O2586" s="148">
        <v>248.28571428571428</v>
      </c>
      <c r="P2586" s="148">
        <v>0.28644999999999998</v>
      </c>
      <c r="Q2586" s="148">
        <v>0.2621</v>
      </c>
      <c r="R2586" s="148">
        <v>91.499389073136669</v>
      </c>
    </row>
    <row r="2587" spans="2:18" ht="15.75" hidden="1" thickBot="1" x14ac:dyDescent="0.3">
      <c r="B2587" s="145" t="s">
        <v>766</v>
      </c>
      <c r="C2587" s="722" t="s">
        <v>145</v>
      </c>
      <c r="D2587" t="s">
        <v>146</v>
      </c>
      <c r="E2587" s="147">
        <v>4.3450000000000003E-2</v>
      </c>
      <c r="F2587" s="147">
        <v>0.24</v>
      </c>
      <c r="G2587" s="147">
        <v>-0.19655</v>
      </c>
      <c r="H2587" s="147">
        <v>-81.895833333333329</v>
      </c>
      <c r="I2587" s="729"/>
      <c r="J2587" s="147">
        <v>4.3450000000000003E-2</v>
      </c>
      <c r="K2587" s="147">
        <v>0</v>
      </c>
      <c r="L2587" s="147">
        <v>0.52439000000000002</v>
      </c>
      <c r="M2587" s="147">
        <v>2.21326</v>
      </c>
      <c r="N2587" s="147">
        <v>-1.6888700000000001</v>
      </c>
      <c r="O2587" s="147">
        <v>-76.306895710400042</v>
      </c>
      <c r="P2587" s="147">
        <v>0.25369000000000003</v>
      </c>
      <c r="Q2587" s="147">
        <v>0.2707</v>
      </c>
      <c r="R2587" s="147">
        <v>106.70503370255035</v>
      </c>
    </row>
    <row r="2588" spans="2:18" ht="15.75" hidden="1" thickBot="1" x14ac:dyDescent="0.3">
      <c r="B2588" s="145" t="s">
        <v>766</v>
      </c>
      <c r="C2588" s="722" t="s">
        <v>149</v>
      </c>
      <c r="D2588" t="s">
        <v>150</v>
      </c>
      <c r="E2588" s="148">
        <v>1.5831900000000001</v>
      </c>
      <c r="F2588" s="148">
        <v>3.4192399999999998</v>
      </c>
      <c r="G2588" s="148">
        <v>-1.83605</v>
      </c>
      <c r="H2588" s="148">
        <v>-53.697605315801169</v>
      </c>
      <c r="I2588" s="728"/>
      <c r="J2588" s="148">
        <v>1.5831900000000001</v>
      </c>
      <c r="K2588" s="148">
        <v>0</v>
      </c>
      <c r="L2588" s="148">
        <v>9.8429900000000004</v>
      </c>
      <c r="M2588" s="148">
        <v>41.03</v>
      </c>
      <c r="N2588" s="148">
        <v>-31.187010000000001</v>
      </c>
      <c r="O2588" s="148">
        <v>-76.010260784791612</v>
      </c>
      <c r="P2588" s="148">
        <v>4.1904199999999996</v>
      </c>
      <c r="Q2588" s="148">
        <v>5.6525699999999999</v>
      </c>
      <c r="R2588" s="148">
        <v>134.89268378825989</v>
      </c>
    </row>
    <row r="2589" spans="2:18" ht="15.75" hidden="1" thickBot="1" x14ac:dyDescent="0.3">
      <c r="B2589" s="145" t="s">
        <v>766</v>
      </c>
      <c r="C2589" s="722" t="s">
        <v>151</v>
      </c>
      <c r="D2589" t="s">
        <v>152</v>
      </c>
      <c r="E2589" s="729"/>
      <c r="F2589" s="147">
        <v>0</v>
      </c>
      <c r="G2589" s="147">
        <v>0</v>
      </c>
      <c r="H2589" s="147">
        <v>0</v>
      </c>
      <c r="I2589" s="729"/>
      <c r="J2589" s="729"/>
      <c r="K2589" s="729"/>
      <c r="L2589" s="147">
        <v>66.668379999999999</v>
      </c>
      <c r="M2589" s="147">
        <v>67.5</v>
      </c>
      <c r="N2589" s="147">
        <v>-0.83162000000000003</v>
      </c>
      <c r="O2589" s="147">
        <v>-1.2320296296296296</v>
      </c>
      <c r="P2589" s="147">
        <v>47.543379999999999</v>
      </c>
      <c r="Q2589" s="147">
        <v>19.125</v>
      </c>
      <c r="R2589" s="147">
        <v>40.226420586840902</v>
      </c>
    </row>
    <row r="2590" spans="2:18" ht="15.75" hidden="1" thickBot="1" x14ac:dyDescent="0.3">
      <c r="B2590" s="145" t="s">
        <v>766</v>
      </c>
      <c r="C2590" s="722" t="s">
        <v>75</v>
      </c>
      <c r="D2590" t="s">
        <v>76</v>
      </c>
      <c r="E2590" s="148">
        <v>0.30974000000000002</v>
      </c>
      <c r="F2590" s="148">
        <v>0.33329999999999999</v>
      </c>
      <c r="G2590" s="148">
        <v>-2.3560000000000001E-2</v>
      </c>
      <c r="H2590" s="148">
        <v>-7.0687068706870688</v>
      </c>
      <c r="I2590" s="728"/>
      <c r="J2590" s="148">
        <v>0.30974000000000002</v>
      </c>
      <c r="K2590" s="148">
        <v>0</v>
      </c>
      <c r="L2590" s="148">
        <v>3.7522099999999998</v>
      </c>
      <c r="M2590" s="148">
        <v>4</v>
      </c>
      <c r="N2590" s="148">
        <v>-0.24779000000000001</v>
      </c>
      <c r="O2590" s="148">
        <v>-6.19475</v>
      </c>
      <c r="P2590" s="148">
        <v>1.9070100000000001</v>
      </c>
      <c r="Q2590" s="148">
        <v>1.8452</v>
      </c>
      <c r="R2590" s="148">
        <v>96.758800425797446</v>
      </c>
    </row>
    <row r="2591" spans="2:18" ht="15.75" hidden="1" thickBot="1" x14ac:dyDescent="0.3">
      <c r="B2591" s="145" t="s">
        <v>766</v>
      </c>
      <c r="C2591" s="722" t="s">
        <v>121</v>
      </c>
      <c r="D2591" t="s">
        <v>122</v>
      </c>
      <c r="E2591" s="729"/>
      <c r="F2591" s="729"/>
      <c r="G2591" s="729"/>
      <c r="H2591" s="729"/>
      <c r="I2591" s="729"/>
      <c r="J2591" s="729"/>
      <c r="K2591" s="729"/>
      <c r="L2591" s="729"/>
      <c r="M2591" s="147">
        <v>0.24123</v>
      </c>
      <c r="N2591" s="147">
        <v>-0.24123</v>
      </c>
      <c r="O2591" s="147">
        <v>-100</v>
      </c>
      <c r="P2591" s="729"/>
      <c r="Q2591" s="729"/>
      <c r="R2591" s="729"/>
    </row>
    <row r="2592" spans="2:18" ht="15.75" hidden="1" thickBot="1" x14ac:dyDescent="0.3">
      <c r="B2592" s="145" t="s">
        <v>766</v>
      </c>
      <c r="C2592" s="722" t="s">
        <v>77</v>
      </c>
      <c r="D2592" t="s">
        <v>78</v>
      </c>
      <c r="E2592" s="148">
        <v>1.2492000000000001</v>
      </c>
      <c r="F2592" s="728"/>
      <c r="G2592" s="148">
        <v>1.2492000000000001</v>
      </c>
      <c r="H2592" s="148">
        <v>0</v>
      </c>
      <c r="I2592" s="728"/>
      <c r="J2592" s="148">
        <v>1.2492000000000001</v>
      </c>
      <c r="K2592" s="148">
        <v>0</v>
      </c>
      <c r="L2592" s="148">
        <v>10.81268</v>
      </c>
      <c r="M2592" s="148">
        <v>3</v>
      </c>
      <c r="N2592" s="148">
        <v>7.8126800000000003</v>
      </c>
      <c r="O2592" s="148">
        <v>260.42266666666666</v>
      </c>
      <c r="P2592" s="148">
        <v>4.1225300000000002</v>
      </c>
      <c r="Q2592" s="148">
        <v>6.69015</v>
      </c>
      <c r="R2592" s="148">
        <v>162.28262741568892</v>
      </c>
    </row>
    <row r="2593" spans="2:18" ht="15.75" hidden="1" thickBot="1" x14ac:dyDescent="0.3">
      <c r="B2593" s="145" t="s">
        <v>766</v>
      </c>
      <c r="C2593" s="722" t="s">
        <v>79</v>
      </c>
      <c r="D2593" t="s">
        <v>80</v>
      </c>
      <c r="E2593" s="147">
        <v>0.62275999999999998</v>
      </c>
      <c r="F2593" s="147">
        <v>0.34600999999999998</v>
      </c>
      <c r="G2593" s="147">
        <v>0.27675</v>
      </c>
      <c r="H2593" s="147">
        <v>79.983237478685581</v>
      </c>
      <c r="I2593" s="729"/>
      <c r="J2593" s="147">
        <v>0.62275999999999998</v>
      </c>
      <c r="K2593" s="147">
        <v>0</v>
      </c>
      <c r="L2593" s="147">
        <v>7.7428999999999997</v>
      </c>
      <c r="M2593" s="147">
        <v>37</v>
      </c>
      <c r="N2593" s="147">
        <v>-29.257100000000001</v>
      </c>
      <c r="O2593" s="147">
        <v>-79.07324324324324</v>
      </c>
      <c r="P2593" s="147">
        <v>5.3750499999999999</v>
      </c>
      <c r="Q2593" s="147">
        <v>2.3678499999999998</v>
      </c>
      <c r="R2593" s="147">
        <v>44.052613464060798</v>
      </c>
    </row>
    <row r="2594" spans="2:18" ht="15.75" hidden="1" thickBot="1" x14ac:dyDescent="0.3">
      <c r="B2594" s="145" t="s">
        <v>766</v>
      </c>
      <c r="C2594" s="722" t="s">
        <v>81</v>
      </c>
      <c r="D2594" t="s">
        <v>82</v>
      </c>
      <c r="E2594" s="728"/>
      <c r="F2594" s="148">
        <v>0.6</v>
      </c>
      <c r="G2594" s="148">
        <v>-0.6</v>
      </c>
      <c r="H2594" s="148">
        <v>-100</v>
      </c>
      <c r="I2594" s="728"/>
      <c r="J2594" s="728"/>
      <c r="K2594" s="728"/>
      <c r="L2594" s="728"/>
      <c r="M2594" s="148">
        <v>2.6</v>
      </c>
      <c r="N2594" s="148">
        <v>-2.6</v>
      </c>
      <c r="O2594" s="148">
        <v>-100</v>
      </c>
      <c r="P2594" s="728"/>
      <c r="Q2594" s="728"/>
      <c r="R2594" s="728"/>
    </row>
    <row r="2595" spans="2:18" ht="15.75" hidden="1" thickBot="1" x14ac:dyDescent="0.3">
      <c r="B2595" s="145" t="s">
        <v>766</v>
      </c>
      <c r="C2595" s="722" t="s">
        <v>123</v>
      </c>
      <c r="D2595" t="s">
        <v>124</v>
      </c>
      <c r="E2595" s="147">
        <v>0.48398000000000002</v>
      </c>
      <c r="F2595" s="729"/>
      <c r="G2595" s="147">
        <v>0.48398000000000002</v>
      </c>
      <c r="H2595" s="147">
        <v>0</v>
      </c>
      <c r="I2595" s="729"/>
      <c r="J2595" s="147">
        <v>0.48398000000000002</v>
      </c>
      <c r="K2595" s="147">
        <v>0</v>
      </c>
      <c r="L2595" s="147">
        <v>1.7319599999999999</v>
      </c>
      <c r="M2595" s="729"/>
      <c r="N2595" s="147">
        <v>1.7319599999999999</v>
      </c>
      <c r="O2595" s="147">
        <v>0</v>
      </c>
      <c r="P2595" s="147">
        <v>1.2479800000000001</v>
      </c>
      <c r="Q2595" s="147">
        <v>0.48398000000000002</v>
      </c>
      <c r="R2595" s="147">
        <v>38.781070209458484</v>
      </c>
    </row>
    <row r="2596" spans="2:18" ht="15.75" hidden="1" thickBot="1" x14ac:dyDescent="0.3">
      <c r="B2596" s="145" t="s">
        <v>766</v>
      </c>
      <c r="C2596" s="722" t="s">
        <v>689</v>
      </c>
      <c r="D2596" t="s">
        <v>690</v>
      </c>
      <c r="E2596" s="728"/>
      <c r="F2596" s="728"/>
      <c r="G2596" s="728"/>
      <c r="H2596" s="728"/>
      <c r="I2596" s="728"/>
      <c r="J2596" s="728"/>
      <c r="K2596" s="728"/>
      <c r="L2596" s="148">
        <v>0.44951999999999998</v>
      </c>
      <c r="M2596" s="728"/>
      <c r="N2596" s="148">
        <v>0.44951999999999998</v>
      </c>
      <c r="O2596" s="148">
        <v>0</v>
      </c>
      <c r="P2596" s="148">
        <v>0.44951999999999998</v>
      </c>
      <c r="Q2596" s="148">
        <v>0</v>
      </c>
      <c r="R2596" s="148">
        <v>0</v>
      </c>
    </row>
    <row r="2597" spans="2:18" ht="15.75" hidden="1" thickBot="1" x14ac:dyDescent="0.3">
      <c r="B2597" s="145" t="s">
        <v>766</v>
      </c>
      <c r="C2597" s="149" t="s">
        <v>85</v>
      </c>
      <c r="D2597" t="s">
        <v>86</v>
      </c>
      <c r="E2597" s="147">
        <v>45.20223</v>
      </c>
      <c r="F2597" s="147">
        <v>21.83512</v>
      </c>
      <c r="G2597" s="147">
        <v>23.36711</v>
      </c>
      <c r="H2597" s="147">
        <v>107.01617394362843</v>
      </c>
      <c r="I2597" s="729"/>
      <c r="J2597" s="147">
        <v>45.20223</v>
      </c>
      <c r="K2597" s="147">
        <v>0</v>
      </c>
      <c r="L2597" s="147">
        <v>457.22939000000002</v>
      </c>
      <c r="M2597" s="147">
        <v>513.33866999999998</v>
      </c>
      <c r="N2597" s="147">
        <v>-56.109279999999998</v>
      </c>
      <c r="O2597" s="147">
        <v>-10.93026558860255</v>
      </c>
      <c r="P2597" s="147">
        <v>240.78018</v>
      </c>
      <c r="Q2597" s="147">
        <v>216.44920999999999</v>
      </c>
      <c r="R2597" s="147">
        <v>89.894944841390185</v>
      </c>
    </row>
    <row r="2598" spans="2:18" ht="15.75" hidden="1" thickBot="1" x14ac:dyDescent="0.3">
      <c r="B2598" s="145" t="s">
        <v>766</v>
      </c>
      <c r="C2598" s="144" t="s">
        <v>87</v>
      </c>
      <c r="D2598" t="s">
        <v>87</v>
      </c>
      <c r="E2598" s="148">
        <v>123.69817</v>
      </c>
      <c r="F2598" s="148">
        <v>108.91399</v>
      </c>
      <c r="G2598" s="148">
        <v>14.784179999999999</v>
      </c>
      <c r="H2598" s="148">
        <v>13.574179037972991</v>
      </c>
      <c r="I2598" s="728"/>
      <c r="J2598" s="148">
        <v>123.69817</v>
      </c>
      <c r="K2598" s="148">
        <v>0</v>
      </c>
      <c r="L2598" s="148">
        <v>1444.1693</v>
      </c>
      <c r="M2598" s="148">
        <v>1552.80313</v>
      </c>
      <c r="N2598" s="148">
        <v>-108.63383</v>
      </c>
      <c r="O2598" s="148">
        <v>-6.9959821629159133</v>
      </c>
      <c r="P2598" s="148">
        <v>748.97909000000004</v>
      </c>
      <c r="Q2598" s="148">
        <v>695.19020999999998</v>
      </c>
      <c r="R2598" s="148">
        <v>92.818373607733164</v>
      </c>
    </row>
    <row r="2599" spans="2:18" ht="15.75" hidden="1" thickBot="1" x14ac:dyDescent="0.3">
      <c r="B2599" s="723" t="s">
        <v>767</v>
      </c>
      <c r="C2599" s="722" t="s">
        <v>59</v>
      </c>
      <c r="D2599" t="s">
        <v>60</v>
      </c>
      <c r="E2599" s="147">
        <v>42.498170000000002</v>
      </c>
      <c r="F2599" s="147">
        <v>50.656129999999997</v>
      </c>
      <c r="G2599" s="147">
        <v>-8.1579599999999992</v>
      </c>
      <c r="H2599" s="147">
        <v>-16.10458596027766</v>
      </c>
      <c r="I2599" s="729"/>
      <c r="J2599" s="147">
        <v>42.498170000000002</v>
      </c>
      <c r="K2599" s="147">
        <v>0</v>
      </c>
      <c r="L2599" s="147">
        <v>558.66713000000004</v>
      </c>
      <c r="M2599" s="147">
        <v>604.68456000000003</v>
      </c>
      <c r="N2599" s="147">
        <v>-46.017429999999997</v>
      </c>
      <c r="O2599" s="147">
        <v>-7.6101546234287838</v>
      </c>
      <c r="P2599" s="147">
        <v>294.53271000000001</v>
      </c>
      <c r="Q2599" s="147">
        <v>264.13441999999998</v>
      </c>
      <c r="R2599" s="147">
        <v>89.679146333186551</v>
      </c>
    </row>
    <row r="2600" spans="2:18" ht="15.75" hidden="1" thickBot="1" x14ac:dyDescent="0.3">
      <c r="B2600" s="723" t="s">
        <v>767</v>
      </c>
      <c r="C2600" s="722" t="s">
        <v>134</v>
      </c>
      <c r="D2600" t="s">
        <v>135</v>
      </c>
      <c r="E2600" s="148">
        <v>1.49803</v>
      </c>
      <c r="F2600" s="728"/>
      <c r="G2600" s="148">
        <v>1.49803</v>
      </c>
      <c r="H2600" s="148">
        <v>0</v>
      </c>
      <c r="I2600" s="728"/>
      <c r="J2600" s="148">
        <v>1.49803</v>
      </c>
      <c r="K2600" s="148">
        <v>0</v>
      </c>
      <c r="L2600" s="148">
        <v>19.960170000000002</v>
      </c>
      <c r="M2600" s="728"/>
      <c r="N2600" s="148">
        <v>19.960170000000002</v>
      </c>
      <c r="O2600" s="148">
        <v>0</v>
      </c>
      <c r="P2600" s="148">
        <v>9.6872500000000006</v>
      </c>
      <c r="Q2600" s="148">
        <v>10.272919999999999</v>
      </c>
      <c r="R2600" s="148">
        <v>106.04578182662779</v>
      </c>
    </row>
    <row r="2601" spans="2:18" ht="15.75" hidden="1" thickBot="1" x14ac:dyDescent="0.3">
      <c r="B2601" s="723" t="s">
        <v>767</v>
      </c>
      <c r="C2601" s="722" t="s">
        <v>61</v>
      </c>
      <c r="D2601" t="s">
        <v>62</v>
      </c>
      <c r="E2601" s="147">
        <v>7.3629199999999999</v>
      </c>
      <c r="F2601" s="147">
        <v>7.8517000000000001</v>
      </c>
      <c r="G2601" s="147">
        <v>-0.48877999999999999</v>
      </c>
      <c r="H2601" s="147">
        <v>-6.22514869391342</v>
      </c>
      <c r="I2601" s="729"/>
      <c r="J2601" s="147">
        <v>7.3629199999999999</v>
      </c>
      <c r="K2601" s="147">
        <v>0</v>
      </c>
      <c r="L2601" s="147">
        <v>88.08887</v>
      </c>
      <c r="M2601" s="147">
        <v>93.726100000000002</v>
      </c>
      <c r="N2601" s="147">
        <v>-5.6372299999999997</v>
      </c>
      <c r="O2601" s="147">
        <v>-6.0145786499171523</v>
      </c>
      <c r="P2601" s="147">
        <v>43.750320000000002</v>
      </c>
      <c r="Q2601" s="147">
        <v>44.338549999999998</v>
      </c>
      <c r="R2601" s="147">
        <v>101.34451588011243</v>
      </c>
    </row>
    <row r="2602" spans="2:18" ht="15.75" hidden="1" thickBot="1" x14ac:dyDescent="0.3">
      <c r="B2602" s="723" t="s">
        <v>767</v>
      </c>
      <c r="C2602" s="722" t="s">
        <v>63</v>
      </c>
      <c r="D2602" t="s">
        <v>64</v>
      </c>
      <c r="E2602" s="148">
        <v>28.753779999999999</v>
      </c>
      <c r="F2602" s="148">
        <v>30.545649999999998</v>
      </c>
      <c r="G2602" s="148">
        <v>-1.7918700000000001</v>
      </c>
      <c r="H2602" s="148">
        <v>-5.8662035347095252</v>
      </c>
      <c r="I2602" s="728"/>
      <c r="J2602" s="148">
        <v>28.753779999999999</v>
      </c>
      <c r="K2602" s="148">
        <v>0</v>
      </c>
      <c r="L2602" s="148">
        <v>344.08215000000001</v>
      </c>
      <c r="M2602" s="148">
        <v>364.62482</v>
      </c>
      <c r="N2602" s="148">
        <v>-20.542670000000001</v>
      </c>
      <c r="O2602" s="148">
        <v>-5.6339198192816387</v>
      </c>
      <c r="P2602" s="148">
        <v>170.93451999999999</v>
      </c>
      <c r="Q2602" s="148">
        <v>173.14762999999999</v>
      </c>
      <c r="R2602" s="148">
        <v>101.29471215059428</v>
      </c>
    </row>
    <row r="2603" spans="2:18" ht="15.75" hidden="1" thickBot="1" x14ac:dyDescent="0.3">
      <c r="B2603" s="723" t="s">
        <v>767</v>
      </c>
      <c r="C2603" s="722" t="s">
        <v>65</v>
      </c>
      <c r="D2603" t="s">
        <v>66</v>
      </c>
      <c r="E2603" s="147">
        <v>-1.61696</v>
      </c>
      <c r="F2603" s="147">
        <v>-1.97461</v>
      </c>
      <c r="G2603" s="147">
        <v>0.35765000000000002</v>
      </c>
      <c r="H2603" s="147">
        <v>18.112437392700329</v>
      </c>
      <c r="I2603" s="729"/>
      <c r="J2603" s="147">
        <v>-1.61696</v>
      </c>
      <c r="K2603" s="147">
        <v>0</v>
      </c>
      <c r="L2603" s="147">
        <v>-23.858409999999999</v>
      </c>
      <c r="M2603" s="147">
        <v>-23.571020000000001</v>
      </c>
      <c r="N2603" s="147">
        <v>-0.28738999999999998</v>
      </c>
      <c r="O2603" s="147">
        <v>-1.219251436721873</v>
      </c>
      <c r="P2603" s="147">
        <v>-10.70589</v>
      </c>
      <c r="Q2603" s="147">
        <v>-13.152520000000001</v>
      </c>
      <c r="R2603" s="147">
        <v>-122.85312103897948</v>
      </c>
    </row>
    <row r="2604" spans="2:18" ht="15.75" hidden="1" thickBot="1" x14ac:dyDescent="0.3">
      <c r="B2604" s="723" t="s">
        <v>767</v>
      </c>
      <c r="C2604" s="149" t="s">
        <v>67</v>
      </c>
      <c r="D2604" t="s">
        <v>68</v>
      </c>
      <c r="E2604" s="148">
        <v>78.495940000000004</v>
      </c>
      <c r="F2604" s="148">
        <v>87.078869999999995</v>
      </c>
      <c r="G2604" s="148">
        <v>-8.5829299999999993</v>
      </c>
      <c r="H2604" s="148">
        <v>-9.8565013533133818</v>
      </c>
      <c r="I2604" s="728"/>
      <c r="J2604" s="148">
        <v>78.495940000000004</v>
      </c>
      <c r="K2604" s="148">
        <v>0</v>
      </c>
      <c r="L2604" s="148">
        <v>986.93991000000005</v>
      </c>
      <c r="M2604" s="148">
        <v>1039.4644599999999</v>
      </c>
      <c r="N2604" s="148">
        <v>-52.524549999999998</v>
      </c>
      <c r="O2604" s="148">
        <v>-5.053039523833263</v>
      </c>
      <c r="P2604" s="148">
        <v>508.19891000000001</v>
      </c>
      <c r="Q2604" s="148">
        <v>478.74099999999999</v>
      </c>
      <c r="R2604" s="148">
        <v>94.203468480481391</v>
      </c>
    </row>
    <row r="2605" spans="2:18" ht="15.75" hidden="1" thickBot="1" x14ac:dyDescent="0.3">
      <c r="B2605" s="723" t="s">
        <v>767</v>
      </c>
      <c r="C2605" s="722" t="s">
        <v>69</v>
      </c>
      <c r="D2605" t="s">
        <v>70</v>
      </c>
      <c r="E2605" s="729"/>
      <c r="F2605" s="147">
        <v>0</v>
      </c>
      <c r="G2605" s="147">
        <v>0</v>
      </c>
      <c r="H2605" s="147">
        <v>0</v>
      </c>
      <c r="I2605" s="729"/>
      <c r="J2605" s="729"/>
      <c r="K2605" s="729"/>
      <c r="L2605" s="147">
        <v>10.086080000000001</v>
      </c>
      <c r="M2605" s="147">
        <v>7.15</v>
      </c>
      <c r="N2605" s="147">
        <v>2.93608</v>
      </c>
      <c r="O2605" s="147">
        <v>41.064055944055944</v>
      </c>
      <c r="P2605" s="147">
        <v>4.0060799999999999</v>
      </c>
      <c r="Q2605" s="147">
        <v>6.08</v>
      </c>
      <c r="R2605" s="147">
        <v>151.76931064781533</v>
      </c>
    </row>
    <row r="2606" spans="2:18" ht="15.75" hidden="1" thickBot="1" x14ac:dyDescent="0.3">
      <c r="B2606" s="723" t="s">
        <v>767</v>
      </c>
      <c r="C2606" s="722" t="s">
        <v>582</v>
      </c>
      <c r="D2606" t="s">
        <v>583</v>
      </c>
      <c r="E2606" s="148">
        <v>0.50924000000000003</v>
      </c>
      <c r="F2606" s="148">
        <v>0.501</v>
      </c>
      <c r="G2606" s="148">
        <v>8.2400000000000008E-3</v>
      </c>
      <c r="H2606" s="148">
        <v>1.6447105788423153</v>
      </c>
      <c r="I2606" s="728"/>
      <c r="J2606" s="148">
        <v>0.50924000000000003</v>
      </c>
      <c r="K2606" s="148">
        <v>0</v>
      </c>
      <c r="L2606" s="148">
        <v>6.1108799999999999</v>
      </c>
      <c r="M2606" s="148">
        <v>6.0549999999999997</v>
      </c>
      <c r="N2606" s="148">
        <v>5.5879999999999999E-2</v>
      </c>
      <c r="O2606" s="148">
        <v>0.92287365813377376</v>
      </c>
      <c r="P2606" s="148">
        <v>3.0554399999999999</v>
      </c>
      <c r="Q2606" s="148">
        <v>3.0554399999999999</v>
      </c>
      <c r="R2606" s="148">
        <v>100</v>
      </c>
    </row>
    <row r="2607" spans="2:18" ht="15.75" hidden="1" thickBot="1" x14ac:dyDescent="0.3">
      <c r="B2607" s="723" t="s">
        <v>767</v>
      </c>
      <c r="C2607" s="722" t="s">
        <v>137</v>
      </c>
      <c r="D2607" t="s">
        <v>138</v>
      </c>
      <c r="E2607" s="147">
        <v>0.23805999999999999</v>
      </c>
      <c r="F2607" s="147">
        <v>0.1118</v>
      </c>
      <c r="G2607" s="147">
        <v>0.12626000000000001</v>
      </c>
      <c r="H2607" s="147">
        <v>112.93381037567084</v>
      </c>
      <c r="I2607" s="729"/>
      <c r="J2607" s="147">
        <v>0.23805999999999999</v>
      </c>
      <c r="K2607" s="147">
        <v>0</v>
      </c>
      <c r="L2607" s="147">
        <v>1.47096</v>
      </c>
      <c r="M2607" s="147">
        <v>1.3420000000000001</v>
      </c>
      <c r="N2607" s="147">
        <v>0.12895999999999999</v>
      </c>
      <c r="O2607" s="147">
        <v>9.6095380029806261</v>
      </c>
      <c r="P2607" s="147">
        <v>0.87339999999999995</v>
      </c>
      <c r="Q2607" s="147">
        <v>0.59755999999999998</v>
      </c>
      <c r="R2607" s="147">
        <v>68.41767803984429</v>
      </c>
    </row>
    <row r="2608" spans="2:18" ht="15.75" hidden="1" thickBot="1" x14ac:dyDescent="0.3">
      <c r="B2608" s="723" t="s">
        <v>767</v>
      </c>
      <c r="C2608" s="722" t="s">
        <v>190</v>
      </c>
      <c r="D2608" t="s">
        <v>191</v>
      </c>
      <c r="E2608" s="728"/>
      <c r="F2608" s="728"/>
      <c r="G2608" s="728"/>
      <c r="H2608" s="728"/>
      <c r="I2608" s="728"/>
      <c r="J2608" s="728"/>
      <c r="K2608" s="728"/>
      <c r="L2608" s="148">
        <v>3.5779999999999999E-2</v>
      </c>
      <c r="M2608" s="728"/>
      <c r="N2608" s="148">
        <v>3.5779999999999999E-2</v>
      </c>
      <c r="O2608" s="148">
        <v>0</v>
      </c>
      <c r="P2608" s="728"/>
      <c r="Q2608" s="148">
        <v>3.5779999999999999E-2</v>
      </c>
      <c r="R2608" s="148">
        <v>0</v>
      </c>
    </row>
    <row r="2609" spans="2:18" ht="15.75" hidden="1" thickBot="1" x14ac:dyDescent="0.3">
      <c r="B2609" s="723" t="s">
        <v>767</v>
      </c>
      <c r="C2609" s="722" t="s">
        <v>139</v>
      </c>
      <c r="D2609" t="s">
        <v>140</v>
      </c>
      <c r="E2609" s="729"/>
      <c r="F2609" s="147">
        <v>0</v>
      </c>
      <c r="G2609" s="147">
        <v>0</v>
      </c>
      <c r="H2609" s="147">
        <v>0</v>
      </c>
      <c r="I2609" s="729"/>
      <c r="J2609" s="729"/>
      <c r="K2609" s="729"/>
      <c r="L2609" s="147">
        <v>57.843000000000004</v>
      </c>
      <c r="M2609" s="147">
        <v>65.454999999999998</v>
      </c>
      <c r="N2609" s="147">
        <v>-7.6120000000000001</v>
      </c>
      <c r="O2609" s="147">
        <v>-11.629363684974409</v>
      </c>
      <c r="P2609" s="147">
        <v>27.042999999999999</v>
      </c>
      <c r="Q2609" s="147">
        <v>30.8</v>
      </c>
      <c r="R2609" s="147">
        <v>113.89268942055246</v>
      </c>
    </row>
    <row r="2610" spans="2:18" ht="15.75" hidden="1" thickBot="1" x14ac:dyDescent="0.3">
      <c r="B2610" s="723" t="s">
        <v>767</v>
      </c>
      <c r="C2610" s="722" t="s">
        <v>101</v>
      </c>
      <c r="D2610" t="s">
        <v>102</v>
      </c>
      <c r="E2610" s="728"/>
      <c r="F2610" s="148">
        <v>0.1</v>
      </c>
      <c r="G2610" s="148">
        <v>-0.1</v>
      </c>
      <c r="H2610" s="148">
        <v>-100</v>
      </c>
      <c r="I2610" s="728"/>
      <c r="J2610" s="728"/>
      <c r="K2610" s="728"/>
      <c r="L2610" s="728"/>
      <c r="M2610" s="148">
        <v>0.5</v>
      </c>
      <c r="N2610" s="148">
        <v>-0.5</v>
      </c>
      <c r="O2610" s="148">
        <v>-100</v>
      </c>
      <c r="P2610" s="728"/>
      <c r="Q2610" s="728"/>
      <c r="R2610" s="728"/>
    </row>
    <row r="2611" spans="2:18" ht="15.75" hidden="1" thickBot="1" x14ac:dyDescent="0.3">
      <c r="B2611" s="723" t="s">
        <v>767</v>
      </c>
      <c r="C2611" s="722" t="s">
        <v>464</v>
      </c>
      <c r="D2611" t="s">
        <v>465</v>
      </c>
      <c r="E2611" s="729"/>
      <c r="F2611" s="729"/>
      <c r="G2611" s="729"/>
      <c r="H2611" s="729"/>
      <c r="I2611" s="729"/>
      <c r="J2611" s="729"/>
      <c r="K2611" s="729"/>
      <c r="L2611" s="147">
        <v>6.8492699999999997</v>
      </c>
      <c r="M2611" s="729"/>
      <c r="N2611" s="147">
        <v>6.8492699999999997</v>
      </c>
      <c r="O2611" s="147">
        <v>0</v>
      </c>
      <c r="P2611" s="147">
        <v>5.2492700000000001</v>
      </c>
      <c r="Q2611" s="147">
        <v>1.6</v>
      </c>
      <c r="R2611" s="147">
        <v>30.480428707229766</v>
      </c>
    </row>
    <row r="2612" spans="2:18" ht="15.75" hidden="1" thickBot="1" x14ac:dyDescent="0.3">
      <c r="B2612" s="723" t="s">
        <v>767</v>
      </c>
      <c r="C2612" s="722" t="s">
        <v>623</v>
      </c>
      <c r="D2612" t="s">
        <v>624</v>
      </c>
      <c r="E2612" s="148">
        <v>39.677500000000002</v>
      </c>
      <c r="F2612" s="148">
        <v>15.683770000000001</v>
      </c>
      <c r="G2612" s="148">
        <v>23.993729999999999</v>
      </c>
      <c r="H2612" s="148">
        <v>152.98445463048745</v>
      </c>
      <c r="I2612" s="728"/>
      <c r="J2612" s="148">
        <v>39.677500000000002</v>
      </c>
      <c r="K2612" s="148">
        <v>0</v>
      </c>
      <c r="L2612" s="148">
        <v>262.67471999999998</v>
      </c>
      <c r="M2612" s="148">
        <v>266.83769999999998</v>
      </c>
      <c r="N2612" s="148">
        <v>-4.1629800000000001</v>
      </c>
      <c r="O2612" s="148">
        <v>-1.560116880036067</v>
      </c>
      <c r="P2612" s="148">
        <v>127.14894</v>
      </c>
      <c r="Q2612" s="148">
        <v>135.52578</v>
      </c>
      <c r="R2612" s="148">
        <v>106.58821064493341</v>
      </c>
    </row>
    <row r="2613" spans="2:18" ht="15.75" hidden="1" thickBot="1" x14ac:dyDescent="0.3">
      <c r="B2613" s="723" t="s">
        <v>767</v>
      </c>
      <c r="C2613" s="722" t="s">
        <v>103</v>
      </c>
      <c r="D2613" t="s">
        <v>104</v>
      </c>
      <c r="E2613" s="729"/>
      <c r="F2613" s="729"/>
      <c r="G2613" s="729"/>
      <c r="H2613" s="729"/>
      <c r="I2613" s="729"/>
      <c r="J2613" s="729"/>
      <c r="K2613" s="729"/>
      <c r="L2613" s="147">
        <v>0</v>
      </c>
      <c r="M2613" s="729"/>
      <c r="N2613" s="147">
        <v>0</v>
      </c>
      <c r="O2613" s="147">
        <v>0</v>
      </c>
      <c r="P2613" s="729"/>
      <c r="Q2613" s="147">
        <v>0</v>
      </c>
      <c r="R2613" s="147">
        <v>0</v>
      </c>
    </row>
    <row r="2614" spans="2:18" ht="15.75" hidden="1" thickBot="1" x14ac:dyDescent="0.3">
      <c r="B2614" s="723" t="s">
        <v>767</v>
      </c>
      <c r="C2614" s="722" t="s">
        <v>71</v>
      </c>
      <c r="D2614" t="s">
        <v>72</v>
      </c>
      <c r="E2614" s="728"/>
      <c r="F2614" s="728"/>
      <c r="G2614" s="728"/>
      <c r="H2614" s="728"/>
      <c r="I2614" s="728"/>
      <c r="J2614" s="728"/>
      <c r="K2614" s="728"/>
      <c r="L2614" s="148">
        <v>0</v>
      </c>
      <c r="M2614" s="728"/>
      <c r="N2614" s="148">
        <v>0</v>
      </c>
      <c r="O2614" s="148">
        <v>0</v>
      </c>
      <c r="P2614" s="728"/>
      <c r="Q2614" s="148">
        <v>0</v>
      </c>
      <c r="R2614" s="148">
        <v>0</v>
      </c>
    </row>
    <row r="2615" spans="2:18" ht="15.75" hidden="1" thickBot="1" x14ac:dyDescent="0.3">
      <c r="B2615" s="723" t="s">
        <v>767</v>
      </c>
      <c r="C2615" s="722" t="s">
        <v>627</v>
      </c>
      <c r="D2615" t="s">
        <v>628</v>
      </c>
      <c r="E2615" s="729"/>
      <c r="F2615" s="729"/>
      <c r="G2615" s="729"/>
      <c r="H2615" s="729"/>
      <c r="I2615" s="729"/>
      <c r="J2615" s="729"/>
      <c r="K2615" s="729"/>
      <c r="L2615" s="147">
        <v>4.1160000000000002E-2</v>
      </c>
      <c r="M2615" s="729"/>
      <c r="N2615" s="147">
        <v>4.1160000000000002E-2</v>
      </c>
      <c r="O2615" s="147">
        <v>0</v>
      </c>
      <c r="P2615" s="729"/>
      <c r="Q2615" s="147">
        <v>4.1160000000000002E-2</v>
      </c>
      <c r="R2615" s="147">
        <v>0</v>
      </c>
    </row>
    <row r="2616" spans="2:18" ht="15.75" hidden="1" thickBot="1" x14ac:dyDescent="0.3">
      <c r="B2616" s="723" t="s">
        <v>767</v>
      </c>
      <c r="C2616" s="722" t="s">
        <v>107</v>
      </c>
      <c r="D2616" t="s">
        <v>108</v>
      </c>
      <c r="E2616" s="728"/>
      <c r="F2616" s="728"/>
      <c r="G2616" s="728"/>
      <c r="H2616" s="728"/>
      <c r="I2616" s="728"/>
      <c r="J2616" s="728"/>
      <c r="K2616" s="728"/>
      <c r="L2616" s="148">
        <v>1.4999999999999999E-2</v>
      </c>
      <c r="M2616" s="728"/>
      <c r="N2616" s="148">
        <v>1.4999999999999999E-2</v>
      </c>
      <c r="O2616" s="148">
        <v>0</v>
      </c>
      <c r="P2616" s="148">
        <v>1.4999999999999999E-2</v>
      </c>
      <c r="Q2616" s="148">
        <v>0</v>
      </c>
      <c r="R2616" s="148">
        <v>0</v>
      </c>
    </row>
    <row r="2617" spans="2:18" ht="15.75" hidden="1" thickBot="1" x14ac:dyDescent="0.3">
      <c r="B2617" s="723" t="s">
        <v>767</v>
      </c>
      <c r="C2617" s="722" t="s">
        <v>109</v>
      </c>
      <c r="D2617" t="s">
        <v>110</v>
      </c>
      <c r="E2617" s="147">
        <v>1.9380000000000001E-2</v>
      </c>
      <c r="F2617" s="729"/>
      <c r="G2617" s="147">
        <v>1.9380000000000001E-2</v>
      </c>
      <c r="H2617" s="147">
        <v>0</v>
      </c>
      <c r="I2617" s="729"/>
      <c r="J2617" s="147">
        <v>1.9380000000000001E-2</v>
      </c>
      <c r="K2617" s="147">
        <v>0</v>
      </c>
      <c r="L2617" s="147">
        <v>0.17075000000000001</v>
      </c>
      <c r="M2617" s="729"/>
      <c r="N2617" s="147">
        <v>0.17075000000000001</v>
      </c>
      <c r="O2617" s="147">
        <v>0</v>
      </c>
      <c r="P2617" s="147">
        <v>1.6029999999999999E-2</v>
      </c>
      <c r="Q2617" s="147">
        <v>0.15472</v>
      </c>
      <c r="R2617" s="147">
        <v>965.19026824703678</v>
      </c>
    </row>
    <row r="2618" spans="2:18" ht="15.75" hidden="1" thickBot="1" x14ac:dyDescent="0.3">
      <c r="B2618" s="723" t="s">
        <v>767</v>
      </c>
      <c r="C2618" s="722" t="s">
        <v>73</v>
      </c>
      <c r="D2618" t="s">
        <v>74</v>
      </c>
      <c r="E2618" s="148">
        <v>0.37694</v>
      </c>
      <c r="F2618" s="148">
        <v>0.5</v>
      </c>
      <c r="G2618" s="148">
        <v>-0.12306</v>
      </c>
      <c r="H2618" s="148">
        <v>-24.611999999999998</v>
      </c>
      <c r="I2618" s="728"/>
      <c r="J2618" s="148">
        <v>0.37694</v>
      </c>
      <c r="K2618" s="148">
        <v>0</v>
      </c>
      <c r="L2618" s="148">
        <v>3.2232099999999999</v>
      </c>
      <c r="M2618" s="148">
        <v>3.25698</v>
      </c>
      <c r="N2618" s="148">
        <v>-3.3770000000000001E-2</v>
      </c>
      <c r="O2618" s="148">
        <v>-1.036850088118441</v>
      </c>
      <c r="P2618" s="148">
        <v>1.36199</v>
      </c>
      <c r="Q2618" s="148">
        <v>1.8612200000000001</v>
      </c>
      <c r="R2618" s="148">
        <v>136.65445414430354</v>
      </c>
    </row>
    <row r="2619" spans="2:18" ht="15.75" hidden="1" thickBot="1" x14ac:dyDescent="0.3">
      <c r="B2619" s="723" t="s">
        <v>767</v>
      </c>
      <c r="C2619" s="722" t="s">
        <v>141</v>
      </c>
      <c r="D2619" t="s">
        <v>142</v>
      </c>
      <c r="E2619" s="729"/>
      <c r="F2619" s="729"/>
      <c r="G2619" s="729"/>
      <c r="H2619" s="729"/>
      <c r="I2619" s="729"/>
      <c r="J2619" s="729"/>
      <c r="K2619" s="729"/>
      <c r="L2619" s="147">
        <v>6.6349999999999998</v>
      </c>
      <c r="M2619" s="147">
        <v>5</v>
      </c>
      <c r="N2619" s="147">
        <v>1.635</v>
      </c>
      <c r="O2619" s="147">
        <v>32.700000000000003</v>
      </c>
      <c r="P2619" s="147">
        <v>6.6349999999999998</v>
      </c>
      <c r="Q2619" s="147">
        <v>0</v>
      </c>
      <c r="R2619" s="147">
        <v>0</v>
      </c>
    </row>
    <row r="2620" spans="2:18" ht="15.75" hidden="1" thickBot="1" x14ac:dyDescent="0.3">
      <c r="B2620" s="723" t="s">
        <v>767</v>
      </c>
      <c r="C2620" s="722" t="s">
        <v>113</v>
      </c>
      <c r="D2620" t="s">
        <v>114</v>
      </c>
      <c r="E2620" s="148">
        <v>8.8789999999999994E-2</v>
      </c>
      <c r="F2620" s="728"/>
      <c r="G2620" s="148">
        <v>8.8789999999999994E-2</v>
      </c>
      <c r="H2620" s="148">
        <v>0</v>
      </c>
      <c r="I2620" s="728"/>
      <c r="J2620" s="148">
        <v>8.8789999999999994E-2</v>
      </c>
      <c r="K2620" s="148">
        <v>0</v>
      </c>
      <c r="L2620" s="148">
        <v>0.54854999999999998</v>
      </c>
      <c r="M2620" s="148">
        <v>0.1575</v>
      </c>
      <c r="N2620" s="148">
        <v>0.39105000000000001</v>
      </c>
      <c r="O2620" s="148">
        <v>248.28571428571428</v>
      </c>
      <c r="P2620" s="148">
        <v>0.28644999999999998</v>
      </c>
      <c r="Q2620" s="148">
        <v>0.2621</v>
      </c>
      <c r="R2620" s="148">
        <v>91.499389073136669</v>
      </c>
    </row>
    <row r="2621" spans="2:18" ht="15.75" hidden="1" thickBot="1" x14ac:dyDescent="0.3">
      <c r="B2621" s="723" t="s">
        <v>767</v>
      </c>
      <c r="C2621" s="722" t="s">
        <v>145</v>
      </c>
      <c r="D2621" t="s">
        <v>146</v>
      </c>
      <c r="E2621" s="147">
        <v>4.3450000000000003E-2</v>
      </c>
      <c r="F2621" s="147">
        <v>0.24</v>
      </c>
      <c r="G2621" s="147">
        <v>-0.19655</v>
      </c>
      <c r="H2621" s="147">
        <v>-81.895833333333329</v>
      </c>
      <c r="I2621" s="729"/>
      <c r="J2621" s="147">
        <v>4.3450000000000003E-2</v>
      </c>
      <c r="K2621" s="147">
        <v>0</v>
      </c>
      <c r="L2621" s="147">
        <v>0.52439000000000002</v>
      </c>
      <c r="M2621" s="147">
        <v>2.21326</v>
      </c>
      <c r="N2621" s="147">
        <v>-1.6888700000000001</v>
      </c>
      <c r="O2621" s="147">
        <v>-76.306895710400042</v>
      </c>
      <c r="P2621" s="147">
        <v>0.25369000000000003</v>
      </c>
      <c r="Q2621" s="147">
        <v>0.2707</v>
      </c>
      <c r="R2621" s="147">
        <v>106.70503370255035</v>
      </c>
    </row>
    <row r="2622" spans="2:18" ht="15.75" hidden="1" thickBot="1" x14ac:dyDescent="0.3">
      <c r="B2622" s="723" t="s">
        <v>767</v>
      </c>
      <c r="C2622" s="722" t="s">
        <v>149</v>
      </c>
      <c r="D2622" t="s">
        <v>150</v>
      </c>
      <c r="E2622" s="148">
        <v>1.5831900000000001</v>
      </c>
      <c r="F2622" s="148">
        <v>3.4192399999999998</v>
      </c>
      <c r="G2622" s="148">
        <v>-1.83605</v>
      </c>
      <c r="H2622" s="148">
        <v>-53.697605315801169</v>
      </c>
      <c r="I2622" s="728"/>
      <c r="J2622" s="148">
        <v>1.5831900000000001</v>
      </c>
      <c r="K2622" s="148">
        <v>0</v>
      </c>
      <c r="L2622" s="148">
        <v>9.8429900000000004</v>
      </c>
      <c r="M2622" s="148">
        <v>41.03</v>
      </c>
      <c r="N2622" s="148">
        <v>-31.187010000000001</v>
      </c>
      <c r="O2622" s="148">
        <v>-76.010260784791612</v>
      </c>
      <c r="P2622" s="148">
        <v>4.1904199999999996</v>
      </c>
      <c r="Q2622" s="148">
        <v>5.6525699999999999</v>
      </c>
      <c r="R2622" s="148">
        <v>134.89268378825989</v>
      </c>
    </row>
    <row r="2623" spans="2:18" ht="15.75" hidden="1" thickBot="1" x14ac:dyDescent="0.3">
      <c r="B2623" s="723" t="s">
        <v>767</v>
      </c>
      <c r="C2623" s="722" t="s">
        <v>151</v>
      </c>
      <c r="D2623" t="s">
        <v>152</v>
      </c>
      <c r="E2623" s="729"/>
      <c r="F2623" s="147">
        <v>0</v>
      </c>
      <c r="G2623" s="147">
        <v>0</v>
      </c>
      <c r="H2623" s="147">
        <v>0</v>
      </c>
      <c r="I2623" s="729"/>
      <c r="J2623" s="729"/>
      <c r="K2623" s="729"/>
      <c r="L2623" s="147">
        <v>66.668379999999999</v>
      </c>
      <c r="M2623" s="147">
        <v>67.5</v>
      </c>
      <c r="N2623" s="147">
        <v>-0.83162000000000003</v>
      </c>
      <c r="O2623" s="147">
        <v>-1.2320296296296296</v>
      </c>
      <c r="P2623" s="147">
        <v>47.543379999999999</v>
      </c>
      <c r="Q2623" s="147">
        <v>19.125</v>
      </c>
      <c r="R2623" s="147">
        <v>40.226420586840902</v>
      </c>
    </row>
    <row r="2624" spans="2:18" ht="15.75" hidden="1" thickBot="1" x14ac:dyDescent="0.3">
      <c r="B2624" s="723" t="s">
        <v>767</v>
      </c>
      <c r="C2624" s="722" t="s">
        <v>75</v>
      </c>
      <c r="D2624" t="s">
        <v>76</v>
      </c>
      <c r="E2624" s="148">
        <v>0.30974000000000002</v>
      </c>
      <c r="F2624" s="148">
        <v>0.33329999999999999</v>
      </c>
      <c r="G2624" s="148">
        <v>-2.3560000000000001E-2</v>
      </c>
      <c r="H2624" s="148">
        <v>-7.0687068706870688</v>
      </c>
      <c r="I2624" s="728"/>
      <c r="J2624" s="148">
        <v>0.30974000000000002</v>
      </c>
      <c r="K2624" s="148">
        <v>0</v>
      </c>
      <c r="L2624" s="148">
        <v>3.7522099999999998</v>
      </c>
      <c r="M2624" s="148">
        <v>4</v>
      </c>
      <c r="N2624" s="148">
        <v>-0.24779000000000001</v>
      </c>
      <c r="O2624" s="148">
        <v>-6.19475</v>
      </c>
      <c r="P2624" s="148">
        <v>1.9070100000000001</v>
      </c>
      <c r="Q2624" s="148">
        <v>1.8452</v>
      </c>
      <c r="R2624" s="148">
        <v>96.758800425797446</v>
      </c>
    </row>
    <row r="2625" spans="2:18" ht="15.75" hidden="1" thickBot="1" x14ac:dyDescent="0.3">
      <c r="B2625" s="723" t="s">
        <v>767</v>
      </c>
      <c r="C2625" s="722" t="s">
        <v>121</v>
      </c>
      <c r="D2625" t="s">
        <v>122</v>
      </c>
      <c r="E2625" s="729"/>
      <c r="F2625" s="729"/>
      <c r="G2625" s="729"/>
      <c r="H2625" s="729"/>
      <c r="I2625" s="729"/>
      <c r="J2625" s="729"/>
      <c r="K2625" s="729"/>
      <c r="L2625" s="729"/>
      <c r="M2625" s="147">
        <v>0.24123</v>
      </c>
      <c r="N2625" s="147">
        <v>-0.24123</v>
      </c>
      <c r="O2625" s="147">
        <v>-100</v>
      </c>
      <c r="P2625" s="729"/>
      <c r="Q2625" s="729"/>
      <c r="R2625" s="729"/>
    </row>
    <row r="2626" spans="2:18" ht="15.75" hidden="1" thickBot="1" x14ac:dyDescent="0.3">
      <c r="B2626" s="723" t="s">
        <v>767</v>
      </c>
      <c r="C2626" s="722" t="s">
        <v>77</v>
      </c>
      <c r="D2626" t="s">
        <v>78</v>
      </c>
      <c r="E2626" s="148">
        <v>1.2492000000000001</v>
      </c>
      <c r="F2626" s="728"/>
      <c r="G2626" s="148">
        <v>1.2492000000000001</v>
      </c>
      <c r="H2626" s="148">
        <v>0</v>
      </c>
      <c r="I2626" s="728"/>
      <c r="J2626" s="148">
        <v>1.2492000000000001</v>
      </c>
      <c r="K2626" s="148">
        <v>0</v>
      </c>
      <c r="L2626" s="148">
        <v>10.81268</v>
      </c>
      <c r="M2626" s="148">
        <v>3</v>
      </c>
      <c r="N2626" s="148">
        <v>7.8126800000000003</v>
      </c>
      <c r="O2626" s="148">
        <v>260.42266666666666</v>
      </c>
      <c r="P2626" s="148">
        <v>4.1225300000000002</v>
      </c>
      <c r="Q2626" s="148">
        <v>6.69015</v>
      </c>
      <c r="R2626" s="148">
        <v>162.28262741568892</v>
      </c>
    </row>
    <row r="2627" spans="2:18" ht="15.75" hidden="1" thickBot="1" x14ac:dyDescent="0.3">
      <c r="B2627" s="723" t="s">
        <v>767</v>
      </c>
      <c r="C2627" s="722" t="s">
        <v>79</v>
      </c>
      <c r="D2627" t="s">
        <v>80</v>
      </c>
      <c r="E2627" s="147">
        <v>0.62275999999999998</v>
      </c>
      <c r="F2627" s="147">
        <v>0.34600999999999998</v>
      </c>
      <c r="G2627" s="147">
        <v>0.27675</v>
      </c>
      <c r="H2627" s="147">
        <v>79.983237478685581</v>
      </c>
      <c r="I2627" s="729"/>
      <c r="J2627" s="147">
        <v>0.62275999999999998</v>
      </c>
      <c r="K2627" s="147">
        <v>0</v>
      </c>
      <c r="L2627" s="147">
        <v>7.7428999999999997</v>
      </c>
      <c r="M2627" s="147">
        <v>37</v>
      </c>
      <c r="N2627" s="147">
        <v>-29.257100000000001</v>
      </c>
      <c r="O2627" s="147">
        <v>-79.07324324324324</v>
      </c>
      <c r="P2627" s="147">
        <v>5.3750499999999999</v>
      </c>
      <c r="Q2627" s="147">
        <v>2.3678499999999998</v>
      </c>
      <c r="R2627" s="147">
        <v>44.052613464060798</v>
      </c>
    </row>
    <row r="2628" spans="2:18" ht="15.75" hidden="1" thickBot="1" x14ac:dyDescent="0.3">
      <c r="B2628" s="723" t="s">
        <v>767</v>
      </c>
      <c r="C2628" s="722" t="s">
        <v>81</v>
      </c>
      <c r="D2628" t="s">
        <v>82</v>
      </c>
      <c r="E2628" s="728"/>
      <c r="F2628" s="148">
        <v>0.6</v>
      </c>
      <c r="G2628" s="148">
        <v>-0.6</v>
      </c>
      <c r="H2628" s="148">
        <v>-100</v>
      </c>
      <c r="I2628" s="728"/>
      <c r="J2628" s="728"/>
      <c r="K2628" s="728"/>
      <c r="L2628" s="728"/>
      <c r="M2628" s="148">
        <v>2.6</v>
      </c>
      <c r="N2628" s="148">
        <v>-2.6</v>
      </c>
      <c r="O2628" s="148">
        <v>-100</v>
      </c>
      <c r="P2628" s="728"/>
      <c r="Q2628" s="728"/>
      <c r="R2628" s="728"/>
    </row>
    <row r="2629" spans="2:18" ht="15.75" hidden="1" thickBot="1" x14ac:dyDescent="0.3">
      <c r="B2629" s="723" t="s">
        <v>767</v>
      </c>
      <c r="C2629" s="722" t="s">
        <v>123</v>
      </c>
      <c r="D2629" t="s">
        <v>124</v>
      </c>
      <c r="E2629" s="147">
        <v>0.48398000000000002</v>
      </c>
      <c r="F2629" s="729"/>
      <c r="G2629" s="147">
        <v>0.48398000000000002</v>
      </c>
      <c r="H2629" s="147">
        <v>0</v>
      </c>
      <c r="I2629" s="729"/>
      <c r="J2629" s="147">
        <v>0.48398000000000002</v>
      </c>
      <c r="K2629" s="147">
        <v>0</v>
      </c>
      <c r="L2629" s="147">
        <v>1.7319599999999999</v>
      </c>
      <c r="M2629" s="729"/>
      <c r="N2629" s="147">
        <v>1.7319599999999999</v>
      </c>
      <c r="O2629" s="147">
        <v>0</v>
      </c>
      <c r="P2629" s="147">
        <v>1.2479800000000001</v>
      </c>
      <c r="Q2629" s="147">
        <v>0.48398000000000002</v>
      </c>
      <c r="R2629" s="147">
        <v>38.781070209458484</v>
      </c>
    </row>
    <row r="2630" spans="2:18" ht="15.75" hidden="1" thickBot="1" x14ac:dyDescent="0.3">
      <c r="B2630" s="723" t="s">
        <v>767</v>
      </c>
      <c r="C2630" s="722" t="s">
        <v>689</v>
      </c>
      <c r="D2630" t="s">
        <v>690</v>
      </c>
      <c r="E2630" s="728"/>
      <c r="F2630" s="728"/>
      <c r="G2630" s="728"/>
      <c r="H2630" s="728"/>
      <c r="I2630" s="728"/>
      <c r="J2630" s="728"/>
      <c r="K2630" s="728"/>
      <c r="L2630" s="148">
        <v>0.44951999999999998</v>
      </c>
      <c r="M2630" s="728"/>
      <c r="N2630" s="148">
        <v>0.44951999999999998</v>
      </c>
      <c r="O2630" s="148">
        <v>0</v>
      </c>
      <c r="P2630" s="148">
        <v>0.44951999999999998</v>
      </c>
      <c r="Q2630" s="148">
        <v>0</v>
      </c>
      <c r="R2630" s="148">
        <v>0</v>
      </c>
    </row>
    <row r="2631" spans="2:18" ht="15.75" hidden="1" thickBot="1" x14ac:dyDescent="0.3">
      <c r="B2631" s="723" t="s">
        <v>767</v>
      </c>
      <c r="C2631" s="149" t="s">
        <v>85</v>
      </c>
      <c r="D2631" t="s">
        <v>86</v>
      </c>
      <c r="E2631" s="147">
        <v>45.20223</v>
      </c>
      <c r="F2631" s="147">
        <v>21.83512</v>
      </c>
      <c r="G2631" s="147">
        <v>23.36711</v>
      </c>
      <c r="H2631" s="147">
        <v>107.01617394362843</v>
      </c>
      <c r="I2631" s="729"/>
      <c r="J2631" s="147">
        <v>45.20223</v>
      </c>
      <c r="K2631" s="147">
        <v>0</v>
      </c>
      <c r="L2631" s="147">
        <v>457.22939000000002</v>
      </c>
      <c r="M2631" s="147">
        <v>513.33866999999998</v>
      </c>
      <c r="N2631" s="147">
        <v>-56.109279999999998</v>
      </c>
      <c r="O2631" s="147">
        <v>-10.93026558860255</v>
      </c>
      <c r="P2631" s="147">
        <v>240.78018</v>
      </c>
      <c r="Q2631" s="147">
        <v>216.44920999999999</v>
      </c>
      <c r="R2631" s="147">
        <v>89.894944841390185</v>
      </c>
    </row>
    <row r="2632" spans="2:18" ht="15.75" hidden="1" thickBot="1" x14ac:dyDescent="0.3">
      <c r="B2632" s="723" t="s">
        <v>767</v>
      </c>
      <c r="C2632" s="144" t="s">
        <v>87</v>
      </c>
      <c r="D2632" t="s">
        <v>87</v>
      </c>
      <c r="E2632" s="148">
        <v>123.69817</v>
      </c>
      <c r="F2632" s="148">
        <v>108.91399</v>
      </c>
      <c r="G2632" s="148">
        <v>14.784179999999999</v>
      </c>
      <c r="H2632" s="148">
        <v>13.574179037972991</v>
      </c>
      <c r="I2632" s="728"/>
      <c r="J2632" s="148">
        <v>123.69817</v>
      </c>
      <c r="K2632" s="148">
        <v>0</v>
      </c>
      <c r="L2632" s="148">
        <v>1444.1693</v>
      </c>
      <c r="M2632" s="148">
        <v>1552.80313</v>
      </c>
      <c r="N2632" s="148">
        <v>-108.63383</v>
      </c>
      <c r="O2632" s="148">
        <v>-6.9959821629159133</v>
      </c>
      <c r="P2632" s="148">
        <v>748.97909000000004</v>
      </c>
      <c r="Q2632" s="148">
        <v>695.19020999999998</v>
      </c>
      <c r="R2632" s="148">
        <v>92.818373607733164</v>
      </c>
    </row>
    <row r="2633" spans="2:18" ht="15.75" hidden="1" thickBot="1" x14ac:dyDescent="0.3">
      <c r="B2633" s="145" t="s">
        <v>768</v>
      </c>
      <c r="C2633" s="722" t="s">
        <v>59</v>
      </c>
      <c r="D2633" t="s">
        <v>60</v>
      </c>
      <c r="E2633" s="147">
        <v>1579.2826700000001</v>
      </c>
      <c r="F2633" s="147">
        <v>1800.8701900000001</v>
      </c>
      <c r="G2633" s="147">
        <v>-221.58752000000001</v>
      </c>
      <c r="H2633" s="147">
        <v>-12.304469318801928</v>
      </c>
      <c r="I2633" s="729"/>
      <c r="J2633" s="147">
        <v>1579.2826700000001</v>
      </c>
      <c r="K2633" s="147">
        <v>0</v>
      </c>
      <c r="L2633" s="147">
        <v>21033.802530000001</v>
      </c>
      <c r="M2633" s="147">
        <v>21369.881440000001</v>
      </c>
      <c r="N2633" s="147">
        <v>-336.07891000000001</v>
      </c>
      <c r="O2633" s="147">
        <v>-1.572675594591413</v>
      </c>
      <c r="P2633" s="147">
        <v>10832.97523</v>
      </c>
      <c r="Q2633" s="147">
        <v>10200.827300000001</v>
      </c>
      <c r="R2633" s="147">
        <v>94.164595445124078</v>
      </c>
    </row>
    <row r="2634" spans="2:18" ht="15.75" hidden="1" thickBot="1" x14ac:dyDescent="0.3">
      <c r="B2634" s="145" t="s">
        <v>768</v>
      </c>
      <c r="C2634" s="722" t="s">
        <v>566</v>
      </c>
      <c r="D2634" t="s">
        <v>567</v>
      </c>
      <c r="E2634" s="148">
        <v>0.84167999999999998</v>
      </c>
      <c r="F2634" s="728"/>
      <c r="G2634" s="148">
        <v>0.84167999999999998</v>
      </c>
      <c r="H2634" s="148">
        <v>0</v>
      </c>
      <c r="I2634" s="728"/>
      <c r="J2634" s="148">
        <v>0.84167999999999998</v>
      </c>
      <c r="K2634" s="148">
        <v>0</v>
      </c>
      <c r="L2634" s="148">
        <v>3.60602</v>
      </c>
      <c r="M2634" s="728"/>
      <c r="N2634" s="148">
        <v>3.60602</v>
      </c>
      <c r="O2634" s="148">
        <v>0</v>
      </c>
      <c r="P2634" s="148">
        <v>0.62421000000000004</v>
      </c>
      <c r="Q2634" s="148">
        <v>2.9818099999999998</v>
      </c>
      <c r="R2634" s="148">
        <v>477.69340446324156</v>
      </c>
    </row>
    <row r="2635" spans="2:18" ht="15.75" hidden="1" thickBot="1" x14ac:dyDescent="0.3">
      <c r="B2635" s="145" t="s">
        <v>768</v>
      </c>
      <c r="C2635" s="722" t="s">
        <v>178</v>
      </c>
      <c r="D2635" t="s">
        <v>179</v>
      </c>
      <c r="E2635" s="729"/>
      <c r="F2635" s="729"/>
      <c r="G2635" s="729"/>
      <c r="H2635" s="729"/>
      <c r="I2635" s="729"/>
      <c r="J2635" s="729"/>
      <c r="K2635" s="729"/>
      <c r="L2635" s="147">
        <v>0</v>
      </c>
      <c r="M2635" s="729"/>
      <c r="N2635" s="147">
        <v>0</v>
      </c>
      <c r="O2635" s="147">
        <v>0</v>
      </c>
      <c r="P2635" s="147">
        <v>0</v>
      </c>
      <c r="Q2635" s="147">
        <v>0</v>
      </c>
      <c r="R2635" s="147">
        <v>0</v>
      </c>
    </row>
    <row r="2636" spans="2:18" ht="15.75" hidden="1" thickBot="1" x14ac:dyDescent="0.3">
      <c r="B2636" s="145" t="s">
        <v>768</v>
      </c>
      <c r="C2636" s="722" t="s">
        <v>89</v>
      </c>
      <c r="D2636" t="s">
        <v>90</v>
      </c>
      <c r="E2636" s="148">
        <v>104.34526</v>
      </c>
      <c r="F2636" s="728"/>
      <c r="G2636" s="148">
        <v>104.34526</v>
      </c>
      <c r="H2636" s="148">
        <v>0</v>
      </c>
      <c r="I2636" s="728"/>
      <c r="J2636" s="148">
        <v>104.34526</v>
      </c>
      <c r="K2636" s="148">
        <v>0</v>
      </c>
      <c r="L2636" s="148">
        <v>1043.5258100000001</v>
      </c>
      <c r="M2636" s="728"/>
      <c r="N2636" s="148">
        <v>1043.5258100000001</v>
      </c>
      <c r="O2636" s="148">
        <v>0</v>
      </c>
      <c r="P2636" s="148">
        <v>462.56317000000001</v>
      </c>
      <c r="Q2636" s="148">
        <v>580.96263999999996</v>
      </c>
      <c r="R2636" s="148">
        <v>125.59638935369628</v>
      </c>
    </row>
    <row r="2637" spans="2:18" ht="15.75" hidden="1" thickBot="1" x14ac:dyDescent="0.3">
      <c r="B2637" s="145" t="s">
        <v>768</v>
      </c>
      <c r="C2637" s="722" t="s">
        <v>91</v>
      </c>
      <c r="D2637" t="s">
        <v>92</v>
      </c>
      <c r="E2637" s="147">
        <v>2302.2580200000002</v>
      </c>
      <c r="F2637" s="147">
        <v>3232.58311</v>
      </c>
      <c r="G2637" s="147">
        <v>-930.32509000000005</v>
      </c>
      <c r="H2637" s="147">
        <v>-28.779618600432521</v>
      </c>
      <c r="I2637" s="729"/>
      <c r="J2637" s="147">
        <v>2302.2580200000002</v>
      </c>
      <c r="K2637" s="147">
        <v>0</v>
      </c>
      <c r="L2637" s="147">
        <v>34194.290860000001</v>
      </c>
      <c r="M2637" s="147">
        <v>37705.226139999999</v>
      </c>
      <c r="N2637" s="147">
        <v>-3510.9352800000001</v>
      </c>
      <c r="O2637" s="147">
        <v>-9.3115348704284422</v>
      </c>
      <c r="P2637" s="147">
        <v>17446.468250000002</v>
      </c>
      <c r="Q2637" s="147">
        <v>16747.822609999999</v>
      </c>
      <c r="R2637" s="147">
        <v>95.995489574229438</v>
      </c>
    </row>
    <row r="2638" spans="2:18" ht="15.75" hidden="1" thickBot="1" x14ac:dyDescent="0.3">
      <c r="B2638" s="145" t="s">
        <v>768</v>
      </c>
      <c r="C2638" s="722" t="s">
        <v>93</v>
      </c>
      <c r="D2638" t="s">
        <v>94</v>
      </c>
      <c r="E2638" s="148">
        <v>200.06245000000001</v>
      </c>
      <c r="F2638" s="148">
        <v>235.10330999999999</v>
      </c>
      <c r="G2638" s="148">
        <v>-35.040860000000002</v>
      </c>
      <c r="H2638" s="148">
        <v>-14.90445200452516</v>
      </c>
      <c r="I2638" s="728"/>
      <c r="J2638" s="148">
        <v>200.06245000000001</v>
      </c>
      <c r="K2638" s="148">
        <v>0</v>
      </c>
      <c r="L2638" s="148">
        <v>3924.44164</v>
      </c>
      <c r="M2638" s="148">
        <v>2210.0989800000002</v>
      </c>
      <c r="N2638" s="148">
        <v>1714.34266</v>
      </c>
      <c r="O2638" s="148">
        <v>77.568591973197513</v>
      </c>
      <c r="P2638" s="148">
        <v>1900.0235499999999</v>
      </c>
      <c r="Q2638" s="148">
        <v>2024.4180899999999</v>
      </c>
      <c r="R2638" s="148">
        <v>106.54699990429066</v>
      </c>
    </row>
    <row r="2639" spans="2:18" ht="15.75" hidden="1" thickBot="1" x14ac:dyDescent="0.3">
      <c r="B2639" s="145" t="s">
        <v>768</v>
      </c>
      <c r="C2639" s="722" t="s">
        <v>159</v>
      </c>
      <c r="D2639" t="s">
        <v>160</v>
      </c>
      <c r="E2639" s="147">
        <v>4.7298499999999999</v>
      </c>
      <c r="F2639" s="147">
        <v>7.9676600000000004</v>
      </c>
      <c r="G2639" s="147">
        <v>-3.2378100000000001</v>
      </c>
      <c r="H2639" s="147">
        <v>-40.63689966690346</v>
      </c>
      <c r="I2639" s="729"/>
      <c r="J2639" s="147">
        <v>4.7298499999999999</v>
      </c>
      <c r="K2639" s="147">
        <v>0</v>
      </c>
      <c r="L2639" s="147">
        <v>73.834890000000001</v>
      </c>
      <c r="M2639" s="147">
        <v>93.059150000000002</v>
      </c>
      <c r="N2639" s="147">
        <v>-19.224260000000001</v>
      </c>
      <c r="O2639" s="147">
        <v>-20.658108310681971</v>
      </c>
      <c r="P2639" s="147">
        <v>38.10568</v>
      </c>
      <c r="Q2639" s="147">
        <v>35.729210000000002</v>
      </c>
      <c r="R2639" s="147">
        <v>93.763475681315754</v>
      </c>
    </row>
    <row r="2640" spans="2:18" ht="15.75" hidden="1" thickBot="1" x14ac:dyDescent="0.3">
      <c r="B2640" s="145" t="s">
        <v>768</v>
      </c>
      <c r="C2640" s="722" t="s">
        <v>134</v>
      </c>
      <c r="D2640" t="s">
        <v>135</v>
      </c>
      <c r="E2640" s="148">
        <v>136.29999000000001</v>
      </c>
      <c r="F2640" s="728"/>
      <c r="G2640" s="148">
        <v>136.29999000000001</v>
      </c>
      <c r="H2640" s="148">
        <v>0</v>
      </c>
      <c r="I2640" s="728"/>
      <c r="J2640" s="148">
        <v>136.29999000000001</v>
      </c>
      <c r="K2640" s="148">
        <v>0</v>
      </c>
      <c r="L2640" s="148">
        <v>186.54961</v>
      </c>
      <c r="M2640" s="728"/>
      <c r="N2640" s="148">
        <v>186.54961</v>
      </c>
      <c r="O2640" s="148">
        <v>0</v>
      </c>
      <c r="P2640" s="148">
        <v>7.5551599999999999</v>
      </c>
      <c r="Q2640" s="148">
        <v>178.99445</v>
      </c>
      <c r="R2640" s="148">
        <v>2369.168224101144</v>
      </c>
    </row>
    <row r="2641" spans="2:18" ht="15.75" hidden="1" thickBot="1" x14ac:dyDescent="0.3">
      <c r="B2641" s="145" t="s">
        <v>768</v>
      </c>
      <c r="C2641" s="722" t="s">
        <v>95</v>
      </c>
      <c r="D2641" t="s">
        <v>96</v>
      </c>
      <c r="E2641" s="729"/>
      <c r="F2641" s="729"/>
      <c r="G2641" s="729"/>
      <c r="H2641" s="729"/>
      <c r="I2641" s="729"/>
      <c r="J2641" s="729"/>
      <c r="K2641" s="729"/>
      <c r="L2641" s="147">
        <v>1.2600199999999999</v>
      </c>
      <c r="M2641" s="729"/>
      <c r="N2641" s="147">
        <v>1.2600199999999999</v>
      </c>
      <c r="O2641" s="147">
        <v>0</v>
      </c>
      <c r="P2641" s="147">
        <v>1.2600199999999999</v>
      </c>
      <c r="Q2641" s="147">
        <v>0</v>
      </c>
      <c r="R2641" s="147">
        <v>0</v>
      </c>
    </row>
    <row r="2642" spans="2:18" ht="15.75" hidden="1" thickBot="1" x14ac:dyDescent="0.3">
      <c r="B2642" s="145" t="s">
        <v>768</v>
      </c>
      <c r="C2642" s="722" t="s">
        <v>568</v>
      </c>
      <c r="D2642" t="s">
        <v>569</v>
      </c>
      <c r="E2642" s="148">
        <v>6.8702800000000002</v>
      </c>
      <c r="F2642" s="148">
        <v>5.1520799999999998</v>
      </c>
      <c r="G2642" s="148">
        <v>1.7181999999999999</v>
      </c>
      <c r="H2642" s="148">
        <v>33.349637427990245</v>
      </c>
      <c r="I2642" s="728"/>
      <c r="J2642" s="148">
        <v>6.8702800000000002</v>
      </c>
      <c r="K2642" s="148">
        <v>0</v>
      </c>
      <c r="L2642" s="148">
        <v>35.05603</v>
      </c>
      <c r="M2642" s="148">
        <v>61.500619999999998</v>
      </c>
      <c r="N2642" s="148">
        <v>-26.444590000000002</v>
      </c>
      <c r="O2642" s="148">
        <v>-42.99889984848933</v>
      </c>
      <c r="P2642" s="728"/>
      <c r="Q2642" s="148">
        <v>35.05603</v>
      </c>
      <c r="R2642" s="148">
        <v>0</v>
      </c>
    </row>
    <row r="2643" spans="2:18" ht="15.75" hidden="1" thickBot="1" x14ac:dyDescent="0.3">
      <c r="B2643" s="145" t="s">
        <v>768</v>
      </c>
      <c r="C2643" s="722" t="s">
        <v>61</v>
      </c>
      <c r="D2643" t="s">
        <v>62</v>
      </c>
      <c r="E2643" s="147">
        <v>723.68937000000005</v>
      </c>
      <c r="F2643" s="147">
        <v>782.21884999999997</v>
      </c>
      <c r="G2643" s="147">
        <v>-58.52948</v>
      </c>
      <c r="H2643" s="147">
        <v>-7.4824941894458306</v>
      </c>
      <c r="I2643" s="729"/>
      <c r="J2643" s="147">
        <v>723.68937000000005</v>
      </c>
      <c r="K2643" s="147">
        <v>0</v>
      </c>
      <c r="L2643" s="147">
        <v>8646.6216899999999</v>
      </c>
      <c r="M2643" s="147">
        <v>9180.5985999999994</v>
      </c>
      <c r="N2643" s="147">
        <v>-533.97690999999998</v>
      </c>
      <c r="O2643" s="147">
        <v>-5.8163626716018282</v>
      </c>
      <c r="P2643" s="147">
        <v>4260.62122</v>
      </c>
      <c r="Q2643" s="147">
        <v>4386.00047</v>
      </c>
      <c r="R2643" s="147">
        <v>102.94274575293036</v>
      </c>
    </row>
    <row r="2644" spans="2:18" ht="15.75" hidden="1" thickBot="1" x14ac:dyDescent="0.3">
      <c r="B2644" s="145" t="s">
        <v>768</v>
      </c>
      <c r="C2644" s="722" t="s">
        <v>63</v>
      </c>
      <c r="D2644" t="s">
        <v>64</v>
      </c>
      <c r="E2644" s="148">
        <v>2869.5989500000001</v>
      </c>
      <c r="F2644" s="148">
        <v>3037.7924800000001</v>
      </c>
      <c r="G2644" s="148">
        <v>-168.19353000000001</v>
      </c>
      <c r="H2644" s="148">
        <v>-5.5367024280736912</v>
      </c>
      <c r="I2644" s="728"/>
      <c r="J2644" s="148">
        <v>2869.5989500000001</v>
      </c>
      <c r="K2644" s="148">
        <v>0</v>
      </c>
      <c r="L2644" s="148">
        <v>34531.155290000002</v>
      </c>
      <c r="M2644" s="148">
        <v>35652.329749999997</v>
      </c>
      <c r="N2644" s="148">
        <v>-1121.17446</v>
      </c>
      <c r="O2644" s="148">
        <v>-3.14474388591674</v>
      </c>
      <c r="P2644" s="148">
        <v>17009.93907</v>
      </c>
      <c r="Q2644" s="148">
        <v>17521.216219999998</v>
      </c>
      <c r="R2644" s="148">
        <v>103.00575532866974</v>
      </c>
    </row>
    <row r="2645" spans="2:18" ht="15.75" hidden="1" thickBot="1" x14ac:dyDescent="0.3">
      <c r="B2645" s="145" t="s">
        <v>768</v>
      </c>
      <c r="C2645" s="722" t="s">
        <v>180</v>
      </c>
      <c r="D2645" t="s">
        <v>181</v>
      </c>
      <c r="E2645" s="729"/>
      <c r="F2645" s="147">
        <v>0</v>
      </c>
      <c r="G2645" s="147">
        <v>0</v>
      </c>
      <c r="H2645" s="147">
        <v>0</v>
      </c>
      <c r="I2645" s="729"/>
      <c r="J2645" s="729"/>
      <c r="K2645" s="729"/>
      <c r="L2645" s="147">
        <v>0</v>
      </c>
      <c r="M2645" s="147">
        <v>0</v>
      </c>
      <c r="N2645" s="147">
        <v>0</v>
      </c>
      <c r="O2645" s="147">
        <v>0</v>
      </c>
      <c r="P2645" s="147">
        <v>0</v>
      </c>
      <c r="Q2645" s="147">
        <v>0</v>
      </c>
      <c r="R2645" s="147">
        <v>0</v>
      </c>
    </row>
    <row r="2646" spans="2:18" ht="15.75" hidden="1" thickBot="1" x14ac:dyDescent="0.3">
      <c r="B2646" s="145" t="s">
        <v>768</v>
      </c>
      <c r="C2646" s="722" t="s">
        <v>156</v>
      </c>
      <c r="D2646" t="s">
        <v>157</v>
      </c>
      <c r="E2646" s="148">
        <v>320.06625000000003</v>
      </c>
      <c r="F2646" s="148">
        <v>12.97611</v>
      </c>
      <c r="G2646" s="148">
        <v>307.09014000000002</v>
      </c>
      <c r="H2646" s="148">
        <v>2366.5808936576523</v>
      </c>
      <c r="I2646" s="728"/>
      <c r="J2646" s="148">
        <v>320.06625000000003</v>
      </c>
      <c r="K2646" s="148">
        <v>0</v>
      </c>
      <c r="L2646" s="148">
        <v>4531.97228</v>
      </c>
      <c r="M2646" s="148">
        <v>154.89644000000001</v>
      </c>
      <c r="N2646" s="148">
        <v>4377.0758400000004</v>
      </c>
      <c r="O2646" s="148">
        <v>2825.8079010724841</v>
      </c>
      <c r="P2646" s="148">
        <v>2293.1102299999998</v>
      </c>
      <c r="Q2646" s="148">
        <v>2238.8620500000002</v>
      </c>
      <c r="R2646" s="148">
        <v>97.634296891170379</v>
      </c>
    </row>
    <row r="2647" spans="2:18" ht="15.75" hidden="1" thickBot="1" x14ac:dyDescent="0.3">
      <c r="B2647" s="145" t="s">
        <v>768</v>
      </c>
      <c r="C2647" s="722" t="s">
        <v>572</v>
      </c>
      <c r="D2647" t="s">
        <v>573</v>
      </c>
      <c r="E2647" s="729"/>
      <c r="F2647" s="729"/>
      <c r="G2647" s="729"/>
      <c r="H2647" s="729"/>
      <c r="I2647" s="729"/>
      <c r="J2647" s="729"/>
      <c r="K2647" s="729"/>
      <c r="L2647" s="147">
        <v>0.52937999999999996</v>
      </c>
      <c r="M2647" s="729"/>
      <c r="N2647" s="147">
        <v>0.52937999999999996</v>
      </c>
      <c r="O2647" s="147">
        <v>0</v>
      </c>
      <c r="P2647" s="729"/>
      <c r="Q2647" s="147">
        <v>0.52937999999999996</v>
      </c>
      <c r="R2647" s="147">
        <v>0</v>
      </c>
    </row>
    <row r="2648" spans="2:18" ht="15.75" hidden="1" thickBot="1" x14ac:dyDescent="0.3">
      <c r="B2648" s="145" t="s">
        <v>768</v>
      </c>
      <c r="C2648" s="722" t="s">
        <v>182</v>
      </c>
      <c r="D2648" t="s">
        <v>183</v>
      </c>
      <c r="E2648" s="148">
        <v>89.394869999999997</v>
      </c>
      <c r="F2648" s="728"/>
      <c r="G2648" s="148">
        <v>89.394869999999997</v>
      </c>
      <c r="H2648" s="148">
        <v>0</v>
      </c>
      <c r="I2648" s="728"/>
      <c r="J2648" s="148">
        <v>89.394869999999997</v>
      </c>
      <c r="K2648" s="148">
        <v>0</v>
      </c>
      <c r="L2648" s="148">
        <v>1057.08257</v>
      </c>
      <c r="M2648" s="728"/>
      <c r="N2648" s="148">
        <v>1057.08257</v>
      </c>
      <c r="O2648" s="148">
        <v>0</v>
      </c>
      <c r="P2648" s="148">
        <v>422.18432000000001</v>
      </c>
      <c r="Q2648" s="148">
        <v>634.89824999999996</v>
      </c>
      <c r="R2648" s="148">
        <v>150.38413790450579</v>
      </c>
    </row>
    <row r="2649" spans="2:18" ht="15.75" hidden="1" thickBot="1" x14ac:dyDescent="0.3">
      <c r="B2649" s="145" t="s">
        <v>768</v>
      </c>
      <c r="C2649" s="722" t="s">
        <v>184</v>
      </c>
      <c r="D2649" t="s">
        <v>185</v>
      </c>
      <c r="E2649" s="147">
        <v>1787.2045700000001</v>
      </c>
      <c r="F2649" s="147">
        <v>13.12388</v>
      </c>
      <c r="G2649" s="147">
        <v>1774.08069</v>
      </c>
      <c r="H2649" s="147">
        <v>13517.958789626238</v>
      </c>
      <c r="I2649" s="729"/>
      <c r="J2649" s="147">
        <v>1787.2045700000001</v>
      </c>
      <c r="K2649" s="147">
        <v>0</v>
      </c>
      <c r="L2649" s="147">
        <v>25883.29218</v>
      </c>
      <c r="M2649" s="147">
        <v>153.28192000000001</v>
      </c>
      <c r="N2649" s="147">
        <v>25730.010259999999</v>
      </c>
      <c r="O2649" s="147">
        <v>16786.069916138837</v>
      </c>
      <c r="P2649" s="147">
        <v>13376.966619999999</v>
      </c>
      <c r="Q2649" s="147">
        <v>12506.325559999999</v>
      </c>
      <c r="R2649" s="147">
        <v>93.491491122521765</v>
      </c>
    </row>
    <row r="2650" spans="2:18" ht="15.75" hidden="1" thickBot="1" x14ac:dyDescent="0.3">
      <c r="B2650" s="145" t="s">
        <v>768</v>
      </c>
      <c r="C2650" s="722" t="s">
        <v>161</v>
      </c>
      <c r="D2650" t="s">
        <v>162</v>
      </c>
      <c r="E2650" s="148">
        <v>128.91189</v>
      </c>
      <c r="F2650" s="728"/>
      <c r="G2650" s="148">
        <v>128.91189</v>
      </c>
      <c r="H2650" s="148">
        <v>0</v>
      </c>
      <c r="I2650" s="728"/>
      <c r="J2650" s="148">
        <v>128.91189</v>
      </c>
      <c r="K2650" s="148">
        <v>0</v>
      </c>
      <c r="L2650" s="148">
        <v>1980.3685700000001</v>
      </c>
      <c r="M2650" s="728"/>
      <c r="N2650" s="148">
        <v>1980.3685700000001</v>
      </c>
      <c r="O2650" s="148">
        <v>0</v>
      </c>
      <c r="P2650" s="148">
        <v>899.41710999999998</v>
      </c>
      <c r="Q2650" s="148">
        <v>1080.95146</v>
      </c>
      <c r="R2650" s="148">
        <v>120.18355532507047</v>
      </c>
    </row>
    <row r="2651" spans="2:18" ht="15.75" hidden="1" thickBot="1" x14ac:dyDescent="0.3">
      <c r="B2651" s="145" t="s">
        <v>768</v>
      </c>
      <c r="C2651" s="722" t="s">
        <v>65</v>
      </c>
      <c r="D2651" t="s">
        <v>66</v>
      </c>
      <c r="E2651" s="147">
        <v>-1486.3729800000001</v>
      </c>
      <c r="F2651" s="147">
        <v>-1419.7515800000001</v>
      </c>
      <c r="G2651" s="147">
        <v>-66.621399999999994</v>
      </c>
      <c r="H2651" s="147">
        <v>-4.6924688050003791</v>
      </c>
      <c r="I2651" s="729"/>
      <c r="J2651" s="147">
        <v>-1486.3729800000001</v>
      </c>
      <c r="K2651" s="147">
        <v>0</v>
      </c>
      <c r="L2651" s="147">
        <v>-20872.568350000001</v>
      </c>
      <c r="M2651" s="147">
        <v>-16873.061020000001</v>
      </c>
      <c r="N2651" s="147">
        <v>-3999.5073299999999</v>
      </c>
      <c r="O2651" s="147">
        <v>-23.703507770518332</v>
      </c>
      <c r="P2651" s="147">
        <v>-10570.87399</v>
      </c>
      <c r="Q2651" s="147">
        <v>-10301.69436</v>
      </c>
      <c r="R2651" s="147">
        <v>-97.453572616089801</v>
      </c>
    </row>
    <row r="2652" spans="2:18" ht="15.75" hidden="1" thickBot="1" x14ac:dyDescent="0.3">
      <c r="B2652" s="145" t="s">
        <v>768</v>
      </c>
      <c r="C2652" s="722" t="s">
        <v>576</v>
      </c>
      <c r="D2652" t="s">
        <v>577</v>
      </c>
      <c r="E2652" s="148">
        <v>-0.93420000000000003</v>
      </c>
      <c r="F2652" s="728"/>
      <c r="G2652" s="148">
        <v>-0.93420000000000003</v>
      </c>
      <c r="H2652" s="148">
        <v>0</v>
      </c>
      <c r="I2652" s="728"/>
      <c r="J2652" s="148">
        <v>-0.93420000000000003</v>
      </c>
      <c r="K2652" s="148">
        <v>0</v>
      </c>
      <c r="L2652" s="148">
        <v>-3.9256500000000001</v>
      </c>
      <c r="M2652" s="728"/>
      <c r="N2652" s="148">
        <v>-3.9256500000000001</v>
      </c>
      <c r="O2652" s="148">
        <v>0</v>
      </c>
      <c r="P2652" s="148">
        <v>-1.1230500000000001</v>
      </c>
      <c r="Q2652" s="148">
        <v>-2.8026</v>
      </c>
      <c r="R2652" s="148">
        <v>-249.55255776679579</v>
      </c>
    </row>
    <row r="2653" spans="2:18" ht="15.75" hidden="1" thickBot="1" x14ac:dyDescent="0.3">
      <c r="B2653" s="145" t="s">
        <v>768</v>
      </c>
      <c r="C2653" s="722" t="s">
        <v>186</v>
      </c>
      <c r="D2653" t="s">
        <v>187</v>
      </c>
      <c r="E2653" s="147">
        <v>-101.67306000000001</v>
      </c>
      <c r="F2653" s="729"/>
      <c r="G2653" s="147">
        <v>-101.67306000000001</v>
      </c>
      <c r="H2653" s="147">
        <v>0</v>
      </c>
      <c r="I2653" s="729"/>
      <c r="J2653" s="147">
        <v>-101.67306000000001</v>
      </c>
      <c r="K2653" s="147">
        <v>0</v>
      </c>
      <c r="L2653" s="147">
        <v>-1263.3017400000001</v>
      </c>
      <c r="M2653" s="729"/>
      <c r="N2653" s="147">
        <v>-1263.3017400000001</v>
      </c>
      <c r="O2653" s="147">
        <v>0</v>
      </c>
      <c r="P2653" s="147">
        <v>-504.02845000000002</v>
      </c>
      <c r="Q2653" s="147">
        <v>-759.27328999999997</v>
      </c>
      <c r="R2653" s="147">
        <v>-150.64095885857236</v>
      </c>
    </row>
    <row r="2654" spans="2:18" ht="15.75" hidden="1" thickBot="1" x14ac:dyDescent="0.3">
      <c r="B2654" s="145" t="s">
        <v>768</v>
      </c>
      <c r="C2654" s="722" t="s">
        <v>163</v>
      </c>
      <c r="D2654" t="s">
        <v>164</v>
      </c>
      <c r="E2654" s="148">
        <v>-3704.8280800000002</v>
      </c>
      <c r="F2654" s="148">
        <v>-2222.3676099999998</v>
      </c>
      <c r="G2654" s="148">
        <v>-1482.46047</v>
      </c>
      <c r="H2654" s="148">
        <v>-66.706356919951688</v>
      </c>
      <c r="I2654" s="728"/>
      <c r="J2654" s="148">
        <v>-3704.8280800000002</v>
      </c>
      <c r="K2654" s="148">
        <v>0</v>
      </c>
      <c r="L2654" s="148">
        <v>-49003.417329999997</v>
      </c>
      <c r="M2654" s="148">
        <v>-25979.80575</v>
      </c>
      <c r="N2654" s="148">
        <v>-23023.611580000001</v>
      </c>
      <c r="O2654" s="148">
        <v>-88.621184475176449</v>
      </c>
      <c r="P2654" s="148">
        <v>-24908.275460000001</v>
      </c>
      <c r="Q2654" s="148">
        <v>-24095.141869999999</v>
      </c>
      <c r="R2654" s="148">
        <v>-96.735488206295912</v>
      </c>
    </row>
    <row r="2655" spans="2:18" ht="15.75" hidden="1" thickBot="1" x14ac:dyDescent="0.3">
      <c r="B2655" s="145" t="s">
        <v>768</v>
      </c>
      <c r="C2655" s="722" t="s">
        <v>97</v>
      </c>
      <c r="D2655" t="s">
        <v>98</v>
      </c>
      <c r="E2655" s="147">
        <v>-281.21879000000001</v>
      </c>
      <c r="F2655" s="729"/>
      <c r="G2655" s="147">
        <v>-281.21879000000001</v>
      </c>
      <c r="H2655" s="147">
        <v>0</v>
      </c>
      <c r="I2655" s="729"/>
      <c r="J2655" s="147">
        <v>-281.21879000000001</v>
      </c>
      <c r="K2655" s="147">
        <v>0</v>
      </c>
      <c r="L2655" s="147">
        <v>-4189.6939499999999</v>
      </c>
      <c r="M2655" s="729"/>
      <c r="N2655" s="147">
        <v>-4189.6939499999999</v>
      </c>
      <c r="O2655" s="147">
        <v>0</v>
      </c>
      <c r="P2655" s="147">
        <v>-2026.3388</v>
      </c>
      <c r="Q2655" s="147">
        <v>-2163.3551499999999</v>
      </c>
      <c r="R2655" s="147">
        <v>-106.76176905856019</v>
      </c>
    </row>
    <row r="2656" spans="2:18" ht="15.75" hidden="1" thickBot="1" x14ac:dyDescent="0.3">
      <c r="B2656" s="145" t="s">
        <v>768</v>
      </c>
      <c r="C2656" s="722" t="s">
        <v>578</v>
      </c>
      <c r="D2656" t="s">
        <v>579</v>
      </c>
      <c r="E2656" s="728"/>
      <c r="F2656" s="148">
        <v>-8.5660000000000007</v>
      </c>
      <c r="G2656" s="148">
        <v>8.5660000000000007</v>
      </c>
      <c r="H2656" s="148">
        <v>100</v>
      </c>
      <c r="I2656" s="728"/>
      <c r="J2656" s="728"/>
      <c r="K2656" s="728"/>
      <c r="L2656" s="728"/>
      <c r="M2656" s="148">
        <v>-100.04761000000001</v>
      </c>
      <c r="N2656" s="148">
        <v>100.04761000000001</v>
      </c>
      <c r="O2656" s="148">
        <v>100</v>
      </c>
      <c r="P2656" s="728"/>
      <c r="Q2656" s="728"/>
      <c r="R2656" s="728"/>
    </row>
    <row r="2657" spans="2:18" ht="15.75" hidden="1" thickBot="1" x14ac:dyDescent="0.3">
      <c r="B2657" s="145" t="s">
        <v>768</v>
      </c>
      <c r="C2657" s="722" t="s">
        <v>580</v>
      </c>
      <c r="D2657" t="s">
        <v>581</v>
      </c>
      <c r="E2657" s="729"/>
      <c r="F2657" s="147">
        <v>-8.0217899999999993</v>
      </c>
      <c r="G2657" s="147">
        <v>8.0217899999999993</v>
      </c>
      <c r="H2657" s="147">
        <v>100</v>
      </c>
      <c r="I2657" s="729"/>
      <c r="J2657" s="729"/>
      <c r="K2657" s="729"/>
      <c r="L2657" s="729"/>
      <c r="M2657" s="147">
        <v>-95.756479999999996</v>
      </c>
      <c r="N2657" s="147">
        <v>95.756479999999996</v>
      </c>
      <c r="O2657" s="147">
        <v>100</v>
      </c>
      <c r="P2657" s="729"/>
      <c r="Q2657" s="729"/>
      <c r="R2657" s="729"/>
    </row>
    <row r="2658" spans="2:18" ht="15.75" hidden="1" thickBot="1" x14ac:dyDescent="0.3">
      <c r="B2658" s="145" t="s">
        <v>768</v>
      </c>
      <c r="C2658" s="149" t="s">
        <v>67</v>
      </c>
      <c r="D2658" t="s">
        <v>68</v>
      </c>
      <c r="E2658" s="148">
        <v>4678.5289899999998</v>
      </c>
      <c r="F2658" s="148">
        <v>5469.0806899999998</v>
      </c>
      <c r="G2658" s="148">
        <v>-790.55169999999998</v>
      </c>
      <c r="H2658" s="148">
        <v>-14.45492843880495</v>
      </c>
      <c r="I2658" s="728"/>
      <c r="J2658" s="148">
        <v>4678.5289899999998</v>
      </c>
      <c r="K2658" s="148">
        <v>0</v>
      </c>
      <c r="L2658" s="148">
        <v>61794.482349999998</v>
      </c>
      <c r="M2658" s="148">
        <v>63532.20218</v>
      </c>
      <c r="N2658" s="148">
        <v>-1737.71983</v>
      </c>
      <c r="O2658" s="148">
        <v>-2.7351795945569095</v>
      </c>
      <c r="P2658" s="148">
        <v>30941.17409</v>
      </c>
      <c r="Q2658" s="148">
        <v>30853.308260000002</v>
      </c>
      <c r="R2658" s="148">
        <v>99.716022961040778</v>
      </c>
    </row>
    <row r="2659" spans="2:18" ht="15.75" hidden="1" thickBot="1" x14ac:dyDescent="0.3">
      <c r="B2659" s="145" t="s">
        <v>768</v>
      </c>
      <c r="C2659" s="722" t="s">
        <v>69</v>
      </c>
      <c r="D2659" t="s">
        <v>70</v>
      </c>
      <c r="E2659" s="147">
        <v>2.9327700000000001</v>
      </c>
      <c r="F2659" s="147">
        <v>4.4583300000000001</v>
      </c>
      <c r="G2659" s="147">
        <v>-1.52556</v>
      </c>
      <c r="H2659" s="147">
        <v>-34.21819380799537</v>
      </c>
      <c r="I2659" s="729"/>
      <c r="J2659" s="147">
        <v>2.9327700000000001</v>
      </c>
      <c r="K2659" s="147">
        <v>0</v>
      </c>
      <c r="L2659" s="147">
        <v>37.413119999999999</v>
      </c>
      <c r="M2659" s="147">
        <v>37.499960000000002</v>
      </c>
      <c r="N2659" s="147">
        <v>-8.6840000000000001E-2</v>
      </c>
      <c r="O2659" s="147">
        <v>-0.23157358034515238</v>
      </c>
      <c r="P2659" s="147">
        <v>18.333670000000001</v>
      </c>
      <c r="Q2659" s="147">
        <v>19.079450000000001</v>
      </c>
      <c r="R2659" s="147">
        <v>104.06781620919325</v>
      </c>
    </row>
    <row r="2660" spans="2:18" ht="15.75" hidden="1" thickBot="1" x14ac:dyDescent="0.3">
      <c r="B2660" s="145" t="s">
        <v>768</v>
      </c>
      <c r="C2660" s="722" t="s">
        <v>582</v>
      </c>
      <c r="D2660" t="s">
        <v>583</v>
      </c>
      <c r="E2660" s="728"/>
      <c r="F2660" s="148">
        <v>0.52500000000000002</v>
      </c>
      <c r="G2660" s="148">
        <v>-0.52500000000000002</v>
      </c>
      <c r="H2660" s="148">
        <v>-100</v>
      </c>
      <c r="I2660" s="728"/>
      <c r="J2660" s="728"/>
      <c r="K2660" s="728"/>
      <c r="L2660" s="148">
        <v>1.3125</v>
      </c>
      <c r="M2660" s="148">
        <v>6.3</v>
      </c>
      <c r="N2660" s="148">
        <v>-4.9874999999999998</v>
      </c>
      <c r="O2660" s="148">
        <v>-79.166666666666671</v>
      </c>
      <c r="P2660" s="148">
        <v>1.3125</v>
      </c>
      <c r="Q2660" s="148">
        <v>0</v>
      </c>
      <c r="R2660" s="148">
        <v>0</v>
      </c>
    </row>
    <row r="2661" spans="2:18" ht="15.75" hidden="1" thickBot="1" x14ac:dyDescent="0.3">
      <c r="B2661" s="145" t="s">
        <v>768</v>
      </c>
      <c r="C2661" s="722" t="s">
        <v>99</v>
      </c>
      <c r="D2661" t="s">
        <v>100</v>
      </c>
      <c r="E2661" s="147">
        <v>88.632230000000007</v>
      </c>
      <c r="F2661" s="147">
        <v>98.846080000000001</v>
      </c>
      <c r="G2661" s="147">
        <v>-10.213850000000001</v>
      </c>
      <c r="H2661" s="147">
        <v>-10.333085540670909</v>
      </c>
      <c r="I2661" s="729"/>
      <c r="J2661" s="147">
        <v>88.632230000000007</v>
      </c>
      <c r="K2661" s="147">
        <v>0</v>
      </c>
      <c r="L2661" s="147">
        <v>973.17663000000005</v>
      </c>
      <c r="M2661" s="147">
        <v>1249.74711</v>
      </c>
      <c r="N2661" s="147">
        <v>-276.57047999999998</v>
      </c>
      <c r="O2661" s="147">
        <v>-22.130115587944829</v>
      </c>
      <c r="P2661" s="147">
        <v>452.02372000000003</v>
      </c>
      <c r="Q2661" s="147">
        <v>521.15291000000002</v>
      </c>
      <c r="R2661" s="147">
        <v>115.29326602595103</v>
      </c>
    </row>
    <row r="2662" spans="2:18" ht="15.75" hidden="1" thickBot="1" x14ac:dyDescent="0.3">
      <c r="B2662" s="145" t="s">
        <v>768</v>
      </c>
      <c r="C2662" s="722" t="s">
        <v>165</v>
      </c>
      <c r="D2662" t="s">
        <v>166</v>
      </c>
      <c r="E2662" s="148">
        <v>130.78729999999999</v>
      </c>
      <c r="F2662" s="728"/>
      <c r="G2662" s="148">
        <v>130.78729999999999</v>
      </c>
      <c r="H2662" s="148">
        <v>0</v>
      </c>
      <c r="I2662" s="728"/>
      <c r="J2662" s="148">
        <v>130.78729999999999</v>
      </c>
      <c r="K2662" s="148">
        <v>0</v>
      </c>
      <c r="L2662" s="148">
        <v>771.63382000000001</v>
      </c>
      <c r="M2662" s="728"/>
      <c r="N2662" s="148">
        <v>771.63382000000001</v>
      </c>
      <c r="O2662" s="148">
        <v>0</v>
      </c>
      <c r="P2662" s="148">
        <v>352.4846</v>
      </c>
      <c r="Q2662" s="148">
        <v>419.14922000000001</v>
      </c>
      <c r="R2662" s="148">
        <v>118.91277519641993</v>
      </c>
    </row>
    <row r="2663" spans="2:18" ht="15.75" hidden="1" thickBot="1" x14ac:dyDescent="0.3">
      <c r="B2663" s="145" t="s">
        <v>768</v>
      </c>
      <c r="C2663" s="722" t="s">
        <v>188</v>
      </c>
      <c r="D2663" t="s">
        <v>189</v>
      </c>
      <c r="E2663" s="147">
        <v>2.962E-2</v>
      </c>
      <c r="F2663" s="729"/>
      <c r="G2663" s="147">
        <v>2.962E-2</v>
      </c>
      <c r="H2663" s="147">
        <v>0</v>
      </c>
      <c r="I2663" s="729"/>
      <c r="J2663" s="147">
        <v>2.962E-2</v>
      </c>
      <c r="K2663" s="147">
        <v>0</v>
      </c>
      <c r="L2663" s="147">
        <v>34.609949999999998</v>
      </c>
      <c r="M2663" s="729"/>
      <c r="N2663" s="147">
        <v>34.609949999999998</v>
      </c>
      <c r="O2663" s="147">
        <v>0</v>
      </c>
      <c r="P2663" s="147">
        <v>21.013269999999999</v>
      </c>
      <c r="Q2663" s="147">
        <v>13.596679999999999</v>
      </c>
      <c r="R2663" s="147">
        <v>64.705207709223743</v>
      </c>
    </row>
    <row r="2664" spans="2:18" ht="15.75" hidden="1" thickBot="1" x14ac:dyDescent="0.3">
      <c r="B2664" s="145" t="s">
        <v>768</v>
      </c>
      <c r="C2664" s="722" t="s">
        <v>584</v>
      </c>
      <c r="D2664" t="s">
        <v>585</v>
      </c>
      <c r="E2664" s="148">
        <v>1.47E-3</v>
      </c>
      <c r="F2664" s="728"/>
      <c r="G2664" s="148">
        <v>1.47E-3</v>
      </c>
      <c r="H2664" s="148">
        <v>0</v>
      </c>
      <c r="I2664" s="728"/>
      <c r="J2664" s="148">
        <v>1.47E-3</v>
      </c>
      <c r="K2664" s="148">
        <v>0</v>
      </c>
      <c r="L2664" s="148">
        <v>7.6060000000000003E-2</v>
      </c>
      <c r="M2664" s="728"/>
      <c r="N2664" s="148">
        <v>7.6060000000000003E-2</v>
      </c>
      <c r="O2664" s="148">
        <v>0</v>
      </c>
      <c r="P2664" s="148">
        <v>2.342E-2</v>
      </c>
      <c r="Q2664" s="148">
        <v>5.2639999999999999E-2</v>
      </c>
      <c r="R2664" s="148">
        <v>224.76515798462853</v>
      </c>
    </row>
    <row r="2665" spans="2:18" ht="15.75" hidden="1" thickBot="1" x14ac:dyDescent="0.3">
      <c r="B2665" s="145" t="s">
        <v>768</v>
      </c>
      <c r="C2665" s="722" t="s">
        <v>586</v>
      </c>
      <c r="D2665" t="s">
        <v>587</v>
      </c>
      <c r="E2665" s="729"/>
      <c r="F2665" s="729"/>
      <c r="G2665" s="729"/>
      <c r="H2665" s="729"/>
      <c r="I2665" s="729"/>
      <c r="J2665" s="729"/>
      <c r="K2665" s="729"/>
      <c r="L2665" s="147">
        <v>3.6899099999999998</v>
      </c>
      <c r="M2665" s="729"/>
      <c r="N2665" s="147">
        <v>3.6899099999999998</v>
      </c>
      <c r="O2665" s="147">
        <v>0</v>
      </c>
      <c r="P2665" s="147">
        <v>3.6899099999999998</v>
      </c>
      <c r="Q2665" s="147">
        <v>0</v>
      </c>
      <c r="R2665" s="147">
        <v>0</v>
      </c>
    </row>
    <row r="2666" spans="2:18" ht="15.75" hidden="1" thickBot="1" x14ac:dyDescent="0.3">
      <c r="B2666" s="145" t="s">
        <v>768</v>
      </c>
      <c r="C2666" s="722" t="s">
        <v>588</v>
      </c>
      <c r="D2666" t="s">
        <v>589</v>
      </c>
      <c r="E2666" s="148">
        <v>1.3522099999999999</v>
      </c>
      <c r="F2666" s="728"/>
      <c r="G2666" s="148">
        <v>1.3522099999999999</v>
      </c>
      <c r="H2666" s="148">
        <v>0</v>
      </c>
      <c r="I2666" s="728"/>
      <c r="J2666" s="148">
        <v>1.3522099999999999</v>
      </c>
      <c r="K2666" s="148">
        <v>0</v>
      </c>
      <c r="L2666" s="148">
        <v>1.8162100000000001</v>
      </c>
      <c r="M2666" s="728"/>
      <c r="N2666" s="148">
        <v>1.8162100000000001</v>
      </c>
      <c r="O2666" s="148">
        <v>0</v>
      </c>
      <c r="P2666" s="148">
        <v>0.33900000000000002</v>
      </c>
      <c r="Q2666" s="148">
        <v>1.4772099999999999</v>
      </c>
      <c r="R2666" s="148">
        <v>435.75516224188789</v>
      </c>
    </row>
    <row r="2667" spans="2:18" ht="15.75" hidden="1" thickBot="1" x14ac:dyDescent="0.3">
      <c r="B2667" s="145" t="s">
        <v>768</v>
      </c>
      <c r="C2667" s="722" t="s">
        <v>590</v>
      </c>
      <c r="D2667" t="s">
        <v>591</v>
      </c>
      <c r="E2667" s="729"/>
      <c r="F2667" s="729"/>
      <c r="G2667" s="729"/>
      <c r="H2667" s="729"/>
      <c r="I2667" s="729"/>
      <c r="J2667" s="729"/>
      <c r="K2667" s="729"/>
      <c r="L2667" s="147">
        <v>2.7534200000000002</v>
      </c>
      <c r="M2667" s="729"/>
      <c r="N2667" s="147">
        <v>2.7534200000000002</v>
      </c>
      <c r="O2667" s="147">
        <v>0</v>
      </c>
      <c r="P2667" s="147">
        <v>2.7534200000000002</v>
      </c>
      <c r="Q2667" s="147">
        <v>0</v>
      </c>
      <c r="R2667" s="147">
        <v>0</v>
      </c>
    </row>
    <row r="2668" spans="2:18" ht="15.75" hidden="1" thickBot="1" x14ac:dyDescent="0.3">
      <c r="B2668" s="145" t="s">
        <v>768</v>
      </c>
      <c r="C2668" s="722" t="s">
        <v>592</v>
      </c>
      <c r="D2668" t="s">
        <v>593</v>
      </c>
      <c r="E2668" s="148">
        <v>3.1053000000000002</v>
      </c>
      <c r="F2668" s="728"/>
      <c r="G2668" s="148">
        <v>3.1053000000000002</v>
      </c>
      <c r="H2668" s="148">
        <v>0</v>
      </c>
      <c r="I2668" s="728"/>
      <c r="J2668" s="148">
        <v>3.1053000000000002</v>
      </c>
      <c r="K2668" s="148">
        <v>0</v>
      </c>
      <c r="L2668" s="148">
        <v>56.356900000000003</v>
      </c>
      <c r="M2668" s="728"/>
      <c r="N2668" s="148">
        <v>56.356900000000003</v>
      </c>
      <c r="O2668" s="148">
        <v>0</v>
      </c>
      <c r="P2668" s="148">
        <v>33.817509999999999</v>
      </c>
      <c r="Q2668" s="148">
        <v>22.539390000000001</v>
      </c>
      <c r="R2668" s="148">
        <v>66.650057913784906</v>
      </c>
    </row>
    <row r="2669" spans="2:18" ht="15.75" hidden="1" thickBot="1" x14ac:dyDescent="0.3">
      <c r="B2669" s="145" t="s">
        <v>768</v>
      </c>
      <c r="C2669" s="722" t="s">
        <v>594</v>
      </c>
      <c r="D2669" t="s">
        <v>595</v>
      </c>
      <c r="E2669" s="729"/>
      <c r="F2669" s="729"/>
      <c r="G2669" s="729"/>
      <c r="H2669" s="729"/>
      <c r="I2669" s="729"/>
      <c r="J2669" s="729"/>
      <c r="K2669" s="729"/>
      <c r="L2669" s="147">
        <v>0.28536</v>
      </c>
      <c r="M2669" s="729"/>
      <c r="N2669" s="147">
        <v>0.28536</v>
      </c>
      <c r="O2669" s="147">
        <v>0</v>
      </c>
      <c r="P2669" s="147">
        <v>0.28536</v>
      </c>
      <c r="Q2669" s="147">
        <v>0</v>
      </c>
      <c r="R2669" s="147">
        <v>0</v>
      </c>
    </row>
    <row r="2670" spans="2:18" ht="15.75" hidden="1" thickBot="1" x14ac:dyDescent="0.3">
      <c r="B2670" s="145" t="s">
        <v>768</v>
      </c>
      <c r="C2670" s="722" t="s">
        <v>137</v>
      </c>
      <c r="D2670" t="s">
        <v>138</v>
      </c>
      <c r="E2670" s="148">
        <v>24.89602</v>
      </c>
      <c r="F2670" s="148">
        <v>14.36875</v>
      </c>
      <c r="G2670" s="148">
        <v>10.52727</v>
      </c>
      <c r="H2670" s="148">
        <v>73.265036972596775</v>
      </c>
      <c r="I2670" s="728"/>
      <c r="J2670" s="148">
        <v>24.89602</v>
      </c>
      <c r="K2670" s="148">
        <v>0</v>
      </c>
      <c r="L2670" s="148">
        <v>190.26991000000001</v>
      </c>
      <c r="M2670" s="148">
        <v>169.16900000000001</v>
      </c>
      <c r="N2670" s="148">
        <v>21.100909999999999</v>
      </c>
      <c r="O2670" s="148">
        <v>12.473272289840336</v>
      </c>
      <c r="P2670" s="148">
        <v>88.936660000000003</v>
      </c>
      <c r="Q2670" s="148">
        <v>101.33325000000001</v>
      </c>
      <c r="R2670" s="148">
        <v>113.93867275879261</v>
      </c>
    </row>
    <row r="2671" spans="2:18" ht="15.75" hidden="1" thickBot="1" x14ac:dyDescent="0.3">
      <c r="B2671" s="145" t="s">
        <v>768</v>
      </c>
      <c r="C2671" s="722" t="s">
        <v>190</v>
      </c>
      <c r="D2671" t="s">
        <v>191</v>
      </c>
      <c r="E2671" s="147">
        <v>36.598849999999999</v>
      </c>
      <c r="F2671" s="147">
        <v>33.541989999999998</v>
      </c>
      <c r="G2671" s="147">
        <v>3.0568599999999999</v>
      </c>
      <c r="H2671" s="147">
        <v>9.1135320235919224</v>
      </c>
      <c r="I2671" s="729"/>
      <c r="J2671" s="147">
        <v>36.598849999999999</v>
      </c>
      <c r="K2671" s="147">
        <v>0</v>
      </c>
      <c r="L2671" s="147">
        <v>436.94564000000003</v>
      </c>
      <c r="M2671" s="147">
        <v>402.54388</v>
      </c>
      <c r="N2671" s="147">
        <v>34.401760000000003</v>
      </c>
      <c r="O2671" s="147">
        <v>8.546089435020102</v>
      </c>
      <c r="P2671" s="147">
        <v>216.82065</v>
      </c>
      <c r="Q2671" s="147">
        <v>220.12499</v>
      </c>
      <c r="R2671" s="147">
        <v>101.52399690712116</v>
      </c>
    </row>
    <row r="2672" spans="2:18" ht="15.75" hidden="1" thickBot="1" x14ac:dyDescent="0.3">
      <c r="B2672" s="145" t="s">
        <v>768</v>
      </c>
      <c r="C2672" s="722" t="s">
        <v>36</v>
      </c>
      <c r="D2672" t="s">
        <v>192</v>
      </c>
      <c r="E2672" s="148">
        <v>186.33152999999999</v>
      </c>
      <c r="F2672" s="148">
        <v>247.53056000000001</v>
      </c>
      <c r="G2672" s="148">
        <v>-61.19903</v>
      </c>
      <c r="H2672" s="148">
        <v>-24.723828039657004</v>
      </c>
      <c r="I2672" s="728"/>
      <c r="J2672" s="148">
        <v>186.33152999999999</v>
      </c>
      <c r="K2672" s="148">
        <v>0</v>
      </c>
      <c r="L2672" s="148">
        <v>3447.4450200000001</v>
      </c>
      <c r="M2672" s="148">
        <v>3053.86672</v>
      </c>
      <c r="N2672" s="148">
        <v>393.57830000000001</v>
      </c>
      <c r="O2672" s="148">
        <v>12.887867614602381</v>
      </c>
      <c r="P2672" s="148">
        <v>1760.02097</v>
      </c>
      <c r="Q2672" s="148">
        <v>1687.4240500000001</v>
      </c>
      <c r="R2672" s="148">
        <v>95.87522414576685</v>
      </c>
    </row>
    <row r="2673" spans="2:18" ht="15.75" hidden="1" thickBot="1" x14ac:dyDescent="0.3">
      <c r="B2673" s="145" t="s">
        <v>768</v>
      </c>
      <c r="C2673" s="722" t="s">
        <v>596</v>
      </c>
      <c r="D2673" t="s">
        <v>597</v>
      </c>
      <c r="E2673" s="729"/>
      <c r="F2673" s="147">
        <v>0</v>
      </c>
      <c r="G2673" s="147">
        <v>0</v>
      </c>
      <c r="H2673" s="147">
        <v>0</v>
      </c>
      <c r="I2673" s="729"/>
      <c r="J2673" s="729"/>
      <c r="K2673" s="729"/>
      <c r="L2673" s="729"/>
      <c r="M2673" s="147">
        <v>2</v>
      </c>
      <c r="N2673" s="147">
        <v>-2</v>
      </c>
      <c r="O2673" s="147">
        <v>-100</v>
      </c>
      <c r="P2673" s="729"/>
      <c r="Q2673" s="729"/>
      <c r="R2673" s="729"/>
    </row>
    <row r="2674" spans="2:18" ht="15.75" hidden="1" thickBot="1" x14ac:dyDescent="0.3">
      <c r="B2674" s="145" t="s">
        <v>768</v>
      </c>
      <c r="C2674" s="722" t="s">
        <v>598</v>
      </c>
      <c r="D2674" t="s">
        <v>168</v>
      </c>
      <c r="E2674" s="728"/>
      <c r="F2674" s="728"/>
      <c r="G2674" s="728"/>
      <c r="H2674" s="728"/>
      <c r="I2674" s="728"/>
      <c r="J2674" s="728"/>
      <c r="K2674" s="728"/>
      <c r="L2674" s="148">
        <v>0.01</v>
      </c>
      <c r="M2674" s="728"/>
      <c r="N2674" s="148">
        <v>0.01</v>
      </c>
      <c r="O2674" s="148">
        <v>0</v>
      </c>
      <c r="P2674" s="728"/>
      <c r="Q2674" s="148">
        <v>0.01</v>
      </c>
      <c r="R2674" s="148">
        <v>0</v>
      </c>
    </row>
    <row r="2675" spans="2:18" ht="15.75" hidden="1" thickBot="1" x14ac:dyDescent="0.3">
      <c r="B2675" s="145" t="s">
        <v>768</v>
      </c>
      <c r="C2675" s="722" t="s">
        <v>139</v>
      </c>
      <c r="D2675" t="s">
        <v>140</v>
      </c>
      <c r="E2675" s="147">
        <v>42.593719999999998</v>
      </c>
      <c r="F2675" s="147">
        <v>0.93920999999999999</v>
      </c>
      <c r="G2675" s="147">
        <v>41.654510000000002</v>
      </c>
      <c r="H2675" s="147">
        <v>4435.0581871998811</v>
      </c>
      <c r="I2675" s="729"/>
      <c r="J2675" s="147">
        <v>42.593719999999998</v>
      </c>
      <c r="K2675" s="147">
        <v>0</v>
      </c>
      <c r="L2675" s="147">
        <v>736.81260999999995</v>
      </c>
      <c r="M2675" s="147">
        <v>21.004539999999999</v>
      </c>
      <c r="N2675" s="147">
        <v>715.80807000000004</v>
      </c>
      <c r="O2675" s="147">
        <v>3407.8731074329644</v>
      </c>
      <c r="P2675" s="147">
        <v>672.47441000000003</v>
      </c>
      <c r="Q2675" s="147">
        <v>64.338200000000001</v>
      </c>
      <c r="R2675" s="147">
        <v>9.567382645831831</v>
      </c>
    </row>
    <row r="2676" spans="2:18" ht="15.75" hidden="1" thickBot="1" x14ac:dyDescent="0.3">
      <c r="B2676" s="145" t="s">
        <v>768</v>
      </c>
      <c r="C2676" s="722" t="s">
        <v>169</v>
      </c>
      <c r="D2676" t="s">
        <v>170</v>
      </c>
      <c r="E2676" s="148">
        <v>0.32257999999999998</v>
      </c>
      <c r="F2676" s="148">
        <v>8.7500300000000006</v>
      </c>
      <c r="G2676" s="148">
        <v>-8.4274500000000003</v>
      </c>
      <c r="H2676" s="148">
        <v>-96.313384068397482</v>
      </c>
      <c r="I2676" s="728"/>
      <c r="J2676" s="148">
        <v>0.32257999999999998</v>
      </c>
      <c r="K2676" s="148">
        <v>0</v>
      </c>
      <c r="L2676" s="148">
        <v>109.69376</v>
      </c>
      <c r="M2676" s="148">
        <v>104.99992</v>
      </c>
      <c r="N2676" s="148">
        <v>4.6938399999999998</v>
      </c>
      <c r="O2676" s="148">
        <v>4.4703272154874023</v>
      </c>
      <c r="P2676" s="148">
        <v>97.685320000000004</v>
      </c>
      <c r="Q2676" s="148">
        <v>12.00844</v>
      </c>
      <c r="R2676" s="148">
        <v>12.292983224091399</v>
      </c>
    </row>
    <row r="2677" spans="2:18" ht="15.75" hidden="1" thickBot="1" x14ac:dyDescent="0.3">
      <c r="B2677" s="145" t="s">
        <v>768</v>
      </c>
      <c r="C2677" s="722" t="s">
        <v>101</v>
      </c>
      <c r="D2677" t="s">
        <v>102</v>
      </c>
      <c r="E2677" s="147">
        <v>901.38630999999998</v>
      </c>
      <c r="F2677" s="147">
        <v>514.23979999999995</v>
      </c>
      <c r="G2677" s="147">
        <v>387.14650999999998</v>
      </c>
      <c r="H2677" s="147">
        <v>75.285209351746019</v>
      </c>
      <c r="I2677" s="729"/>
      <c r="J2677" s="147">
        <v>901.38630999999998</v>
      </c>
      <c r="K2677" s="147">
        <v>0</v>
      </c>
      <c r="L2677" s="147">
        <v>9515.4059799999995</v>
      </c>
      <c r="M2677" s="147">
        <v>10635.719220000001</v>
      </c>
      <c r="N2677" s="147">
        <v>-1120.31324</v>
      </c>
      <c r="O2677" s="147">
        <v>-10.533497705480043</v>
      </c>
      <c r="P2677" s="147">
        <v>4452.9500699999999</v>
      </c>
      <c r="Q2677" s="147">
        <v>5062.4559099999997</v>
      </c>
      <c r="R2677" s="147">
        <v>113.68768637461952</v>
      </c>
    </row>
    <row r="2678" spans="2:18" ht="15.75" hidden="1" thickBot="1" x14ac:dyDescent="0.3">
      <c r="B2678" s="145" t="s">
        <v>768</v>
      </c>
      <c r="C2678" s="722" t="s">
        <v>599</v>
      </c>
      <c r="D2678" t="s">
        <v>600</v>
      </c>
      <c r="E2678" s="728"/>
      <c r="F2678" s="728"/>
      <c r="G2678" s="728"/>
      <c r="H2678" s="728"/>
      <c r="I2678" s="728"/>
      <c r="J2678" s="728"/>
      <c r="K2678" s="728"/>
      <c r="L2678" s="148">
        <v>2.1974999999999998</v>
      </c>
      <c r="M2678" s="728"/>
      <c r="N2678" s="148">
        <v>2.1974999999999998</v>
      </c>
      <c r="O2678" s="148">
        <v>0</v>
      </c>
      <c r="P2678" s="148">
        <v>2.1974999999999998</v>
      </c>
      <c r="Q2678" s="148">
        <v>0</v>
      </c>
      <c r="R2678" s="148">
        <v>0</v>
      </c>
    </row>
    <row r="2679" spans="2:18" ht="15.75" hidden="1" thickBot="1" x14ac:dyDescent="0.3">
      <c r="B2679" s="145" t="s">
        <v>768</v>
      </c>
      <c r="C2679" s="722" t="s">
        <v>601</v>
      </c>
      <c r="D2679" t="s">
        <v>602</v>
      </c>
      <c r="E2679" s="147">
        <v>-1.32</v>
      </c>
      <c r="F2679" s="729"/>
      <c r="G2679" s="147">
        <v>-1.32</v>
      </c>
      <c r="H2679" s="147">
        <v>0</v>
      </c>
      <c r="I2679" s="729"/>
      <c r="J2679" s="147">
        <v>-1.32</v>
      </c>
      <c r="K2679" s="147">
        <v>0</v>
      </c>
      <c r="L2679" s="147">
        <v>0</v>
      </c>
      <c r="M2679" s="729"/>
      <c r="N2679" s="147">
        <v>0</v>
      </c>
      <c r="O2679" s="147">
        <v>0</v>
      </c>
      <c r="P2679" s="729"/>
      <c r="Q2679" s="147">
        <v>0</v>
      </c>
      <c r="R2679" s="147">
        <v>0</v>
      </c>
    </row>
    <row r="2680" spans="2:18" ht="15.75" hidden="1" thickBot="1" x14ac:dyDescent="0.3">
      <c r="B2680" s="145" t="s">
        <v>768</v>
      </c>
      <c r="C2680" s="722" t="s">
        <v>603</v>
      </c>
      <c r="D2680" t="s">
        <v>604</v>
      </c>
      <c r="E2680" s="728"/>
      <c r="F2680" s="728"/>
      <c r="G2680" s="728"/>
      <c r="H2680" s="728"/>
      <c r="I2680" s="728"/>
      <c r="J2680" s="728"/>
      <c r="K2680" s="728"/>
      <c r="L2680" s="148">
        <v>2.36</v>
      </c>
      <c r="M2680" s="728"/>
      <c r="N2680" s="148">
        <v>2.36</v>
      </c>
      <c r="O2680" s="148">
        <v>0</v>
      </c>
      <c r="P2680" s="148">
        <v>1.7</v>
      </c>
      <c r="Q2680" s="148">
        <v>0.66</v>
      </c>
      <c r="R2680" s="148">
        <v>38.823529411764703</v>
      </c>
    </row>
    <row r="2681" spans="2:18" ht="15.75" hidden="1" thickBot="1" x14ac:dyDescent="0.3">
      <c r="B2681" s="145" t="s">
        <v>768</v>
      </c>
      <c r="C2681" s="722" t="s">
        <v>605</v>
      </c>
      <c r="D2681" t="s">
        <v>606</v>
      </c>
      <c r="E2681" s="147">
        <v>-0.8</v>
      </c>
      <c r="F2681" s="729"/>
      <c r="G2681" s="147">
        <v>-0.8</v>
      </c>
      <c r="H2681" s="147">
        <v>0</v>
      </c>
      <c r="I2681" s="729"/>
      <c r="J2681" s="147">
        <v>-0.8</v>
      </c>
      <c r="K2681" s="147">
        <v>0</v>
      </c>
      <c r="L2681" s="147">
        <v>28.806049999999999</v>
      </c>
      <c r="M2681" s="729"/>
      <c r="N2681" s="147">
        <v>28.806049999999999</v>
      </c>
      <c r="O2681" s="147">
        <v>0</v>
      </c>
      <c r="P2681" s="147">
        <v>16.661650000000002</v>
      </c>
      <c r="Q2681" s="147">
        <v>12.144399999999999</v>
      </c>
      <c r="R2681" s="147">
        <v>72.888339390156432</v>
      </c>
    </row>
    <row r="2682" spans="2:18" ht="15.75" hidden="1" thickBot="1" x14ac:dyDescent="0.3">
      <c r="B2682" s="145" t="s">
        <v>768</v>
      </c>
      <c r="C2682" s="722" t="s">
        <v>218</v>
      </c>
      <c r="D2682" t="s">
        <v>219</v>
      </c>
      <c r="E2682" s="148">
        <v>-2.0649999999999999</v>
      </c>
      <c r="F2682" s="728"/>
      <c r="G2682" s="148">
        <v>-2.0649999999999999</v>
      </c>
      <c r="H2682" s="148">
        <v>0</v>
      </c>
      <c r="I2682" s="728"/>
      <c r="J2682" s="148">
        <v>-2.0649999999999999</v>
      </c>
      <c r="K2682" s="148">
        <v>0</v>
      </c>
      <c r="L2682" s="148">
        <v>37.841810000000002</v>
      </c>
      <c r="M2682" s="728"/>
      <c r="N2682" s="148">
        <v>37.841810000000002</v>
      </c>
      <c r="O2682" s="148">
        <v>0</v>
      </c>
      <c r="P2682" s="148">
        <v>35.442250000000001</v>
      </c>
      <c r="Q2682" s="148">
        <v>2.3995600000000001</v>
      </c>
      <c r="R2682" s="148">
        <v>6.7703376619712348</v>
      </c>
    </row>
    <row r="2683" spans="2:18" ht="15.75" hidden="1" thickBot="1" x14ac:dyDescent="0.3">
      <c r="B2683" s="145" t="s">
        <v>768</v>
      </c>
      <c r="C2683" s="722" t="s">
        <v>607</v>
      </c>
      <c r="D2683" t="s">
        <v>608</v>
      </c>
      <c r="E2683" s="729"/>
      <c r="F2683" s="729"/>
      <c r="G2683" s="729"/>
      <c r="H2683" s="729"/>
      <c r="I2683" s="729"/>
      <c r="J2683" s="729"/>
      <c r="K2683" s="729"/>
      <c r="L2683" s="147">
        <v>30.815819999999999</v>
      </c>
      <c r="M2683" s="729"/>
      <c r="N2683" s="147">
        <v>30.815819999999999</v>
      </c>
      <c r="O2683" s="147">
        <v>0</v>
      </c>
      <c r="P2683" s="147">
        <v>4.0235599999999998</v>
      </c>
      <c r="Q2683" s="147">
        <v>26.792259999999999</v>
      </c>
      <c r="R2683" s="147">
        <v>665.88444064460327</v>
      </c>
    </row>
    <row r="2684" spans="2:18" ht="15.75" hidden="1" thickBot="1" x14ac:dyDescent="0.3">
      <c r="B2684" s="145" t="s">
        <v>768</v>
      </c>
      <c r="C2684" s="722" t="s">
        <v>609</v>
      </c>
      <c r="D2684" t="s">
        <v>610</v>
      </c>
      <c r="E2684" s="728"/>
      <c r="F2684" s="728"/>
      <c r="G2684" s="728"/>
      <c r="H2684" s="728"/>
      <c r="I2684" s="728"/>
      <c r="J2684" s="728"/>
      <c r="K2684" s="728"/>
      <c r="L2684" s="148">
        <v>0.47049999999999997</v>
      </c>
      <c r="M2684" s="728"/>
      <c r="N2684" s="148">
        <v>0.47049999999999997</v>
      </c>
      <c r="O2684" s="148">
        <v>0</v>
      </c>
      <c r="P2684" s="728"/>
      <c r="Q2684" s="148">
        <v>0.47049999999999997</v>
      </c>
      <c r="R2684" s="148">
        <v>0</v>
      </c>
    </row>
    <row r="2685" spans="2:18" ht="15.75" hidden="1" thickBot="1" x14ac:dyDescent="0.3">
      <c r="B2685" s="145" t="s">
        <v>768</v>
      </c>
      <c r="C2685" s="722" t="s">
        <v>462</v>
      </c>
      <c r="D2685" t="s">
        <v>463</v>
      </c>
      <c r="E2685" s="147">
        <v>8.6925500000000007</v>
      </c>
      <c r="F2685" s="729"/>
      <c r="G2685" s="147">
        <v>8.6925500000000007</v>
      </c>
      <c r="H2685" s="147">
        <v>0</v>
      </c>
      <c r="I2685" s="729"/>
      <c r="J2685" s="147">
        <v>8.6925500000000007</v>
      </c>
      <c r="K2685" s="147">
        <v>0</v>
      </c>
      <c r="L2685" s="147">
        <v>90.787409999999994</v>
      </c>
      <c r="M2685" s="729"/>
      <c r="N2685" s="147">
        <v>90.787409999999994</v>
      </c>
      <c r="O2685" s="147">
        <v>0</v>
      </c>
      <c r="P2685" s="147">
        <v>37.686779999999999</v>
      </c>
      <c r="Q2685" s="147">
        <v>53.100630000000002</v>
      </c>
      <c r="R2685" s="147">
        <v>140.89988584856548</v>
      </c>
    </row>
    <row r="2686" spans="2:18" ht="15.75" hidden="1" thickBot="1" x14ac:dyDescent="0.3">
      <c r="B2686" s="145" t="s">
        <v>768</v>
      </c>
      <c r="C2686" s="722" t="s">
        <v>611</v>
      </c>
      <c r="D2686" t="s">
        <v>612</v>
      </c>
      <c r="E2686" s="728"/>
      <c r="F2686" s="728"/>
      <c r="G2686" s="728"/>
      <c r="H2686" s="728"/>
      <c r="I2686" s="728"/>
      <c r="J2686" s="728"/>
      <c r="K2686" s="728"/>
      <c r="L2686" s="148">
        <v>0</v>
      </c>
      <c r="M2686" s="728"/>
      <c r="N2686" s="148">
        <v>0</v>
      </c>
      <c r="O2686" s="148">
        <v>0</v>
      </c>
      <c r="P2686" s="148">
        <v>0</v>
      </c>
      <c r="Q2686" s="148">
        <v>0</v>
      </c>
      <c r="R2686" s="148">
        <v>0</v>
      </c>
    </row>
    <row r="2687" spans="2:18" ht="15.75" hidden="1" thickBot="1" x14ac:dyDescent="0.3">
      <c r="B2687" s="145" t="s">
        <v>768</v>
      </c>
      <c r="C2687" s="722" t="s">
        <v>613</v>
      </c>
      <c r="D2687" t="s">
        <v>614</v>
      </c>
      <c r="E2687" s="147">
        <v>6.7050000000000001</v>
      </c>
      <c r="F2687" s="729"/>
      <c r="G2687" s="147">
        <v>6.7050000000000001</v>
      </c>
      <c r="H2687" s="147">
        <v>0</v>
      </c>
      <c r="I2687" s="729"/>
      <c r="J2687" s="147">
        <v>6.7050000000000001</v>
      </c>
      <c r="K2687" s="147">
        <v>0</v>
      </c>
      <c r="L2687" s="147">
        <v>67.913989999999998</v>
      </c>
      <c r="M2687" s="729"/>
      <c r="N2687" s="147">
        <v>67.913989999999998</v>
      </c>
      <c r="O2687" s="147">
        <v>0</v>
      </c>
      <c r="P2687" s="147">
        <v>22.390450000000001</v>
      </c>
      <c r="Q2687" s="147">
        <v>45.523539999999997</v>
      </c>
      <c r="R2687" s="147">
        <v>203.31677121272685</v>
      </c>
    </row>
    <row r="2688" spans="2:18" ht="15.75" hidden="1" thickBot="1" x14ac:dyDescent="0.3">
      <c r="B2688" s="145" t="s">
        <v>768</v>
      </c>
      <c r="C2688" s="722" t="s">
        <v>615</v>
      </c>
      <c r="D2688" t="s">
        <v>616</v>
      </c>
      <c r="E2688" s="148">
        <v>1.67197</v>
      </c>
      <c r="F2688" s="728"/>
      <c r="G2688" s="148">
        <v>1.67197</v>
      </c>
      <c r="H2688" s="148">
        <v>0</v>
      </c>
      <c r="I2688" s="728"/>
      <c r="J2688" s="148">
        <v>1.67197</v>
      </c>
      <c r="K2688" s="148">
        <v>0</v>
      </c>
      <c r="L2688" s="148">
        <v>37.872140000000002</v>
      </c>
      <c r="M2688" s="728"/>
      <c r="N2688" s="148">
        <v>37.872140000000002</v>
      </c>
      <c r="O2688" s="148">
        <v>0</v>
      </c>
      <c r="P2688" s="148">
        <v>16.422750000000001</v>
      </c>
      <c r="Q2688" s="148">
        <v>21.449390000000001</v>
      </c>
      <c r="R2688" s="148">
        <v>130.60778493248694</v>
      </c>
    </row>
    <row r="2689" spans="2:18" ht="15.75" hidden="1" thickBot="1" x14ac:dyDescent="0.3">
      <c r="B2689" s="145" t="s">
        <v>768</v>
      </c>
      <c r="C2689" s="722" t="s">
        <v>193</v>
      </c>
      <c r="D2689" t="s">
        <v>194</v>
      </c>
      <c r="E2689" s="147">
        <v>30.026450000000001</v>
      </c>
      <c r="F2689" s="147">
        <v>1</v>
      </c>
      <c r="G2689" s="147">
        <v>29.026450000000001</v>
      </c>
      <c r="H2689" s="147">
        <v>2902.645</v>
      </c>
      <c r="I2689" s="729"/>
      <c r="J2689" s="147">
        <v>30.026450000000001</v>
      </c>
      <c r="K2689" s="147">
        <v>0</v>
      </c>
      <c r="L2689" s="147">
        <v>529.48005999999998</v>
      </c>
      <c r="M2689" s="147">
        <v>12</v>
      </c>
      <c r="N2689" s="147">
        <v>517.48005999999998</v>
      </c>
      <c r="O2689" s="147">
        <v>4312.3338333333331</v>
      </c>
      <c r="P2689" s="147">
        <v>228.36834999999999</v>
      </c>
      <c r="Q2689" s="147">
        <v>301.11171000000002</v>
      </c>
      <c r="R2689" s="147">
        <v>131.85352085785968</v>
      </c>
    </row>
    <row r="2690" spans="2:18" ht="15.75" hidden="1" thickBot="1" x14ac:dyDescent="0.3">
      <c r="B2690" s="145" t="s">
        <v>768</v>
      </c>
      <c r="C2690" s="722" t="s">
        <v>617</v>
      </c>
      <c r="D2690" t="s">
        <v>618</v>
      </c>
      <c r="E2690" s="148">
        <v>0.26</v>
      </c>
      <c r="F2690" s="728"/>
      <c r="G2690" s="148">
        <v>0.26</v>
      </c>
      <c r="H2690" s="148">
        <v>0</v>
      </c>
      <c r="I2690" s="728"/>
      <c r="J2690" s="148">
        <v>0.26</v>
      </c>
      <c r="K2690" s="148">
        <v>0</v>
      </c>
      <c r="L2690" s="148">
        <v>1.3</v>
      </c>
      <c r="M2690" s="728"/>
      <c r="N2690" s="148">
        <v>1.3</v>
      </c>
      <c r="O2690" s="148">
        <v>0</v>
      </c>
      <c r="P2690" s="728"/>
      <c r="Q2690" s="148">
        <v>1.3</v>
      </c>
      <c r="R2690" s="148">
        <v>0</v>
      </c>
    </row>
    <row r="2691" spans="2:18" ht="15.75" hidden="1" thickBot="1" x14ac:dyDescent="0.3">
      <c r="B2691" s="145" t="s">
        <v>768</v>
      </c>
      <c r="C2691" s="722" t="s">
        <v>195</v>
      </c>
      <c r="D2691" t="s">
        <v>196</v>
      </c>
      <c r="E2691" s="147">
        <v>30.108350000000002</v>
      </c>
      <c r="F2691" s="729"/>
      <c r="G2691" s="147">
        <v>30.108350000000002</v>
      </c>
      <c r="H2691" s="147">
        <v>0</v>
      </c>
      <c r="I2691" s="729"/>
      <c r="J2691" s="147">
        <v>30.108350000000002</v>
      </c>
      <c r="K2691" s="147">
        <v>0</v>
      </c>
      <c r="L2691" s="147">
        <v>284.20636000000002</v>
      </c>
      <c r="M2691" s="729"/>
      <c r="N2691" s="147">
        <v>284.20636000000002</v>
      </c>
      <c r="O2691" s="147">
        <v>0</v>
      </c>
      <c r="P2691" s="147">
        <v>122.74126</v>
      </c>
      <c r="Q2691" s="147">
        <v>161.46510000000001</v>
      </c>
      <c r="R2691" s="147">
        <v>131.54916284874378</v>
      </c>
    </row>
    <row r="2692" spans="2:18" ht="15.75" hidden="1" thickBot="1" x14ac:dyDescent="0.3">
      <c r="B2692" s="145" t="s">
        <v>768</v>
      </c>
      <c r="C2692" s="722" t="s">
        <v>197</v>
      </c>
      <c r="D2692" t="s">
        <v>198</v>
      </c>
      <c r="E2692" s="148">
        <v>5.5532000000000004</v>
      </c>
      <c r="F2692" s="728"/>
      <c r="G2692" s="148">
        <v>5.5532000000000004</v>
      </c>
      <c r="H2692" s="148">
        <v>0</v>
      </c>
      <c r="I2692" s="728"/>
      <c r="J2692" s="148">
        <v>5.5532000000000004</v>
      </c>
      <c r="K2692" s="148">
        <v>0</v>
      </c>
      <c r="L2692" s="148">
        <v>101.44773000000001</v>
      </c>
      <c r="M2692" s="728"/>
      <c r="N2692" s="148">
        <v>101.44773000000001</v>
      </c>
      <c r="O2692" s="148">
        <v>0</v>
      </c>
      <c r="P2692" s="148">
        <v>52.40981</v>
      </c>
      <c r="Q2692" s="148">
        <v>49.03792</v>
      </c>
      <c r="R2692" s="148">
        <v>93.566299896908617</v>
      </c>
    </row>
    <row r="2693" spans="2:18" ht="15.75" hidden="1" thickBot="1" x14ac:dyDescent="0.3">
      <c r="B2693" s="145" t="s">
        <v>768</v>
      </c>
      <c r="C2693" s="722" t="s">
        <v>485</v>
      </c>
      <c r="D2693" t="s">
        <v>486</v>
      </c>
      <c r="E2693" s="147">
        <v>0.28499999999999998</v>
      </c>
      <c r="F2693" s="729"/>
      <c r="G2693" s="147">
        <v>0.28499999999999998</v>
      </c>
      <c r="H2693" s="147">
        <v>0</v>
      </c>
      <c r="I2693" s="729"/>
      <c r="J2693" s="147">
        <v>0.28499999999999998</v>
      </c>
      <c r="K2693" s="147">
        <v>0</v>
      </c>
      <c r="L2693" s="147">
        <v>0.28499999999999998</v>
      </c>
      <c r="M2693" s="729"/>
      <c r="N2693" s="147">
        <v>0.28499999999999998</v>
      </c>
      <c r="O2693" s="147">
        <v>0</v>
      </c>
      <c r="P2693" s="729"/>
      <c r="Q2693" s="147">
        <v>0.28499999999999998</v>
      </c>
      <c r="R2693" s="147">
        <v>0</v>
      </c>
    </row>
    <row r="2694" spans="2:18" ht="15.75" hidden="1" thickBot="1" x14ac:dyDescent="0.3">
      <c r="B2694" s="145" t="s">
        <v>768</v>
      </c>
      <c r="C2694" s="722" t="s">
        <v>464</v>
      </c>
      <c r="D2694" t="s">
        <v>465</v>
      </c>
      <c r="E2694" s="148">
        <v>0.16300000000000001</v>
      </c>
      <c r="F2694" s="148">
        <v>3.6999900000000001</v>
      </c>
      <c r="G2694" s="148">
        <v>-3.5369899999999999</v>
      </c>
      <c r="H2694" s="148">
        <v>-95.594582688061323</v>
      </c>
      <c r="I2694" s="728"/>
      <c r="J2694" s="148">
        <v>0.16300000000000001</v>
      </c>
      <c r="K2694" s="148">
        <v>0</v>
      </c>
      <c r="L2694" s="148">
        <v>33.416809999999998</v>
      </c>
      <c r="M2694" s="148">
        <v>135.79995</v>
      </c>
      <c r="N2694" s="148">
        <v>-102.38314</v>
      </c>
      <c r="O2694" s="148">
        <v>-75.392619805824665</v>
      </c>
      <c r="P2694" s="148">
        <v>17.321269999999998</v>
      </c>
      <c r="Q2694" s="148">
        <v>16.09554</v>
      </c>
      <c r="R2694" s="148">
        <v>92.923555836263745</v>
      </c>
    </row>
    <row r="2695" spans="2:18" ht="15.75" hidden="1" thickBot="1" x14ac:dyDescent="0.3">
      <c r="B2695" s="145" t="s">
        <v>768</v>
      </c>
      <c r="C2695" s="722" t="s">
        <v>619</v>
      </c>
      <c r="D2695" t="s">
        <v>620</v>
      </c>
      <c r="E2695" s="147">
        <v>0.63444</v>
      </c>
      <c r="F2695" s="729"/>
      <c r="G2695" s="147">
        <v>0.63444</v>
      </c>
      <c r="H2695" s="147">
        <v>0</v>
      </c>
      <c r="I2695" s="729"/>
      <c r="J2695" s="147">
        <v>0.63444</v>
      </c>
      <c r="K2695" s="147">
        <v>0</v>
      </c>
      <c r="L2695" s="147">
        <v>121.36465</v>
      </c>
      <c r="M2695" s="729"/>
      <c r="N2695" s="147">
        <v>121.36465</v>
      </c>
      <c r="O2695" s="147">
        <v>0</v>
      </c>
      <c r="P2695" s="147">
        <v>80.334019999999995</v>
      </c>
      <c r="Q2695" s="147">
        <v>41.030630000000002</v>
      </c>
      <c r="R2695" s="147">
        <v>51.075036454045247</v>
      </c>
    </row>
    <row r="2696" spans="2:18" ht="15.75" hidden="1" thickBot="1" x14ac:dyDescent="0.3">
      <c r="B2696" s="145" t="s">
        <v>768</v>
      </c>
      <c r="C2696" s="722" t="s">
        <v>621</v>
      </c>
      <c r="D2696" t="s">
        <v>622</v>
      </c>
      <c r="E2696" s="728"/>
      <c r="F2696" s="728"/>
      <c r="G2696" s="728"/>
      <c r="H2696" s="728"/>
      <c r="I2696" s="728"/>
      <c r="J2696" s="728"/>
      <c r="K2696" s="728"/>
      <c r="L2696" s="148">
        <v>6.0323000000000002</v>
      </c>
      <c r="M2696" s="728"/>
      <c r="N2696" s="148">
        <v>6.0323000000000002</v>
      </c>
      <c r="O2696" s="148">
        <v>0</v>
      </c>
      <c r="P2696" s="148">
        <v>4.18865</v>
      </c>
      <c r="Q2696" s="148">
        <v>1.84365</v>
      </c>
      <c r="R2696" s="148">
        <v>44.015374882121925</v>
      </c>
    </row>
    <row r="2697" spans="2:18" ht="15.75" hidden="1" thickBot="1" x14ac:dyDescent="0.3">
      <c r="B2697" s="145" t="s">
        <v>768</v>
      </c>
      <c r="C2697" s="722" t="s">
        <v>103</v>
      </c>
      <c r="D2697" t="s">
        <v>104</v>
      </c>
      <c r="E2697" s="147">
        <v>2.1157900000000001</v>
      </c>
      <c r="F2697" s="147">
        <v>26.524999999999999</v>
      </c>
      <c r="G2697" s="147">
        <v>-24.409210000000002</v>
      </c>
      <c r="H2697" s="147">
        <v>-92.023411875589062</v>
      </c>
      <c r="I2697" s="729"/>
      <c r="J2697" s="147">
        <v>2.1157900000000001</v>
      </c>
      <c r="K2697" s="147">
        <v>0</v>
      </c>
      <c r="L2697" s="147">
        <v>24.166989999999998</v>
      </c>
      <c r="M2697" s="147">
        <v>68.3</v>
      </c>
      <c r="N2697" s="147">
        <v>-44.133009999999999</v>
      </c>
      <c r="O2697" s="147">
        <v>-64.616412884333826</v>
      </c>
      <c r="P2697" s="147">
        <v>8.5899599999999996</v>
      </c>
      <c r="Q2697" s="147">
        <v>15.577030000000001</v>
      </c>
      <c r="R2697" s="147">
        <v>181.33995967385181</v>
      </c>
    </row>
    <row r="2698" spans="2:18" ht="15.75" hidden="1" thickBot="1" x14ac:dyDescent="0.3">
      <c r="B2698" s="145" t="s">
        <v>768</v>
      </c>
      <c r="C2698" s="722" t="s">
        <v>625</v>
      </c>
      <c r="D2698" t="s">
        <v>626</v>
      </c>
      <c r="E2698" s="728"/>
      <c r="F2698" s="728"/>
      <c r="G2698" s="728"/>
      <c r="H2698" s="728"/>
      <c r="I2698" s="728"/>
      <c r="J2698" s="728"/>
      <c r="K2698" s="728"/>
      <c r="L2698" s="148">
        <v>-0.52500000000000002</v>
      </c>
      <c r="M2698" s="728"/>
      <c r="N2698" s="148">
        <v>-0.52500000000000002</v>
      </c>
      <c r="O2698" s="148">
        <v>0</v>
      </c>
      <c r="P2698" s="148">
        <v>-0.52500000000000002</v>
      </c>
      <c r="Q2698" s="148">
        <v>0</v>
      </c>
      <c r="R2698" s="148">
        <v>0</v>
      </c>
    </row>
    <row r="2699" spans="2:18" ht="15.75" hidden="1" thickBot="1" x14ac:dyDescent="0.3">
      <c r="B2699" s="145" t="s">
        <v>768</v>
      </c>
      <c r="C2699" s="722" t="s">
        <v>71</v>
      </c>
      <c r="D2699" t="s">
        <v>72</v>
      </c>
      <c r="E2699" s="147">
        <v>-1.39581</v>
      </c>
      <c r="F2699" s="729"/>
      <c r="G2699" s="147">
        <v>-1.39581</v>
      </c>
      <c r="H2699" s="147">
        <v>0</v>
      </c>
      <c r="I2699" s="729"/>
      <c r="J2699" s="147">
        <v>-1.39581</v>
      </c>
      <c r="K2699" s="147">
        <v>0</v>
      </c>
      <c r="L2699" s="147">
        <v>1.8869</v>
      </c>
      <c r="M2699" s="729"/>
      <c r="N2699" s="147">
        <v>1.8869</v>
      </c>
      <c r="O2699" s="147">
        <v>0</v>
      </c>
      <c r="P2699" s="147">
        <v>3.42584</v>
      </c>
      <c r="Q2699" s="147">
        <v>-1.53894</v>
      </c>
      <c r="R2699" s="147">
        <v>-44.92153749153492</v>
      </c>
    </row>
    <row r="2700" spans="2:18" ht="15.75" hidden="1" thickBot="1" x14ac:dyDescent="0.3">
      <c r="B2700" s="145" t="s">
        <v>768</v>
      </c>
      <c r="C2700" s="722" t="s">
        <v>105</v>
      </c>
      <c r="D2700" t="s">
        <v>106</v>
      </c>
      <c r="E2700" s="148">
        <v>0.05</v>
      </c>
      <c r="F2700" s="728"/>
      <c r="G2700" s="148">
        <v>0.05</v>
      </c>
      <c r="H2700" s="148">
        <v>0</v>
      </c>
      <c r="I2700" s="728"/>
      <c r="J2700" s="148">
        <v>0.05</v>
      </c>
      <c r="K2700" s="148">
        <v>0</v>
      </c>
      <c r="L2700" s="148">
        <v>1.36</v>
      </c>
      <c r="M2700" s="728"/>
      <c r="N2700" s="148">
        <v>1.36</v>
      </c>
      <c r="O2700" s="148">
        <v>0</v>
      </c>
      <c r="P2700" s="148">
        <v>1.26</v>
      </c>
      <c r="Q2700" s="148">
        <v>0.1</v>
      </c>
      <c r="R2700" s="148">
        <v>7.9365079365079367</v>
      </c>
    </row>
    <row r="2701" spans="2:18" ht="15.75" hidden="1" thickBot="1" x14ac:dyDescent="0.3">
      <c r="B2701" s="145" t="s">
        <v>768</v>
      </c>
      <c r="C2701" s="722" t="s">
        <v>627</v>
      </c>
      <c r="D2701" t="s">
        <v>628</v>
      </c>
      <c r="E2701" s="147">
        <v>66.850800000000007</v>
      </c>
      <c r="F2701" s="147">
        <v>36.5</v>
      </c>
      <c r="G2701" s="147">
        <v>30.3508</v>
      </c>
      <c r="H2701" s="147">
        <v>83.152876712328762</v>
      </c>
      <c r="I2701" s="729"/>
      <c r="J2701" s="147">
        <v>66.850800000000007</v>
      </c>
      <c r="K2701" s="147">
        <v>0</v>
      </c>
      <c r="L2701" s="147">
        <v>625.95932000000005</v>
      </c>
      <c r="M2701" s="147">
        <v>496</v>
      </c>
      <c r="N2701" s="147">
        <v>129.95931999999999</v>
      </c>
      <c r="O2701" s="147">
        <v>26.201475806451612</v>
      </c>
      <c r="P2701" s="147">
        <v>295.37851000000001</v>
      </c>
      <c r="Q2701" s="147">
        <v>330.58080999999999</v>
      </c>
      <c r="R2701" s="147">
        <v>111.91769164249627</v>
      </c>
    </row>
    <row r="2702" spans="2:18" ht="15.75" hidden="1" thickBot="1" x14ac:dyDescent="0.3">
      <c r="B2702" s="145" t="s">
        <v>768</v>
      </c>
      <c r="C2702" s="722" t="s">
        <v>107</v>
      </c>
      <c r="D2702" t="s">
        <v>108</v>
      </c>
      <c r="E2702" s="148">
        <v>1.7886200000000001</v>
      </c>
      <c r="F2702" s="148">
        <v>0.74199999999999999</v>
      </c>
      <c r="G2702" s="148">
        <v>1.0466200000000001</v>
      </c>
      <c r="H2702" s="148">
        <v>141.05390835579516</v>
      </c>
      <c r="I2702" s="728"/>
      <c r="J2702" s="148">
        <v>1.7886200000000001</v>
      </c>
      <c r="K2702" s="148">
        <v>0</v>
      </c>
      <c r="L2702" s="148">
        <v>49.891370000000002</v>
      </c>
      <c r="M2702" s="148">
        <v>67.09</v>
      </c>
      <c r="N2702" s="148">
        <v>-17.198630000000001</v>
      </c>
      <c r="O2702" s="148">
        <v>-25.635161723058577</v>
      </c>
      <c r="P2702" s="148">
        <v>28.843879999999999</v>
      </c>
      <c r="Q2702" s="148">
        <v>21.04749</v>
      </c>
      <c r="R2702" s="148">
        <v>72.97038401213706</v>
      </c>
    </row>
    <row r="2703" spans="2:18" ht="15.75" hidden="1" thickBot="1" x14ac:dyDescent="0.3">
      <c r="B2703" s="145" t="s">
        <v>768</v>
      </c>
      <c r="C2703" s="722" t="s">
        <v>109</v>
      </c>
      <c r="D2703" t="s">
        <v>110</v>
      </c>
      <c r="E2703" s="147">
        <v>244.36139</v>
      </c>
      <c r="F2703" s="147">
        <v>263.76333</v>
      </c>
      <c r="G2703" s="147">
        <v>-19.40194</v>
      </c>
      <c r="H2703" s="147">
        <v>-7.3558140170583988</v>
      </c>
      <c r="I2703" s="729"/>
      <c r="J2703" s="147">
        <v>244.36139</v>
      </c>
      <c r="K2703" s="147">
        <v>0</v>
      </c>
      <c r="L2703" s="147">
        <v>3035.8995599999998</v>
      </c>
      <c r="M2703" s="147">
        <v>3203.319</v>
      </c>
      <c r="N2703" s="147">
        <v>-167.41944000000001</v>
      </c>
      <c r="O2703" s="147">
        <v>-5.2264367051798466</v>
      </c>
      <c r="P2703" s="147">
        <v>1539.85887</v>
      </c>
      <c r="Q2703" s="147">
        <v>1496.04069</v>
      </c>
      <c r="R2703" s="147">
        <v>97.154402857711233</v>
      </c>
    </row>
    <row r="2704" spans="2:18" ht="15.75" hidden="1" thickBot="1" x14ac:dyDescent="0.3">
      <c r="B2704" s="145" t="s">
        <v>768</v>
      </c>
      <c r="C2704" s="722" t="s">
        <v>199</v>
      </c>
      <c r="D2704" t="s">
        <v>200</v>
      </c>
      <c r="E2704" s="148">
        <v>9.4315200000000008</v>
      </c>
      <c r="F2704" s="148">
        <v>28</v>
      </c>
      <c r="G2704" s="148">
        <v>-18.568480000000001</v>
      </c>
      <c r="H2704" s="148">
        <v>-66.316000000000003</v>
      </c>
      <c r="I2704" s="728"/>
      <c r="J2704" s="148">
        <v>9.4315200000000008</v>
      </c>
      <c r="K2704" s="148">
        <v>0</v>
      </c>
      <c r="L2704" s="148">
        <v>169.28792999999999</v>
      </c>
      <c r="M2704" s="148">
        <v>265</v>
      </c>
      <c r="N2704" s="148">
        <v>-95.712069999999997</v>
      </c>
      <c r="O2704" s="148">
        <v>-36.11776226415094</v>
      </c>
      <c r="P2704" s="148">
        <v>54.663350000000001</v>
      </c>
      <c r="Q2704" s="148">
        <v>114.62457999999999</v>
      </c>
      <c r="R2704" s="148">
        <v>209.69183191297276</v>
      </c>
    </row>
    <row r="2705" spans="2:18" ht="15.75" hidden="1" thickBot="1" x14ac:dyDescent="0.3">
      <c r="B2705" s="145" t="s">
        <v>768</v>
      </c>
      <c r="C2705" s="722" t="s">
        <v>73</v>
      </c>
      <c r="D2705" t="s">
        <v>74</v>
      </c>
      <c r="E2705" s="147">
        <v>13.1814</v>
      </c>
      <c r="F2705" s="147">
        <v>6.2664099999999996</v>
      </c>
      <c r="G2705" s="147">
        <v>6.9149900000000004</v>
      </c>
      <c r="H2705" s="147">
        <v>110.3501047649292</v>
      </c>
      <c r="I2705" s="729"/>
      <c r="J2705" s="147">
        <v>13.1814</v>
      </c>
      <c r="K2705" s="147">
        <v>0</v>
      </c>
      <c r="L2705" s="147">
        <v>110.17033000000001</v>
      </c>
      <c r="M2705" s="147">
        <v>71.952920000000006</v>
      </c>
      <c r="N2705" s="147">
        <v>38.217410000000001</v>
      </c>
      <c r="O2705" s="147">
        <v>53.114467070968075</v>
      </c>
      <c r="P2705" s="147">
        <v>55.577129999999997</v>
      </c>
      <c r="Q2705" s="147">
        <v>54.593200000000003</v>
      </c>
      <c r="R2705" s="147">
        <v>98.229613511888786</v>
      </c>
    </row>
    <row r="2706" spans="2:18" ht="15.75" hidden="1" thickBot="1" x14ac:dyDescent="0.3">
      <c r="B2706" s="145" t="s">
        <v>768</v>
      </c>
      <c r="C2706" s="722" t="s">
        <v>111</v>
      </c>
      <c r="D2706" t="s">
        <v>112</v>
      </c>
      <c r="E2706" s="148">
        <v>43.859859999999998</v>
      </c>
      <c r="F2706" s="148">
        <v>71.721419999999995</v>
      </c>
      <c r="G2706" s="148">
        <v>-27.861560000000001</v>
      </c>
      <c r="H2706" s="148">
        <v>-38.846916304780358</v>
      </c>
      <c r="I2706" s="728"/>
      <c r="J2706" s="148">
        <v>43.859859999999998</v>
      </c>
      <c r="K2706" s="148">
        <v>0</v>
      </c>
      <c r="L2706" s="148">
        <v>1117.41813</v>
      </c>
      <c r="M2706" s="148">
        <v>939.81304</v>
      </c>
      <c r="N2706" s="148">
        <v>177.60508999999999</v>
      </c>
      <c r="O2706" s="148">
        <v>18.897917185741537</v>
      </c>
      <c r="P2706" s="148">
        <v>509.52267999999998</v>
      </c>
      <c r="Q2706" s="148">
        <v>607.89544999999998</v>
      </c>
      <c r="R2706" s="148">
        <v>119.30684812695678</v>
      </c>
    </row>
    <row r="2707" spans="2:18" ht="15.75" hidden="1" thickBot="1" x14ac:dyDescent="0.3">
      <c r="B2707" s="145" t="s">
        <v>768</v>
      </c>
      <c r="C2707" s="722" t="s">
        <v>141</v>
      </c>
      <c r="D2707" t="s">
        <v>142</v>
      </c>
      <c r="E2707" s="147">
        <v>1.6251</v>
      </c>
      <c r="F2707" s="147">
        <v>0</v>
      </c>
      <c r="G2707" s="147">
        <v>1.6251</v>
      </c>
      <c r="H2707" s="147">
        <v>0</v>
      </c>
      <c r="I2707" s="729"/>
      <c r="J2707" s="147">
        <v>1.6251</v>
      </c>
      <c r="K2707" s="147">
        <v>0</v>
      </c>
      <c r="L2707" s="147">
        <v>7.9907899999999996</v>
      </c>
      <c r="M2707" s="147">
        <v>2.1</v>
      </c>
      <c r="N2707" s="147">
        <v>5.89079</v>
      </c>
      <c r="O2707" s="147">
        <v>280.51380952380953</v>
      </c>
      <c r="P2707" s="147">
        <v>4.5871000000000004</v>
      </c>
      <c r="Q2707" s="147">
        <v>3.4036900000000001</v>
      </c>
      <c r="R2707" s="147">
        <v>74.201347256436534</v>
      </c>
    </row>
    <row r="2708" spans="2:18" ht="15.75" hidden="1" thickBot="1" x14ac:dyDescent="0.3">
      <c r="B2708" s="145" t="s">
        <v>768</v>
      </c>
      <c r="C2708" s="722" t="s">
        <v>113</v>
      </c>
      <c r="D2708" t="s">
        <v>114</v>
      </c>
      <c r="E2708" s="148">
        <v>8.0052000000000003</v>
      </c>
      <c r="F2708" s="148">
        <v>4.4821400000000002</v>
      </c>
      <c r="G2708" s="148">
        <v>3.5230600000000001</v>
      </c>
      <c r="H2708" s="148">
        <v>78.602185563146179</v>
      </c>
      <c r="I2708" s="728"/>
      <c r="J2708" s="148">
        <v>8.0052000000000003</v>
      </c>
      <c r="K2708" s="148">
        <v>0</v>
      </c>
      <c r="L2708" s="148">
        <v>89.576669999999993</v>
      </c>
      <c r="M2708" s="148">
        <v>52.985680000000002</v>
      </c>
      <c r="N2708" s="148">
        <v>36.590989999999998</v>
      </c>
      <c r="O2708" s="148">
        <v>69.058262534330026</v>
      </c>
      <c r="P2708" s="148">
        <v>41.831119999999999</v>
      </c>
      <c r="Q2708" s="148">
        <v>47.745550000000001</v>
      </c>
      <c r="R2708" s="148">
        <v>114.13882774355551</v>
      </c>
    </row>
    <row r="2709" spans="2:18" ht="15.75" hidden="1" thickBot="1" x14ac:dyDescent="0.3">
      <c r="B2709" s="145" t="s">
        <v>768</v>
      </c>
      <c r="C2709" s="722" t="s">
        <v>201</v>
      </c>
      <c r="D2709" t="s">
        <v>202</v>
      </c>
      <c r="E2709" s="147">
        <v>0.63527999999999996</v>
      </c>
      <c r="F2709" s="147">
        <v>3.6951399999999999</v>
      </c>
      <c r="G2709" s="147">
        <v>-3.05986</v>
      </c>
      <c r="H2709" s="147">
        <v>-82.807687936045724</v>
      </c>
      <c r="I2709" s="729"/>
      <c r="J2709" s="147">
        <v>0.63527999999999996</v>
      </c>
      <c r="K2709" s="147">
        <v>0</v>
      </c>
      <c r="L2709" s="147">
        <v>24.962399999999999</v>
      </c>
      <c r="M2709" s="147">
        <v>45.40578</v>
      </c>
      <c r="N2709" s="147">
        <v>-20.443380000000001</v>
      </c>
      <c r="O2709" s="147">
        <v>-45.023739268436749</v>
      </c>
      <c r="P2709" s="147">
        <v>14.40035</v>
      </c>
      <c r="Q2709" s="147">
        <v>10.562049999999999</v>
      </c>
      <c r="R2709" s="147">
        <v>73.345786734350213</v>
      </c>
    </row>
    <row r="2710" spans="2:18" ht="15.75" hidden="1" thickBot="1" x14ac:dyDescent="0.3">
      <c r="B2710" s="145" t="s">
        <v>768</v>
      </c>
      <c r="C2710" s="722" t="s">
        <v>629</v>
      </c>
      <c r="D2710" t="s">
        <v>630</v>
      </c>
      <c r="E2710" s="728"/>
      <c r="F2710" s="728"/>
      <c r="G2710" s="728"/>
      <c r="H2710" s="728"/>
      <c r="I2710" s="728"/>
      <c r="J2710" s="728"/>
      <c r="K2710" s="728"/>
      <c r="L2710" s="148">
        <v>12.78598</v>
      </c>
      <c r="M2710" s="728"/>
      <c r="N2710" s="148">
        <v>12.78598</v>
      </c>
      <c r="O2710" s="148">
        <v>0</v>
      </c>
      <c r="P2710" s="728"/>
      <c r="Q2710" s="148">
        <v>12.78598</v>
      </c>
      <c r="R2710" s="148">
        <v>0</v>
      </c>
    </row>
    <row r="2711" spans="2:18" ht="15.75" hidden="1" thickBot="1" x14ac:dyDescent="0.3">
      <c r="B2711" s="145" t="s">
        <v>768</v>
      </c>
      <c r="C2711" s="722" t="s">
        <v>631</v>
      </c>
      <c r="D2711" t="s">
        <v>632</v>
      </c>
      <c r="E2711" s="147">
        <v>0.21498999999999999</v>
      </c>
      <c r="F2711" s="729"/>
      <c r="G2711" s="147">
        <v>0.21498999999999999</v>
      </c>
      <c r="H2711" s="147">
        <v>0</v>
      </c>
      <c r="I2711" s="729"/>
      <c r="J2711" s="147">
        <v>0.21498999999999999</v>
      </c>
      <c r="K2711" s="147">
        <v>0</v>
      </c>
      <c r="L2711" s="147">
        <v>0.59540000000000004</v>
      </c>
      <c r="M2711" s="729"/>
      <c r="N2711" s="147">
        <v>0.59540000000000004</v>
      </c>
      <c r="O2711" s="147">
        <v>0</v>
      </c>
      <c r="P2711" s="147">
        <v>5.4059999999999997E-2</v>
      </c>
      <c r="Q2711" s="147">
        <v>0.54134000000000004</v>
      </c>
      <c r="R2711" s="147">
        <v>1001.3688494265631</v>
      </c>
    </row>
    <row r="2712" spans="2:18" ht="15.75" hidden="1" thickBot="1" x14ac:dyDescent="0.3">
      <c r="B2712" s="145" t="s">
        <v>768</v>
      </c>
      <c r="C2712" s="722" t="s">
        <v>115</v>
      </c>
      <c r="D2712" t="s">
        <v>116</v>
      </c>
      <c r="E2712" s="148">
        <v>2.4685999999999999</v>
      </c>
      <c r="F2712" s="148">
        <v>3.7833299999999999</v>
      </c>
      <c r="G2712" s="148">
        <v>-1.31473</v>
      </c>
      <c r="H2712" s="148">
        <v>-34.750603304496302</v>
      </c>
      <c r="I2712" s="728"/>
      <c r="J2712" s="148">
        <v>2.4685999999999999</v>
      </c>
      <c r="K2712" s="148">
        <v>0</v>
      </c>
      <c r="L2712" s="148">
        <v>33.731050000000003</v>
      </c>
      <c r="M2712" s="148">
        <v>45.39996</v>
      </c>
      <c r="N2712" s="148">
        <v>-11.66891</v>
      </c>
      <c r="O2712" s="148">
        <v>-25.702467579266589</v>
      </c>
      <c r="P2712" s="148">
        <v>18.804349999999999</v>
      </c>
      <c r="Q2712" s="148">
        <v>14.9267</v>
      </c>
      <c r="R2712" s="148">
        <v>79.378973482199598</v>
      </c>
    </row>
    <row r="2713" spans="2:18" ht="15.75" hidden="1" thickBot="1" x14ac:dyDescent="0.3">
      <c r="B2713" s="145" t="s">
        <v>768</v>
      </c>
      <c r="C2713" s="722" t="s">
        <v>117</v>
      </c>
      <c r="D2713" t="s">
        <v>118</v>
      </c>
      <c r="E2713" s="147">
        <v>-7.8249399999999998</v>
      </c>
      <c r="F2713" s="147">
        <v>-7.45</v>
      </c>
      <c r="G2713" s="147">
        <v>-0.37494</v>
      </c>
      <c r="H2713" s="147">
        <v>-5.0327516778523487</v>
      </c>
      <c r="I2713" s="729"/>
      <c r="J2713" s="147">
        <v>-7.8249399999999998</v>
      </c>
      <c r="K2713" s="147">
        <v>0</v>
      </c>
      <c r="L2713" s="147">
        <v>-106.39532</v>
      </c>
      <c r="M2713" s="147">
        <v>-79.7</v>
      </c>
      <c r="N2713" s="147">
        <v>-26.695319999999999</v>
      </c>
      <c r="O2713" s="147">
        <v>-33.494755332496865</v>
      </c>
      <c r="P2713" s="147">
        <v>-66.129549999999995</v>
      </c>
      <c r="Q2713" s="147">
        <v>-40.265770000000003</v>
      </c>
      <c r="R2713" s="147">
        <v>-60.88922425753691</v>
      </c>
    </row>
    <row r="2714" spans="2:18" ht="15.75" hidden="1" thickBot="1" x14ac:dyDescent="0.3">
      <c r="B2714" s="145" t="s">
        <v>768</v>
      </c>
      <c r="C2714" s="722" t="s">
        <v>143</v>
      </c>
      <c r="D2714" t="s">
        <v>144</v>
      </c>
      <c r="E2714" s="148">
        <v>40.686889999999998</v>
      </c>
      <c r="F2714" s="148">
        <v>40.565510000000003</v>
      </c>
      <c r="G2714" s="148">
        <v>0.12138</v>
      </c>
      <c r="H2714" s="148">
        <v>0.2992197065931132</v>
      </c>
      <c r="I2714" s="728"/>
      <c r="J2714" s="148">
        <v>40.686889999999998</v>
      </c>
      <c r="K2714" s="148">
        <v>0</v>
      </c>
      <c r="L2714" s="148">
        <v>205.00259</v>
      </c>
      <c r="M2714" s="148">
        <v>195.19604000000001</v>
      </c>
      <c r="N2714" s="148">
        <v>9.8065499999999997</v>
      </c>
      <c r="O2714" s="148">
        <v>5.0239492563476187</v>
      </c>
      <c r="P2714" s="148">
        <v>57.548439999999999</v>
      </c>
      <c r="Q2714" s="148">
        <v>147.45415</v>
      </c>
      <c r="R2714" s="148">
        <v>256.2261461822423</v>
      </c>
    </row>
    <row r="2715" spans="2:18" ht="15.75" hidden="1" thickBot="1" x14ac:dyDescent="0.3">
      <c r="B2715" s="145" t="s">
        <v>768</v>
      </c>
      <c r="C2715" s="722" t="s">
        <v>145</v>
      </c>
      <c r="D2715" t="s">
        <v>146</v>
      </c>
      <c r="E2715" s="147">
        <v>3.43459</v>
      </c>
      <c r="F2715" s="147">
        <v>1.7483299999999999</v>
      </c>
      <c r="G2715" s="147">
        <v>1.6862600000000001</v>
      </c>
      <c r="H2715" s="147">
        <v>96.449754908970277</v>
      </c>
      <c r="I2715" s="729"/>
      <c r="J2715" s="147">
        <v>3.43459</v>
      </c>
      <c r="K2715" s="147">
        <v>0</v>
      </c>
      <c r="L2715" s="147">
        <v>53.484029999999997</v>
      </c>
      <c r="M2715" s="147">
        <v>26.002680000000002</v>
      </c>
      <c r="N2715" s="147">
        <v>27.481349999999999</v>
      </c>
      <c r="O2715" s="147">
        <v>105.68660614982764</v>
      </c>
      <c r="P2715" s="147">
        <v>33.314689999999999</v>
      </c>
      <c r="Q2715" s="147">
        <v>20.169339999999998</v>
      </c>
      <c r="R2715" s="147">
        <v>60.541881074084735</v>
      </c>
    </row>
    <row r="2716" spans="2:18" ht="15.75" hidden="1" thickBot="1" x14ac:dyDescent="0.3">
      <c r="B2716" s="145" t="s">
        <v>768</v>
      </c>
      <c r="C2716" s="722" t="s">
        <v>147</v>
      </c>
      <c r="D2716" t="s">
        <v>148</v>
      </c>
      <c r="E2716" s="148">
        <v>0.58455999999999997</v>
      </c>
      <c r="F2716" s="728"/>
      <c r="G2716" s="148">
        <v>0.58455999999999997</v>
      </c>
      <c r="H2716" s="148">
        <v>0</v>
      </c>
      <c r="I2716" s="728"/>
      <c r="J2716" s="148">
        <v>0.58455999999999997</v>
      </c>
      <c r="K2716" s="148">
        <v>0</v>
      </c>
      <c r="L2716" s="148">
        <v>4.8921099999999997</v>
      </c>
      <c r="M2716" s="728"/>
      <c r="N2716" s="148">
        <v>4.8921099999999997</v>
      </c>
      <c r="O2716" s="148">
        <v>0</v>
      </c>
      <c r="P2716" s="148">
        <v>1.9544699999999999</v>
      </c>
      <c r="Q2716" s="148">
        <v>2.93764</v>
      </c>
      <c r="R2716" s="148">
        <v>150.30366288559046</v>
      </c>
    </row>
    <row r="2717" spans="2:18" ht="15.75" hidden="1" thickBot="1" x14ac:dyDescent="0.3">
      <c r="B2717" s="145" t="s">
        <v>768</v>
      </c>
      <c r="C2717" s="722" t="s">
        <v>203</v>
      </c>
      <c r="D2717" t="s">
        <v>204</v>
      </c>
      <c r="E2717" s="147">
        <v>1.39219</v>
      </c>
      <c r="F2717" s="147">
        <v>28.166979999999999</v>
      </c>
      <c r="G2717" s="147">
        <v>-26.774789999999999</v>
      </c>
      <c r="H2717" s="147">
        <v>-95.057368592586073</v>
      </c>
      <c r="I2717" s="729"/>
      <c r="J2717" s="147">
        <v>1.39219</v>
      </c>
      <c r="K2717" s="147">
        <v>0</v>
      </c>
      <c r="L2717" s="147">
        <v>13.960100000000001</v>
      </c>
      <c r="M2717" s="147">
        <v>662.79097999999999</v>
      </c>
      <c r="N2717" s="147">
        <v>-648.83087999999998</v>
      </c>
      <c r="O2717" s="147">
        <v>-97.893740195438383</v>
      </c>
      <c r="P2717" s="147">
        <v>6.8679199999999998</v>
      </c>
      <c r="Q2717" s="147">
        <v>7.0921799999999999</v>
      </c>
      <c r="R2717" s="147">
        <v>103.26532632878659</v>
      </c>
    </row>
    <row r="2718" spans="2:18" ht="15.75" hidden="1" thickBot="1" x14ac:dyDescent="0.3">
      <c r="B2718" s="145" t="s">
        <v>768</v>
      </c>
      <c r="C2718" s="722" t="s">
        <v>641</v>
      </c>
      <c r="D2718" t="s">
        <v>642</v>
      </c>
      <c r="E2718" s="148">
        <v>84.305970000000002</v>
      </c>
      <c r="F2718" s="728"/>
      <c r="G2718" s="148">
        <v>84.305970000000002</v>
      </c>
      <c r="H2718" s="148">
        <v>0</v>
      </c>
      <c r="I2718" s="728"/>
      <c r="J2718" s="148">
        <v>84.305970000000002</v>
      </c>
      <c r="K2718" s="148">
        <v>0</v>
      </c>
      <c r="L2718" s="148">
        <v>608.62025000000006</v>
      </c>
      <c r="M2718" s="728"/>
      <c r="N2718" s="148">
        <v>608.62025000000006</v>
      </c>
      <c r="O2718" s="148">
        <v>0</v>
      </c>
      <c r="P2718" s="148">
        <v>303.87916000000001</v>
      </c>
      <c r="Q2718" s="148">
        <v>304.74108999999999</v>
      </c>
      <c r="R2718" s="148">
        <v>100.28364235309851</v>
      </c>
    </row>
    <row r="2719" spans="2:18" ht="15.75" hidden="1" thickBot="1" x14ac:dyDescent="0.3">
      <c r="B2719" s="145" t="s">
        <v>768</v>
      </c>
      <c r="C2719" s="722" t="s">
        <v>149</v>
      </c>
      <c r="D2719" t="s">
        <v>150</v>
      </c>
      <c r="E2719" s="147">
        <v>417.14357000000001</v>
      </c>
      <c r="F2719" s="147">
        <v>49.12529</v>
      </c>
      <c r="G2719" s="147">
        <v>368.01828</v>
      </c>
      <c r="H2719" s="147">
        <v>749.14220353711903</v>
      </c>
      <c r="I2719" s="729"/>
      <c r="J2719" s="147">
        <v>417.14357000000001</v>
      </c>
      <c r="K2719" s="147">
        <v>0</v>
      </c>
      <c r="L2719" s="147">
        <v>2438.9505399999998</v>
      </c>
      <c r="M2719" s="147">
        <v>739.10389999999995</v>
      </c>
      <c r="N2719" s="147">
        <v>1699.84664</v>
      </c>
      <c r="O2719" s="147">
        <v>229.9875078456493</v>
      </c>
      <c r="P2719" s="147">
        <v>1133.048</v>
      </c>
      <c r="Q2719" s="147">
        <v>1305.90254</v>
      </c>
      <c r="R2719" s="147">
        <v>115.25571202632192</v>
      </c>
    </row>
    <row r="2720" spans="2:18" ht="15.75" hidden="1" thickBot="1" x14ac:dyDescent="0.3">
      <c r="B2720" s="145" t="s">
        <v>768</v>
      </c>
      <c r="C2720" s="722" t="s">
        <v>645</v>
      </c>
      <c r="D2720" t="s">
        <v>646</v>
      </c>
      <c r="E2720" s="148">
        <v>74.472999999999999</v>
      </c>
      <c r="F2720" s="148">
        <v>128.54331999999999</v>
      </c>
      <c r="G2720" s="148">
        <v>-54.070320000000002</v>
      </c>
      <c r="H2720" s="148">
        <v>-42.063889434316771</v>
      </c>
      <c r="I2720" s="728"/>
      <c r="J2720" s="148">
        <v>74.472999999999999</v>
      </c>
      <c r="K2720" s="148">
        <v>0</v>
      </c>
      <c r="L2720" s="148">
        <v>967.21736999999996</v>
      </c>
      <c r="M2720" s="148">
        <v>1537.10052</v>
      </c>
      <c r="N2720" s="148">
        <v>-569.88315</v>
      </c>
      <c r="O2720" s="148">
        <v>-37.075203773921046</v>
      </c>
      <c r="P2720" s="148">
        <v>439.32117</v>
      </c>
      <c r="Q2720" s="148">
        <v>527.89620000000002</v>
      </c>
      <c r="R2720" s="148">
        <v>120.16179416075032</v>
      </c>
    </row>
    <row r="2721" spans="2:18" ht="15.75" hidden="1" thickBot="1" x14ac:dyDescent="0.3">
      <c r="B2721" s="145" t="s">
        <v>768</v>
      </c>
      <c r="C2721" s="722" t="s">
        <v>171</v>
      </c>
      <c r="D2721" t="s">
        <v>172</v>
      </c>
      <c r="E2721" s="147">
        <v>0.70311000000000001</v>
      </c>
      <c r="F2721" s="147">
        <v>2.32463</v>
      </c>
      <c r="G2721" s="147">
        <v>-1.6215200000000001</v>
      </c>
      <c r="H2721" s="147">
        <v>-69.75389631898409</v>
      </c>
      <c r="I2721" s="729"/>
      <c r="J2721" s="147">
        <v>0.70311000000000001</v>
      </c>
      <c r="K2721" s="147">
        <v>0</v>
      </c>
      <c r="L2721" s="147">
        <v>8.6294599999999999</v>
      </c>
      <c r="M2721" s="147">
        <v>23.550999999999998</v>
      </c>
      <c r="N2721" s="147">
        <v>-14.92154</v>
      </c>
      <c r="O2721" s="147">
        <v>-63.358413655471104</v>
      </c>
      <c r="P2721" s="147">
        <v>2.7054800000000001</v>
      </c>
      <c r="Q2721" s="147">
        <v>5.9239800000000002</v>
      </c>
      <c r="R2721" s="147">
        <v>218.96225438739151</v>
      </c>
    </row>
    <row r="2722" spans="2:18" ht="15.75" hidden="1" thickBot="1" x14ac:dyDescent="0.3">
      <c r="B2722" s="145" t="s">
        <v>768</v>
      </c>
      <c r="C2722" s="722" t="s">
        <v>647</v>
      </c>
      <c r="D2722" t="s">
        <v>648</v>
      </c>
      <c r="E2722" s="148">
        <v>-7.1475900000000001</v>
      </c>
      <c r="F2722" s="728"/>
      <c r="G2722" s="148">
        <v>-7.1475900000000001</v>
      </c>
      <c r="H2722" s="148">
        <v>0</v>
      </c>
      <c r="I2722" s="728"/>
      <c r="J2722" s="148">
        <v>-7.1475900000000001</v>
      </c>
      <c r="K2722" s="148">
        <v>0</v>
      </c>
      <c r="L2722" s="148">
        <v>-98.539410000000004</v>
      </c>
      <c r="M2722" s="728"/>
      <c r="N2722" s="148">
        <v>-98.539410000000004</v>
      </c>
      <c r="O2722" s="148">
        <v>0</v>
      </c>
      <c r="P2722" s="148">
        <v>-40.750579999999999</v>
      </c>
      <c r="Q2722" s="148">
        <v>-57.788829999999997</v>
      </c>
      <c r="R2722" s="148">
        <v>-141.81106133949504</v>
      </c>
    </row>
    <row r="2723" spans="2:18" ht="15.75" hidden="1" thickBot="1" x14ac:dyDescent="0.3">
      <c r="B2723" s="145" t="s">
        <v>768</v>
      </c>
      <c r="C2723" s="722" t="s">
        <v>205</v>
      </c>
      <c r="D2723" t="s">
        <v>206</v>
      </c>
      <c r="E2723" s="147">
        <v>25.999849999999999</v>
      </c>
      <c r="F2723" s="147">
        <v>20.170000000000002</v>
      </c>
      <c r="G2723" s="147">
        <v>5.8298500000000004</v>
      </c>
      <c r="H2723" s="147">
        <v>28.903569657907784</v>
      </c>
      <c r="I2723" s="729"/>
      <c r="J2723" s="147">
        <v>25.999849999999999</v>
      </c>
      <c r="K2723" s="147">
        <v>0</v>
      </c>
      <c r="L2723" s="147">
        <v>279.79372000000001</v>
      </c>
      <c r="M2723" s="147">
        <v>242</v>
      </c>
      <c r="N2723" s="147">
        <v>37.79372</v>
      </c>
      <c r="O2723" s="147">
        <v>15.617239669421487</v>
      </c>
      <c r="P2723" s="147">
        <v>127.92173</v>
      </c>
      <c r="Q2723" s="147">
        <v>151.87199000000001</v>
      </c>
      <c r="R2723" s="147">
        <v>118.72258919575275</v>
      </c>
    </row>
    <row r="2724" spans="2:18" ht="15.75" hidden="1" thickBot="1" x14ac:dyDescent="0.3">
      <c r="B2724" s="145" t="s">
        <v>768</v>
      </c>
      <c r="C2724" s="722" t="s">
        <v>649</v>
      </c>
      <c r="D2724" t="s">
        <v>650</v>
      </c>
      <c r="E2724" s="148">
        <v>0.59514999999999996</v>
      </c>
      <c r="F2724" s="728"/>
      <c r="G2724" s="148">
        <v>0.59514999999999996</v>
      </c>
      <c r="H2724" s="148">
        <v>0</v>
      </c>
      <c r="I2724" s="728"/>
      <c r="J2724" s="148">
        <v>0.59514999999999996</v>
      </c>
      <c r="K2724" s="148">
        <v>0</v>
      </c>
      <c r="L2724" s="148">
        <v>1.4149</v>
      </c>
      <c r="M2724" s="728"/>
      <c r="N2724" s="148">
        <v>1.4149</v>
      </c>
      <c r="O2724" s="148">
        <v>0</v>
      </c>
      <c r="P2724" s="148">
        <v>0.32181999999999999</v>
      </c>
      <c r="Q2724" s="148">
        <v>1.0930800000000001</v>
      </c>
      <c r="R2724" s="148">
        <v>339.65570815984091</v>
      </c>
    </row>
    <row r="2725" spans="2:18" ht="15.75" hidden="1" thickBot="1" x14ac:dyDescent="0.3">
      <c r="B2725" s="145" t="s">
        <v>768</v>
      </c>
      <c r="C2725" s="722" t="s">
        <v>119</v>
      </c>
      <c r="D2725" t="s">
        <v>120</v>
      </c>
      <c r="E2725" s="147">
        <v>9.5372599999999998</v>
      </c>
      <c r="F2725" s="147">
        <v>12.125</v>
      </c>
      <c r="G2725" s="147">
        <v>-2.5877400000000002</v>
      </c>
      <c r="H2725" s="147">
        <v>-21.342185567010308</v>
      </c>
      <c r="I2725" s="729"/>
      <c r="J2725" s="147">
        <v>9.5372599999999998</v>
      </c>
      <c r="K2725" s="147">
        <v>0</v>
      </c>
      <c r="L2725" s="147">
        <v>159.29671999999999</v>
      </c>
      <c r="M2725" s="147">
        <v>145.5</v>
      </c>
      <c r="N2725" s="147">
        <v>13.796720000000001</v>
      </c>
      <c r="O2725" s="147">
        <v>9.4822817869415807</v>
      </c>
      <c r="P2725" s="147">
        <v>83.38373</v>
      </c>
      <c r="Q2725" s="147">
        <v>75.912989999999994</v>
      </c>
      <c r="R2725" s="147">
        <v>91.040530328878305</v>
      </c>
    </row>
    <row r="2726" spans="2:18" ht="15.75" hidden="1" thickBot="1" x14ac:dyDescent="0.3">
      <c r="B2726" s="145" t="s">
        <v>768</v>
      </c>
      <c r="C2726" s="722" t="s">
        <v>173</v>
      </c>
      <c r="D2726" t="s">
        <v>174</v>
      </c>
      <c r="E2726" s="148">
        <v>14.246499999999999</v>
      </c>
      <c r="F2726" s="148">
        <v>9.7097999999999995</v>
      </c>
      <c r="G2726" s="148">
        <v>4.5366999999999997</v>
      </c>
      <c r="H2726" s="148">
        <v>46.722898514902468</v>
      </c>
      <c r="I2726" s="728"/>
      <c r="J2726" s="148">
        <v>14.246499999999999</v>
      </c>
      <c r="K2726" s="148">
        <v>0</v>
      </c>
      <c r="L2726" s="148">
        <v>148.79564999999999</v>
      </c>
      <c r="M2726" s="148">
        <v>101.11333999999999</v>
      </c>
      <c r="N2726" s="148">
        <v>47.682310000000001</v>
      </c>
      <c r="O2726" s="148">
        <v>47.157289038221862</v>
      </c>
      <c r="P2726" s="148">
        <v>66.568809999999999</v>
      </c>
      <c r="Q2726" s="148">
        <v>82.226839999999996</v>
      </c>
      <c r="R2726" s="148">
        <v>123.5215711381952</v>
      </c>
    </row>
    <row r="2727" spans="2:18" ht="15.75" hidden="1" thickBot="1" x14ac:dyDescent="0.3">
      <c r="B2727" s="145" t="s">
        <v>768</v>
      </c>
      <c r="C2727" s="722" t="s">
        <v>479</v>
      </c>
      <c r="D2727" t="s">
        <v>480</v>
      </c>
      <c r="E2727" s="729"/>
      <c r="F2727" s="729"/>
      <c r="G2727" s="729"/>
      <c r="H2727" s="729"/>
      <c r="I2727" s="729"/>
      <c r="J2727" s="729"/>
      <c r="K2727" s="729"/>
      <c r="L2727" s="147">
        <v>1.9413899999999999</v>
      </c>
      <c r="M2727" s="729"/>
      <c r="N2727" s="147">
        <v>1.9413899999999999</v>
      </c>
      <c r="O2727" s="147">
        <v>0</v>
      </c>
      <c r="P2727" s="147">
        <v>1.9413899999999999</v>
      </c>
      <c r="Q2727" s="147">
        <v>0</v>
      </c>
      <c r="R2727" s="147">
        <v>0</v>
      </c>
    </row>
    <row r="2728" spans="2:18" ht="15.75" hidden="1" thickBot="1" x14ac:dyDescent="0.3">
      <c r="B2728" s="145" t="s">
        <v>768</v>
      </c>
      <c r="C2728" s="722" t="s">
        <v>653</v>
      </c>
      <c r="D2728" t="s">
        <v>654</v>
      </c>
      <c r="E2728" s="728"/>
      <c r="F2728" s="728"/>
      <c r="G2728" s="728"/>
      <c r="H2728" s="728"/>
      <c r="I2728" s="728"/>
      <c r="J2728" s="728"/>
      <c r="K2728" s="728"/>
      <c r="L2728" s="148">
        <v>0.12525</v>
      </c>
      <c r="M2728" s="728"/>
      <c r="N2728" s="148">
        <v>0.12525</v>
      </c>
      <c r="O2728" s="148">
        <v>0</v>
      </c>
      <c r="P2728" s="728"/>
      <c r="Q2728" s="148">
        <v>0.12525</v>
      </c>
      <c r="R2728" s="148">
        <v>0</v>
      </c>
    </row>
    <row r="2729" spans="2:18" ht="15.75" hidden="1" thickBot="1" x14ac:dyDescent="0.3">
      <c r="B2729" s="145" t="s">
        <v>768</v>
      </c>
      <c r="C2729" s="722" t="s">
        <v>151</v>
      </c>
      <c r="D2729" t="s">
        <v>152</v>
      </c>
      <c r="E2729" s="729"/>
      <c r="F2729" s="147">
        <v>0.16941000000000001</v>
      </c>
      <c r="G2729" s="147">
        <v>-0.16941000000000001</v>
      </c>
      <c r="H2729" s="147">
        <v>-100</v>
      </c>
      <c r="I2729" s="729"/>
      <c r="J2729" s="729"/>
      <c r="K2729" s="729"/>
      <c r="L2729" s="147">
        <v>100.30056999999999</v>
      </c>
      <c r="M2729" s="147">
        <v>93.274100000000004</v>
      </c>
      <c r="N2729" s="147">
        <v>7.0264699999999998</v>
      </c>
      <c r="O2729" s="147">
        <v>7.533141568774183</v>
      </c>
      <c r="P2729" s="147">
        <v>26.369869999999999</v>
      </c>
      <c r="Q2729" s="147">
        <v>73.930700000000002</v>
      </c>
      <c r="R2729" s="147">
        <v>280.36050234604875</v>
      </c>
    </row>
    <row r="2730" spans="2:18" ht="15.75" hidden="1" thickBot="1" x14ac:dyDescent="0.3">
      <c r="B2730" s="145" t="s">
        <v>768</v>
      </c>
      <c r="C2730" s="722" t="s">
        <v>481</v>
      </c>
      <c r="D2730" t="s">
        <v>482</v>
      </c>
      <c r="E2730" s="148">
        <v>7.0050000000000001E-2</v>
      </c>
      <c r="F2730" s="148">
        <v>3.5000000000000003E-2</v>
      </c>
      <c r="G2730" s="148">
        <v>3.5049999999999998E-2</v>
      </c>
      <c r="H2730" s="148">
        <v>100.14285714285714</v>
      </c>
      <c r="I2730" s="728"/>
      <c r="J2730" s="148">
        <v>7.0050000000000001E-2</v>
      </c>
      <c r="K2730" s="148">
        <v>0</v>
      </c>
      <c r="L2730" s="148">
        <v>2.3687900000000002</v>
      </c>
      <c r="M2730" s="148">
        <v>0.42</v>
      </c>
      <c r="N2730" s="148">
        <v>1.94879</v>
      </c>
      <c r="O2730" s="148">
        <v>463.99761904761903</v>
      </c>
      <c r="P2730" s="148">
        <v>0.81430000000000002</v>
      </c>
      <c r="Q2730" s="148">
        <v>1.5544899999999999</v>
      </c>
      <c r="R2730" s="148">
        <v>190.89893159769127</v>
      </c>
    </row>
    <row r="2731" spans="2:18" ht="15.75" hidden="1" thickBot="1" x14ac:dyDescent="0.3">
      <c r="B2731" s="145" t="s">
        <v>768</v>
      </c>
      <c r="C2731" s="722" t="s">
        <v>483</v>
      </c>
      <c r="D2731" t="s">
        <v>484</v>
      </c>
      <c r="E2731" s="147">
        <v>0.5</v>
      </c>
      <c r="F2731" s="729"/>
      <c r="G2731" s="147">
        <v>0.5</v>
      </c>
      <c r="H2731" s="147">
        <v>0</v>
      </c>
      <c r="I2731" s="729"/>
      <c r="J2731" s="147">
        <v>0.5</v>
      </c>
      <c r="K2731" s="147">
        <v>0</v>
      </c>
      <c r="L2731" s="147">
        <v>1.1000000000000001</v>
      </c>
      <c r="M2731" s="729"/>
      <c r="N2731" s="147">
        <v>1.1000000000000001</v>
      </c>
      <c r="O2731" s="147">
        <v>0</v>
      </c>
      <c r="P2731" s="147">
        <v>0.6</v>
      </c>
      <c r="Q2731" s="147">
        <v>0.5</v>
      </c>
      <c r="R2731" s="147">
        <v>83.333333333333329</v>
      </c>
    </row>
    <row r="2732" spans="2:18" ht="15.75" hidden="1" thickBot="1" x14ac:dyDescent="0.3">
      <c r="B2732" s="145" t="s">
        <v>768</v>
      </c>
      <c r="C2732" s="722" t="s">
        <v>175</v>
      </c>
      <c r="D2732" t="s">
        <v>176</v>
      </c>
      <c r="E2732" s="148">
        <v>1.06393</v>
      </c>
      <c r="F2732" s="148">
        <v>0</v>
      </c>
      <c r="G2732" s="148">
        <v>1.06393</v>
      </c>
      <c r="H2732" s="148">
        <v>0</v>
      </c>
      <c r="I2732" s="728"/>
      <c r="J2732" s="148">
        <v>1.06393</v>
      </c>
      <c r="K2732" s="148">
        <v>0</v>
      </c>
      <c r="L2732" s="148">
        <v>16.723109999999998</v>
      </c>
      <c r="M2732" s="148">
        <v>0</v>
      </c>
      <c r="N2732" s="148">
        <v>16.723109999999998</v>
      </c>
      <c r="O2732" s="148">
        <v>0</v>
      </c>
      <c r="P2732" s="148">
        <v>12.41015</v>
      </c>
      <c r="Q2732" s="148">
        <v>4.3129600000000003</v>
      </c>
      <c r="R2732" s="148">
        <v>34.75348807226343</v>
      </c>
    </row>
    <row r="2733" spans="2:18" ht="15.75" hidden="1" thickBot="1" x14ac:dyDescent="0.3">
      <c r="B2733" s="145" t="s">
        <v>768</v>
      </c>
      <c r="C2733" s="722" t="s">
        <v>655</v>
      </c>
      <c r="D2733" t="s">
        <v>656</v>
      </c>
      <c r="E2733" s="729"/>
      <c r="F2733" s="147">
        <v>0</v>
      </c>
      <c r="G2733" s="147">
        <v>0</v>
      </c>
      <c r="H2733" s="147">
        <v>0</v>
      </c>
      <c r="I2733" s="729"/>
      <c r="J2733" s="729"/>
      <c r="K2733" s="729"/>
      <c r="L2733" s="147">
        <v>0.78273000000000004</v>
      </c>
      <c r="M2733" s="147">
        <v>0</v>
      </c>
      <c r="N2733" s="147">
        <v>0.78273000000000004</v>
      </c>
      <c r="O2733" s="147">
        <v>0</v>
      </c>
      <c r="P2733" s="147">
        <v>0.91861000000000004</v>
      </c>
      <c r="Q2733" s="147">
        <v>-0.13588</v>
      </c>
      <c r="R2733" s="147">
        <v>-14.791913869868607</v>
      </c>
    </row>
    <row r="2734" spans="2:18" ht="15.75" hidden="1" thickBot="1" x14ac:dyDescent="0.3">
      <c r="B2734" s="145" t="s">
        <v>768</v>
      </c>
      <c r="C2734" s="722" t="s">
        <v>657</v>
      </c>
      <c r="D2734" t="s">
        <v>658</v>
      </c>
      <c r="E2734" s="148">
        <v>3.2280000000000003E-2</v>
      </c>
      <c r="F2734" s="728"/>
      <c r="G2734" s="148">
        <v>3.2280000000000003E-2</v>
      </c>
      <c r="H2734" s="148">
        <v>0</v>
      </c>
      <c r="I2734" s="728"/>
      <c r="J2734" s="148">
        <v>3.2280000000000003E-2</v>
      </c>
      <c r="K2734" s="148">
        <v>0</v>
      </c>
      <c r="L2734" s="148">
        <v>3.2280000000000003E-2</v>
      </c>
      <c r="M2734" s="728"/>
      <c r="N2734" s="148">
        <v>3.2280000000000003E-2</v>
      </c>
      <c r="O2734" s="148">
        <v>0</v>
      </c>
      <c r="P2734" s="728"/>
      <c r="Q2734" s="148">
        <v>3.2280000000000003E-2</v>
      </c>
      <c r="R2734" s="148">
        <v>0</v>
      </c>
    </row>
    <row r="2735" spans="2:18" ht="15.75" hidden="1" thickBot="1" x14ac:dyDescent="0.3">
      <c r="B2735" s="145" t="s">
        <v>768</v>
      </c>
      <c r="C2735" s="722" t="s">
        <v>661</v>
      </c>
      <c r="D2735" t="s">
        <v>662</v>
      </c>
      <c r="E2735" s="147">
        <v>-178.13567</v>
      </c>
      <c r="F2735" s="729"/>
      <c r="G2735" s="147">
        <v>-178.13567</v>
      </c>
      <c r="H2735" s="147">
        <v>0</v>
      </c>
      <c r="I2735" s="729"/>
      <c r="J2735" s="147">
        <v>-178.13567</v>
      </c>
      <c r="K2735" s="147">
        <v>0</v>
      </c>
      <c r="L2735" s="147">
        <v>-245.03122999999999</v>
      </c>
      <c r="M2735" s="729"/>
      <c r="N2735" s="147">
        <v>-245.03122999999999</v>
      </c>
      <c r="O2735" s="147">
        <v>0</v>
      </c>
      <c r="P2735" s="147">
        <v>-58.311999999999998</v>
      </c>
      <c r="Q2735" s="147">
        <v>-186.71923000000001</v>
      </c>
      <c r="R2735" s="147">
        <v>-320.20721292358348</v>
      </c>
    </row>
    <row r="2736" spans="2:18" ht="15.75" hidden="1" thickBot="1" x14ac:dyDescent="0.3">
      <c r="B2736" s="145" t="s">
        <v>768</v>
      </c>
      <c r="C2736" s="722" t="s">
        <v>663</v>
      </c>
      <c r="D2736" t="s">
        <v>664</v>
      </c>
      <c r="E2736" s="148">
        <v>-34.99785</v>
      </c>
      <c r="F2736" s="728"/>
      <c r="G2736" s="148">
        <v>-34.99785</v>
      </c>
      <c r="H2736" s="148">
        <v>0</v>
      </c>
      <c r="I2736" s="728"/>
      <c r="J2736" s="148">
        <v>-34.99785</v>
      </c>
      <c r="K2736" s="148">
        <v>0</v>
      </c>
      <c r="L2736" s="148">
        <v>-38.764560000000003</v>
      </c>
      <c r="M2736" s="728"/>
      <c r="N2736" s="148">
        <v>-38.764560000000003</v>
      </c>
      <c r="O2736" s="148">
        <v>0</v>
      </c>
      <c r="P2736" s="148">
        <v>-3.0007199999999998</v>
      </c>
      <c r="Q2736" s="148">
        <v>-35.763840000000002</v>
      </c>
      <c r="R2736" s="148">
        <v>-1191.8419579300967</v>
      </c>
    </row>
    <row r="2737" spans="2:18" ht="15.75" hidden="1" thickBot="1" x14ac:dyDescent="0.3">
      <c r="B2737" s="145" t="s">
        <v>768</v>
      </c>
      <c r="C2737" s="722" t="s">
        <v>665</v>
      </c>
      <c r="D2737" t="s">
        <v>666</v>
      </c>
      <c r="E2737" s="147">
        <v>2.9803199999999999</v>
      </c>
      <c r="F2737" s="147">
        <v>1.0965</v>
      </c>
      <c r="G2737" s="147">
        <v>1.8838200000000001</v>
      </c>
      <c r="H2737" s="147">
        <v>171.8030095759234</v>
      </c>
      <c r="I2737" s="729"/>
      <c r="J2737" s="147">
        <v>2.9803199999999999</v>
      </c>
      <c r="K2737" s="147">
        <v>0</v>
      </c>
      <c r="L2737" s="147">
        <v>18.23197</v>
      </c>
      <c r="M2737" s="147">
        <v>13.15789</v>
      </c>
      <c r="N2737" s="147">
        <v>5.0740800000000004</v>
      </c>
      <c r="O2737" s="147">
        <v>38.563021882687877</v>
      </c>
      <c r="P2737" s="147">
        <v>13.45027</v>
      </c>
      <c r="Q2737" s="147">
        <v>4.7816999999999998</v>
      </c>
      <c r="R2737" s="147">
        <v>35.550959200075539</v>
      </c>
    </row>
    <row r="2738" spans="2:18" ht="15.75" hidden="1" thickBot="1" x14ac:dyDescent="0.3">
      <c r="B2738" s="145" t="s">
        <v>768</v>
      </c>
      <c r="C2738" s="722" t="s">
        <v>667</v>
      </c>
      <c r="D2738" t="s">
        <v>668</v>
      </c>
      <c r="E2738" s="148">
        <v>68.438460000000006</v>
      </c>
      <c r="F2738" s="148">
        <v>10</v>
      </c>
      <c r="G2738" s="148">
        <v>58.438459999999999</v>
      </c>
      <c r="H2738" s="148">
        <v>584.38459999999998</v>
      </c>
      <c r="I2738" s="728"/>
      <c r="J2738" s="148">
        <v>68.438460000000006</v>
      </c>
      <c r="K2738" s="148">
        <v>0</v>
      </c>
      <c r="L2738" s="148">
        <v>169.81845999999999</v>
      </c>
      <c r="M2738" s="148">
        <v>770</v>
      </c>
      <c r="N2738" s="148">
        <v>-600.18154000000004</v>
      </c>
      <c r="O2738" s="148">
        <v>-77.945654545454545</v>
      </c>
      <c r="P2738" s="728"/>
      <c r="Q2738" s="148">
        <v>169.81845999999999</v>
      </c>
      <c r="R2738" s="148">
        <v>0</v>
      </c>
    </row>
    <row r="2739" spans="2:18" ht="15.75" hidden="1" thickBot="1" x14ac:dyDescent="0.3">
      <c r="B2739" s="145" t="s">
        <v>768</v>
      </c>
      <c r="C2739" s="722" t="s">
        <v>153</v>
      </c>
      <c r="D2739" t="s">
        <v>154</v>
      </c>
      <c r="E2739" s="147">
        <v>18.20515</v>
      </c>
      <c r="F2739" s="147">
        <v>5.5</v>
      </c>
      <c r="G2739" s="147">
        <v>12.70515</v>
      </c>
      <c r="H2739" s="147">
        <v>231.00272727272727</v>
      </c>
      <c r="I2739" s="729"/>
      <c r="J2739" s="147">
        <v>18.20515</v>
      </c>
      <c r="K2739" s="147">
        <v>0</v>
      </c>
      <c r="L2739" s="147">
        <v>122.1794</v>
      </c>
      <c r="M2739" s="147">
        <v>113</v>
      </c>
      <c r="N2739" s="147">
        <v>9.1793999999999993</v>
      </c>
      <c r="O2739" s="147">
        <v>8.1233628318584064</v>
      </c>
      <c r="P2739" s="147">
        <v>96.714250000000007</v>
      </c>
      <c r="Q2739" s="147">
        <v>25.465150000000001</v>
      </c>
      <c r="R2739" s="147">
        <v>26.330297758603308</v>
      </c>
    </row>
    <row r="2740" spans="2:18" ht="15.75" hidden="1" thickBot="1" x14ac:dyDescent="0.3">
      <c r="B2740" s="145" t="s">
        <v>768</v>
      </c>
      <c r="C2740" s="722" t="s">
        <v>207</v>
      </c>
      <c r="D2740" t="s">
        <v>208</v>
      </c>
      <c r="E2740" s="148">
        <v>0.41632000000000002</v>
      </c>
      <c r="F2740" s="728"/>
      <c r="G2740" s="148">
        <v>0.41632000000000002</v>
      </c>
      <c r="H2740" s="148">
        <v>0</v>
      </c>
      <c r="I2740" s="728"/>
      <c r="J2740" s="148">
        <v>0.41632000000000002</v>
      </c>
      <c r="K2740" s="148">
        <v>0</v>
      </c>
      <c r="L2740" s="148">
        <v>10.49234</v>
      </c>
      <c r="M2740" s="728"/>
      <c r="N2740" s="148">
        <v>10.49234</v>
      </c>
      <c r="O2740" s="148">
        <v>0</v>
      </c>
      <c r="P2740" s="148">
        <v>5.7104400000000002</v>
      </c>
      <c r="Q2740" s="148">
        <v>4.7819000000000003</v>
      </c>
      <c r="R2740" s="148">
        <v>83.739606755346344</v>
      </c>
    </row>
    <row r="2741" spans="2:18" ht="15.75" hidden="1" thickBot="1" x14ac:dyDescent="0.3">
      <c r="B2741" s="145" t="s">
        <v>768</v>
      </c>
      <c r="C2741" s="722" t="s">
        <v>673</v>
      </c>
      <c r="D2741" t="s">
        <v>674</v>
      </c>
      <c r="E2741" s="147">
        <v>1.12948</v>
      </c>
      <c r="F2741" s="147">
        <v>3</v>
      </c>
      <c r="G2741" s="147">
        <v>-1.87052</v>
      </c>
      <c r="H2741" s="147">
        <v>-62.350666666666669</v>
      </c>
      <c r="I2741" s="729"/>
      <c r="J2741" s="147">
        <v>1.12948</v>
      </c>
      <c r="K2741" s="147">
        <v>0</v>
      </c>
      <c r="L2741" s="147">
        <v>27.936229999999998</v>
      </c>
      <c r="M2741" s="147">
        <v>36</v>
      </c>
      <c r="N2741" s="147">
        <v>-8.0637699999999999</v>
      </c>
      <c r="O2741" s="147">
        <v>-22.399361111111112</v>
      </c>
      <c r="P2741" s="147">
        <v>14.197559999999999</v>
      </c>
      <c r="Q2741" s="147">
        <v>13.738670000000001</v>
      </c>
      <c r="R2741" s="147">
        <v>96.767824893855007</v>
      </c>
    </row>
    <row r="2742" spans="2:18" ht="15.75" hidden="1" thickBot="1" x14ac:dyDescent="0.3">
      <c r="B2742" s="145" t="s">
        <v>768</v>
      </c>
      <c r="C2742" s="722" t="s">
        <v>75</v>
      </c>
      <c r="D2742" t="s">
        <v>76</v>
      </c>
      <c r="E2742" s="148">
        <v>18.63205</v>
      </c>
      <c r="F2742" s="148">
        <v>21.481660000000002</v>
      </c>
      <c r="G2742" s="148">
        <v>-2.8496100000000002</v>
      </c>
      <c r="H2742" s="148">
        <v>-13.265315622721895</v>
      </c>
      <c r="I2742" s="728"/>
      <c r="J2742" s="148">
        <v>18.63205</v>
      </c>
      <c r="K2742" s="148">
        <v>0</v>
      </c>
      <c r="L2742" s="148">
        <v>255.99563000000001</v>
      </c>
      <c r="M2742" s="148">
        <v>224.95801</v>
      </c>
      <c r="N2742" s="148">
        <v>31.03762</v>
      </c>
      <c r="O2742" s="148">
        <v>13.797072618129935</v>
      </c>
      <c r="P2742" s="148">
        <v>122.65366</v>
      </c>
      <c r="Q2742" s="148">
        <v>133.34197</v>
      </c>
      <c r="R2742" s="148">
        <v>108.71422018715137</v>
      </c>
    </row>
    <row r="2743" spans="2:18" ht="15.75" hidden="1" thickBot="1" x14ac:dyDescent="0.3">
      <c r="B2743" s="145" t="s">
        <v>768</v>
      </c>
      <c r="C2743" s="722" t="s">
        <v>121</v>
      </c>
      <c r="D2743" t="s">
        <v>122</v>
      </c>
      <c r="E2743" s="147">
        <v>3.33277</v>
      </c>
      <c r="F2743" s="147">
        <v>5.26213</v>
      </c>
      <c r="G2743" s="147">
        <v>-1.92936</v>
      </c>
      <c r="H2743" s="147">
        <v>-36.665000674631756</v>
      </c>
      <c r="I2743" s="729"/>
      <c r="J2743" s="147">
        <v>3.33277</v>
      </c>
      <c r="K2743" s="147">
        <v>0</v>
      </c>
      <c r="L2743" s="147">
        <v>100.94601</v>
      </c>
      <c r="M2743" s="147">
        <v>59.646000000000001</v>
      </c>
      <c r="N2743" s="147">
        <v>41.30001</v>
      </c>
      <c r="O2743" s="147">
        <v>69.24187707474097</v>
      </c>
      <c r="P2743" s="147">
        <v>58.706440000000001</v>
      </c>
      <c r="Q2743" s="147">
        <v>42.239570000000001</v>
      </c>
      <c r="R2743" s="147">
        <v>71.950487885145137</v>
      </c>
    </row>
    <row r="2744" spans="2:18" ht="15.75" hidden="1" thickBot="1" x14ac:dyDescent="0.3">
      <c r="B2744" s="145" t="s">
        <v>768</v>
      </c>
      <c r="C2744" s="722" t="s">
        <v>77</v>
      </c>
      <c r="D2744" t="s">
        <v>78</v>
      </c>
      <c r="E2744" s="148">
        <v>9.19862</v>
      </c>
      <c r="F2744" s="148">
        <v>31.824670000000001</v>
      </c>
      <c r="G2744" s="148">
        <v>-22.626049999999999</v>
      </c>
      <c r="H2744" s="148">
        <v>-71.095945378223874</v>
      </c>
      <c r="I2744" s="728"/>
      <c r="J2744" s="148">
        <v>9.19862</v>
      </c>
      <c r="K2744" s="148">
        <v>0</v>
      </c>
      <c r="L2744" s="148">
        <v>248.44942</v>
      </c>
      <c r="M2744" s="148">
        <v>329.49603999999999</v>
      </c>
      <c r="N2744" s="148">
        <v>-81.046620000000004</v>
      </c>
      <c r="O2744" s="148">
        <v>-24.59714538602649</v>
      </c>
      <c r="P2744" s="148">
        <v>152.89177000000001</v>
      </c>
      <c r="Q2744" s="148">
        <v>95.557649999999995</v>
      </c>
      <c r="R2744" s="148">
        <v>62.500192129373609</v>
      </c>
    </row>
    <row r="2745" spans="2:18" ht="15.75" hidden="1" thickBot="1" x14ac:dyDescent="0.3">
      <c r="B2745" s="145" t="s">
        <v>768</v>
      </c>
      <c r="C2745" s="722" t="s">
        <v>79</v>
      </c>
      <c r="D2745" t="s">
        <v>80</v>
      </c>
      <c r="E2745" s="147">
        <v>16.952310000000001</v>
      </c>
      <c r="F2745" s="147">
        <v>2.95</v>
      </c>
      <c r="G2745" s="147">
        <v>14.00231</v>
      </c>
      <c r="H2745" s="147">
        <v>474.65457627118644</v>
      </c>
      <c r="I2745" s="729"/>
      <c r="J2745" s="147">
        <v>16.952310000000001</v>
      </c>
      <c r="K2745" s="147">
        <v>0</v>
      </c>
      <c r="L2745" s="147">
        <v>84.790149999999997</v>
      </c>
      <c r="M2745" s="147">
        <v>29.1</v>
      </c>
      <c r="N2745" s="147">
        <v>55.690150000000003</v>
      </c>
      <c r="O2745" s="147">
        <v>191.37508591065293</v>
      </c>
      <c r="P2745" s="147">
        <v>29.021889999999999</v>
      </c>
      <c r="Q2745" s="147">
        <v>55.768259999999998</v>
      </c>
      <c r="R2745" s="147">
        <v>192.1592976887446</v>
      </c>
    </row>
    <row r="2746" spans="2:18" ht="15.75" hidden="1" thickBot="1" x14ac:dyDescent="0.3">
      <c r="B2746" s="145" t="s">
        <v>768</v>
      </c>
      <c r="C2746" s="722" t="s">
        <v>81</v>
      </c>
      <c r="D2746" t="s">
        <v>82</v>
      </c>
      <c r="E2746" s="148">
        <v>41.45682</v>
      </c>
      <c r="F2746" s="148">
        <v>57.869709999999998</v>
      </c>
      <c r="G2746" s="148">
        <v>-16.412890000000001</v>
      </c>
      <c r="H2746" s="148">
        <v>-28.361797562144343</v>
      </c>
      <c r="I2746" s="728"/>
      <c r="J2746" s="148">
        <v>41.45682</v>
      </c>
      <c r="K2746" s="148">
        <v>0</v>
      </c>
      <c r="L2746" s="148">
        <v>78.037840000000003</v>
      </c>
      <c r="M2746" s="148">
        <v>105.27045</v>
      </c>
      <c r="N2746" s="148">
        <v>-27.232610000000001</v>
      </c>
      <c r="O2746" s="148">
        <v>-25.869187412042031</v>
      </c>
      <c r="P2746" s="148">
        <v>19.45374</v>
      </c>
      <c r="Q2746" s="148">
        <v>58.584099999999999</v>
      </c>
      <c r="R2746" s="148">
        <v>301.14569229361553</v>
      </c>
    </row>
    <row r="2747" spans="2:18" ht="15.75" hidden="1" thickBot="1" x14ac:dyDescent="0.3">
      <c r="B2747" s="145" t="s">
        <v>768</v>
      </c>
      <c r="C2747" s="722" t="s">
        <v>123</v>
      </c>
      <c r="D2747" t="s">
        <v>124</v>
      </c>
      <c r="E2747" s="147">
        <v>10.15335</v>
      </c>
      <c r="F2747" s="147">
        <v>5.6147099999999996</v>
      </c>
      <c r="G2747" s="147">
        <v>4.53864</v>
      </c>
      <c r="H2747" s="147">
        <v>80.83480714052908</v>
      </c>
      <c r="I2747" s="729"/>
      <c r="J2747" s="147">
        <v>10.15335</v>
      </c>
      <c r="K2747" s="147">
        <v>0</v>
      </c>
      <c r="L2747" s="147">
        <v>31.486440000000002</v>
      </c>
      <c r="M2747" s="147">
        <v>21.19764</v>
      </c>
      <c r="N2747" s="147">
        <v>10.2888</v>
      </c>
      <c r="O2747" s="147">
        <v>48.537478700459104</v>
      </c>
      <c r="P2747" s="147">
        <v>13.714040000000001</v>
      </c>
      <c r="Q2747" s="147">
        <v>17.772400000000001</v>
      </c>
      <c r="R2747" s="147">
        <v>129.59273853656543</v>
      </c>
    </row>
    <row r="2748" spans="2:18" ht="15.75" hidden="1" thickBot="1" x14ac:dyDescent="0.3">
      <c r="B2748" s="145" t="s">
        <v>768</v>
      </c>
      <c r="C2748" s="722" t="s">
        <v>125</v>
      </c>
      <c r="D2748" t="s">
        <v>126</v>
      </c>
      <c r="E2748" s="148">
        <v>0.37398999999999999</v>
      </c>
      <c r="F2748" s="728"/>
      <c r="G2748" s="148">
        <v>0.37398999999999999</v>
      </c>
      <c r="H2748" s="148">
        <v>0</v>
      </c>
      <c r="I2748" s="728"/>
      <c r="J2748" s="148">
        <v>0.37398999999999999</v>
      </c>
      <c r="K2748" s="148">
        <v>0</v>
      </c>
      <c r="L2748" s="148">
        <v>1.0730900000000001</v>
      </c>
      <c r="M2748" s="728"/>
      <c r="N2748" s="148">
        <v>1.0730900000000001</v>
      </c>
      <c r="O2748" s="148">
        <v>0</v>
      </c>
      <c r="P2748" s="148">
        <v>0.37247000000000002</v>
      </c>
      <c r="Q2748" s="148">
        <v>0.70062000000000002</v>
      </c>
      <c r="R2748" s="148">
        <v>188.10105511853303</v>
      </c>
    </row>
    <row r="2749" spans="2:18" ht="15.75" hidden="1" thickBot="1" x14ac:dyDescent="0.3">
      <c r="B2749" s="145" t="s">
        <v>768</v>
      </c>
      <c r="C2749" s="722" t="s">
        <v>677</v>
      </c>
      <c r="D2749" t="s">
        <v>678</v>
      </c>
      <c r="E2749" s="147">
        <v>0.375</v>
      </c>
      <c r="F2749" s="147">
        <v>0.58699999999999997</v>
      </c>
      <c r="G2749" s="147">
        <v>-0.21199999999999999</v>
      </c>
      <c r="H2749" s="147">
        <v>-36.115843270868822</v>
      </c>
      <c r="I2749" s="729"/>
      <c r="J2749" s="147">
        <v>0.375</v>
      </c>
      <c r="K2749" s="147">
        <v>0</v>
      </c>
      <c r="L2749" s="147">
        <v>2.1749999999999998</v>
      </c>
      <c r="M2749" s="147">
        <v>7</v>
      </c>
      <c r="N2749" s="147">
        <v>-4.8250000000000002</v>
      </c>
      <c r="O2749" s="147">
        <v>-68.928571428571431</v>
      </c>
      <c r="P2749" s="729"/>
      <c r="Q2749" s="147">
        <v>2.1749999999999998</v>
      </c>
      <c r="R2749" s="147">
        <v>0</v>
      </c>
    </row>
    <row r="2750" spans="2:18" ht="15.75" hidden="1" thickBot="1" x14ac:dyDescent="0.3">
      <c r="B2750" s="145" t="s">
        <v>768</v>
      </c>
      <c r="C2750" s="722" t="s">
        <v>681</v>
      </c>
      <c r="D2750" t="s">
        <v>682</v>
      </c>
      <c r="E2750" s="148">
        <v>0.41971999999999998</v>
      </c>
      <c r="F2750" s="728"/>
      <c r="G2750" s="148">
        <v>0.41971999999999998</v>
      </c>
      <c r="H2750" s="148">
        <v>0</v>
      </c>
      <c r="I2750" s="728"/>
      <c r="J2750" s="148">
        <v>0.41971999999999998</v>
      </c>
      <c r="K2750" s="148">
        <v>0</v>
      </c>
      <c r="L2750" s="148">
        <v>1.0495300000000001</v>
      </c>
      <c r="M2750" s="728"/>
      <c r="N2750" s="148">
        <v>1.0495300000000001</v>
      </c>
      <c r="O2750" s="148">
        <v>0</v>
      </c>
      <c r="P2750" s="728"/>
      <c r="Q2750" s="148">
        <v>1.0495300000000001</v>
      </c>
      <c r="R2750" s="148">
        <v>0</v>
      </c>
    </row>
    <row r="2751" spans="2:18" ht="15.75" hidden="1" thickBot="1" x14ac:dyDescent="0.3">
      <c r="B2751" s="145" t="s">
        <v>768</v>
      </c>
      <c r="C2751" s="722" t="s">
        <v>683</v>
      </c>
      <c r="D2751" t="s">
        <v>684</v>
      </c>
      <c r="E2751" s="147">
        <v>0.37440000000000001</v>
      </c>
      <c r="F2751" s="729"/>
      <c r="G2751" s="147">
        <v>0.37440000000000001</v>
      </c>
      <c r="H2751" s="147">
        <v>0</v>
      </c>
      <c r="I2751" s="729"/>
      <c r="J2751" s="147">
        <v>0.37440000000000001</v>
      </c>
      <c r="K2751" s="147">
        <v>0</v>
      </c>
      <c r="L2751" s="147">
        <v>0.92517000000000005</v>
      </c>
      <c r="M2751" s="729"/>
      <c r="N2751" s="147">
        <v>0.92517000000000005</v>
      </c>
      <c r="O2751" s="147">
        <v>0</v>
      </c>
      <c r="P2751" s="729"/>
      <c r="Q2751" s="147">
        <v>0.92517000000000005</v>
      </c>
      <c r="R2751" s="147">
        <v>0</v>
      </c>
    </row>
    <row r="2752" spans="2:18" ht="15.75" hidden="1" thickBot="1" x14ac:dyDescent="0.3">
      <c r="B2752" s="145" t="s">
        <v>768</v>
      </c>
      <c r="C2752" s="722" t="s">
        <v>685</v>
      </c>
      <c r="D2752" t="s">
        <v>686</v>
      </c>
      <c r="E2752" s="148">
        <v>-0.29038000000000003</v>
      </c>
      <c r="F2752" s="728"/>
      <c r="G2752" s="148">
        <v>-0.29038000000000003</v>
      </c>
      <c r="H2752" s="148">
        <v>0</v>
      </c>
      <c r="I2752" s="728"/>
      <c r="J2752" s="148">
        <v>-0.29038000000000003</v>
      </c>
      <c r="K2752" s="148">
        <v>0</v>
      </c>
      <c r="L2752" s="148">
        <v>-3.42733</v>
      </c>
      <c r="M2752" s="728"/>
      <c r="N2752" s="148">
        <v>-3.42733</v>
      </c>
      <c r="O2752" s="148">
        <v>0</v>
      </c>
      <c r="P2752" s="148">
        <v>-2.2319499999999999</v>
      </c>
      <c r="Q2752" s="148">
        <v>-1.1953800000000001</v>
      </c>
      <c r="R2752" s="148">
        <v>-53.557651381079324</v>
      </c>
    </row>
    <row r="2753" spans="2:18" ht="15.75" hidden="1" thickBot="1" x14ac:dyDescent="0.3">
      <c r="B2753" s="145" t="s">
        <v>768</v>
      </c>
      <c r="C2753" s="722" t="s">
        <v>687</v>
      </c>
      <c r="D2753" t="s">
        <v>688</v>
      </c>
      <c r="E2753" s="147">
        <v>7.6091199999999999</v>
      </c>
      <c r="F2753" s="729"/>
      <c r="G2753" s="147">
        <v>7.6091199999999999</v>
      </c>
      <c r="H2753" s="147">
        <v>0</v>
      </c>
      <c r="I2753" s="729"/>
      <c r="J2753" s="147">
        <v>7.6091199999999999</v>
      </c>
      <c r="K2753" s="147">
        <v>0</v>
      </c>
      <c r="L2753" s="147">
        <v>-60.251989999999999</v>
      </c>
      <c r="M2753" s="729"/>
      <c r="N2753" s="147">
        <v>-60.251989999999999</v>
      </c>
      <c r="O2753" s="147">
        <v>0</v>
      </c>
      <c r="P2753" s="147">
        <v>-42.937730000000002</v>
      </c>
      <c r="Q2753" s="147">
        <v>-17.314260000000001</v>
      </c>
      <c r="R2753" s="147">
        <v>-40.324115876642757</v>
      </c>
    </row>
    <row r="2754" spans="2:18" ht="15.75" hidden="1" thickBot="1" x14ac:dyDescent="0.3">
      <c r="B2754" s="145" t="s">
        <v>768</v>
      </c>
      <c r="C2754" s="722" t="s">
        <v>691</v>
      </c>
      <c r="D2754" t="s">
        <v>692</v>
      </c>
      <c r="E2754" s="148">
        <v>5.0939100000000002</v>
      </c>
      <c r="F2754" s="148">
        <v>1.6</v>
      </c>
      <c r="G2754" s="148">
        <v>3.4939100000000001</v>
      </c>
      <c r="H2754" s="148">
        <v>218.36937499999999</v>
      </c>
      <c r="I2754" s="728"/>
      <c r="J2754" s="148">
        <v>5.0939100000000002</v>
      </c>
      <c r="K2754" s="148">
        <v>0</v>
      </c>
      <c r="L2754" s="148">
        <v>-33.261369999999999</v>
      </c>
      <c r="M2754" s="148">
        <v>19</v>
      </c>
      <c r="N2754" s="148">
        <v>-52.261369999999999</v>
      </c>
      <c r="O2754" s="148">
        <v>-275.05984210526316</v>
      </c>
      <c r="P2754" s="148">
        <v>-34.284480000000002</v>
      </c>
      <c r="Q2754" s="148">
        <v>1.02311</v>
      </c>
      <c r="R2754" s="148">
        <v>2.9841782637508283</v>
      </c>
    </row>
    <row r="2755" spans="2:18" ht="15.75" hidden="1" thickBot="1" x14ac:dyDescent="0.3">
      <c r="B2755" s="145" t="s">
        <v>768</v>
      </c>
      <c r="C2755" s="722" t="s">
        <v>693</v>
      </c>
      <c r="D2755" t="s">
        <v>694</v>
      </c>
      <c r="E2755" s="147">
        <v>32.944899999999997</v>
      </c>
      <c r="F2755" s="147">
        <v>10.91667</v>
      </c>
      <c r="G2755" s="147">
        <v>22.028230000000001</v>
      </c>
      <c r="H2755" s="147">
        <v>201.78525136328201</v>
      </c>
      <c r="I2755" s="729"/>
      <c r="J2755" s="147">
        <v>32.944899999999997</v>
      </c>
      <c r="K2755" s="147">
        <v>0</v>
      </c>
      <c r="L2755" s="147">
        <v>336.70578999999998</v>
      </c>
      <c r="M2755" s="147">
        <v>131</v>
      </c>
      <c r="N2755" s="147">
        <v>205.70579000000001</v>
      </c>
      <c r="O2755" s="147">
        <v>157.02732061068701</v>
      </c>
      <c r="P2755" s="147">
        <v>154.10181</v>
      </c>
      <c r="Q2755" s="147">
        <v>182.60398000000001</v>
      </c>
      <c r="R2755" s="147">
        <v>118.49567503457617</v>
      </c>
    </row>
    <row r="2756" spans="2:18" ht="15.75" hidden="1" thickBot="1" x14ac:dyDescent="0.3">
      <c r="B2756" s="145" t="s">
        <v>768</v>
      </c>
      <c r="C2756" s="722" t="s">
        <v>209</v>
      </c>
      <c r="D2756" t="s">
        <v>210</v>
      </c>
      <c r="E2756" s="148">
        <v>1.94259</v>
      </c>
      <c r="F2756" s="728"/>
      <c r="G2756" s="148">
        <v>1.94259</v>
      </c>
      <c r="H2756" s="148">
        <v>0</v>
      </c>
      <c r="I2756" s="728"/>
      <c r="J2756" s="148">
        <v>1.94259</v>
      </c>
      <c r="K2756" s="148">
        <v>0</v>
      </c>
      <c r="L2756" s="148">
        <v>26.248169999999998</v>
      </c>
      <c r="M2756" s="728"/>
      <c r="N2756" s="148">
        <v>26.248169999999998</v>
      </c>
      <c r="O2756" s="148">
        <v>0</v>
      </c>
      <c r="P2756" s="148">
        <v>15.510619999999999</v>
      </c>
      <c r="Q2756" s="148">
        <v>10.737550000000001</v>
      </c>
      <c r="R2756" s="148">
        <v>69.227084410552251</v>
      </c>
    </row>
    <row r="2757" spans="2:18" ht="15.75" hidden="1" thickBot="1" x14ac:dyDescent="0.3">
      <c r="B2757" s="145" t="s">
        <v>768</v>
      </c>
      <c r="C2757" s="722" t="s">
        <v>211</v>
      </c>
      <c r="D2757" t="s">
        <v>212</v>
      </c>
      <c r="E2757" s="147">
        <v>1.1700900000000001</v>
      </c>
      <c r="F2757" s="729"/>
      <c r="G2757" s="147">
        <v>1.1700900000000001</v>
      </c>
      <c r="H2757" s="147">
        <v>0</v>
      </c>
      <c r="I2757" s="729"/>
      <c r="J2757" s="147">
        <v>1.1700900000000001</v>
      </c>
      <c r="K2757" s="147">
        <v>0</v>
      </c>
      <c r="L2757" s="147">
        <v>24.353020000000001</v>
      </c>
      <c r="M2757" s="729"/>
      <c r="N2757" s="147">
        <v>24.353020000000001</v>
      </c>
      <c r="O2757" s="147">
        <v>0</v>
      </c>
      <c r="P2757" s="147">
        <v>11.469279999999999</v>
      </c>
      <c r="Q2757" s="147">
        <v>12.88374</v>
      </c>
      <c r="R2757" s="147">
        <v>112.33259629200786</v>
      </c>
    </row>
    <row r="2758" spans="2:18" ht="15.75" hidden="1" thickBot="1" x14ac:dyDescent="0.3">
      <c r="B2758" s="145" t="s">
        <v>768</v>
      </c>
      <c r="C2758" s="722" t="s">
        <v>697</v>
      </c>
      <c r="D2758" t="s">
        <v>698</v>
      </c>
      <c r="E2758" s="728"/>
      <c r="F2758" s="728"/>
      <c r="G2758" s="728"/>
      <c r="H2758" s="728"/>
      <c r="I2758" s="728"/>
      <c r="J2758" s="728"/>
      <c r="K2758" s="728"/>
      <c r="L2758" s="148">
        <v>1.8635999999999999</v>
      </c>
      <c r="M2758" s="728"/>
      <c r="N2758" s="148">
        <v>1.8635999999999999</v>
      </c>
      <c r="O2758" s="148">
        <v>0</v>
      </c>
      <c r="P2758" s="148">
        <v>1.44472</v>
      </c>
      <c r="Q2758" s="148">
        <v>0.41887999999999997</v>
      </c>
      <c r="R2758" s="148">
        <v>28.993853480259151</v>
      </c>
    </row>
    <row r="2759" spans="2:18" ht="15.75" hidden="1" thickBot="1" x14ac:dyDescent="0.3">
      <c r="B2759" s="145" t="s">
        <v>768</v>
      </c>
      <c r="C2759" s="722" t="s">
        <v>213</v>
      </c>
      <c r="D2759" t="s">
        <v>214</v>
      </c>
      <c r="E2759" s="147">
        <v>-7.5321800000000003</v>
      </c>
      <c r="F2759" s="729"/>
      <c r="G2759" s="147">
        <v>-7.5321800000000003</v>
      </c>
      <c r="H2759" s="147">
        <v>0</v>
      </c>
      <c r="I2759" s="729"/>
      <c r="J2759" s="147">
        <v>-7.5321800000000003</v>
      </c>
      <c r="K2759" s="147">
        <v>0</v>
      </c>
      <c r="L2759" s="147">
        <v>-72.238010000000003</v>
      </c>
      <c r="M2759" s="729"/>
      <c r="N2759" s="147">
        <v>-72.238010000000003</v>
      </c>
      <c r="O2759" s="147">
        <v>0</v>
      </c>
      <c r="P2759" s="147">
        <v>-37.420920000000002</v>
      </c>
      <c r="Q2759" s="147">
        <v>-34.81709</v>
      </c>
      <c r="R2759" s="147">
        <v>-93.041779838657092</v>
      </c>
    </row>
    <row r="2760" spans="2:18" ht="15.75" hidden="1" thickBot="1" x14ac:dyDescent="0.3">
      <c r="B2760" s="145" t="s">
        <v>768</v>
      </c>
      <c r="C2760" s="722" t="s">
        <v>215</v>
      </c>
      <c r="D2760" t="s">
        <v>216</v>
      </c>
      <c r="E2760" s="148">
        <v>-2.6358899999999998</v>
      </c>
      <c r="F2760" s="728"/>
      <c r="G2760" s="148">
        <v>-2.6358899999999998</v>
      </c>
      <c r="H2760" s="148">
        <v>0</v>
      </c>
      <c r="I2760" s="728"/>
      <c r="J2760" s="148">
        <v>-2.6358899999999998</v>
      </c>
      <c r="K2760" s="148">
        <v>0</v>
      </c>
      <c r="L2760" s="148">
        <v>-52.674939999999999</v>
      </c>
      <c r="M2760" s="728"/>
      <c r="N2760" s="148">
        <v>-52.674939999999999</v>
      </c>
      <c r="O2760" s="148">
        <v>0</v>
      </c>
      <c r="P2760" s="148">
        <v>-23.46585</v>
      </c>
      <c r="Q2760" s="148">
        <v>-29.20909</v>
      </c>
      <c r="R2760" s="148">
        <v>-124.47488584474885</v>
      </c>
    </row>
    <row r="2761" spans="2:18" ht="15.75" hidden="1" thickBot="1" x14ac:dyDescent="0.3">
      <c r="B2761" s="145" t="s">
        <v>768</v>
      </c>
      <c r="C2761" s="722" t="s">
        <v>83</v>
      </c>
      <c r="D2761" t="s">
        <v>84</v>
      </c>
      <c r="E2761" s="729"/>
      <c r="F2761" s="147">
        <v>19.951360000000001</v>
      </c>
      <c r="G2761" s="147">
        <v>-19.951360000000001</v>
      </c>
      <c r="H2761" s="147">
        <v>-100</v>
      </c>
      <c r="I2761" s="729"/>
      <c r="J2761" s="729"/>
      <c r="K2761" s="729"/>
      <c r="L2761" s="729"/>
      <c r="M2761" s="147">
        <v>244.49538000000001</v>
      </c>
      <c r="N2761" s="147">
        <v>-244.49538000000001</v>
      </c>
      <c r="O2761" s="147">
        <v>-100</v>
      </c>
      <c r="P2761" s="729"/>
      <c r="Q2761" s="729"/>
      <c r="R2761" s="729"/>
    </row>
    <row r="2762" spans="2:18" ht="15.75" hidden="1" thickBot="1" x14ac:dyDescent="0.3">
      <c r="B2762" s="145" t="s">
        <v>768</v>
      </c>
      <c r="C2762" s="149" t="s">
        <v>85</v>
      </c>
      <c r="D2762" t="s">
        <v>86</v>
      </c>
      <c r="E2762" s="148">
        <v>2569.4813800000002</v>
      </c>
      <c r="F2762" s="148">
        <v>1836.2661900000001</v>
      </c>
      <c r="G2762" s="148">
        <v>733.21519000000001</v>
      </c>
      <c r="H2762" s="148">
        <v>39.929678713955951</v>
      </c>
      <c r="I2762" s="728"/>
      <c r="J2762" s="148">
        <v>2569.4813800000002</v>
      </c>
      <c r="K2762" s="148">
        <v>0</v>
      </c>
      <c r="L2762" s="148">
        <v>28847.06741</v>
      </c>
      <c r="M2762" s="148">
        <v>26877.69065</v>
      </c>
      <c r="N2762" s="148">
        <v>1969.3767600000001</v>
      </c>
      <c r="O2762" s="148">
        <v>7.3271799487728684</v>
      </c>
      <c r="P2762" s="148">
        <v>14093.89388</v>
      </c>
      <c r="Q2762" s="148">
        <v>14753.17353</v>
      </c>
      <c r="R2762" s="148">
        <v>104.67776794414178</v>
      </c>
    </row>
    <row r="2763" spans="2:18" ht="15.75" hidden="1" thickBot="1" x14ac:dyDescent="0.3">
      <c r="B2763" s="145" t="s">
        <v>768</v>
      </c>
      <c r="C2763" s="144" t="s">
        <v>87</v>
      </c>
      <c r="D2763" t="s">
        <v>87</v>
      </c>
      <c r="E2763" s="147">
        <v>7248.01037</v>
      </c>
      <c r="F2763" s="147">
        <v>7305.3468800000001</v>
      </c>
      <c r="G2763" s="147">
        <v>-57.336509999999997</v>
      </c>
      <c r="H2763" s="147">
        <v>-0.78485677602758819</v>
      </c>
      <c r="I2763" s="729"/>
      <c r="J2763" s="147">
        <v>7248.01037</v>
      </c>
      <c r="K2763" s="147">
        <v>0</v>
      </c>
      <c r="L2763" s="147">
        <v>90641.549759999994</v>
      </c>
      <c r="M2763" s="147">
        <v>90409.892829999997</v>
      </c>
      <c r="N2763" s="147">
        <v>231.65692999999999</v>
      </c>
      <c r="O2763" s="147">
        <v>0.25622962570654778</v>
      </c>
      <c r="P2763" s="147">
        <v>45035.067969999996</v>
      </c>
      <c r="Q2763" s="147">
        <v>45606.481789999998</v>
      </c>
      <c r="R2763" s="147">
        <v>101.26881971263072</v>
      </c>
    </row>
    <row r="2764" spans="2:18" ht="15.75" hidden="1" thickBot="1" x14ac:dyDescent="0.3">
      <c r="B2764" s="723" t="s">
        <v>769</v>
      </c>
      <c r="C2764" s="722" t="s">
        <v>180</v>
      </c>
      <c r="D2764" t="s">
        <v>181</v>
      </c>
      <c r="E2764" s="728"/>
      <c r="F2764" s="148">
        <v>0</v>
      </c>
      <c r="G2764" s="148">
        <v>0</v>
      </c>
      <c r="H2764" s="148">
        <v>0</v>
      </c>
      <c r="I2764" s="728"/>
      <c r="J2764" s="728"/>
      <c r="K2764" s="728"/>
      <c r="L2764" s="728"/>
      <c r="M2764" s="148">
        <v>0</v>
      </c>
      <c r="N2764" s="148">
        <v>0</v>
      </c>
      <c r="O2764" s="148">
        <v>0</v>
      </c>
      <c r="P2764" s="728"/>
      <c r="Q2764" s="728"/>
      <c r="R2764" s="728"/>
    </row>
    <row r="2765" spans="2:18" ht="15.75" hidden="1" thickBot="1" x14ac:dyDescent="0.3">
      <c r="B2765" s="723" t="s">
        <v>769</v>
      </c>
      <c r="C2765" s="149" t="s">
        <v>67</v>
      </c>
      <c r="D2765" t="s">
        <v>68</v>
      </c>
      <c r="E2765" s="729"/>
      <c r="F2765" s="147">
        <v>0</v>
      </c>
      <c r="G2765" s="147">
        <v>0</v>
      </c>
      <c r="H2765" s="147">
        <v>0</v>
      </c>
      <c r="I2765" s="729"/>
      <c r="J2765" s="729"/>
      <c r="K2765" s="729"/>
      <c r="L2765" s="729"/>
      <c r="M2765" s="147">
        <v>0</v>
      </c>
      <c r="N2765" s="147">
        <v>0</v>
      </c>
      <c r="O2765" s="147">
        <v>0</v>
      </c>
      <c r="P2765" s="729"/>
      <c r="Q2765" s="729"/>
      <c r="R2765" s="729"/>
    </row>
    <row r="2766" spans="2:18" ht="15.75" hidden="1" thickBot="1" x14ac:dyDescent="0.3">
      <c r="B2766" s="723" t="s">
        <v>769</v>
      </c>
      <c r="C2766" s="722" t="s">
        <v>149</v>
      </c>
      <c r="D2766" t="s">
        <v>150</v>
      </c>
      <c r="E2766" s="728"/>
      <c r="F2766" s="148">
        <v>-33.333370000000002</v>
      </c>
      <c r="G2766" s="148">
        <v>33.333370000000002</v>
      </c>
      <c r="H2766" s="148">
        <v>100</v>
      </c>
      <c r="I2766" s="728"/>
      <c r="J2766" s="728"/>
      <c r="K2766" s="728"/>
      <c r="L2766" s="728"/>
      <c r="M2766" s="148">
        <v>-400</v>
      </c>
      <c r="N2766" s="148">
        <v>400</v>
      </c>
      <c r="O2766" s="148">
        <v>100</v>
      </c>
      <c r="P2766" s="728"/>
      <c r="Q2766" s="728"/>
      <c r="R2766" s="728"/>
    </row>
    <row r="2767" spans="2:18" ht="15.75" hidden="1" thickBot="1" x14ac:dyDescent="0.3">
      <c r="B2767" s="723" t="s">
        <v>769</v>
      </c>
      <c r="C2767" s="149" t="s">
        <v>85</v>
      </c>
      <c r="D2767" t="s">
        <v>86</v>
      </c>
      <c r="E2767" s="729"/>
      <c r="F2767" s="147">
        <v>-33.333370000000002</v>
      </c>
      <c r="G2767" s="147">
        <v>33.333370000000002</v>
      </c>
      <c r="H2767" s="147">
        <v>100</v>
      </c>
      <c r="I2767" s="729"/>
      <c r="J2767" s="729"/>
      <c r="K2767" s="729"/>
      <c r="L2767" s="729"/>
      <c r="M2767" s="147">
        <v>-400</v>
      </c>
      <c r="N2767" s="147">
        <v>400</v>
      </c>
      <c r="O2767" s="147">
        <v>100</v>
      </c>
      <c r="P2767" s="729"/>
      <c r="Q2767" s="729"/>
      <c r="R2767" s="729"/>
    </row>
    <row r="2768" spans="2:18" ht="15.75" hidden="1" thickBot="1" x14ac:dyDescent="0.3">
      <c r="B2768" s="723" t="s">
        <v>769</v>
      </c>
      <c r="C2768" s="144" t="s">
        <v>87</v>
      </c>
      <c r="D2768" t="s">
        <v>87</v>
      </c>
      <c r="E2768" s="728"/>
      <c r="F2768" s="148">
        <v>-33.333370000000002</v>
      </c>
      <c r="G2768" s="148">
        <v>33.333370000000002</v>
      </c>
      <c r="H2768" s="148">
        <v>100</v>
      </c>
      <c r="I2768" s="728"/>
      <c r="J2768" s="728"/>
      <c r="K2768" s="728"/>
      <c r="L2768" s="728"/>
      <c r="M2768" s="148">
        <v>-400</v>
      </c>
      <c r="N2768" s="148">
        <v>400</v>
      </c>
      <c r="O2768" s="148">
        <v>100</v>
      </c>
      <c r="P2768" s="728"/>
      <c r="Q2768" s="728"/>
      <c r="R2768" s="728"/>
    </row>
    <row r="2769" spans="2:18" ht="15.75" hidden="1" thickBot="1" x14ac:dyDescent="0.3">
      <c r="B2769" s="723" t="s">
        <v>770</v>
      </c>
      <c r="C2769" s="722" t="s">
        <v>59</v>
      </c>
      <c r="D2769" t="s">
        <v>60</v>
      </c>
      <c r="E2769" s="147">
        <v>37.71705</v>
      </c>
      <c r="F2769" s="147">
        <v>42.322000000000003</v>
      </c>
      <c r="G2769" s="147">
        <v>-4.6049499999999997</v>
      </c>
      <c r="H2769" s="147">
        <v>-10.880747601720145</v>
      </c>
      <c r="I2769" s="729"/>
      <c r="J2769" s="147">
        <v>37.71705</v>
      </c>
      <c r="K2769" s="147">
        <v>0</v>
      </c>
      <c r="L2769" s="147">
        <v>510.96127999999999</v>
      </c>
      <c r="M2769" s="147">
        <v>505.19968</v>
      </c>
      <c r="N2769" s="147">
        <v>5.7615999999999996</v>
      </c>
      <c r="O2769" s="147">
        <v>1.1404599464512726</v>
      </c>
      <c r="P2769" s="147">
        <v>266.09982000000002</v>
      </c>
      <c r="Q2769" s="147">
        <v>244.86145999999999</v>
      </c>
      <c r="R2769" s="147">
        <v>92.01864924222798</v>
      </c>
    </row>
    <row r="2770" spans="2:18" ht="15.75" hidden="1" thickBot="1" x14ac:dyDescent="0.3">
      <c r="B2770" s="723" t="s">
        <v>770</v>
      </c>
      <c r="C2770" s="722" t="s">
        <v>61</v>
      </c>
      <c r="D2770" t="s">
        <v>62</v>
      </c>
      <c r="E2770" s="148">
        <v>6.5420199999999999</v>
      </c>
      <c r="F2770" s="148">
        <v>6.55992</v>
      </c>
      <c r="G2770" s="148">
        <v>-1.7899999999999999E-2</v>
      </c>
      <c r="H2770" s="148">
        <v>-0.27286918133147964</v>
      </c>
      <c r="I2770" s="728"/>
      <c r="J2770" s="148">
        <v>6.5420199999999999</v>
      </c>
      <c r="K2770" s="148">
        <v>0</v>
      </c>
      <c r="L2770" s="148">
        <v>78.108770000000007</v>
      </c>
      <c r="M2770" s="148">
        <v>78.306039999999996</v>
      </c>
      <c r="N2770" s="148">
        <v>-0.19727</v>
      </c>
      <c r="O2770" s="148">
        <v>-0.25192181854681961</v>
      </c>
      <c r="P2770" s="148">
        <v>38.856540000000003</v>
      </c>
      <c r="Q2770" s="148">
        <v>39.252229999999997</v>
      </c>
      <c r="R2770" s="148">
        <v>101.0183356521193</v>
      </c>
    </row>
    <row r="2771" spans="2:18" ht="15.75" hidden="1" thickBot="1" x14ac:dyDescent="0.3">
      <c r="B2771" s="723" t="s">
        <v>770</v>
      </c>
      <c r="C2771" s="722" t="s">
        <v>63</v>
      </c>
      <c r="D2771" t="s">
        <v>64</v>
      </c>
      <c r="E2771" s="147">
        <v>25.41516</v>
      </c>
      <c r="F2771" s="147">
        <v>25.520160000000001</v>
      </c>
      <c r="G2771" s="147">
        <v>-0.105</v>
      </c>
      <c r="H2771" s="147">
        <v>-0.41143942671205824</v>
      </c>
      <c r="I2771" s="729"/>
      <c r="J2771" s="147">
        <v>25.41516</v>
      </c>
      <c r="K2771" s="147">
        <v>0</v>
      </c>
      <c r="L2771" s="147">
        <v>303.44511999999997</v>
      </c>
      <c r="M2771" s="147">
        <v>304.63535999999999</v>
      </c>
      <c r="N2771" s="147">
        <v>-1.19024</v>
      </c>
      <c r="O2771" s="147">
        <v>-0.39070973244865598</v>
      </c>
      <c r="P2771" s="147">
        <v>150.95427000000001</v>
      </c>
      <c r="Q2771" s="147">
        <v>152.49084999999999</v>
      </c>
      <c r="R2771" s="147">
        <v>101.01791092096964</v>
      </c>
    </row>
    <row r="2772" spans="2:18" ht="15.75" hidden="1" thickBot="1" x14ac:dyDescent="0.3">
      <c r="B2772" s="723" t="s">
        <v>770</v>
      </c>
      <c r="C2772" s="722" t="s">
        <v>65</v>
      </c>
      <c r="D2772" t="s">
        <v>66</v>
      </c>
      <c r="E2772" s="728"/>
      <c r="F2772" s="728"/>
      <c r="G2772" s="728"/>
      <c r="H2772" s="728"/>
      <c r="I2772" s="728"/>
      <c r="J2772" s="728"/>
      <c r="K2772" s="728"/>
      <c r="L2772" s="148">
        <v>-0.42903999999999998</v>
      </c>
      <c r="M2772" s="728"/>
      <c r="N2772" s="148">
        <v>-0.42903999999999998</v>
      </c>
      <c r="O2772" s="148">
        <v>0</v>
      </c>
      <c r="P2772" s="728"/>
      <c r="Q2772" s="148">
        <v>-0.42903999999999998</v>
      </c>
      <c r="R2772" s="148">
        <v>0</v>
      </c>
    </row>
    <row r="2773" spans="2:18" ht="15.75" hidden="1" thickBot="1" x14ac:dyDescent="0.3">
      <c r="B2773" s="723" t="s">
        <v>770</v>
      </c>
      <c r="C2773" s="149" t="s">
        <v>67</v>
      </c>
      <c r="D2773" t="s">
        <v>68</v>
      </c>
      <c r="E2773" s="147">
        <v>69.674229999999994</v>
      </c>
      <c r="F2773" s="147">
        <v>74.402079999999998</v>
      </c>
      <c r="G2773" s="147">
        <v>-4.7278500000000001</v>
      </c>
      <c r="H2773" s="147">
        <v>-6.3544594452198107</v>
      </c>
      <c r="I2773" s="729"/>
      <c r="J2773" s="147">
        <v>69.674229999999994</v>
      </c>
      <c r="K2773" s="147">
        <v>0</v>
      </c>
      <c r="L2773" s="147">
        <v>892.08613000000003</v>
      </c>
      <c r="M2773" s="147">
        <v>888.14107999999999</v>
      </c>
      <c r="N2773" s="147">
        <v>3.9450500000000002</v>
      </c>
      <c r="O2773" s="147">
        <v>0.44419181691269138</v>
      </c>
      <c r="P2773" s="147">
        <v>455.91063000000003</v>
      </c>
      <c r="Q2773" s="147">
        <v>436.1755</v>
      </c>
      <c r="R2773" s="147">
        <v>95.671272240351144</v>
      </c>
    </row>
    <row r="2774" spans="2:18" ht="15.75" hidden="1" thickBot="1" x14ac:dyDescent="0.3">
      <c r="B2774" s="723" t="s">
        <v>770</v>
      </c>
      <c r="C2774" s="722" t="s">
        <v>69</v>
      </c>
      <c r="D2774" t="s">
        <v>70</v>
      </c>
      <c r="E2774" s="728"/>
      <c r="F2774" s="148">
        <v>0</v>
      </c>
      <c r="G2774" s="148">
        <v>0</v>
      </c>
      <c r="H2774" s="148">
        <v>0</v>
      </c>
      <c r="I2774" s="728"/>
      <c r="J2774" s="728"/>
      <c r="K2774" s="728"/>
      <c r="L2774" s="148">
        <v>1.2E-2</v>
      </c>
      <c r="M2774" s="148">
        <v>8</v>
      </c>
      <c r="N2774" s="148">
        <v>-7.9880000000000004</v>
      </c>
      <c r="O2774" s="148">
        <v>-99.85</v>
      </c>
      <c r="P2774" s="148">
        <v>1.2E-2</v>
      </c>
      <c r="Q2774" s="148">
        <v>0</v>
      </c>
      <c r="R2774" s="148">
        <v>0</v>
      </c>
    </row>
    <row r="2775" spans="2:18" ht="15.75" hidden="1" thickBot="1" x14ac:dyDescent="0.3">
      <c r="B2775" s="723" t="s">
        <v>770</v>
      </c>
      <c r="C2775" s="722" t="s">
        <v>99</v>
      </c>
      <c r="D2775" t="s">
        <v>100</v>
      </c>
      <c r="E2775" s="729"/>
      <c r="F2775" s="729"/>
      <c r="G2775" s="729"/>
      <c r="H2775" s="729"/>
      <c r="I2775" s="729"/>
      <c r="J2775" s="729"/>
      <c r="K2775" s="729"/>
      <c r="L2775" s="147">
        <v>0.13800000000000001</v>
      </c>
      <c r="M2775" s="729"/>
      <c r="N2775" s="147">
        <v>0.13800000000000001</v>
      </c>
      <c r="O2775" s="147">
        <v>0</v>
      </c>
      <c r="P2775" s="729"/>
      <c r="Q2775" s="147">
        <v>0.13800000000000001</v>
      </c>
      <c r="R2775" s="147">
        <v>0</v>
      </c>
    </row>
    <row r="2776" spans="2:18" ht="15.75" hidden="1" thickBot="1" x14ac:dyDescent="0.3">
      <c r="B2776" s="723" t="s">
        <v>770</v>
      </c>
      <c r="C2776" s="722" t="s">
        <v>137</v>
      </c>
      <c r="D2776" t="s">
        <v>138</v>
      </c>
      <c r="E2776" s="728"/>
      <c r="F2776" s="728"/>
      <c r="G2776" s="728"/>
      <c r="H2776" s="728"/>
      <c r="I2776" s="728"/>
      <c r="J2776" s="728"/>
      <c r="K2776" s="728"/>
      <c r="L2776" s="148">
        <v>9.2429999999999998E-2</v>
      </c>
      <c r="M2776" s="728"/>
      <c r="N2776" s="148">
        <v>9.2429999999999998E-2</v>
      </c>
      <c r="O2776" s="148">
        <v>0</v>
      </c>
      <c r="P2776" s="728"/>
      <c r="Q2776" s="148">
        <v>9.2429999999999998E-2</v>
      </c>
      <c r="R2776" s="148">
        <v>0</v>
      </c>
    </row>
    <row r="2777" spans="2:18" ht="15.75" hidden="1" thickBot="1" x14ac:dyDescent="0.3">
      <c r="B2777" s="723" t="s">
        <v>770</v>
      </c>
      <c r="C2777" s="722" t="s">
        <v>190</v>
      </c>
      <c r="D2777" t="s">
        <v>191</v>
      </c>
      <c r="E2777" s="729"/>
      <c r="F2777" s="729"/>
      <c r="G2777" s="729"/>
      <c r="H2777" s="729"/>
      <c r="I2777" s="729"/>
      <c r="J2777" s="729"/>
      <c r="K2777" s="729"/>
      <c r="L2777" s="147">
        <v>5.9880000000000003E-2</v>
      </c>
      <c r="M2777" s="729"/>
      <c r="N2777" s="147">
        <v>5.9880000000000003E-2</v>
      </c>
      <c r="O2777" s="147">
        <v>0</v>
      </c>
      <c r="P2777" s="147">
        <v>5.9880000000000003E-2</v>
      </c>
      <c r="Q2777" s="147">
        <v>0</v>
      </c>
      <c r="R2777" s="147">
        <v>0</v>
      </c>
    </row>
    <row r="2778" spans="2:18" ht="15.75" hidden="1" thickBot="1" x14ac:dyDescent="0.3">
      <c r="B2778" s="723" t="s">
        <v>770</v>
      </c>
      <c r="C2778" s="722" t="s">
        <v>139</v>
      </c>
      <c r="D2778" t="s">
        <v>140</v>
      </c>
      <c r="E2778" s="148">
        <v>0.28877999999999998</v>
      </c>
      <c r="F2778" s="728"/>
      <c r="G2778" s="148">
        <v>0.28877999999999998</v>
      </c>
      <c r="H2778" s="148">
        <v>0</v>
      </c>
      <c r="I2778" s="728"/>
      <c r="J2778" s="148">
        <v>0.28877999999999998</v>
      </c>
      <c r="K2778" s="148">
        <v>0</v>
      </c>
      <c r="L2778" s="148">
        <v>30.27702</v>
      </c>
      <c r="M2778" s="728"/>
      <c r="N2778" s="148">
        <v>30.27702</v>
      </c>
      <c r="O2778" s="148">
        <v>0</v>
      </c>
      <c r="P2778" s="148">
        <v>21.143219999999999</v>
      </c>
      <c r="Q2778" s="148">
        <v>9.1338000000000008</v>
      </c>
      <c r="R2778" s="148">
        <v>43.199664005766387</v>
      </c>
    </row>
    <row r="2779" spans="2:18" ht="15.75" hidden="1" thickBot="1" x14ac:dyDescent="0.3">
      <c r="B2779" s="723" t="s">
        <v>770</v>
      </c>
      <c r="C2779" s="722" t="s">
        <v>169</v>
      </c>
      <c r="D2779" t="s">
        <v>170</v>
      </c>
      <c r="E2779" s="729"/>
      <c r="F2779" s="729"/>
      <c r="G2779" s="729"/>
      <c r="H2779" s="729"/>
      <c r="I2779" s="729"/>
      <c r="J2779" s="729"/>
      <c r="K2779" s="729"/>
      <c r="L2779" s="147">
        <v>0.58340000000000003</v>
      </c>
      <c r="M2779" s="729"/>
      <c r="N2779" s="147">
        <v>0.58340000000000003</v>
      </c>
      <c r="O2779" s="147">
        <v>0</v>
      </c>
      <c r="P2779" s="147">
        <v>0.58340000000000003</v>
      </c>
      <c r="Q2779" s="147">
        <v>0</v>
      </c>
      <c r="R2779" s="147">
        <v>0</v>
      </c>
    </row>
    <row r="2780" spans="2:18" ht="15.75" hidden="1" thickBot="1" x14ac:dyDescent="0.3">
      <c r="B2780" s="723" t="s">
        <v>770</v>
      </c>
      <c r="C2780" s="722" t="s">
        <v>464</v>
      </c>
      <c r="D2780" t="s">
        <v>465</v>
      </c>
      <c r="E2780" s="728"/>
      <c r="F2780" s="728"/>
      <c r="G2780" s="728"/>
      <c r="H2780" s="728"/>
      <c r="I2780" s="728"/>
      <c r="J2780" s="728"/>
      <c r="K2780" s="728"/>
      <c r="L2780" s="148">
        <v>0.14074</v>
      </c>
      <c r="M2780" s="728"/>
      <c r="N2780" s="148">
        <v>0.14074</v>
      </c>
      <c r="O2780" s="148">
        <v>0</v>
      </c>
      <c r="P2780" s="148">
        <v>0.14074</v>
      </c>
      <c r="Q2780" s="148">
        <v>0</v>
      </c>
      <c r="R2780" s="148">
        <v>0</v>
      </c>
    </row>
    <row r="2781" spans="2:18" ht="15.75" hidden="1" thickBot="1" x14ac:dyDescent="0.3">
      <c r="B2781" s="723" t="s">
        <v>770</v>
      </c>
      <c r="C2781" s="722" t="s">
        <v>103</v>
      </c>
      <c r="D2781" t="s">
        <v>104</v>
      </c>
      <c r="E2781" s="729"/>
      <c r="F2781" s="729"/>
      <c r="G2781" s="729"/>
      <c r="H2781" s="729"/>
      <c r="I2781" s="729"/>
      <c r="J2781" s="729"/>
      <c r="K2781" s="729"/>
      <c r="L2781" s="147">
        <v>4.3686699999999998</v>
      </c>
      <c r="M2781" s="729"/>
      <c r="N2781" s="147">
        <v>4.3686699999999998</v>
      </c>
      <c r="O2781" s="147">
        <v>0</v>
      </c>
      <c r="P2781" s="147">
        <v>3.2193100000000001</v>
      </c>
      <c r="Q2781" s="147">
        <v>1.1493599999999999</v>
      </c>
      <c r="R2781" s="147">
        <v>35.70206037939807</v>
      </c>
    </row>
    <row r="2782" spans="2:18" ht="15.75" hidden="1" thickBot="1" x14ac:dyDescent="0.3">
      <c r="B2782" s="723" t="s">
        <v>770</v>
      </c>
      <c r="C2782" s="722" t="s">
        <v>109</v>
      </c>
      <c r="D2782" t="s">
        <v>110</v>
      </c>
      <c r="E2782" s="148">
        <v>8.2328299999999999</v>
      </c>
      <c r="F2782" s="148">
        <v>8</v>
      </c>
      <c r="G2782" s="148">
        <v>0.23283000000000001</v>
      </c>
      <c r="H2782" s="148">
        <v>2.9103750000000002</v>
      </c>
      <c r="I2782" s="728"/>
      <c r="J2782" s="148">
        <v>8.2328299999999999</v>
      </c>
      <c r="K2782" s="148">
        <v>0</v>
      </c>
      <c r="L2782" s="148">
        <v>100.33185</v>
      </c>
      <c r="M2782" s="148">
        <v>138</v>
      </c>
      <c r="N2782" s="148">
        <v>-37.668149999999997</v>
      </c>
      <c r="O2782" s="148">
        <v>-27.295760869565218</v>
      </c>
      <c r="P2782" s="148">
        <v>34.538620000000002</v>
      </c>
      <c r="Q2782" s="148">
        <v>65.793229999999994</v>
      </c>
      <c r="R2782" s="148">
        <v>190.4917741357356</v>
      </c>
    </row>
    <row r="2783" spans="2:18" ht="15.75" hidden="1" thickBot="1" x14ac:dyDescent="0.3">
      <c r="B2783" s="723" t="s">
        <v>770</v>
      </c>
      <c r="C2783" s="722" t="s">
        <v>73</v>
      </c>
      <c r="D2783" t="s">
        <v>74</v>
      </c>
      <c r="E2783" s="729"/>
      <c r="F2783" s="729"/>
      <c r="G2783" s="729"/>
      <c r="H2783" s="729"/>
      <c r="I2783" s="729"/>
      <c r="J2783" s="729"/>
      <c r="K2783" s="729"/>
      <c r="L2783" s="147">
        <v>0.21303</v>
      </c>
      <c r="M2783" s="729"/>
      <c r="N2783" s="147">
        <v>0.21303</v>
      </c>
      <c r="O2783" s="147">
        <v>0</v>
      </c>
      <c r="P2783" s="147">
        <v>0.17305999999999999</v>
      </c>
      <c r="Q2783" s="147">
        <v>3.9969999999999999E-2</v>
      </c>
      <c r="R2783" s="147">
        <v>23.096036056858892</v>
      </c>
    </row>
    <row r="2784" spans="2:18" ht="15.75" hidden="1" thickBot="1" x14ac:dyDescent="0.3">
      <c r="B2784" s="723" t="s">
        <v>770</v>
      </c>
      <c r="C2784" s="722" t="s">
        <v>111</v>
      </c>
      <c r="D2784" t="s">
        <v>112</v>
      </c>
      <c r="E2784" s="148">
        <v>7.4850000000000003</v>
      </c>
      <c r="F2784" s="148">
        <v>40</v>
      </c>
      <c r="G2784" s="148">
        <v>-32.515000000000001</v>
      </c>
      <c r="H2784" s="148">
        <v>-81.287499999999994</v>
      </c>
      <c r="I2784" s="728"/>
      <c r="J2784" s="148">
        <v>7.4850000000000003</v>
      </c>
      <c r="K2784" s="148">
        <v>0</v>
      </c>
      <c r="L2784" s="148">
        <v>322.71897000000001</v>
      </c>
      <c r="M2784" s="148">
        <v>480</v>
      </c>
      <c r="N2784" s="148">
        <v>-157.28102999999999</v>
      </c>
      <c r="O2784" s="148">
        <v>-32.766881249999997</v>
      </c>
      <c r="P2784" s="148">
        <v>146.17451</v>
      </c>
      <c r="Q2784" s="148">
        <v>176.54445999999999</v>
      </c>
      <c r="R2784" s="148">
        <v>120.77650200435083</v>
      </c>
    </row>
    <row r="2785" spans="2:18" ht="15.75" hidden="1" thickBot="1" x14ac:dyDescent="0.3">
      <c r="B2785" s="723" t="s">
        <v>770</v>
      </c>
      <c r="C2785" s="722" t="s">
        <v>141</v>
      </c>
      <c r="D2785" t="s">
        <v>142</v>
      </c>
      <c r="E2785" s="729"/>
      <c r="F2785" s="729"/>
      <c r="G2785" s="729"/>
      <c r="H2785" s="729"/>
      <c r="I2785" s="729"/>
      <c r="J2785" s="729"/>
      <c r="K2785" s="729"/>
      <c r="L2785" s="147">
        <v>1.7000000000000001E-2</v>
      </c>
      <c r="M2785" s="729"/>
      <c r="N2785" s="147">
        <v>1.7000000000000001E-2</v>
      </c>
      <c r="O2785" s="147">
        <v>0</v>
      </c>
      <c r="P2785" s="147">
        <v>1.7000000000000001E-2</v>
      </c>
      <c r="Q2785" s="147">
        <v>0</v>
      </c>
      <c r="R2785" s="147">
        <v>0</v>
      </c>
    </row>
    <row r="2786" spans="2:18" ht="15.75" hidden="1" thickBot="1" x14ac:dyDescent="0.3">
      <c r="B2786" s="723" t="s">
        <v>770</v>
      </c>
      <c r="C2786" s="722" t="s">
        <v>113</v>
      </c>
      <c r="D2786" t="s">
        <v>114</v>
      </c>
      <c r="E2786" s="728"/>
      <c r="F2786" s="728"/>
      <c r="G2786" s="728"/>
      <c r="H2786" s="728"/>
      <c r="I2786" s="728"/>
      <c r="J2786" s="728"/>
      <c r="K2786" s="728"/>
      <c r="L2786" s="148">
        <v>0.17282</v>
      </c>
      <c r="M2786" s="728"/>
      <c r="N2786" s="148">
        <v>0.17282</v>
      </c>
      <c r="O2786" s="148">
        <v>0</v>
      </c>
      <c r="P2786" s="148">
        <v>6.2050000000000001E-2</v>
      </c>
      <c r="Q2786" s="148">
        <v>0.11076999999999999</v>
      </c>
      <c r="R2786" s="148">
        <v>178.51732473811441</v>
      </c>
    </row>
    <row r="2787" spans="2:18" ht="15.75" hidden="1" thickBot="1" x14ac:dyDescent="0.3">
      <c r="B2787" s="723" t="s">
        <v>770</v>
      </c>
      <c r="C2787" s="722" t="s">
        <v>631</v>
      </c>
      <c r="D2787" t="s">
        <v>632</v>
      </c>
      <c r="E2787" s="729"/>
      <c r="F2787" s="729"/>
      <c r="G2787" s="729"/>
      <c r="H2787" s="729"/>
      <c r="I2787" s="729"/>
      <c r="J2787" s="729"/>
      <c r="K2787" s="729"/>
      <c r="L2787" s="147">
        <v>5.4059999999999997E-2</v>
      </c>
      <c r="M2787" s="729"/>
      <c r="N2787" s="147">
        <v>5.4059999999999997E-2</v>
      </c>
      <c r="O2787" s="147">
        <v>0</v>
      </c>
      <c r="P2787" s="147">
        <v>5.4059999999999997E-2</v>
      </c>
      <c r="Q2787" s="147">
        <v>0</v>
      </c>
      <c r="R2787" s="147">
        <v>0</v>
      </c>
    </row>
    <row r="2788" spans="2:18" ht="15.75" hidden="1" thickBot="1" x14ac:dyDescent="0.3">
      <c r="B2788" s="723" t="s">
        <v>770</v>
      </c>
      <c r="C2788" s="722" t="s">
        <v>115</v>
      </c>
      <c r="D2788" t="s">
        <v>116</v>
      </c>
      <c r="E2788" s="728"/>
      <c r="F2788" s="728"/>
      <c r="G2788" s="728"/>
      <c r="H2788" s="728"/>
      <c r="I2788" s="728"/>
      <c r="J2788" s="728"/>
      <c r="K2788" s="728"/>
      <c r="L2788" s="148">
        <v>0.46800000000000003</v>
      </c>
      <c r="M2788" s="728"/>
      <c r="N2788" s="148">
        <v>0.46800000000000003</v>
      </c>
      <c r="O2788" s="148">
        <v>0</v>
      </c>
      <c r="P2788" s="148">
        <v>0.46800000000000003</v>
      </c>
      <c r="Q2788" s="148">
        <v>0</v>
      </c>
      <c r="R2788" s="148">
        <v>0</v>
      </c>
    </row>
    <row r="2789" spans="2:18" ht="15.75" hidden="1" thickBot="1" x14ac:dyDescent="0.3">
      <c r="B2789" s="723" t="s">
        <v>770</v>
      </c>
      <c r="C2789" s="722" t="s">
        <v>145</v>
      </c>
      <c r="D2789" t="s">
        <v>146</v>
      </c>
      <c r="E2789" s="147">
        <v>6.8999999999999999E-3</v>
      </c>
      <c r="F2789" s="729"/>
      <c r="G2789" s="147">
        <v>6.8999999999999999E-3</v>
      </c>
      <c r="H2789" s="147">
        <v>0</v>
      </c>
      <c r="I2789" s="729"/>
      <c r="J2789" s="147">
        <v>6.8999999999999999E-3</v>
      </c>
      <c r="K2789" s="147">
        <v>0</v>
      </c>
      <c r="L2789" s="147">
        <v>0.16220000000000001</v>
      </c>
      <c r="M2789" s="729"/>
      <c r="N2789" s="147">
        <v>0.16220000000000001</v>
      </c>
      <c r="O2789" s="147">
        <v>0</v>
      </c>
      <c r="P2789" s="147">
        <v>9.9000000000000005E-2</v>
      </c>
      <c r="Q2789" s="147">
        <v>6.3200000000000006E-2</v>
      </c>
      <c r="R2789" s="147">
        <v>63.838383838383841</v>
      </c>
    </row>
    <row r="2790" spans="2:18" ht="15.75" hidden="1" thickBot="1" x14ac:dyDescent="0.3">
      <c r="B2790" s="723" t="s">
        <v>770</v>
      </c>
      <c r="C2790" s="722" t="s">
        <v>149</v>
      </c>
      <c r="D2790" t="s">
        <v>150</v>
      </c>
      <c r="E2790" s="148">
        <v>21.714400000000001</v>
      </c>
      <c r="F2790" s="148">
        <v>30</v>
      </c>
      <c r="G2790" s="148">
        <v>-8.2856000000000005</v>
      </c>
      <c r="H2790" s="148">
        <v>-27.618666666666666</v>
      </c>
      <c r="I2790" s="728"/>
      <c r="J2790" s="148">
        <v>21.714400000000001</v>
      </c>
      <c r="K2790" s="148">
        <v>0</v>
      </c>
      <c r="L2790" s="148">
        <v>915.73352</v>
      </c>
      <c r="M2790" s="148">
        <v>390</v>
      </c>
      <c r="N2790" s="148">
        <v>525.73352</v>
      </c>
      <c r="O2790" s="148">
        <v>134.80346666666668</v>
      </c>
      <c r="P2790" s="148">
        <v>753.25667999999996</v>
      </c>
      <c r="Q2790" s="148">
        <v>162.47684000000001</v>
      </c>
      <c r="R2790" s="148">
        <v>21.56991691066052</v>
      </c>
    </row>
    <row r="2791" spans="2:18" ht="15.75" hidden="1" thickBot="1" x14ac:dyDescent="0.3">
      <c r="B2791" s="723" t="s">
        <v>770</v>
      </c>
      <c r="C2791" s="722" t="s">
        <v>645</v>
      </c>
      <c r="D2791" t="s">
        <v>646</v>
      </c>
      <c r="E2791" s="147">
        <v>72.154250000000005</v>
      </c>
      <c r="F2791" s="147">
        <v>124.33332</v>
      </c>
      <c r="G2791" s="147">
        <v>-52.179070000000003</v>
      </c>
      <c r="H2791" s="147">
        <v>-41.967084929446102</v>
      </c>
      <c r="I2791" s="729"/>
      <c r="J2791" s="147">
        <v>72.154250000000005</v>
      </c>
      <c r="K2791" s="147">
        <v>0</v>
      </c>
      <c r="L2791" s="147">
        <v>921.26032999999995</v>
      </c>
      <c r="M2791" s="147">
        <v>1491.9998399999999</v>
      </c>
      <c r="N2791" s="147">
        <v>-570.73951</v>
      </c>
      <c r="O2791" s="147">
        <v>-38.253322466844232</v>
      </c>
      <c r="P2791" s="147">
        <v>408.1995</v>
      </c>
      <c r="Q2791" s="147">
        <v>513.06083000000001</v>
      </c>
      <c r="R2791" s="147">
        <v>125.68874533163319</v>
      </c>
    </row>
    <row r="2792" spans="2:18" ht="15.75" hidden="1" thickBot="1" x14ac:dyDescent="0.3">
      <c r="B2792" s="723" t="s">
        <v>770</v>
      </c>
      <c r="C2792" s="722" t="s">
        <v>153</v>
      </c>
      <c r="D2792" t="s">
        <v>154</v>
      </c>
      <c r="E2792" s="148">
        <v>7.8179999999999996</v>
      </c>
      <c r="F2792" s="148">
        <v>5</v>
      </c>
      <c r="G2792" s="148">
        <v>2.8180000000000001</v>
      </c>
      <c r="H2792" s="148">
        <v>56.36</v>
      </c>
      <c r="I2792" s="728"/>
      <c r="J2792" s="148">
        <v>7.8179999999999996</v>
      </c>
      <c r="K2792" s="148">
        <v>0</v>
      </c>
      <c r="L2792" s="148">
        <v>106.518</v>
      </c>
      <c r="M2792" s="148">
        <v>100</v>
      </c>
      <c r="N2792" s="148">
        <v>6.5179999999999998</v>
      </c>
      <c r="O2792" s="148">
        <v>6.5179999999999998</v>
      </c>
      <c r="P2792" s="148">
        <v>91.5</v>
      </c>
      <c r="Q2792" s="148">
        <v>15.018000000000001</v>
      </c>
      <c r="R2792" s="148">
        <v>16.413114754098359</v>
      </c>
    </row>
    <row r="2793" spans="2:18" ht="15.75" hidden="1" thickBot="1" x14ac:dyDescent="0.3">
      <c r="B2793" s="723" t="s">
        <v>770</v>
      </c>
      <c r="C2793" s="722" t="s">
        <v>75</v>
      </c>
      <c r="D2793" t="s">
        <v>76</v>
      </c>
      <c r="E2793" s="147">
        <v>0.21937000000000001</v>
      </c>
      <c r="F2793" s="147">
        <v>0.05</v>
      </c>
      <c r="G2793" s="147">
        <v>0.16936999999999999</v>
      </c>
      <c r="H2793" s="147">
        <v>338.74</v>
      </c>
      <c r="I2793" s="729"/>
      <c r="J2793" s="147">
        <v>0.21937000000000001</v>
      </c>
      <c r="K2793" s="147">
        <v>0</v>
      </c>
      <c r="L2793" s="147">
        <v>1.7991999999999999</v>
      </c>
      <c r="M2793" s="147">
        <v>0.6</v>
      </c>
      <c r="N2793" s="147">
        <v>1.1992</v>
      </c>
      <c r="O2793" s="147">
        <v>199.86666666666667</v>
      </c>
      <c r="P2793" s="147">
        <v>1.15873</v>
      </c>
      <c r="Q2793" s="147">
        <v>0.64046999999999998</v>
      </c>
      <c r="R2793" s="147">
        <v>55.273445927869304</v>
      </c>
    </row>
    <row r="2794" spans="2:18" ht="15.75" hidden="1" thickBot="1" x14ac:dyDescent="0.3">
      <c r="B2794" s="723" t="s">
        <v>770</v>
      </c>
      <c r="C2794" s="722" t="s">
        <v>121</v>
      </c>
      <c r="D2794" t="s">
        <v>122</v>
      </c>
      <c r="E2794" s="728"/>
      <c r="F2794" s="728"/>
      <c r="G2794" s="728"/>
      <c r="H2794" s="728"/>
      <c r="I2794" s="728"/>
      <c r="J2794" s="728"/>
      <c r="K2794" s="728"/>
      <c r="L2794" s="148">
        <v>1.7703</v>
      </c>
      <c r="M2794" s="728"/>
      <c r="N2794" s="148">
        <v>1.7703</v>
      </c>
      <c r="O2794" s="148">
        <v>0</v>
      </c>
      <c r="P2794" s="148">
        <v>0.99228000000000005</v>
      </c>
      <c r="Q2794" s="148">
        <v>0.77802000000000004</v>
      </c>
      <c r="R2794" s="148">
        <v>78.407304389889944</v>
      </c>
    </row>
    <row r="2795" spans="2:18" ht="15.75" hidden="1" thickBot="1" x14ac:dyDescent="0.3">
      <c r="B2795" s="723" t="s">
        <v>770</v>
      </c>
      <c r="C2795" s="722" t="s">
        <v>77</v>
      </c>
      <c r="D2795" t="s">
        <v>78</v>
      </c>
      <c r="E2795" s="729"/>
      <c r="F2795" s="147">
        <v>0</v>
      </c>
      <c r="G2795" s="147">
        <v>0</v>
      </c>
      <c r="H2795" s="147">
        <v>0</v>
      </c>
      <c r="I2795" s="729"/>
      <c r="J2795" s="729"/>
      <c r="K2795" s="729"/>
      <c r="L2795" s="147">
        <v>8.4487400000000008</v>
      </c>
      <c r="M2795" s="147">
        <v>12</v>
      </c>
      <c r="N2795" s="147">
        <v>-3.5512600000000001</v>
      </c>
      <c r="O2795" s="147">
        <v>-29.593833333333333</v>
      </c>
      <c r="P2795" s="147">
        <v>6.2524199999999999</v>
      </c>
      <c r="Q2795" s="147">
        <v>2.1963200000000001</v>
      </c>
      <c r="R2795" s="147">
        <v>35.127518624788479</v>
      </c>
    </row>
    <row r="2796" spans="2:18" ht="15.75" hidden="1" thickBot="1" x14ac:dyDescent="0.3">
      <c r="B2796" s="723" t="s">
        <v>770</v>
      </c>
      <c r="C2796" s="722" t="s">
        <v>79</v>
      </c>
      <c r="D2796" t="s">
        <v>80</v>
      </c>
      <c r="E2796" s="728"/>
      <c r="F2796" s="728"/>
      <c r="G2796" s="728"/>
      <c r="H2796" s="728"/>
      <c r="I2796" s="728"/>
      <c r="J2796" s="728"/>
      <c r="K2796" s="728"/>
      <c r="L2796" s="148">
        <v>0.22195999999999999</v>
      </c>
      <c r="M2796" s="728"/>
      <c r="N2796" s="148">
        <v>0.22195999999999999</v>
      </c>
      <c r="O2796" s="148">
        <v>0</v>
      </c>
      <c r="P2796" s="148">
        <v>0.22195999999999999</v>
      </c>
      <c r="Q2796" s="148">
        <v>0</v>
      </c>
      <c r="R2796" s="148">
        <v>0</v>
      </c>
    </row>
    <row r="2797" spans="2:18" ht="15.75" hidden="1" thickBot="1" x14ac:dyDescent="0.3">
      <c r="B2797" s="723" t="s">
        <v>770</v>
      </c>
      <c r="C2797" s="722" t="s">
        <v>125</v>
      </c>
      <c r="D2797" t="s">
        <v>126</v>
      </c>
      <c r="E2797" s="729"/>
      <c r="F2797" s="729"/>
      <c r="G2797" s="729"/>
      <c r="H2797" s="729"/>
      <c r="I2797" s="729"/>
      <c r="J2797" s="729"/>
      <c r="K2797" s="729"/>
      <c r="L2797" s="147">
        <v>2.887E-2</v>
      </c>
      <c r="M2797" s="729"/>
      <c r="N2797" s="147">
        <v>2.887E-2</v>
      </c>
      <c r="O2797" s="147">
        <v>0</v>
      </c>
      <c r="P2797" s="729"/>
      <c r="Q2797" s="147">
        <v>2.887E-2</v>
      </c>
      <c r="R2797" s="147">
        <v>0</v>
      </c>
    </row>
    <row r="2798" spans="2:18" ht="15.75" hidden="1" thickBot="1" x14ac:dyDescent="0.3">
      <c r="B2798" s="723" t="s">
        <v>770</v>
      </c>
      <c r="C2798" s="722" t="s">
        <v>83</v>
      </c>
      <c r="D2798" t="s">
        <v>84</v>
      </c>
      <c r="E2798" s="728"/>
      <c r="F2798" s="148">
        <v>0</v>
      </c>
      <c r="G2798" s="148">
        <v>0</v>
      </c>
      <c r="H2798" s="148">
        <v>0</v>
      </c>
      <c r="I2798" s="728"/>
      <c r="J2798" s="728"/>
      <c r="K2798" s="728"/>
      <c r="L2798" s="728"/>
      <c r="M2798" s="148">
        <v>11</v>
      </c>
      <c r="N2798" s="148">
        <v>-11</v>
      </c>
      <c r="O2798" s="148">
        <v>-100</v>
      </c>
      <c r="P2798" s="728"/>
      <c r="Q2798" s="728"/>
      <c r="R2798" s="728"/>
    </row>
    <row r="2799" spans="2:18" ht="15.75" hidden="1" thickBot="1" x14ac:dyDescent="0.3">
      <c r="B2799" s="723" t="s">
        <v>770</v>
      </c>
      <c r="C2799" s="149" t="s">
        <v>85</v>
      </c>
      <c r="D2799" t="s">
        <v>86</v>
      </c>
      <c r="E2799" s="147">
        <v>117.91952999999999</v>
      </c>
      <c r="F2799" s="147">
        <v>207.38332</v>
      </c>
      <c r="G2799" s="147">
        <v>-89.463790000000003</v>
      </c>
      <c r="H2799" s="147">
        <v>-43.139337339184273</v>
      </c>
      <c r="I2799" s="729"/>
      <c r="J2799" s="147">
        <v>117.91952999999999</v>
      </c>
      <c r="K2799" s="147">
        <v>0</v>
      </c>
      <c r="L2799" s="147">
        <v>2415.5909900000001</v>
      </c>
      <c r="M2799" s="147">
        <v>2631.5998399999999</v>
      </c>
      <c r="N2799" s="147">
        <v>-216.00885</v>
      </c>
      <c r="O2799" s="147">
        <v>-8.208271132893822</v>
      </c>
      <c r="P2799" s="147">
        <v>1468.3264200000001</v>
      </c>
      <c r="Q2799" s="147">
        <v>947.26457000000005</v>
      </c>
      <c r="R2799" s="147">
        <v>64.513214302852361</v>
      </c>
    </row>
    <row r="2800" spans="2:18" ht="15.75" hidden="1" thickBot="1" x14ac:dyDescent="0.3">
      <c r="B2800" s="723" t="s">
        <v>770</v>
      </c>
      <c r="C2800" s="144" t="s">
        <v>87</v>
      </c>
      <c r="D2800" t="s">
        <v>87</v>
      </c>
      <c r="E2800" s="148">
        <v>187.59376</v>
      </c>
      <c r="F2800" s="148">
        <v>281.78539999999998</v>
      </c>
      <c r="G2800" s="148">
        <v>-94.191640000000007</v>
      </c>
      <c r="H2800" s="148">
        <v>-33.426728283296441</v>
      </c>
      <c r="I2800" s="728"/>
      <c r="J2800" s="148">
        <v>187.59376</v>
      </c>
      <c r="K2800" s="148">
        <v>0</v>
      </c>
      <c r="L2800" s="148">
        <v>3307.6771199999998</v>
      </c>
      <c r="M2800" s="148">
        <v>3519.7409200000002</v>
      </c>
      <c r="N2800" s="148">
        <v>-212.06379999999999</v>
      </c>
      <c r="O2800" s="148">
        <v>-6.0249832251857898</v>
      </c>
      <c r="P2800" s="148">
        <v>1924.23705</v>
      </c>
      <c r="Q2800" s="148">
        <v>1383.4400700000001</v>
      </c>
      <c r="R2800" s="148">
        <v>71.895511522345956</v>
      </c>
    </row>
    <row r="2801" spans="2:18" ht="15.75" hidden="1" thickBot="1" x14ac:dyDescent="0.3">
      <c r="B2801" s="723" t="s">
        <v>771</v>
      </c>
      <c r="C2801" s="722" t="s">
        <v>59</v>
      </c>
      <c r="D2801" t="s">
        <v>60</v>
      </c>
      <c r="E2801" s="147">
        <v>21.948080000000001</v>
      </c>
      <c r="F2801" s="147">
        <v>23.436109999999999</v>
      </c>
      <c r="G2801" s="147">
        <v>-1.48803</v>
      </c>
      <c r="H2801" s="147">
        <v>-6.3493045560888728</v>
      </c>
      <c r="I2801" s="729"/>
      <c r="J2801" s="147">
        <v>21.948080000000001</v>
      </c>
      <c r="K2801" s="147">
        <v>0</v>
      </c>
      <c r="L2801" s="147">
        <v>291.04660000000001</v>
      </c>
      <c r="M2801" s="147">
        <v>279.75792000000001</v>
      </c>
      <c r="N2801" s="147">
        <v>11.288679999999999</v>
      </c>
      <c r="O2801" s="147">
        <v>4.0351601127145926</v>
      </c>
      <c r="P2801" s="147">
        <v>149.24799999999999</v>
      </c>
      <c r="Q2801" s="147">
        <v>141.79859999999999</v>
      </c>
      <c r="R2801" s="147">
        <v>95.008710334476845</v>
      </c>
    </row>
    <row r="2802" spans="2:18" ht="15.75" hidden="1" thickBot="1" x14ac:dyDescent="0.3">
      <c r="B2802" s="723" t="s">
        <v>771</v>
      </c>
      <c r="C2802" s="722" t="s">
        <v>61</v>
      </c>
      <c r="D2802" t="s">
        <v>62</v>
      </c>
      <c r="E2802" s="148">
        <v>3.8113199999999998</v>
      </c>
      <c r="F2802" s="148">
        <v>3.6326000000000001</v>
      </c>
      <c r="G2802" s="148">
        <v>0.17871999999999999</v>
      </c>
      <c r="H2802" s="148">
        <v>4.9198920883114026</v>
      </c>
      <c r="I2802" s="728"/>
      <c r="J2802" s="148">
        <v>3.8113199999999998</v>
      </c>
      <c r="K2802" s="148">
        <v>0</v>
      </c>
      <c r="L2802" s="148">
        <v>45.028260000000003</v>
      </c>
      <c r="M2802" s="148">
        <v>43.362499999999997</v>
      </c>
      <c r="N2802" s="148">
        <v>1.6657599999999999</v>
      </c>
      <c r="O2802" s="148">
        <v>3.8414759296627272</v>
      </c>
      <c r="P2802" s="148">
        <v>22.160329999999998</v>
      </c>
      <c r="Q2802" s="148">
        <v>22.867930000000001</v>
      </c>
      <c r="R2802" s="148">
        <v>103.19309324364754</v>
      </c>
    </row>
    <row r="2803" spans="2:18" ht="15.75" hidden="1" thickBot="1" x14ac:dyDescent="0.3">
      <c r="B2803" s="723" t="s">
        <v>771</v>
      </c>
      <c r="C2803" s="722" t="s">
        <v>63</v>
      </c>
      <c r="D2803" t="s">
        <v>64</v>
      </c>
      <c r="E2803" s="147">
        <v>14.80663</v>
      </c>
      <c r="F2803" s="147">
        <v>14.131970000000001</v>
      </c>
      <c r="G2803" s="147">
        <v>0.67466000000000004</v>
      </c>
      <c r="H2803" s="147">
        <v>4.7739982465289694</v>
      </c>
      <c r="I2803" s="729"/>
      <c r="J2803" s="147">
        <v>14.80663</v>
      </c>
      <c r="K2803" s="147">
        <v>0</v>
      </c>
      <c r="L2803" s="147">
        <v>174.93096</v>
      </c>
      <c r="M2803" s="147">
        <v>168.69398000000001</v>
      </c>
      <c r="N2803" s="147">
        <v>6.23698</v>
      </c>
      <c r="O2803" s="147">
        <v>3.6972155141517202</v>
      </c>
      <c r="P2803" s="147">
        <v>86.091229999999996</v>
      </c>
      <c r="Q2803" s="147">
        <v>88.839730000000003</v>
      </c>
      <c r="R2803" s="147">
        <v>103.1925435378261</v>
      </c>
    </row>
    <row r="2804" spans="2:18" ht="15.75" hidden="1" thickBot="1" x14ac:dyDescent="0.3">
      <c r="B2804" s="723" t="s">
        <v>771</v>
      </c>
      <c r="C2804" s="722" t="s">
        <v>180</v>
      </c>
      <c r="D2804" t="s">
        <v>181</v>
      </c>
      <c r="E2804" s="728"/>
      <c r="F2804" s="728"/>
      <c r="G2804" s="728"/>
      <c r="H2804" s="728"/>
      <c r="I2804" s="728"/>
      <c r="J2804" s="728"/>
      <c r="K2804" s="728"/>
      <c r="L2804" s="148">
        <v>0</v>
      </c>
      <c r="M2804" s="728"/>
      <c r="N2804" s="148">
        <v>0</v>
      </c>
      <c r="O2804" s="148">
        <v>0</v>
      </c>
      <c r="P2804" s="148">
        <v>0</v>
      </c>
      <c r="Q2804" s="148">
        <v>0</v>
      </c>
      <c r="R2804" s="148">
        <v>0</v>
      </c>
    </row>
    <row r="2805" spans="2:18" ht="15.75" hidden="1" thickBot="1" x14ac:dyDescent="0.3">
      <c r="B2805" s="723" t="s">
        <v>771</v>
      </c>
      <c r="C2805" s="722" t="s">
        <v>65</v>
      </c>
      <c r="D2805" t="s">
        <v>66</v>
      </c>
      <c r="E2805" s="729"/>
      <c r="F2805" s="729"/>
      <c r="G2805" s="729"/>
      <c r="H2805" s="729"/>
      <c r="I2805" s="729"/>
      <c r="J2805" s="729"/>
      <c r="K2805" s="729"/>
      <c r="L2805" s="147">
        <v>-4.3066399999999998</v>
      </c>
      <c r="M2805" s="729"/>
      <c r="N2805" s="147">
        <v>-4.3066399999999998</v>
      </c>
      <c r="O2805" s="147">
        <v>0</v>
      </c>
      <c r="P2805" s="147">
        <v>-3.3318400000000001</v>
      </c>
      <c r="Q2805" s="147">
        <v>-0.9748</v>
      </c>
      <c r="R2805" s="147">
        <v>-29.257107184018441</v>
      </c>
    </row>
    <row r="2806" spans="2:18" ht="15.75" hidden="1" thickBot="1" x14ac:dyDescent="0.3">
      <c r="B2806" s="723" t="s">
        <v>771</v>
      </c>
      <c r="C2806" s="149" t="s">
        <v>67</v>
      </c>
      <c r="D2806" t="s">
        <v>68</v>
      </c>
      <c r="E2806" s="148">
        <v>40.566029999999998</v>
      </c>
      <c r="F2806" s="148">
        <v>41.200679999999998</v>
      </c>
      <c r="G2806" s="148">
        <v>-0.63465000000000005</v>
      </c>
      <c r="H2806" s="148">
        <v>-1.5403871974928569</v>
      </c>
      <c r="I2806" s="728"/>
      <c r="J2806" s="148">
        <v>40.566029999999998</v>
      </c>
      <c r="K2806" s="148">
        <v>0</v>
      </c>
      <c r="L2806" s="148">
        <v>506.69918000000001</v>
      </c>
      <c r="M2806" s="148">
        <v>491.81439999999998</v>
      </c>
      <c r="N2806" s="148">
        <v>14.884779999999999</v>
      </c>
      <c r="O2806" s="148">
        <v>3.0265034940009889</v>
      </c>
      <c r="P2806" s="148">
        <v>254.16772</v>
      </c>
      <c r="Q2806" s="148">
        <v>252.53146000000001</v>
      </c>
      <c r="R2806" s="148">
        <v>99.356228241729511</v>
      </c>
    </row>
    <row r="2807" spans="2:18" ht="15.75" hidden="1" thickBot="1" x14ac:dyDescent="0.3">
      <c r="B2807" s="723" t="s">
        <v>771</v>
      </c>
      <c r="C2807" s="722" t="s">
        <v>69</v>
      </c>
      <c r="D2807" t="s">
        <v>70</v>
      </c>
      <c r="E2807" s="729"/>
      <c r="F2807" s="729"/>
      <c r="G2807" s="729"/>
      <c r="H2807" s="729"/>
      <c r="I2807" s="729"/>
      <c r="J2807" s="729"/>
      <c r="K2807" s="729"/>
      <c r="L2807" s="147">
        <v>2.68</v>
      </c>
      <c r="M2807" s="729"/>
      <c r="N2807" s="147">
        <v>2.68</v>
      </c>
      <c r="O2807" s="147">
        <v>0</v>
      </c>
      <c r="P2807" s="147">
        <v>2.379</v>
      </c>
      <c r="Q2807" s="147">
        <v>0.30099999999999999</v>
      </c>
      <c r="R2807" s="147">
        <v>12.652374947456915</v>
      </c>
    </row>
    <row r="2808" spans="2:18" ht="15.75" hidden="1" thickBot="1" x14ac:dyDescent="0.3">
      <c r="B2808" s="723" t="s">
        <v>771</v>
      </c>
      <c r="C2808" s="722" t="s">
        <v>165</v>
      </c>
      <c r="D2808" t="s">
        <v>166</v>
      </c>
      <c r="E2808" s="728"/>
      <c r="F2808" s="728"/>
      <c r="G2808" s="728"/>
      <c r="H2808" s="728"/>
      <c r="I2808" s="728"/>
      <c r="J2808" s="728"/>
      <c r="K2808" s="728"/>
      <c r="L2808" s="148">
        <v>2.4500000000000001E-2</v>
      </c>
      <c r="M2808" s="728"/>
      <c r="N2808" s="148">
        <v>2.4500000000000001E-2</v>
      </c>
      <c r="O2808" s="148">
        <v>0</v>
      </c>
      <c r="P2808" s="148">
        <v>2.4500000000000001E-2</v>
      </c>
      <c r="Q2808" s="148">
        <v>0</v>
      </c>
      <c r="R2808" s="148">
        <v>0</v>
      </c>
    </row>
    <row r="2809" spans="2:18" ht="15.75" hidden="1" thickBot="1" x14ac:dyDescent="0.3">
      <c r="B2809" s="723" t="s">
        <v>771</v>
      </c>
      <c r="C2809" s="722" t="s">
        <v>137</v>
      </c>
      <c r="D2809" t="s">
        <v>138</v>
      </c>
      <c r="E2809" s="729"/>
      <c r="F2809" s="729"/>
      <c r="G2809" s="729"/>
      <c r="H2809" s="729"/>
      <c r="I2809" s="729"/>
      <c r="J2809" s="729"/>
      <c r="K2809" s="729"/>
      <c r="L2809" s="147">
        <v>0.99214999999999998</v>
      </c>
      <c r="M2809" s="729"/>
      <c r="N2809" s="147">
        <v>0.99214999999999998</v>
      </c>
      <c r="O2809" s="147">
        <v>0</v>
      </c>
      <c r="P2809" s="147">
        <v>0.34971999999999998</v>
      </c>
      <c r="Q2809" s="147">
        <v>0.64242999999999995</v>
      </c>
      <c r="R2809" s="147">
        <v>183.69838728125359</v>
      </c>
    </row>
    <row r="2810" spans="2:18" ht="15.75" hidden="1" thickBot="1" x14ac:dyDescent="0.3">
      <c r="B2810" s="723" t="s">
        <v>771</v>
      </c>
      <c r="C2810" s="722" t="s">
        <v>190</v>
      </c>
      <c r="D2810" t="s">
        <v>191</v>
      </c>
      <c r="E2810" s="728"/>
      <c r="F2810" s="728"/>
      <c r="G2810" s="728"/>
      <c r="H2810" s="728"/>
      <c r="I2810" s="728"/>
      <c r="J2810" s="728"/>
      <c r="K2810" s="728"/>
      <c r="L2810" s="148">
        <v>2.3E-2</v>
      </c>
      <c r="M2810" s="728"/>
      <c r="N2810" s="148">
        <v>2.3E-2</v>
      </c>
      <c r="O2810" s="148">
        <v>0</v>
      </c>
      <c r="P2810" s="148">
        <v>2.3E-2</v>
      </c>
      <c r="Q2810" s="148">
        <v>0</v>
      </c>
      <c r="R2810" s="148">
        <v>0</v>
      </c>
    </row>
    <row r="2811" spans="2:18" ht="15.75" hidden="1" thickBot="1" x14ac:dyDescent="0.3">
      <c r="B2811" s="723" t="s">
        <v>771</v>
      </c>
      <c r="C2811" s="722" t="s">
        <v>139</v>
      </c>
      <c r="D2811" t="s">
        <v>140</v>
      </c>
      <c r="E2811" s="147">
        <v>0.34499999999999997</v>
      </c>
      <c r="F2811" s="729"/>
      <c r="G2811" s="147">
        <v>0.34499999999999997</v>
      </c>
      <c r="H2811" s="147">
        <v>0</v>
      </c>
      <c r="I2811" s="729"/>
      <c r="J2811" s="147">
        <v>0.34499999999999997</v>
      </c>
      <c r="K2811" s="147">
        <v>0</v>
      </c>
      <c r="L2811" s="147">
        <v>0.34499999999999997</v>
      </c>
      <c r="M2811" s="729"/>
      <c r="N2811" s="147">
        <v>0.34499999999999997</v>
      </c>
      <c r="O2811" s="147">
        <v>0</v>
      </c>
      <c r="P2811" s="729"/>
      <c r="Q2811" s="147">
        <v>0.34499999999999997</v>
      </c>
      <c r="R2811" s="147">
        <v>0</v>
      </c>
    </row>
    <row r="2812" spans="2:18" ht="15.75" hidden="1" thickBot="1" x14ac:dyDescent="0.3">
      <c r="B2812" s="723" t="s">
        <v>771</v>
      </c>
      <c r="C2812" s="722" t="s">
        <v>101</v>
      </c>
      <c r="D2812" t="s">
        <v>102</v>
      </c>
      <c r="E2812" s="148">
        <v>0.216</v>
      </c>
      <c r="F2812" s="728"/>
      <c r="G2812" s="148">
        <v>0.216</v>
      </c>
      <c r="H2812" s="148">
        <v>0</v>
      </c>
      <c r="I2812" s="728"/>
      <c r="J2812" s="148">
        <v>0.216</v>
      </c>
      <c r="K2812" s="148">
        <v>0</v>
      </c>
      <c r="L2812" s="148">
        <v>0.89127999999999996</v>
      </c>
      <c r="M2812" s="728"/>
      <c r="N2812" s="148">
        <v>0.89127999999999996</v>
      </c>
      <c r="O2812" s="148">
        <v>0</v>
      </c>
      <c r="P2812" s="148">
        <v>0.19589999999999999</v>
      </c>
      <c r="Q2812" s="148">
        <v>0.69538</v>
      </c>
      <c r="R2812" s="148">
        <v>354.96681980602347</v>
      </c>
    </row>
    <row r="2813" spans="2:18" ht="15.75" hidden="1" thickBot="1" x14ac:dyDescent="0.3">
      <c r="B2813" s="723" t="s">
        <v>771</v>
      </c>
      <c r="C2813" s="722" t="s">
        <v>103</v>
      </c>
      <c r="D2813" t="s">
        <v>104</v>
      </c>
      <c r="E2813" s="147">
        <v>0.75290999999999997</v>
      </c>
      <c r="F2813" s="729"/>
      <c r="G2813" s="147">
        <v>0.75290999999999997</v>
      </c>
      <c r="H2813" s="147">
        <v>0</v>
      </c>
      <c r="I2813" s="729"/>
      <c r="J2813" s="147">
        <v>0.75290999999999997</v>
      </c>
      <c r="K2813" s="147">
        <v>0</v>
      </c>
      <c r="L2813" s="147">
        <v>1.1928799999999999</v>
      </c>
      <c r="M2813" s="729"/>
      <c r="N2813" s="147">
        <v>1.1928799999999999</v>
      </c>
      <c r="O2813" s="147">
        <v>0</v>
      </c>
      <c r="P2813" s="147">
        <v>0.12597</v>
      </c>
      <c r="Q2813" s="147">
        <v>1.06691</v>
      </c>
      <c r="R2813" s="147">
        <v>846.95562435500517</v>
      </c>
    </row>
    <row r="2814" spans="2:18" ht="15.75" hidden="1" thickBot="1" x14ac:dyDescent="0.3">
      <c r="B2814" s="723" t="s">
        <v>771</v>
      </c>
      <c r="C2814" s="722" t="s">
        <v>109</v>
      </c>
      <c r="D2814" t="s">
        <v>110</v>
      </c>
      <c r="E2814" s="728"/>
      <c r="F2814" s="148">
        <v>0.2</v>
      </c>
      <c r="G2814" s="148">
        <v>-0.2</v>
      </c>
      <c r="H2814" s="148">
        <v>-100</v>
      </c>
      <c r="I2814" s="728"/>
      <c r="J2814" s="728"/>
      <c r="K2814" s="728"/>
      <c r="L2814" s="728"/>
      <c r="M2814" s="148">
        <v>2.4</v>
      </c>
      <c r="N2814" s="148">
        <v>-2.4</v>
      </c>
      <c r="O2814" s="148">
        <v>-100</v>
      </c>
      <c r="P2814" s="728"/>
      <c r="Q2814" s="728"/>
      <c r="R2814" s="728"/>
    </row>
    <row r="2815" spans="2:18" ht="15.75" hidden="1" thickBot="1" x14ac:dyDescent="0.3">
      <c r="B2815" s="723" t="s">
        <v>771</v>
      </c>
      <c r="C2815" s="722" t="s">
        <v>73</v>
      </c>
      <c r="D2815" t="s">
        <v>74</v>
      </c>
      <c r="E2815" s="147">
        <v>0.36919000000000002</v>
      </c>
      <c r="F2815" s="729"/>
      <c r="G2815" s="147">
        <v>0.36919000000000002</v>
      </c>
      <c r="H2815" s="147">
        <v>0</v>
      </c>
      <c r="I2815" s="729"/>
      <c r="J2815" s="147">
        <v>0.36919000000000002</v>
      </c>
      <c r="K2815" s="147">
        <v>0</v>
      </c>
      <c r="L2815" s="147">
        <v>2.44102</v>
      </c>
      <c r="M2815" s="729"/>
      <c r="N2815" s="147">
        <v>2.44102</v>
      </c>
      <c r="O2815" s="147">
        <v>0</v>
      </c>
      <c r="P2815" s="147">
        <v>1.2335</v>
      </c>
      <c r="Q2815" s="147">
        <v>1.2075199999999999</v>
      </c>
      <c r="R2815" s="147">
        <v>97.893798135387115</v>
      </c>
    </row>
    <row r="2816" spans="2:18" ht="15.75" hidden="1" thickBot="1" x14ac:dyDescent="0.3">
      <c r="B2816" s="723" t="s">
        <v>771</v>
      </c>
      <c r="C2816" s="722" t="s">
        <v>111</v>
      </c>
      <c r="D2816" t="s">
        <v>112</v>
      </c>
      <c r="E2816" s="148">
        <v>3.3799399999999999</v>
      </c>
      <c r="F2816" s="728"/>
      <c r="G2816" s="148">
        <v>3.3799399999999999</v>
      </c>
      <c r="H2816" s="148">
        <v>0</v>
      </c>
      <c r="I2816" s="728"/>
      <c r="J2816" s="148">
        <v>3.3799399999999999</v>
      </c>
      <c r="K2816" s="148">
        <v>0</v>
      </c>
      <c r="L2816" s="148">
        <v>65.316090000000003</v>
      </c>
      <c r="M2816" s="148">
        <v>82.5</v>
      </c>
      <c r="N2816" s="148">
        <v>-17.183910000000001</v>
      </c>
      <c r="O2816" s="148">
        <v>-20.82898181818182</v>
      </c>
      <c r="P2816" s="148">
        <v>61.936149999999998</v>
      </c>
      <c r="Q2816" s="148">
        <v>3.3799399999999999</v>
      </c>
      <c r="R2816" s="148">
        <v>5.4571360990310183</v>
      </c>
    </row>
    <row r="2817" spans="2:18" ht="15.75" hidden="1" thickBot="1" x14ac:dyDescent="0.3">
      <c r="B2817" s="723" t="s">
        <v>771</v>
      </c>
      <c r="C2817" s="722" t="s">
        <v>141</v>
      </c>
      <c r="D2817" t="s">
        <v>142</v>
      </c>
      <c r="E2817" s="147">
        <v>4.8840000000000001E-2</v>
      </c>
      <c r="F2817" s="729"/>
      <c r="G2817" s="147">
        <v>4.8840000000000001E-2</v>
      </c>
      <c r="H2817" s="147">
        <v>0</v>
      </c>
      <c r="I2817" s="729"/>
      <c r="J2817" s="147">
        <v>4.8840000000000001E-2</v>
      </c>
      <c r="K2817" s="147">
        <v>0</v>
      </c>
      <c r="L2817" s="147">
        <v>1.8982399999999999</v>
      </c>
      <c r="M2817" s="729"/>
      <c r="N2817" s="147">
        <v>1.8982399999999999</v>
      </c>
      <c r="O2817" s="147">
        <v>0</v>
      </c>
      <c r="P2817" s="147">
        <v>1.6332100000000001</v>
      </c>
      <c r="Q2817" s="147">
        <v>0.26502999999999999</v>
      </c>
      <c r="R2817" s="147">
        <v>16.227551876366174</v>
      </c>
    </row>
    <row r="2818" spans="2:18" ht="15.75" hidden="1" thickBot="1" x14ac:dyDescent="0.3">
      <c r="B2818" s="723" t="s">
        <v>771</v>
      </c>
      <c r="C2818" s="722" t="s">
        <v>113</v>
      </c>
      <c r="D2818" t="s">
        <v>114</v>
      </c>
      <c r="E2818" s="148">
        <v>0.11692</v>
      </c>
      <c r="F2818" s="728"/>
      <c r="G2818" s="148">
        <v>0.11692</v>
      </c>
      <c r="H2818" s="148">
        <v>0</v>
      </c>
      <c r="I2818" s="728"/>
      <c r="J2818" s="148">
        <v>0.11692</v>
      </c>
      <c r="K2818" s="148">
        <v>0</v>
      </c>
      <c r="L2818" s="148">
        <v>0.37537999999999999</v>
      </c>
      <c r="M2818" s="728"/>
      <c r="N2818" s="148">
        <v>0.37537999999999999</v>
      </c>
      <c r="O2818" s="148">
        <v>0</v>
      </c>
      <c r="P2818" s="148">
        <v>0.25846000000000002</v>
      </c>
      <c r="Q2818" s="148">
        <v>0.11692</v>
      </c>
      <c r="R2818" s="148">
        <v>45.237174030797803</v>
      </c>
    </row>
    <row r="2819" spans="2:18" ht="15.75" hidden="1" thickBot="1" x14ac:dyDescent="0.3">
      <c r="B2819" s="723" t="s">
        <v>771</v>
      </c>
      <c r="C2819" s="722" t="s">
        <v>145</v>
      </c>
      <c r="D2819" t="s">
        <v>146</v>
      </c>
      <c r="E2819" s="729"/>
      <c r="F2819" s="729"/>
      <c r="G2819" s="729"/>
      <c r="H2819" s="729"/>
      <c r="I2819" s="729"/>
      <c r="J2819" s="729"/>
      <c r="K2819" s="729"/>
      <c r="L2819" s="147">
        <v>0.15060000000000001</v>
      </c>
      <c r="M2819" s="729"/>
      <c r="N2819" s="147">
        <v>0.15060000000000001</v>
      </c>
      <c r="O2819" s="147">
        <v>0</v>
      </c>
      <c r="P2819" s="147">
        <v>0.106</v>
      </c>
      <c r="Q2819" s="147">
        <v>4.4600000000000001E-2</v>
      </c>
      <c r="R2819" s="147">
        <v>42.075471698113205</v>
      </c>
    </row>
    <row r="2820" spans="2:18" ht="15.75" hidden="1" thickBot="1" x14ac:dyDescent="0.3">
      <c r="B2820" s="723" t="s">
        <v>771</v>
      </c>
      <c r="C2820" s="722" t="s">
        <v>147</v>
      </c>
      <c r="D2820" t="s">
        <v>148</v>
      </c>
      <c r="E2820" s="148">
        <v>0.05</v>
      </c>
      <c r="F2820" s="728"/>
      <c r="G2820" s="148">
        <v>0.05</v>
      </c>
      <c r="H2820" s="148">
        <v>0</v>
      </c>
      <c r="I2820" s="728"/>
      <c r="J2820" s="148">
        <v>0.05</v>
      </c>
      <c r="K2820" s="148">
        <v>0</v>
      </c>
      <c r="L2820" s="148">
        <v>0.20726</v>
      </c>
      <c r="M2820" s="728"/>
      <c r="N2820" s="148">
        <v>0.20726</v>
      </c>
      <c r="O2820" s="148">
        <v>0</v>
      </c>
      <c r="P2820" s="148">
        <v>9.3840000000000007E-2</v>
      </c>
      <c r="Q2820" s="148">
        <v>0.11342000000000001</v>
      </c>
      <c r="R2820" s="148">
        <v>120.86530264279625</v>
      </c>
    </row>
    <row r="2821" spans="2:18" ht="15.75" hidden="1" thickBot="1" x14ac:dyDescent="0.3">
      <c r="B2821" s="723" t="s">
        <v>771</v>
      </c>
      <c r="C2821" s="722" t="s">
        <v>149</v>
      </c>
      <c r="D2821" t="s">
        <v>150</v>
      </c>
      <c r="E2821" s="147">
        <v>14.60599</v>
      </c>
      <c r="F2821" s="147">
        <v>10</v>
      </c>
      <c r="G2821" s="147">
        <v>4.6059900000000003</v>
      </c>
      <c r="H2821" s="147">
        <v>46.059899999999999</v>
      </c>
      <c r="I2821" s="729"/>
      <c r="J2821" s="147">
        <v>14.60599</v>
      </c>
      <c r="K2821" s="147">
        <v>0</v>
      </c>
      <c r="L2821" s="147">
        <v>149.15181000000001</v>
      </c>
      <c r="M2821" s="147">
        <v>120</v>
      </c>
      <c r="N2821" s="147">
        <v>29.151810000000001</v>
      </c>
      <c r="O2821" s="147">
        <v>24.293175000000002</v>
      </c>
      <c r="P2821" s="147">
        <v>82.388369999999995</v>
      </c>
      <c r="Q2821" s="147">
        <v>66.763440000000003</v>
      </c>
      <c r="R2821" s="147">
        <v>81.035029580024457</v>
      </c>
    </row>
    <row r="2822" spans="2:18" ht="15.75" hidden="1" thickBot="1" x14ac:dyDescent="0.3">
      <c r="B2822" s="723" t="s">
        <v>771</v>
      </c>
      <c r="C2822" s="722" t="s">
        <v>645</v>
      </c>
      <c r="D2822" t="s">
        <v>646</v>
      </c>
      <c r="E2822" s="728"/>
      <c r="F2822" s="728"/>
      <c r="G2822" s="728"/>
      <c r="H2822" s="728"/>
      <c r="I2822" s="728"/>
      <c r="J2822" s="728"/>
      <c r="K2822" s="728"/>
      <c r="L2822" s="148">
        <v>6.5449999999999999</v>
      </c>
      <c r="M2822" s="728"/>
      <c r="N2822" s="148">
        <v>6.5449999999999999</v>
      </c>
      <c r="O2822" s="148">
        <v>0</v>
      </c>
      <c r="P2822" s="728"/>
      <c r="Q2822" s="148">
        <v>6.5449999999999999</v>
      </c>
      <c r="R2822" s="148">
        <v>0</v>
      </c>
    </row>
    <row r="2823" spans="2:18" ht="15.75" hidden="1" thickBot="1" x14ac:dyDescent="0.3">
      <c r="B2823" s="723" t="s">
        <v>771</v>
      </c>
      <c r="C2823" s="722" t="s">
        <v>75</v>
      </c>
      <c r="D2823" t="s">
        <v>76</v>
      </c>
      <c r="E2823" s="147">
        <v>0.83594000000000002</v>
      </c>
      <c r="F2823" s="147">
        <v>1</v>
      </c>
      <c r="G2823" s="147">
        <v>-0.16406000000000001</v>
      </c>
      <c r="H2823" s="147">
        <v>-16.405999999999999</v>
      </c>
      <c r="I2823" s="729"/>
      <c r="J2823" s="147">
        <v>0.83594000000000002</v>
      </c>
      <c r="K2823" s="147">
        <v>0</v>
      </c>
      <c r="L2823" s="147">
        <v>7.8513900000000003</v>
      </c>
      <c r="M2823" s="147">
        <v>4.3</v>
      </c>
      <c r="N2823" s="147">
        <v>3.55139</v>
      </c>
      <c r="O2823" s="147">
        <v>82.590465116279063</v>
      </c>
      <c r="P2823" s="147">
        <v>4.8721899999999998</v>
      </c>
      <c r="Q2823" s="147">
        <v>2.9792000000000001</v>
      </c>
      <c r="R2823" s="147">
        <v>61.147040653176497</v>
      </c>
    </row>
    <row r="2824" spans="2:18" ht="15.75" hidden="1" thickBot="1" x14ac:dyDescent="0.3">
      <c r="B2824" s="723" t="s">
        <v>771</v>
      </c>
      <c r="C2824" s="722" t="s">
        <v>121</v>
      </c>
      <c r="D2824" t="s">
        <v>122</v>
      </c>
      <c r="E2824" s="728"/>
      <c r="F2824" s="728"/>
      <c r="G2824" s="728"/>
      <c r="H2824" s="728"/>
      <c r="I2824" s="728"/>
      <c r="J2824" s="728"/>
      <c r="K2824" s="728"/>
      <c r="L2824" s="148">
        <v>0.74768000000000001</v>
      </c>
      <c r="M2824" s="728"/>
      <c r="N2824" s="148">
        <v>0.74768000000000001</v>
      </c>
      <c r="O2824" s="148">
        <v>0</v>
      </c>
      <c r="P2824" s="148">
        <v>0.38302999999999998</v>
      </c>
      <c r="Q2824" s="148">
        <v>0.36464999999999997</v>
      </c>
      <c r="R2824" s="148">
        <v>95.20142025428818</v>
      </c>
    </row>
    <row r="2825" spans="2:18" ht="15.75" hidden="1" thickBot="1" x14ac:dyDescent="0.3">
      <c r="B2825" s="723" t="s">
        <v>771</v>
      </c>
      <c r="C2825" s="722" t="s">
        <v>77</v>
      </c>
      <c r="D2825" t="s">
        <v>78</v>
      </c>
      <c r="E2825" s="147">
        <v>0.15583</v>
      </c>
      <c r="F2825" s="729"/>
      <c r="G2825" s="147">
        <v>0.15583</v>
      </c>
      <c r="H2825" s="147">
        <v>0</v>
      </c>
      <c r="I2825" s="729"/>
      <c r="J2825" s="147">
        <v>0.15583</v>
      </c>
      <c r="K2825" s="147">
        <v>0</v>
      </c>
      <c r="L2825" s="147">
        <v>9.9635499999999997</v>
      </c>
      <c r="M2825" s="147">
        <v>8.5</v>
      </c>
      <c r="N2825" s="147">
        <v>1.4635499999999999</v>
      </c>
      <c r="O2825" s="147">
        <v>17.218235294117648</v>
      </c>
      <c r="P2825" s="147">
        <v>8.4996399999999994</v>
      </c>
      <c r="Q2825" s="147">
        <v>1.46391</v>
      </c>
      <c r="R2825" s="147">
        <v>17.22320004141352</v>
      </c>
    </row>
    <row r="2826" spans="2:18" ht="15.75" hidden="1" thickBot="1" x14ac:dyDescent="0.3">
      <c r="B2826" s="723" t="s">
        <v>771</v>
      </c>
      <c r="C2826" s="722" t="s">
        <v>79</v>
      </c>
      <c r="D2826" t="s">
        <v>80</v>
      </c>
      <c r="E2826" s="728"/>
      <c r="F2826" s="728"/>
      <c r="G2826" s="728"/>
      <c r="H2826" s="728"/>
      <c r="I2826" s="728"/>
      <c r="J2826" s="728"/>
      <c r="K2826" s="728"/>
      <c r="L2826" s="148">
        <v>1.4902299999999999</v>
      </c>
      <c r="M2826" s="728"/>
      <c r="N2826" s="148">
        <v>1.4902299999999999</v>
      </c>
      <c r="O2826" s="148">
        <v>0</v>
      </c>
      <c r="P2826" s="148">
        <v>1.4807300000000001</v>
      </c>
      <c r="Q2826" s="148">
        <v>9.4999999999999998E-3</v>
      </c>
      <c r="R2826" s="148">
        <v>0.6415754391415045</v>
      </c>
    </row>
    <row r="2827" spans="2:18" ht="15.75" hidden="1" thickBot="1" x14ac:dyDescent="0.3">
      <c r="B2827" s="723" t="s">
        <v>771</v>
      </c>
      <c r="C2827" s="722" t="s">
        <v>81</v>
      </c>
      <c r="D2827" t="s">
        <v>82</v>
      </c>
      <c r="E2827" s="147">
        <v>0.38464999999999999</v>
      </c>
      <c r="F2827" s="729"/>
      <c r="G2827" s="147">
        <v>0.38464999999999999</v>
      </c>
      <c r="H2827" s="147">
        <v>0</v>
      </c>
      <c r="I2827" s="729"/>
      <c r="J2827" s="147">
        <v>0.38464999999999999</v>
      </c>
      <c r="K2827" s="147">
        <v>0</v>
      </c>
      <c r="L2827" s="147">
        <v>1.2846500000000001</v>
      </c>
      <c r="M2827" s="729"/>
      <c r="N2827" s="147">
        <v>1.2846500000000001</v>
      </c>
      <c r="O2827" s="147">
        <v>0</v>
      </c>
      <c r="P2827" s="147">
        <v>0.8</v>
      </c>
      <c r="Q2827" s="147">
        <v>0.48465000000000003</v>
      </c>
      <c r="R2827" s="147">
        <v>60.581249999999997</v>
      </c>
    </row>
    <row r="2828" spans="2:18" ht="15.75" hidden="1" thickBot="1" x14ac:dyDescent="0.3">
      <c r="B2828" s="723" t="s">
        <v>771</v>
      </c>
      <c r="C2828" s="722" t="s">
        <v>123</v>
      </c>
      <c r="D2828" t="s">
        <v>124</v>
      </c>
      <c r="E2828" s="148">
        <v>1.8132999999999999</v>
      </c>
      <c r="F2828" s="728"/>
      <c r="G2828" s="148">
        <v>1.8132999999999999</v>
      </c>
      <c r="H2828" s="148">
        <v>0</v>
      </c>
      <c r="I2828" s="728"/>
      <c r="J2828" s="148">
        <v>1.8132999999999999</v>
      </c>
      <c r="K2828" s="148">
        <v>0</v>
      </c>
      <c r="L2828" s="148">
        <v>3.2488000000000001</v>
      </c>
      <c r="M2828" s="728"/>
      <c r="N2828" s="148">
        <v>3.2488000000000001</v>
      </c>
      <c r="O2828" s="148">
        <v>0</v>
      </c>
      <c r="P2828" s="148">
        <v>1.16771</v>
      </c>
      <c r="Q2828" s="148">
        <v>2.0810900000000001</v>
      </c>
      <c r="R2828" s="148">
        <v>178.21976346866944</v>
      </c>
    </row>
    <row r="2829" spans="2:18" ht="15.75" hidden="1" thickBot="1" x14ac:dyDescent="0.3">
      <c r="B2829" s="723" t="s">
        <v>771</v>
      </c>
      <c r="C2829" s="722" t="s">
        <v>83</v>
      </c>
      <c r="D2829" t="s">
        <v>84</v>
      </c>
      <c r="E2829" s="729"/>
      <c r="F2829" s="147">
        <v>1</v>
      </c>
      <c r="G2829" s="147">
        <v>-1</v>
      </c>
      <c r="H2829" s="147">
        <v>-100</v>
      </c>
      <c r="I2829" s="729"/>
      <c r="J2829" s="729"/>
      <c r="K2829" s="729"/>
      <c r="L2829" s="729"/>
      <c r="M2829" s="147">
        <v>12</v>
      </c>
      <c r="N2829" s="147">
        <v>-12</v>
      </c>
      <c r="O2829" s="147">
        <v>-100</v>
      </c>
      <c r="P2829" s="729"/>
      <c r="Q2829" s="729"/>
      <c r="R2829" s="729"/>
    </row>
    <row r="2830" spans="2:18" ht="15.75" hidden="1" thickBot="1" x14ac:dyDescent="0.3">
      <c r="B2830" s="723" t="s">
        <v>771</v>
      </c>
      <c r="C2830" s="149" t="s">
        <v>85</v>
      </c>
      <c r="D2830" t="s">
        <v>86</v>
      </c>
      <c r="E2830" s="148">
        <v>23.07451</v>
      </c>
      <c r="F2830" s="148">
        <v>12.2</v>
      </c>
      <c r="G2830" s="148">
        <v>10.874510000000001</v>
      </c>
      <c r="H2830" s="148">
        <v>89.135327868852457</v>
      </c>
      <c r="I2830" s="728"/>
      <c r="J2830" s="148">
        <v>23.07451</v>
      </c>
      <c r="K2830" s="148">
        <v>0</v>
      </c>
      <c r="L2830" s="148">
        <v>256.82051000000001</v>
      </c>
      <c r="M2830" s="148">
        <v>229.7</v>
      </c>
      <c r="N2830" s="148">
        <v>27.120509999999999</v>
      </c>
      <c r="O2830" s="148">
        <v>11.806926425772748</v>
      </c>
      <c r="P2830" s="148">
        <v>167.95092</v>
      </c>
      <c r="Q2830" s="148">
        <v>88.869590000000002</v>
      </c>
      <c r="R2830" s="148">
        <v>52.914023930324404</v>
      </c>
    </row>
    <row r="2831" spans="2:18" ht="15.75" hidden="1" thickBot="1" x14ac:dyDescent="0.3">
      <c r="B2831" s="723" t="s">
        <v>771</v>
      </c>
      <c r="C2831" s="144" t="s">
        <v>87</v>
      </c>
      <c r="D2831" t="s">
        <v>87</v>
      </c>
      <c r="E2831" s="147">
        <v>63.640540000000001</v>
      </c>
      <c r="F2831" s="147">
        <v>53.400680000000001</v>
      </c>
      <c r="G2831" s="147">
        <v>10.23986</v>
      </c>
      <c r="H2831" s="147">
        <v>19.175523607564546</v>
      </c>
      <c r="I2831" s="729"/>
      <c r="J2831" s="147">
        <v>63.640540000000001</v>
      </c>
      <c r="K2831" s="147">
        <v>0</v>
      </c>
      <c r="L2831" s="147">
        <v>763.51968999999997</v>
      </c>
      <c r="M2831" s="147">
        <v>721.51440000000002</v>
      </c>
      <c r="N2831" s="147">
        <v>42.005290000000002</v>
      </c>
      <c r="O2831" s="147">
        <v>5.8218228215542203</v>
      </c>
      <c r="P2831" s="147">
        <v>422.11864000000003</v>
      </c>
      <c r="Q2831" s="147">
        <v>341.40105</v>
      </c>
      <c r="R2831" s="147">
        <v>80.877984919121317</v>
      </c>
    </row>
    <row r="2832" spans="2:18" ht="15.75" hidden="1" thickBot="1" x14ac:dyDescent="0.3">
      <c r="B2832" s="723" t="s">
        <v>772</v>
      </c>
      <c r="C2832" s="722" t="s">
        <v>59</v>
      </c>
      <c r="D2832" t="s">
        <v>60</v>
      </c>
      <c r="E2832" s="148">
        <v>9.5731900000000003</v>
      </c>
      <c r="F2832" s="148">
        <v>10.690020000000001</v>
      </c>
      <c r="G2832" s="148">
        <v>-1.11683</v>
      </c>
      <c r="H2832" s="148">
        <v>-10.447407956205883</v>
      </c>
      <c r="I2832" s="728"/>
      <c r="J2832" s="148">
        <v>9.5731900000000003</v>
      </c>
      <c r="K2832" s="148">
        <v>0</v>
      </c>
      <c r="L2832" s="148">
        <v>134.52977999999999</v>
      </c>
      <c r="M2832" s="148">
        <v>127.60726</v>
      </c>
      <c r="N2832" s="148">
        <v>6.9225199999999996</v>
      </c>
      <c r="O2832" s="148">
        <v>5.424863757751714</v>
      </c>
      <c r="P2832" s="148">
        <v>67.618319999999997</v>
      </c>
      <c r="Q2832" s="148">
        <v>66.911460000000005</v>
      </c>
      <c r="R2832" s="148">
        <v>98.954632413227657</v>
      </c>
    </row>
    <row r="2833" spans="2:18" ht="15.75" hidden="1" thickBot="1" x14ac:dyDescent="0.3">
      <c r="B2833" s="723" t="s">
        <v>772</v>
      </c>
      <c r="C2833" s="722" t="s">
        <v>61</v>
      </c>
      <c r="D2833" t="s">
        <v>62</v>
      </c>
      <c r="E2833" s="147">
        <v>1.6687700000000001</v>
      </c>
      <c r="F2833" s="147">
        <v>1.6569499999999999</v>
      </c>
      <c r="G2833" s="147">
        <v>1.1820000000000001E-2</v>
      </c>
      <c r="H2833" s="147">
        <v>0.71335888228371402</v>
      </c>
      <c r="I2833" s="729"/>
      <c r="J2833" s="147">
        <v>1.6687700000000001</v>
      </c>
      <c r="K2833" s="147">
        <v>0</v>
      </c>
      <c r="L2833" s="147">
        <v>19.90934</v>
      </c>
      <c r="M2833" s="147">
        <v>19.7791</v>
      </c>
      <c r="N2833" s="147">
        <v>0.13023999999999999</v>
      </c>
      <c r="O2833" s="147">
        <v>0.65847283243423615</v>
      </c>
      <c r="P2833" s="147">
        <v>9.8966799999999999</v>
      </c>
      <c r="Q2833" s="147">
        <v>10.01266</v>
      </c>
      <c r="R2833" s="147">
        <v>101.17190815505806</v>
      </c>
    </row>
    <row r="2834" spans="2:18" ht="15.75" hidden="1" thickBot="1" x14ac:dyDescent="0.3">
      <c r="B2834" s="723" t="s">
        <v>772</v>
      </c>
      <c r="C2834" s="722" t="s">
        <v>63</v>
      </c>
      <c r="D2834" t="s">
        <v>64</v>
      </c>
      <c r="E2834" s="148">
        <v>6.4830899999999998</v>
      </c>
      <c r="F2834" s="148">
        <v>6.4460800000000003</v>
      </c>
      <c r="G2834" s="148">
        <v>3.7010000000000001E-2</v>
      </c>
      <c r="H2834" s="148">
        <v>0.57414738880063543</v>
      </c>
      <c r="I2834" s="728"/>
      <c r="J2834" s="148">
        <v>6.4830899999999998</v>
      </c>
      <c r="K2834" s="148">
        <v>0</v>
      </c>
      <c r="L2834" s="148">
        <v>77.346410000000006</v>
      </c>
      <c r="M2834" s="148">
        <v>76.947159999999997</v>
      </c>
      <c r="N2834" s="148">
        <v>0.39924999999999999</v>
      </c>
      <c r="O2834" s="148">
        <v>0.51886255451143359</v>
      </c>
      <c r="P2834" s="148">
        <v>38.44791</v>
      </c>
      <c r="Q2834" s="148">
        <v>38.898499999999999</v>
      </c>
      <c r="R2834" s="148">
        <v>101.17194926850379</v>
      </c>
    </row>
    <row r="2835" spans="2:18" ht="15.75" hidden="1" thickBot="1" x14ac:dyDescent="0.3">
      <c r="B2835" s="723" t="s">
        <v>772</v>
      </c>
      <c r="C2835" s="722" t="s">
        <v>156</v>
      </c>
      <c r="D2835" t="s">
        <v>157</v>
      </c>
      <c r="E2835" s="147">
        <v>9.4451999999999998</v>
      </c>
      <c r="F2835" s="729"/>
      <c r="G2835" s="147">
        <v>9.4451999999999998</v>
      </c>
      <c r="H2835" s="147">
        <v>0</v>
      </c>
      <c r="I2835" s="729"/>
      <c r="J2835" s="147">
        <v>9.4451999999999998</v>
      </c>
      <c r="K2835" s="147">
        <v>0</v>
      </c>
      <c r="L2835" s="147">
        <v>145.32311999999999</v>
      </c>
      <c r="M2835" s="729"/>
      <c r="N2835" s="147">
        <v>145.32311999999999</v>
      </c>
      <c r="O2835" s="147">
        <v>0</v>
      </c>
      <c r="P2835" s="147">
        <v>71.335719999999995</v>
      </c>
      <c r="Q2835" s="147">
        <v>73.987399999999994</v>
      </c>
      <c r="R2835" s="147">
        <v>103.71718404187972</v>
      </c>
    </row>
    <row r="2836" spans="2:18" ht="15.75" hidden="1" thickBot="1" x14ac:dyDescent="0.3">
      <c r="B2836" s="723" t="s">
        <v>772</v>
      </c>
      <c r="C2836" s="722" t="s">
        <v>65</v>
      </c>
      <c r="D2836" t="s">
        <v>66</v>
      </c>
      <c r="E2836" s="148">
        <v>-15.741899999999999</v>
      </c>
      <c r="F2836" s="148">
        <v>-7.51722</v>
      </c>
      <c r="G2836" s="148">
        <v>-8.2246799999999993</v>
      </c>
      <c r="H2836" s="148">
        <v>-109.41119190338982</v>
      </c>
      <c r="I2836" s="728"/>
      <c r="J2836" s="148">
        <v>-15.741899999999999</v>
      </c>
      <c r="K2836" s="148">
        <v>0</v>
      </c>
      <c r="L2836" s="148">
        <v>-240.52534</v>
      </c>
      <c r="M2836" s="148">
        <v>-89.733400000000003</v>
      </c>
      <c r="N2836" s="148">
        <v>-150.79194000000001</v>
      </c>
      <c r="O2836" s="148">
        <v>-168.04438481100684</v>
      </c>
      <c r="P2836" s="148">
        <v>-118.26325</v>
      </c>
      <c r="Q2836" s="148">
        <v>-122.26209</v>
      </c>
      <c r="R2836" s="148">
        <v>-103.38130399764931</v>
      </c>
    </row>
    <row r="2837" spans="2:18" ht="15.75" hidden="1" thickBot="1" x14ac:dyDescent="0.3">
      <c r="B2837" s="723" t="s">
        <v>772</v>
      </c>
      <c r="C2837" s="149" t="s">
        <v>67</v>
      </c>
      <c r="D2837" t="s">
        <v>68</v>
      </c>
      <c r="E2837" s="147">
        <v>11.42835</v>
      </c>
      <c r="F2837" s="147">
        <v>11.275829999999999</v>
      </c>
      <c r="G2837" s="147">
        <v>0.15251999999999999</v>
      </c>
      <c r="H2837" s="147">
        <v>1.352627700133826</v>
      </c>
      <c r="I2837" s="729"/>
      <c r="J2837" s="147">
        <v>11.42835</v>
      </c>
      <c r="K2837" s="147">
        <v>0</v>
      </c>
      <c r="L2837" s="147">
        <v>136.58331000000001</v>
      </c>
      <c r="M2837" s="147">
        <v>134.60012</v>
      </c>
      <c r="N2837" s="147">
        <v>1.98319</v>
      </c>
      <c r="O2837" s="147">
        <v>1.4733939315953062</v>
      </c>
      <c r="P2837" s="147">
        <v>69.035380000000004</v>
      </c>
      <c r="Q2837" s="147">
        <v>67.547929999999994</v>
      </c>
      <c r="R2837" s="147">
        <v>97.845380151452773</v>
      </c>
    </row>
    <row r="2838" spans="2:18" ht="15.75" hidden="1" thickBot="1" x14ac:dyDescent="0.3">
      <c r="B2838" s="723" t="s">
        <v>772</v>
      </c>
      <c r="C2838" s="722" t="s">
        <v>69</v>
      </c>
      <c r="D2838" t="s">
        <v>70</v>
      </c>
      <c r="E2838" s="728"/>
      <c r="F2838" s="728"/>
      <c r="G2838" s="728"/>
      <c r="H2838" s="728"/>
      <c r="I2838" s="728"/>
      <c r="J2838" s="728"/>
      <c r="K2838" s="728"/>
      <c r="L2838" s="148">
        <v>0.05</v>
      </c>
      <c r="M2838" s="728"/>
      <c r="N2838" s="148">
        <v>0.05</v>
      </c>
      <c r="O2838" s="148">
        <v>0</v>
      </c>
      <c r="P2838" s="148">
        <v>0.05</v>
      </c>
      <c r="Q2838" s="148">
        <v>0</v>
      </c>
      <c r="R2838" s="148">
        <v>0</v>
      </c>
    </row>
    <row r="2839" spans="2:18" ht="15.75" hidden="1" thickBot="1" x14ac:dyDescent="0.3">
      <c r="B2839" s="723" t="s">
        <v>772</v>
      </c>
      <c r="C2839" s="722" t="s">
        <v>137</v>
      </c>
      <c r="D2839" t="s">
        <v>138</v>
      </c>
      <c r="E2839" s="729"/>
      <c r="F2839" s="147">
        <v>4.163E-2</v>
      </c>
      <c r="G2839" s="147">
        <v>-4.163E-2</v>
      </c>
      <c r="H2839" s="147">
        <v>-100</v>
      </c>
      <c r="I2839" s="729"/>
      <c r="J2839" s="729"/>
      <c r="K2839" s="729"/>
      <c r="L2839" s="729"/>
      <c r="M2839" s="147">
        <v>0.5</v>
      </c>
      <c r="N2839" s="147">
        <v>-0.5</v>
      </c>
      <c r="O2839" s="147">
        <v>-100</v>
      </c>
      <c r="P2839" s="729"/>
      <c r="Q2839" s="729"/>
      <c r="R2839" s="729"/>
    </row>
    <row r="2840" spans="2:18" ht="15.75" hidden="1" thickBot="1" x14ac:dyDescent="0.3">
      <c r="B2840" s="723" t="s">
        <v>772</v>
      </c>
      <c r="C2840" s="722" t="s">
        <v>139</v>
      </c>
      <c r="D2840" t="s">
        <v>140</v>
      </c>
      <c r="E2840" s="728"/>
      <c r="F2840" s="148">
        <v>0</v>
      </c>
      <c r="G2840" s="148">
        <v>0</v>
      </c>
      <c r="H2840" s="148">
        <v>0</v>
      </c>
      <c r="I2840" s="728"/>
      <c r="J2840" s="728"/>
      <c r="K2840" s="728"/>
      <c r="L2840" s="148">
        <v>0.82399999999999995</v>
      </c>
      <c r="M2840" s="148">
        <v>3</v>
      </c>
      <c r="N2840" s="148">
        <v>-2.1760000000000002</v>
      </c>
      <c r="O2840" s="148">
        <v>-72.533333333333331</v>
      </c>
      <c r="P2840" s="728"/>
      <c r="Q2840" s="148">
        <v>0.82399999999999995</v>
      </c>
      <c r="R2840" s="148">
        <v>0</v>
      </c>
    </row>
    <row r="2841" spans="2:18" ht="15.75" hidden="1" thickBot="1" x14ac:dyDescent="0.3">
      <c r="B2841" s="723" t="s">
        <v>772</v>
      </c>
      <c r="C2841" s="722" t="s">
        <v>141</v>
      </c>
      <c r="D2841" t="s">
        <v>142</v>
      </c>
      <c r="E2841" s="729"/>
      <c r="F2841" s="729"/>
      <c r="G2841" s="729"/>
      <c r="H2841" s="729"/>
      <c r="I2841" s="729"/>
      <c r="J2841" s="729"/>
      <c r="K2841" s="729"/>
      <c r="L2841" s="147">
        <v>5.9800000000000001E-3</v>
      </c>
      <c r="M2841" s="147">
        <v>0.5</v>
      </c>
      <c r="N2841" s="147">
        <v>-0.49402000000000001</v>
      </c>
      <c r="O2841" s="147">
        <v>-98.804000000000002</v>
      </c>
      <c r="P2841" s="147">
        <v>5.9800000000000001E-3</v>
      </c>
      <c r="Q2841" s="147">
        <v>0</v>
      </c>
      <c r="R2841" s="147">
        <v>0</v>
      </c>
    </row>
    <row r="2842" spans="2:18" ht="15.75" hidden="1" thickBot="1" x14ac:dyDescent="0.3">
      <c r="B2842" s="723" t="s">
        <v>772</v>
      </c>
      <c r="C2842" s="722" t="s">
        <v>113</v>
      </c>
      <c r="D2842" t="s">
        <v>114</v>
      </c>
      <c r="E2842" s="728"/>
      <c r="F2842" s="728"/>
      <c r="G2842" s="728"/>
      <c r="H2842" s="728"/>
      <c r="I2842" s="728"/>
      <c r="J2842" s="728"/>
      <c r="K2842" s="728"/>
      <c r="L2842" s="148">
        <v>3.746E-2</v>
      </c>
      <c r="M2842" s="728"/>
      <c r="N2842" s="148">
        <v>3.746E-2</v>
      </c>
      <c r="O2842" s="148">
        <v>0</v>
      </c>
      <c r="P2842" s="728"/>
      <c r="Q2842" s="148">
        <v>3.746E-2</v>
      </c>
      <c r="R2842" s="148">
        <v>0</v>
      </c>
    </row>
    <row r="2843" spans="2:18" ht="15.75" hidden="1" thickBot="1" x14ac:dyDescent="0.3">
      <c r="B2843" s="723" t="s">
        <v>772</v>
      </c>
      <c r="C2843" s="722" t="s">
        <v>145</v>
      </c>
      <c r="D2843" t="s">
        <v>146</v>
      </c>
      <c r="E2843" s="147">
        <v>1.44E-2</v>
      </c>
      <c r="F2843" s="729"/>
      <c r="G2843" s="147">
        <v>1.44E-2</v>
      </c>
      <c r="H2843" s="147">
        <v>0</v>
      </c>
      <c r="I2843" s="729"/>
      <c r="J2843" s="147">
        <v>1.44E-2</v>
      </c>
      <c r="K2843" s="147">
        <v>0</v>
      </c>
      <c r="L2843" s="147">
        <v>8.5900000000000004E-2</v>
      </c>
      <c r="M2843" s="729"/>
      <c r="N2843" s="147">
        <v>8.5900000000000004E-2</v>
      </c>
      <c r="O2843" s="147">
        <v>0</v>
      </c>
      <c r="P2843" s="147">
        <v>1.4500000000000001E-2</v>
      </c>
      <c r="Q2843" s="147">
        <v>7.1400000000000005E-2</v>
      </c>
      <c r="R2843" s="147">
        <v>492.41379310344826</v>
      </c>
    </row>
    <row r="2844" spans="2:18" ht="15.75" hidden="1" thickBot="1" x14ac:dyDescent="0.3">
      <c r="B2844" s="723" t="s">
        <v>772</v>
      </c>
      <c r="C2844" s="722" t="s">
        <v>149</v>
      </c>
      <c r="D2844" t="s">
        <v>150</v>
      </c>
      <c r="E2844" s="728"/>
      <c r="F2844" s="728"/>
      <c r="G2844" s="728"/>
      <c r="H2844" s="728"/>
      <c r="I2844" s="728"/>
      <c r="J2844" s="728"/>
      <c r="K2844" s="728"/>
      <c r="L2844" s="728"/>
      <c r="M2844" s="148">
        <v>7.5</v>
      </c>
      <c r="N2844" s="148">
        <v>-7.5</v>
      </c>
      <c r="O2844" s="148">
        <v>-100</v>
      </c>
      <c r="P2844" s="728"/>
      <c r="Q2844" s="728"/>
      <c r="R2844" s="728"/>
    </row>
    <row r="2845" spans="2:18" ht="15.75" hidden="1" thickBot="1" x14ac:dyDescent="0.3">
      <c r="B2845" s="723" t="s">
        <v>772</v>
      </c>
      <c r="C2845" s="722" t="s">
        <v>481</v>
      </c>
      <c r="D2845" t="s">
        <v>482</v>
      </c>
      <c r="E2845" s="729"/>
      <c r="F2845" s="147">
        <v>3.5000000000000003E-2</v>
      </c>
      <c r="G2845" s="147">
        <v>-3.5000000000000003E-2</v>
      </c>
      <c r="H2845" s="147">
        <v>-100</v>
      </c>
      <c r="I2845" s="729"/>
      <c r="J2845" s="729"/>
      <c r="K2845" s="729"/>
      <c r="L2845" s="147">
        <v>4.9500000000000004E-3</v>
      </c>
      <c r="M2845" s="147">
        <v>0.42</v>
      </c>
      <c r="N2845" s="147">
        <v>-0.41504999999999997</v>
      </c>
      <c r="O2845" s="147">
        <v>-98.821428571428569</v>
      </c>
      <c r="P2845" s="729"/>
      <c r="Q2845" s="147">
        <v>4.9500000000000004E-3</v>
      </c>
      <c r="R2845" s="147">
        <v>0</v>
      </c>
    </row>
    <row r="2846" spans="2:18" ht="15.75" hidden="1" thickBot="1" x14ac:dyDescent="0.3">
      <c r="B2846" s="723" t="s">
        <v>772</v>
      </c>
      <c r="C2846" s="722" t="s">
        <v>75</v>
      </c>
      <c r="D2846" t="s">
        <v>76</v>
      </c>
      <c r="E2846" s="148">
        <v>0.16802</v>
      </c>
      <c r="F2846" s="148">
        <v>0.5</v>
      </c>
      <c r="G2846" s="148">
        <v>-0.33198</v>
      </c>
      <c r="H2846" s="148">
        <v>-66.396000000000001</v>
      </c>
      <c r="I2846" s="728"/>
      <c r="J2846" s="148">
        <v>0.16802</v>
      </c>
      <c r="K2846" s="148">
        <v>0</v>
      </c>
      <c r="L2846" s="148">
        <v>4.2788500000000003</v>
      </c>
      <c r="M2846" s="148">
        <v>6</v>
      </c>
      <c r="N2846" s="148">
        <v>-1.72115</v>
      </c>
      <c r="O2846" s="148">
        <v>-28.685833333333335</v>
      </c>
      <c r="P2846" s="148">
        <v>2.2592599999999998</v>
      </c>
      <c r="Q2846" s="148">
        <v>2.01959</v>
      </c>
      <c r="R2846" s="148">
        <v>89.391659215849444</v>
      </c>
    </row>
    <row r="2847" spans="2:18" ht="15.75" hidden="1" thickBot="1" x14ac:dyDescent="0.3">
      <c r="B2847" s="723" t="s">
        <v>772</v>
      </c>
      <c r="C2847" s="722" t="s">
        <v>77</v>
      </c>
      <c r="D2847" t="s">
        <v>78</v>
      </c>
      <c r="E2847" s="729"/>
      <c r="F2847" s="147">
        <v>0</v>
      </c>
      <c r="G2847" s="147">
        <v>0</v>
      </c>
      <c r="H2847" s="147">
        <v>0</v>
      </c>
      <c r="I2847" s="729"/>
      <c r="J2847" s="729"/>
      <c r="K2847" s="729"/>
      <c r="L2847" s="147">
        <v>12.35618</v>
      </c>
      <c r="M2847" s="147">
        <v>8.4</v>
      </c>
      <c r="N2847" s="147">
        <v>3.9561799999999998</v>
      </c>
      <c r="O2847" s="147">
        <v>47.097380952380952</v>
      </c>
      <c r="P2847" s="147">
        <v>7.2520300000000004</v>
      </c>
      <c r="Q2847" s="147">
        <v>5.1041499999999997</v>
      </c>
      <c r="R2847" s="147">
        <v>70.382361904184066</v>
      </c>
    </row>
    <row r="2848" spans="2:18" ht="15.75" hidden="1" thickBot="1" x14ac:dyDescent="0.3">
      <c r="B2848" s="723" t="s">
        <v>772</v>
      </c>
      <c r="C2848" s="722" t="s">
        <v>79</v>
      </c>
      <c r="D2848" t="s">
        <v>80</v>
      </c>
      <c r="E2848" s="728"/>
      <c r="F2848" s="148">
        <v>1.2</v>
      </c>
      <c r="G2848" s="148">
        <v>-1.2</v>
      </c>
      <c r="H2848" s="148">
        <v>-100</v>
      </c>
      <c r="I2848" s="728"/>
      <c r="J2848" s="728"/>
      <c r="K2848" s="728"/>
      <c r="L2848" s="148">
        <v>3.9669999999999997E-2</v>
      </c>
      <c r="M2848" s="148">
        <v>7.2</v>
      </c>
      <c r="N2848" s="148">
        <v>-7.1603300000000001</v>
      </c>
      <c r="O2848" s="148">
        <v>-99.449027777777772</v>
      </c>
      <c r="P2848" s="148">
        <v>2.7890000000000002E-2</v>
      </c>
      <c r="Q2848" s="148">
        <v>1.1780000000000001E-2</v>
      </c>
      <c r="R2848" s="148">
        <v>42.237361061312299</v>
      </c>
    </row>
    <row r="2849" spans="2:18" ht="15.75" hidden="1" thickBot="1" x14ac:dyDescent="0.3">
      <c r="B2849" s="723" t="s">
        <v>772</v>
      </c>
      <c r="C2849" s="722" t="s">
        <v>81</v>
      </c>
      <c r="D2849" t="s">
        <v>82</v>
      </c>
      <c r="E2849" s="729"/>
      <c r="F2849" s="147">
        <v>3.5</v>
      </c>
      <c r="G2849" s="147">
        <v>-3.5</v>
      </c>
      <c r="H2849" s="147">
        <v>-100</v>
      </c>
      <c r="I2849" s="729"/>
      <c r="J2849" s="729"/>
      <c r="K2849" s="729"/>
      <c r="L2849" s="147">
        <v>0.1</v>
      </c>
      <c r="M2849" s="147">
        <v>7</v>
      </c>
      <c r="N2849" s="147">
        <v>-6.9</v>
      </c>
      <c r="O2849" s="147">
        <v>-98.571428571428569</v>
      </c>
      <c r="P2849" s="729"/>
      <c r="Q2849" s="147">
        <v>0.1</v>
      </c>
      <c r="R2849" s="147">
        <v>0</v>
      </c>
    </row>
    <row r="2850" spans="2:18" ht="15.75" hidden="1" thickBot="1" x14ac:dyDescent="0.3">
      <c r="B2850" s="723" t="s">
        <v>772</v>
      </c>
      <c r="C2850" s="722" t="s">
        <v>123</v>
      </c>
      <c r="D2850" t="s">
        <v>124</v>
      </c>
      <c r="E2850" s="148">
        <v>0.68425000000000002</v>
      </c>
      <c r="F2850" s="728"/>
      <c r="G2850" s="148">
        <v>0.68425000000000002</v>
      </c>
      <c r="H2850" s="148">
        <v>0</v>
      </c>
      <c r="I2850" s="728"/>
      <c r="J2850" s="148">
        <v>0.68425000000000002</v>
      </c>
      <c r="K2850" s="148">
        <v>0</v>
      </c>
      <c r="L2850" s="148">
        <v>0.68425000000000002</v>
      </c>
      <c r="M2850" s="728"/>
      <c r="N2850" s="148">
        <v>0.68425000000000002</v>
      </c>
      <c r="O2850" s="148">
        <v>0</v>
      </c>
      <c r="P2850" s="728"/>
      <c r="Q2850" s="148">
        <v>0.68425000000000002</v>
      </c>
      <c r="R2850" s="148">
        <v>0</v>
      </c>
    </row>
    <row r="2851" spans="2:18" ht="15.75" hidden="1" thickBot="1" x14ac:dyDescent="0.3">
      <c r="B2851" s="723" t="s">
        <v>772</v>
      </c>
      <c r="C2851" s="722" t="s">
        <v>83</v>
      </c>
      <c r="D2851" t="s">
        <v>84</v>
      </c>
      <c r="E2851" s="729"/>
      <c r="F2851" s="147">
        <v>0.25</v>
      </c>
      <c r="G2851" s="147">
        <v>-0.25</v>
      </c>
      <c r="H2851" s="147">
        <v>-100</v>
      </c>
      <c r="I2851" s="729"/>
      <c r="J2851" s="729"/>
      <c r="K2851" s="729"/>
      <c r="L2851" s="729"/>
      <c r="M2851" s="147">
        <v>3</v>
      </c>
      <c r="N2851" s="147">
        <v>-3</v>
      </c>
      <c r="O2851" s="147">
        <v>-100</v>
      </c>
      <c r="P2851" s="729"/>
      <c r="Q2851" s="729"/>
      <c r="R2851" s="729"/>
    </row>
    <row r="2852" spans="2:18" ht="15.75" hidden="1" thickBot="1" x14ac:dyDescent="0.3">
      <c r="B2852" s="723" t="s">
        <v>772</v>
      </c>
      <c r="C2852" s="149" t="s">
        <v>85</v>
      </c>
      <c r="D2852" t="s">
        <v>86</v>
      </c>
      <c r="E2852" s="148">
        <v>0.86667000000000005</v>
      </c>
      <c r="F2852" s="148">
        <v>5.5266299999999999</v>
      </c>
      <c r="G2852" s="148">
        <v>-4.6599599999999999</v>
      </c>
      <c r="H2852" s="148">
        <v>-84.318291617133767</v>
      </c>
      <c r="I2852" s="728"/>
      <c r="J2852" s="148">
        <v>0.86667000000000005</v>
      </c>
      <c r="K2852" s="148">
        <v>0</v>
      </c>
      <c r="L2852" s="148">
        <v>18.46724</v>
      </c>
      <c r="M2852" s="148">
        <v>43.52</v>
      </c>
      <c r="N2852" s="148">
        <v>-25.052759999999999</v>
      </c>
      <c r="O2852" s="148">
        <v>-57.566084558823526</v>
      </c>
      <c r="P2852" s="148">
        <v>9.6096599999999999</v>
      </c>
      <c r="Q2852" s="148">
        <v>8.8575800000000005</v>
      </c>
      <c r="R2852" s="148">
        <v>92.17370853911585</v>
      </c>
    </row>
    <row r="2853" spans="2:18" ht="15.75" hidden="1" thickBot="1" x14ac:dyDescent="0.3">
      <c r="B2853" s="723" t="s">
        <v>772</v>
      </c>
      <c r="C2853" s="144" t="s">
        <v>87</v>
      </c>
      <c r="D2853" t="s">
        <v>87</v>
      </c>
      <c r="E2853" s="147">
        <v>12.295019999999999</v>
      </c>
      <c r="F2853" s="147">
        <v>16.80246</v>
      </c>
      <c r="G2853" s="147">
        <v>-4.5074399999999999</v>
      </c>
      <c r="H2853" s="147">
        <v>-26.82607189661514</v>
      </c>
      <c r="I2853" s="729"/>
      <c r="J2853" s="147">
        <v>12.295019999999999</v>
      </c>
      <c r="K2853" s="147">
        <v>0</v>
      </c>
      <c r="L2853" s="147">
        <v>155.05054999999999</v>
      </c>
      <c r="M2853" s="147">
        <v>178.12011999999999</v>
      </c>
      <c r="N2853" s="147">
        <v>-23.069569999999999</v>
      </c>
      <c r="O2853" s="147">
        <v>-12.951692374786184</v>
      </c>
      <c r="P2853" s="147">
        <v>78.645039999999995</v>
      </c>
      <c r="Q2853" s="147">
        <v>76.405510000000007</v>
      </c>
      <c r="R2853" s="147">
        <v>97.152356970000909</v>
      </c>
    </row>
    <row r="2854" spans="2:18" ht="15.75" hidden="1" thickBot="1" x14ac:dyDescent="0.3">
      <c r="B2854" s="723" t="s">
        <v>773</v>
      </c>
      <c r="C2854" s="722" t="s">
        <v>59</v>
      </c>
      <c r="D2854" t="s">
        <v>60</v>
      </c>
      <c r="E2854" s="148">
        <v>219.69253</v>
      </c>
      <c r="F2854" s="148">
        <v>275.61590000000001</v>
      </c>
      <c r="G2854" s="148">
        <v>-55.923369999999998</v>
      </c>
      <c r="H2854" s="148">
        <v>-20.290327952777762</v>
      </c>
      <c r="I2854" s="728"/>
      <c r="J2854" s="148">
        <v>219.69253</v>
      </c>
      <c r="K2854" s="148">
        <v>0</v>
      </c>
      <c r="L2854" s="148">
        <v>2853.4684400000001</v>
      </c>
      <c r="M2854" s="148">
        <v>3223.4546399999999</v>
      </c>
      <c r="N2854" s="148">
        <v>-369.9862</v>
      </c>
      <c r="O2854" s="148">
        <v>-11.477940325538441</v>
      </c>
      <c r="P2854" s="148">
        <v>1470.6237100000001</v>
      </c>
      <c r="Q2854" s="148">
        <v>1382.84473</v>
      </c>
      <c r="R2854" s="148">
        <v>94.031173344811634</v>
      </c>
    </row>
    <row r="2855" spans="2:18" ht="15.75" hidden="1" thickBot="1" x14ac:dyDescent="0.3">
      <c r="B2855" s="723" t="s">
        <v>773</v>
      </c>
      <c r="C2855" s="722" t="s">
        <v>89</v>
      </c>
      <c r="D2855" t="s">
        <v>90</v>
      </c>
      <c r="E2855" s="147">
        <v>0.65107999999999999</v>
      </c>
      <c r="F2855" s="729"/>
      <c r="G2855" s="147">
        <v>0.65107999999999999</v>
      </c>
      <c r="H2855" s="147">
        <v>0</v>
      </c>
      <c r="I2855" s="729"/>
      <c r="J2855" s="147">
        <v>0.65107999999999999</v>
      </c>
      <c r="K2855" s="147">
        <v>0</v>
      </c>
      <c r="L2855" s="147">
        <v>4.1823899999999998</v>
      </c>
      <c r="M2855" s="729"/>
      <c r="N2855" s="147">
        <v>4.1823899999999998</v>
      </c>
      <c r="O2855" s="147">
        <v>0</v>
      </c>
      <c r="P2855" s="147">
        <v>2.5753200000000001</v>
      </c>
      <c r="Q2855" s="147">
        <v>1.60707</v>
      </c>
      <c r="R2855" s="147">
        <v>62.402730534457852</v>
      </c>
    </row>
    <row r="2856" spans="2:18" ht="15.75" hidden="1" thickBot="1" x14ac:dyDescent="0.3">
      <c r="B2856" s="723" t="s">
        <v>773</v>
      </c>
      <c r="C2856" s="722" t="s">
        <v>91</v>
      </c>
      <c r="D2856" t="s">
        <v>92</v>
      </c>
      <c r="E2856" s="148">
        <v>72.170519999999996</v>
      </c>
      <c r="F2856" s="148">
        <v>103.47636</v>
      </c>
      <c r="G2856" s="148">
        <v>-31.30584</v>
      </c>
      <c r="H2856" s="148">
        <v>-30.254098617307374</v>
      </c>
      <c r="I2856" s="728"/>
      <c r="J2856" s="148">
        <v>72.170519999999996</v>
      </c>
      <c r="K2856" s="148">
        <v>0</v>
      </c>
      <c r="L2856" s="148">
        <v>1071.4492600000001</v>
      </c>
      <c r="M2856" s="148">
        <v>1208.56375</v>
      </c>
      <c r="N2856" s="148">
        <v>-137.11448999999999</v>
      </c>
      <c r="O2856" s="148">
        <v>-11.345242648557017</v>
      </c>
      <c r="P2856" s="148">
        <v>535.57411000000002</v>
      </c>
      <c r="Q2856" s="148">
        <v>535.87514999999996</v>
      </c>
      <c r="R2856" s="148">
        <v>100.05620884101361</v>
      </c>
    </row>
    <row r="2857" spans="2:18" ht="15.75" hidden="1" thickBot="1" x14ac:dyDescent="0.3">
      <c r="B2857" s="723" t="s">
        <v>773</v>
      </c>
      <c r="C2857" s="722" t="s">
        <v>93</v>
      </c>
      <c r="D2857" t="s">
        <v>94</v>
      </c>
      <c r="E2857" s="147">
        <v>2.4105699999999999</v>
      </c>
      <c r="F2857" s="147">
        <v>2.7357399999999998</v>
      </c>
      <c r="G2857" s="147">
        <v>-0.32517000000000001</v>
      </c>
      <c r="H2857" s="147">
        <v>-11.885997938400578</v>
      </c>
      <c r="I2857" s="729"/>
      <c r="J2857" s="147">
        <v>2.4105699999999999</v>
      </c>
      <c r="K2857" s="147">
        <v>0</v>
      </c>
      <c r="L2857" s="147">
        <v>48.285150000000002</v>
      </c>
      <c r="M2857" s="147">
        <v>31.952400000000001</v>
      </c>
      <c r="N2857" s="147">
        <v>16.332750000000001</v>
      </c>
      <c r="O2857" s="147">
        <v>51.115878619446427</v>
      </c>
      <c r="P2857" s="147">
        <v>20.09881</v>
      </c>
      <c r="Q2857" s="147">
        <v>28.186340000000001</v>
      </c>
      <c r="R2857" s="147">
        <v>140.23884996176392</v>
      </c>
    </row>
    <row r="2858" spans="2:18" ht="15.75" hidden="1" thickBot="1" x14ac:dyDescent="0.3">
      <c r="B2858" s="723" t="s">
        <v>773</v>
      </c>
      <c r="C2858" s="722" t="s">
        <v>159</v>
      </c>
      <c r="D2858" t="s">
        <v>160</v>
      </c>
      <c r="E2858" s="728"/>
      <c r="F2858" s="148">
        <v>4.8725899999999998</v>
      </c>
      <c r="G2858" s="148">
        <v>-4.8725899999999998</v>
      </c>
      <c r="H2858" s="148">
        <v>-100</v>
      </c>
      <c r="I2858" s="728"/>
      <c r="J2858" s="728"/>
      <c r="K2858" s="728"/>
      <c r="L2858" s="728"/>
      <c r="M2858" s="148">
        <v>56.909959999999998</v>
      </c>
      <c r="N2858" s="148">
        <v>-56.909959999999998</v>
      </c>
      <c r="O2858" s="148">
        <v>-100</v>
      </c>
      <c r="P2858" s="728"/>
      <c r="Q2858" s="728"/>
      <c r="R2858" s="728"/>
    </row>
    <row r="2859" spans="2:18" ht="15.75" hidden="1" thickBot="1" x14ac:dyDescent="0.3">
      <c r="B2859" s="723" t="s">
        <v>773</v>
      </c>
      <c r="C2859" s="722" t="s">
        <v>134</v>
      </c>
      <c r="D2859" t="s">
        <v>135</v>
      </c>
      <c r="E2859" s="147">
        <v>0.83333000000000002</v>
      </c>
      <c r="F2859" s="729"/>
      <c r="G2859" s="147">
        <v>0.83333000000000002</v>
      </c>
      <c r="H2859" s="147">
        <v>0</v>
      </c>
      <c r="I2859" s="729"/>
      <c r="J2859" s="147">
        <v>0.83333000000000002</v>
      </c>
      <c r="K2859" s="147">
        <v>0</v>
      </c>
      <c r="L2859" s="147">
        <v>12.12238</v>
      </c>
      <c r="M2859" s="729"/>
      <c r="N2859" s="147">
        <v>12.12238</v>
      </c>
      <c r="O2859" s="147">
        <v>0</v>
      </c>
      <c r="P2859" s="147">
        <v>4.9999799999999999</v>
      </c>
      <c r="Q2859" s="147">
        <v>7.1223999999999998</v>
      </c>
      <c r="R2859" s="147">
        <v>142.44856979427917</v>
      </c>
    </row>
    <row r="2860" spans="2:18" ht="15.75" hidden="1" thickBot="1" x14ac:dyDescent="0.3">
      <c r="B2860" s="723" t="s">
        <v>773</v>
      </c>
      <c r="C2860" s="722" t="s">
        <v>568</v>
      </c>
      <c r="D2860" t="s">
        <v>569</v>
      </c>
      <c r="E2860" s="728"/>
      <c r="F2860" s="148">
        <v>5.1520799999999998</v>
      </c>
      <c r="G2860" s="148">
        <v>-5.1520799999999998</v>
      </c>
      <c r="H2860" s="148">
        <v>-100</v>
      </c>
      <c r="I2860" s="728"/>
      <c r="J2860" s="728"/>
      <c r="K2860" s="728"/>
      <c r="L2860" s="728"/>
      <c r="M2860" s="148">
        <v>61.500619999999998</v>
      </c>
      <c r="N2860" s="148">
        <v>-61.500619999999998</v>
      </c>
      <c r="O2860" s="148">
        <v>-100</v>
      </c>
      <c r="P2860" s="728"/>
      <c r="Q2860" s="728"/>
      <c r="R2860" s="728"/>
    </row>
    <row r="2861" spans="2:18" ht="15.75" hidden="1" thickBot="1" x14ac:dyDescent="0.3">
      <c r="B2861" s="723" t="s">
        <v>773</v>
      </c>
      <c r="C2861" s="722" t="s">
        <v>61</v>
      </c>
      <c r="D2861" t="s">
        <v>62</v>
      </c>
      <c r="E2861" s="147">
        <v>52.014789999999998</v>
      </c>
      <c r="F2861" s="147">
        <v>60.313139999999997</v>
      </c>
      <c r="G2861" s="147">
        <v>-8.2983499999999992</v>
      </c>
      <c r="H2861" s="147">
        <v>-13.758776279928387</v>
      </c>
      <c r="I2861" s="729"/>
      <c r="J2861" s="147">
        <v>52.014789999999998</v>
      </c>
      <c r="K2861" s="147">
        <v>0</v>
      </c>
      <c r="L2861" s="147">
        <v>613.52035000000001</v>
      </c>
      <c r="M2861" s="147">
        <v>705.31663000000003</v>
      </c>
      <c r="N2861" s="147">
        <v>-91.796279999999996</v>
      </c>
      <c r="O2861" s="147">
        <v>-13.014903675247243</v>
      </c>
      <c r="P2861" s="147">
        <v>303.34748999999999</v>
      </c>
      <c r="Q2861" s="147">
        <v>310.17286000000001</v>
      </c>
      <c r="R2861" s="147">
        <v>102.25001696898828</v>
      </c>
    </row>
    <row r="2862" spans="2:18" ht="15.75" hidden="1" thickBot="1" x14ac:dyDescent="0.3">
      <c r="B2862" s="723" t="s">
        <v>773</v>
      </c>
      <c r="C2862" s="722" t="s">
        <v>63</v>
      </c>
      <c r="D2862" t="s">
        <v>64</v>
      </c>
      <c r="E2862" s="148">
        <v>202.65898999999999</v>
      </c>
      <c r="F2862" s="148">
        <v>229.34648999999999</v>
      </c>
      <c r="G2862" s="148">
        <v>-26.6875</v>
      </c>
      <c r="H2862" s="148">
        <v>-11.6363237126498</v>
      </c>
      <c r="I2862" s="728"/>
      <c r="J2862" s="148">
        <v>202.65898999999999</v>
      </c>
      <c r="K2862" s="148">
        <v>0</v>
      </c>
      <c r="L2862" s="148">
        <v>2393.08482</v>
      </c>
      <c r="M2862" s="148">
        <v>2680.7494099999999</v>
      </c>
      <c r="N2862" s="148">
        <v>-287.66458999999998</v>
      </c>
      <c r="O2862" s="148">
        <v>-10.730752711421841</v>
      </c>
      <c r="P2862" s="148">
        <v>1182.70154</v>
      </c>
      <c r="Q2862" s="148">
        <v>1210.38328</v>
      </c>
      <c r="R2862" s="148">
        <v>102.34055161541431</v>
      </c>
    </row>
    <row r="2863" spans="2:18" ht="15.75" hidden="1" thickBot="1" x14ac:dyDescent="0.3">
      <c r="B2863" s="723" t="s">
        <v>773</v>
      </c>
      <c r="C2863" s="722" t="s">
        <v>156</v>
      </c>
      <c r="D2863" t="s">
        <v>157</v>
      </c>
      <c r="E2863" s="147">
        <v>125.96841999999999</v>
      </c>
      <c r="F2863" s="147">
        <v>11.0015</v>
      </c>
      <c r="G2863" s="147">
        <v>114.96692</v>
      </c>
      <c r="H2863" s="147">
        <v>1045.0113166386402</v>
      </c>
      <c r="I2863" s="729"/>
      <c r="J2863" s="147">
        <v>125.96841999999999</v>
      </c>
      <c r="K2863" s="147">
        <v>0</v>
      </c>
      <c r="L2863" s="147">
        <v>1713.55567</v>
      </c>
      <c r="M2863" s="147">
        <v>131.32542000000001</v>
      </c>
      <c r="N2863" s="147">
        <v>1582.2302500000001</v>
      </c>
      <c r="O2863" s="147">
        <v>1204.8164399550369</v>
      </c>
      <c r="P2863" s="147">
        <v>876.89349000000004</v>
      </c>
      <c r="Q2863" s="147">
        <v>836.66218000000003</v>
      </c>
      <c r="R2863" s="147">
        <v>95.412064240549896</v>
      </c>
    </row>
    <row r="2864" spans="2:18" ht="15.75" hidden="1" thickBot="1" x14ac:dyDescent="0.3">
      <c r="B2864" s="723" t="s">
        <v>773</v>
      </c>
      <c r="C2864" s="722" t="s">
        <v>182</v>
      </c>
      <c r="D2864" t="s">
        <v>183</v>
      </c>
      <c r="E2864" s="148">
        <v>0.74887999999999999</v>
      </c>
      <c r="F2864" s="728"/>
      <c r="G2864" s="148">
        <v>0.74887999999999999</v>
      </c>
      <c r="H2864" s="148">
        <v>0</v>
      </c>
      <c r="I2864" s="728"/>
      <c r="J2864" s="148">
        <v>0.74887999999999999</v>
      </c>
      <c r="K2864" s="148">
        <v>0</v>
      </c>
      <c r="L2864" s="148">
        <v>3.9978400000000001</v>
      </c>
      <c r="M2864" s="728"/>
      <c r="N2864" s="148">
        <v>3.9978400000000001</v>
      </c>
      <c r="O2864" s="148">
        <v>0</v>
      </c>
      <c r="P2864" s="148">
        <v>2.9990399999999999</v>
      </c>
      <c r="Q2864" s="148">
        <v>0.99880000000000002</v>
      </c>
      <c r="R2864" s="148">
        <v>33.30399061032864</v>
      </c>
    </row>
    <row r="2865" spans="2:18" ht="15.75" hidden="1" thickBot="1" x14ac:dyDescent="0.3">
      <c r="B2865" s="723" t="s">
        <v>773</v>
      </c>
      <c r="C2865" s="722" t="s">
        <v>184</v>
      </c>
      <c r="D2865" t="s">
        <v>185</v>
      </c>
      <c r="E2865" s="147">
        <v>51.722189999999998</v>
      </c>
      <c r="F2865" s="729"/>
      <c r="G2865" s="147">
        <v>51.722189999999998</v>
      </c>
      <c r="H2865" s="147">
        <v>0</v>
      </c>
      <c r="I2865" s="729"/>
      <c r="J2865" s="147">
        <v>51.722189999999998</v>
      </c>
      <c r="K2865" s="147">
        <v>0</v>
      </c>
      <c r="L2865" s="147">
        <v>672.56938000000002</v>
      </c>
      <c r="M2865" s="729"/>
      <c r="N2865" s="147">
        <v>672.56938000000002</v>
      </c>
      <c r="O2865" s="147">
        <v>0</v>
      </c>
      <c r="P2865" s="147">
        <v>340.72253000000001</v>
      </c>
      <c r="Q2865" s="147">
        <v>331.84685000000002</v>
      </c>
      <c r="R2865" s="147">
        <v>97.395041648698722</v>
      </c>
    </row>
    <row r="2866" spans="2:18" ht="15.75" hidden="1" thickBot="1" x14ac:dyDescent="0.3">
      <c r="B2866" s="723" t="s">
        <v>773</v>
      </c>
      <c r="C2866" s="722" t="s">
        <v>161</v>
      </c>
      <c r="D2866" t="s">
        <v>162</v>
      </c>
      <c r="E2866" s="148">
        <v>3.4710899999999998</v>
      </c>
      <c r="F2866" s="728"/>
      <c r="G2866" s="148">
        <v>3.4710899999999998</v>
      </c>
      <c r="H2866" s="148">
        <v>0</v>
      </c>
      <c r="I2866" s="728"/>
      <c r="J2866" s="148">
        <v>3.4710899999999998</v>
      </c>
      <c r="K2866" s="148">
        <v>0</v>
      </c>
      <c r="L2866" s="148">
        <v>41.628500000000003</v>
      </c>
      <c r="M2866" s="728"/>
      <c r="N2866" s="148">
        <v>41.628500000000003</v>
      </c>
      <c r="O2866" s="148">
        <v>0</v>
      </c>
      <c r="P2866" s="148">
        <v>18.547619999999998</v>
      </c>
      <c r="Q2866" s="148">
        <v>23.080880000000001</v>
      </c>
      <c r="R2866" s="148">
        <v>124.44119515064466</v>
      </c>
    </row>
    <row r="2867" spans="2:18" ht="15.75" hidden="1" thickBot="1" x14ac:dyDescent="0.3">
      <c r="B2867" s="723" t="s">
        <v>773</v>
      </c>
      <c r="C2867" s="722" t="s">
        <v>65</v>
      </c>
      <c r="D2867" t="s">
        <v>66</v>
      </c>
      <c r="E2867" s="147">
        <v>-253.66248999999999</v>
      </c>
      <c r="F2867" s="147">
        <v>-187.70139</v>
      </c>
      <c r="G2867" s="147">
        <v>-65.961100000000002</v>
      </c>
      <c r="H2867" s="147">
        <v>-35.141508541838718</v>
      </c>
      <c r="I2867" s="729"/>
      <c r="J2867" s="147">
        <v>-253.66248999999999</v>
      </c>
      <c r="K2867" s="147">
        <v>0</v>
      </c>
      <c r="L2867" s="147">
        <v>-3437.5012299999999</v>
      </c>
      <c r="M2867" s="147">
        <v>-2240.60014</v>
      </c>
      <c r="N2867" s="147">
        <v>-1196.9010900000001</v>
      </c>
      <c r="O2867" s="147">
        <v>-53.418772436566925</v>
      </c>
      <c r="P2867" s="147">
        <v>-1752.51812</v>
      </c>
      <c r="Q2867" s="147">
        <v>-1684.9831099999999</v>
      </c>
      <c r="R2867" s="147">
        <v>-96.146401613239817</v>
      </c>
    </row>
    <row r="2868" spans="2:18" ht="15.75" hidden="1" thickBot="1" x14ac:dyDescent="0.3">
      <c r="B2868" s="723" t="s">
        <v>773</v>
      </c>
      <c r="C2868" s="722" t="s">
        <v>186</v>
      </c>
      <c r="D2868" t="s">
        <v>187</v>
      </c>
      <c r="E2868" s="148">
        <v>-0.74887999999999999</v>
      </c>
      <c r="F2868" s="728"/>
      <c r="G2868" s="148">
        <v>-0.74887999999999999</v>
      </c>
      <c r="H2868" s="148">
        <v>0</v>
      </c>
      <c r="I2868" s="728"/>
      <c r="J2868" s="148">
        <v>-0.74887999999999999</v>
      </c>
      <c r="K2868" s="148">
        <v>0</v>
      </c>
      <c r="L2868" s="148">
        <v>-4.8612000000000002</v>
      </c>
      <c r="M2868" s="728"/>
      <c r="N2868" s="148">
        <v>-4.8612000000000002</v>
      </c>
      <c r="O2868" s="148">
        <v>0</v>
      </c>
      <c r="P2868" s="148">
        <v>-2.9990399999999999</v>
      </c>
      <c r="Q2868" s="148">
        <v>-1.86216</v>
      </c>
      <c r="R2868" s="148">
        <v>-62.091869398207429</v>
      </c>
    </row>
    <row r="2869" spans="2:18" ht="15.75" hidden="1" thickBot="1" x14ac:dyDescent="0.3">
      <c r="B2869" s="723" t="s">
        <v>773</v>
      </c>
      <c r="C2869" s="722" t="s">
        <v>163</v>
      </c>
      <c r="D2869" t="s">
        <v>164</v>
      </c>
      <c r="E2869" s="147">
        <v>-101.51827</v>
      </c>
      <c r="F2869" s="147">
        <v>-77.617379999999997</v>
      </c>
      <c r="G2869" s="147">
        <v>-23.90089</v>
      </c>
      <c r="H2869" s="147">
        <v>-30.793219250636906</v>
      </c>
      <c r="I2869" s="729"/>
      <c r="J2869" s="147">
        <v>-101.51827</v>
      </c>
      <c r="K2869" s="147">
        <v>0</v>
      </c>
      <c r="L2869" s="147">
        <v>-1359.89186</v>
      </c>
      <c r="M2869" s="147">
        <v>-906.54097000000002</v>
      </c>
      <c r="N2869" s="147">
        <v>-453.35088999999999</v>
      </c>
      <c r="O2869" s="147">
        <v>-50.008869428151712</v>
      </c>
      <c r="P2869" s="147">
        <v>-678.72739999999999</v>
      </c>
      <c r="Q2869" s="147">
        <v>-681.16445999999996</v>
      </c>
      <c r="R2869" s="147">
        <v>-100.3590631526</v>
      </c>
    </row>
    <row r="2870" spans="2:18" ht="15.75" hidden="1" thickBot="1" x14ac:dyDescent="0.3">
      <c r="B2870" s="723" t="s">
        <v>773</v>
      </c>
      <c r="C2870" s="722" t="s">
        <v>97</v>
      </c>
      <c r="D2870" t="s">
        <v>98</v>
      </c>
      <c r="E2870" s="148">
        <v>-3.5062000000000002</v>
      </c>
      <c r="F2870" s="728"/>
      <c r="G2870" s="148">
        <v>-3.5062000000000002</v>
      </c>
      <c r="H2870" s="148">
        <v>0</v>
      </c>
      <c r="I2870" s="728"/>
      <c r="J2870" s="148">
        <v>-3.5062000000000002</v>
      </c>
      <c r="K2870" s="148">
        <v>0</v>
      </c>
      <c r="L2870" s="148">
        <v>-42.250489999999999</v>
      </c>
      <c r="M2870" s="728"/>
      <c r="N2870" s="148">
        <v>-42.250489999999999</v>
      </c>
      <c r="O2870" s="148">
        <v>0</v>
      </c>
      <c r="P2870" s="148">
        <v>-18.71735</v>
      </c>
      <c r="Q2870" s="148">
        <v>-23.53314</v>
      </c>
      <c r="R2870" s="148">
        <v>-125.72901612674872</v>
      </c>
    </row>
    <row r="2871" spans="2:18" ht="15.75" hidden="1" thickBot="1" x14ac:dyDescent="0.3">
      <c r="B2871" s="723" t="s">
        <v>773</v>
      </c>
      <c r="C2871" s="722" t="s">
        <v>578</v>
      </c>
      <c r="D2871" t="s">
        <v>579</v>
      </c>
      <c r="E2871" s="729"/>
      <c r="F2871" s="147">
        <v>-8.5660000000000007</v>
      </c>
      <c r="G2871" s="147">
        <v>8.5660000000000007</v>
      </c>
      <c r="H2871" s="147">
        <v>100</v>
      </c>
      <c r="I2871" s="729"/>
      <c r="J2871" s="729"/>
      <c r="K2871" s="729"/>
      <c r="L2871" s="729"/>
      <c r="M2871" s="147">
        <v>-100.04761000000001</v>
      </c>
      <c r="N2871" s="147">
        <v>100.04761000000001</v>
      </c>
      <c r="O2871" s="147">
        <v>100</v>
      </c>
      <c r="P2871" s="729"/>
      <c r="Q2871" s="729"/>
      <c r="R2871" s="729"/>
    </row>
    <row r="2872" spans="2:18" ht="15.75" hidden="1" thickBot="1" x14ac:dyDescent="0.3">
      <c r="B2872" s="723" t="s">
        <v>773</v>
      </c>
      <c r="C2872" s="722" t="s">
        <v>580</v>
      </c>
      <c r="D2872" t="s">
        <v>581</v>
      </c>
      <c r="E2872" s="728"/>
      <c r="F2872" s="148">
        <v>-8.0217899999999993</v>
      </c>
      <c r="G2872" s="148">
        <v>8.0217899999999993</v>
      </c>
      <c r="H2872" s="148">
        <v>100</v>
      </c>
      <c r="I2872" s="728"/>
      <c r="J2872" s="728"/>
      <c r="K2872" s="728"/>
      <c r="L2872" s="728"/>
      <c r="M2872" s="148">
        <v>-95.756479999999996</v>
      </c>
      <c r="N2872" s="148">
        <v>95.756479999999996</v>
      </c>
      <c r="O2872" s="148">
        <v>100</v>
      </c>
      <c r="P2872" s="728"/>
      <c r="Q2872" s="728"/>
      <c r="R2872" s="728"/>
    </row>
    <row r="2873" spans="2:18" ht="15.75" hidden="1" thickBot="1" x14ac:dyDescent="0.3">
      <c r="B2873" s="723" t="s">
        <v>773</v>
      </c>
      <c r="C2873" s="149" t="s">
        <v>67</v>
      </c>
      <c r="D2873" t="s">
        <v>68</v>
      </c>
      <c r="E2873" s="147">
        <v>372.90654999999998</v>
      </c>
      <c r="F2873" s="147">
        <v>410.60723999999999</v>
      </c>
      <c r="G2873" s="147">
        <v>-37.700690000000002</v>
      </c>
      <c r="H2873" s="147">
        <v>-9.1816914869791386</v>
      </c>
      <c r="I2873" s="729"/>
      <c r="J2873" s="147">
        <v>372.90654999999998</v>
      </c>
      <c r="K2873" s="147">
        <v>0</v>
      </c>
      <c r="L2873" s="147">
        <v>4583.3594000000003</v>
      </c>
      <c r="M2873" s="147">
        <v>4756.8276299999998</v>
      </c>
      <c r="N2873" s="147">
        <v>-173.46823000000001</v>
      </c>
      <c r="O2873" s="147">
        <v>-3.6467209554952911</v>
      </c>
      <c r="P2873" s="147">
        <v>2306.1217299999998</v>
      </c>
      <c r="Q2873" s="147">
        <v>2277.23767</v>
      </c>
      <c r="R2873" s="147">
        <v>98.747504972341588</v>
      </c>
    </row>
    <row r="2874" spans="2:18" ht="15.75" hidden="1" thickBot="1" x14ac:dyDescent="0.3">
      <c r="B2874" s="723" t="s">
        <v>773</v>
      </c>
      <c r="C2874" s="722" t="s">
        <v>69</v>
      </c>
      <c r="D2874" t="s">
        <v>70</v>
      </c>
      <c r="E2874" s="148">
        <v>2.7327699999999999</v>
      </c>
      <c r="F2874" s="148">
        <v>3.75</v>
      </c>
      <c r="G2874" s="148">
        <v>-1.0172300000000001</v>
      </c>
      <c r="H2874" s="148">
        <v>-27.126133333333332</v>
      </c>
      <c r="I2874" s="728"/>
      <c r="J2874" s="148">
        <v>2.7327699999999999</v>
      </c>
      <c r="K2874" s="148">
        <v>0</v>
      </c>
      <c r="L2874" s="148">
        <v>11.254659999999999</v>
      </c>
      <c r="M2874" s="148">
        <v>21</v>
      </c>
      <c r="N2874" s="148">
        <v>-9.7453400000000006</v>
      </c>
      <c r="O2874" s="148">
        <v>-46.40638095238095</v>
      </c>
      <c r="P2874" s="148">
        <v>6.056</v>
      </c>
      <c r="Q2874" s="148">
        <v>5.1986600000000003</v>
      </c>
      <c r="R2874" s="148">
        <v>85.843130779392339</v>
      </c>
    </row>
    <row r="2875" spans="2:18" ht="15.75" hidden="1" thickBot="1" x14ac:dyDescent="0.3">
      <c r="B2875" s="723" t="s">
        <v>773</v>
      </c>
      <c r="C2875" s="722" t="s">
        <v>99</v>
      </c>
      <c r="D2875" t="s">
        <v>100</v>
      </c>
      <c r="E2875" s="147">
        <v>6.3450000000000006E-2</v>
      </c>
      <c r="F2875" s="729"/>
      <c r="G2875" s="147">
        <v>6.3450000000000006E-2</v>
      </c>
      <c r="H2875" s="147">
        <v>0</v>
      </c>
      <c r="I2875" s="729"/>
      <c r="J2875" s="147">
        <v>6.3450000000000006E-2</v>
      </c>
      <c r="K2875" s="147">
        <v>0</v>
      </c>
      <c r="L2875" s="147">
        <v>0.19369</v>
      </c>
      <c r="M2875" s="729"/>
      <c r="N2875" s="147">
        <v>0.19369</v>
      </c>
      <c r="O2875" s="147">
        <v>0</v>
      </c>
      <c r="P2875" s="147">
        <v>4.7969999999999999E-2</v>
      </c>
      <c r="Q2875" s="147">
        <v>0.14571999999999999</v>
      </c>
      <c r="R2875" s="147">
        <v>303.7731915780696</v>
      </c>
    </row>
    <row r="2876" spans="2:18" ht="15.75" hidden="1" thickBot="1" x14ac:dyDescent="0.3">
      <c r="B2876" s="723" t="s">
        <v>773</v>
      </c>
      <c r="C2876" s="722" t="s">
        <v>165</v>
      </c>
      <c r="D2876" t="s">
        <v>166</v>
      </c>
      <c r="E2876" s="728"/>
      <c r="F2876" s="728"/>
      <c r="G2876" s="728"/>
      <c r="H2876" s="728"/>
      <c r="I2876" s="728"/>
      <c r="J2876" s="728"/>
      <c r="K2876" s="728"/>
      <c r="L2876" s="148">
        <v>0.19423000000000001</v>
      </c>
      <c r="M2876" s="728"/>
      <c r="N2876" s="148">
        <v>0.19423000000000001</v>
      </c>
      <c r="O2876" s="148">
        <v>0</v>
      </c>
      <c r="P2876" s="148">
        <v>0.12038</v>
      </c>
      <c r="Q2876" s="148">
        <v>7.3849999999999999E-2</v>
      </c>
      <c r="R2876" s="148">
        <v>61.347399900315665</v>
      </c>
    </row>
    <row r="2877" spans="2:18" ht="15.75" hidden="1" thickBot="1" x14ac:dyDescent="0.3">
      <c r="B2877" s="723" t="s">
        <v>773</v>
      </c>
      <c r="C2877" s="722" t="s">
        <v>137</v>
      </c>
      <c r="D2877" t="s">
        <v>138</v>
      </c>
      <c r="E2877" s="147">
        <v>6.8994600000000004</v>
      </c>
      <c r="F2877" s="147">
        <v>3.6563699999999999</v>
      </c>
      <c r="G2877" s="147">
        <v>3.24309</v>
      </c>
      <c r="H2877" s="147">
        <v>88.696986355319623</v>
      </c>
      <c r="I2877" s="729"/>
      <c r="J2877" s="147">
        <v>6.8994600000000004</v>
      </c>
      <c r="K2877" s="147">
        <v>0</v>
      </c>
      <c r="L2877" s="147">
        <v>37.419240000000002</v>
      </c>
      <c r="M2877" s="147">
        <v>40.75</v>
      </c>
      <c r="N2877" s="147">
        <v>-3.3307600000000002</v>
      </c>
      <c r="O2877" s="147">
        <v>-8.1736441717791415</v>
      </c>
      <c r="P2877" s="147">
        <v>16.116890000000001</v>
      </c>
      <c r="Q2877" s="147">
        <v>21.302350000000001</v>
      </c>
      <c r="R2877" s="147">
        <v>132.17407328585105</v>
      </c>
    </row>
    <row r="2878" spans="2:18" ht="15.75" hidden="1" thickBot="1" x14ac:dyDescent="0.3">
      <c r="B2878" s="723" t="s">
        <v>773</v>
      </c>
      <c r="C2878" s="722" t="s">
        <v>190</v>
      </c>
      <c r="D2878" t="s">
        <v>191</v>
      </c>
      <c r="E2878" s="148">
        <v>0.754</v>
      </c>
      <c r="F2878" s="148">
        <v>0.754</v>
      </c>
      <c r="G2878" s="148">
        <v>0</v>
      </c>
      <c r="H2878" s="148">
        <v>0</v>
      </c>
      <c r="I2878" s="728"/>
      <c r="J2878" s="148">
        <v>0.754</v>
      </c>
      <c r="K2878" s="148">
        <v>0</v>
      </c>
      <c r="L2878" s="148">
        <v>9.048</v>
      </c>
      <c r="M2878" s="148">
        <v>9.048</v>
      </c>
      <c r="N2878" s="148">
        <v>0</v>
      </c>
      <c r="O2878" s="148">
        <v>0</v>
      </c>
      <c r="P2878" s="148">
        <v>4.524</v>
      </c>
      <c r="Q2878" s="148">
        <v>4.524</v>
      </c>
      <c r="R2878" s="148">
        <v>100</v>
      </c>
    </row>
    <row r="2879" spans="2:18" ht="15.75" hidden="1" thickBot="1" x14ac:dyDescent="0.3">
      <c r="B2879" s="723" t="s">
        <v>773</v>
      </c>
      <c r="C2879" s="722" t="s">
        <v>36</v>
      </c>
      <c r="D2879" t="s">
        <v>192</v>
      </c>
      <c r="E2879" s="147">
        <v>2.2450000000000001E-2</v>
      </c>
      <c r="F2879" s="729"/>
      <c r="G2879" s="147">
        <v>2.2450000000000001E-2</v>
      </c>
      <c r="H2879" s="147">
        <v>0</v>
      </c>
      <c r="I2879" s="729"/>
      <c r="J2879" s="147">
        <v>2.2450000000000001E-2</v>
      </c>
      <c r="K2879" s="147">
        <v>0</v>
      </c>
      <c r="L2879" s="147">
        <v>2.5423800000000001</v>
      </c>
      <c r="M2879" s="729"/>
      <c r="N2879" s="147">
        <v>2.5423800000000001</v>
      </c>
      <c r="O2879" s="147">
        <v>0</v>
      </c>
      <c r="P2879" s="147">
        <v>0.36448000000000003</v>
      </c>
      <c r="Q2879" s="147">
        <v>2.1779000000000002</v>
      </c>
      <c r="R2879" s="147">
        <v>597.53621597892891</v>
      </c>
    </row>
    <row r="2880" spans="2:18" ht="15.75" hidden="1" thickBot="1" x14ac:dyDescent="0.3">
      <c r="B2880" s="723" t="s">
        <v>773</v>
      </c>
      <c r="C2880" s="722" t="s">
        <v>139</v>
      </c>
      <c r="D2880" t="s">
        <v>140</v>
      </c>
      <c r="E2880" s="148">
        <v>41.47</v>
      </c>
      <c r="F2880" s="148">
        <v>0</v>
      </c>
      <c r="G2880" s="148">
        <v>41.47</v>
      </c>
      <c r="H2880" s="148">
        <v>0</v>
      </c>
      <c r="I2880" s="728"/>
      <c r="J2880" s="148">
        <v>41.47</v>
      </c>
      <c r="K2880" s="148">
        <v>0</v>
      </c>
      <c r="L2880" s="148">
        <v>62.007249999999999</v>
      </c>
      <c r="M2880" s="148">
        <v>6.8</v>
      </c>
      <c r="N2880" s="148">
        <v>55.207250000000002</v>
      </c>
      <c r="O2880" s="148">
        <v>811.87132352941171</v>
      </c>
      <c r="P2880" s="148">
        <v>10.897</v>
      </c>
      <c r="Q2880" s="148">
        <v>51.110250000000001</v>
      </c>
      <c r="R2880" s="148">
        <v>469.030467101037</v>
      </c>
    </row>
    <row r="2881" spans="2:18" ht="15.75" hidden="1" thickBot="1" x14ac:dyDescent="0.3">
      <c r="B2881" s="723" t="s">
        <v>773</v>
      </c>
      <c r="C2881" s="722" t="s">
        <v>169</v>
      </c>
      <c r="D2881" t="s">
        <v>170</v>
      </c>
      <c r="E2881" s="729"/>
      <c r="F2881" s="147">
        <v>4.8333700000000004</v>
      </c>
      <c r="G2881" s="147">
        <v>-4.8333700000000004</v>
      </c>
      <c r="H2881" s="147">
        <v>-100</v>
      </c>
      <c r="I2881" s="729"/>
      <c r="J2881" s="729"/>
      <c r="K2881" s="729"/>
      <c r="L2881" s="147">
        <v>22.377680000000002</v>
      </c>
      <c r="M2881" s="147">
        <v>58</v>
      </c>
      <c r="N2881" s="147">
        <v>-35.622320000000002</v>
      </c>
      <c r="O2881" s="147">
        <v>-61.417793103448275</v>
      </c>
      <c r="P2881" s="147">
        <v>16.807079999999999</v>
      </c>
      <c r="Q2881" s="147">
        <v>5.5705999999999998</v>
      </c>
      <c r="R2881" s="147">
        <v>33.14436535079264</v>
      </c>
    </row>
    <row r="2882" spans="2:18" ht="15.75" hidden="1" thickBot="1" x14ac:dyDescent="0.3">
      <c r="B2882" s="723" t="s">
        <v>773</v>
      </c>
      <c r="C2882" s="722" t="s">
        <v>101</v>
      </c>
      <c r="D2882" t="s">
        <v>102</v>
      </c>
      <c r="E2882" s="148">
        <v>4.9939999999999998E-2</v>
      </c>
      <c r="F2882" s="148">
        <v>0.25836999999999999</v>
      </c>
      <c r="G2882" s="148">
        <v>-0.20843</v>
      </c>
      <c r="H2882" s="148">
        <v>-80.671130549212364</v>
      </c>
      <c r="I2882" s="728"/>
      <c r="J2882" s="148">
        <v>4.9939999999999998E-2</v>
      </c>
      <c r="K2882" s="148">
        <v>0</v>
      </c>
      <c r="L2882" s="148">
        <v>13.792669999999999</v>
      </c>
      <c r="M2882" s="148">
        <v>52.5</v>
      </c>
      <c r="N2882" s="148">
        <v>-38.707329999999999</v>
      </c>
      <c r="O2882" s="148">
        <v>-73.728247619047622</v>
      </c>
      <c r="P2882" s="148">
        <v>4.85107</v>
      </c>
      <c r="Q2882" s="148">
        <v>8.9415999999999993</v>
      </c>
      <c r="R2882" s="148">
        <v>184.32222169541978</v>
      </c>
    </row>
    <row r="2883" spans="2:18" ht="15.75" hidden="1" thickBot="1" x14ac:dyDescent="0.3">
      <c r="B2883" s="723" t="s">
        <v>773</v>
      </c>
      <c r="C2883" s="722" t="s">
        <v>103</v>
      </c>
      <c r="D2883" t="s">
        <v>104</v>
      </c>
      <c r="E2883" s="147">
        <v>0</v>
      </c>
      <c r="F2883" s="729"/>
      <c r="G2883" s="147">
        <v>0</v>
      </c>
      <c r="H2883" s="147">
        <v>0</v>
      </c>
      <c r="I2883" s="729"/>
      <c r="J2883" s="147">
        <v>0</v>
      </c>
      <c r="K2883" s="147">
        <v>0</v>
      </c>
      <c r="L2883" s="147">
        <v>0.30249999999999999</v>
      </c>
      <c r="M2883" s="729"/>
      <c r="N2883" s="147">
        <v>0.30249999999999999</v>
      </c>
      <c r="O2883" s="147">
        <v>0</v>
      </c>
      <c r="P2883" s="147">
        <v>0.3</v>
      </c>
      <c r="Q2883" s="147">
        <v>2.5000000000000001E-3</v>
      </c>
      <c r="R2883" s="147">
        <v>0.83333333333333337</v>
      </c>
    </row>
    <row r="2884" spans="2:18" ht="15.75" hidden="1" thickBot="1" x14ac:dyDescent="0.3">
      <c r="B2884" s="723" t="s">
        <v>773</v>
      </c>
      <c r="C2884" s="722" t="s">
        <v>71</v>
      </c>
      <c r="D2884" t="s">
        <v>72</v>
      </c>
      <c r="E2884" s="148">
        <v>7.9799999999999992E-3</v>
      </c>
      <c r="F2884" s="728"/>
      <c r="G2884" s="148">
        <v>7.9799999999999992E-3</v>
      </c>
      <c r="H2884" s="148">
        <v>0</v>
      </c>
      <c r="I2884" s="728"/>
      <c r="J2884" s="148">
        <v>7.9799999999999992E-3</v>
      </c>
      <c r="K2884" s="148">
        <v>0</v>
      </c>
      <c r="L2884" s="148">
        <v>0.80144000000000004</v>
      </c>
      <c r="M2884" s="728"/>
      <c r="N2884" s="148">
        <v>0.80144000000000004</v>
      </c>
      <c r="O2884" s="148">
        <v>0</v>
      </c>
      <c r="P2884" s="148">
        <v>0.79269999999999996</v>
      </c>
      <c r="Q2884" s="148">
        <v>8.7399999999999995E-3</v>
      </c>
      <c r="R2884" s="148">
        <v>1.1025608679197678</v>
      </c>
    </row>
    <row r="2885" spans="2:18" ht="15.75" hidden="1" thickBot="1" x14ac:dyDescent="0.3">
      <c r="B2885" s="723" t="s">
        <v>773</v>
      </c>
      <c r="C2885" s="722" t="s">
        <v>109</v>
      </c>
      <c r="D2885" t="s">
        <v>110</v>
      </c>
      <c r="E2885" s="147">
        <v>0.05</v>
      </c>
      <c r="F2885" s="147">
        <v>10.66433</v>
      </c>
      <c r="G2885" s="147">
        <v>-10.614330000000001</v>
      </c>
      <c r="H2885" s="147">
        <v>-99.531147291953644</v>
      </c>
      <c r="I2885" s="729"/>
      <c r="J2885" s="147">
        <v>0.05</v>
      </c>
      <c r="K2885" s="147">
        <v>0</v>
      </c>
      <c r="L2885" s="147">
        <v>85.59751</v>
      </c>
      <c r="M2885" s="147">
        <v>125</v>
      </c>
      <c r="N2885" s="147">
        <v>-39.40249</v>
      </c>
      <c r="O2885" s="147">
        <v>-31.521992000000001</v>
      </c>
      <c r="P2885" s="147">
        <v>36.130710000000001</v>
      </c>
      <c r="Q2885" s="147">
        <v>49.466799999999999</v>
      </c>
      <c r="R2885" s="147">
        <v>136.91067792467959</v>
      </c>
    </row>
    <row r="2886" spans="2:18" ht="15.75" hidden="1" thickBot="1" x14ac:dyDescent="0.3">
      <c r="B2886" s="723" t="s">
        <v>773</v>
      </c>
      <c r="C2886" s="722" t="s">
        <v>73</v>
      </c>
      <c r="D2886" t="s">
        <v>74</v>
      </c>
      <c r="E2886" s="148">
        <v>2.4157099999999998</v>
      </c>
      <c r="F2886" s="148">
        <v>1.45</v>
      </c>
      <c r="G2886" s="148">
        <v>0.96570999999999996</v>
      </c>
      <c r="H2886" s="148">
        <v>66.600689655172417</v>
      </c>
      <c r="I2886" s="728"/>
      <c r="J2886" s="148">
        <v>2.4157099999999998</v>
      </c>
      <c r="K2886" s="148">
        <v>0</v>
      </c>
      <c r="L2886" s="148">
        <v>12.95049</v>
      </c>
      <c r="M2886" s="148">
        <v>17.399999999999999</v>
      </c>
      <c r="N2886" s="148">
        <v>-4.4495100000000001</v>
      </c>
      <c r="O2886" s="148">
        <v>-25.571896551724137</v>
      </c>
      <c r="P2886" s="148">
        <v>5.7558999999999996</v>
      </c>
      <c r="Q2886" s="148">
        <v>7.1945899999999998</v>
      </c>
      <c r="R2886" s="148">
        <v>124.99504855887002</v>
      </c>
    </row>
    <row r="2887" spans="2:18" ht="15.75" hidden="1" thickBot="1" x14ac:dyDescent="0.3">
      <c r="B2887" s="723" t="s">
        <v>773</v>
      </c>
      <c r="C2887" s="722" t="s">
        <v>111</v>
      </c>
      <c r="D2887" t="s">
        <v>112</v>
      </c>
      <c r="E2887" s="147">
        <v>1.47214</v>
      </c>
      <c r="F2887" s="147">
        <v>2.6120000000000001</v>
      </c>
      <c r="G2887" s="147">
        <v>-1.1398600000000001</v>
      </c>
      <c r="H2887" s="147">
        <v>-43.63935681470138</v>
      </c>
      <c r="I2887" s="729"/>
      <c r="J2887" s="147">
        <v>1.47214</v>
      </c>
      <c r="K2887" s="147">
        <v>0</v>
      </c>
      <c r="L2887" s="147">
        <v>380.17291</v>
      </c>
      <c r="M2887" s="147">
        <v>28</v>
      </c>
      <c r="N2887" s="147">
        <v>352.17291</v>
      </c>
      <c r="O2887" s="147">
        <v>1257.760392857143</v>
      </c>
      <c r="P2887" s="147">
        <v>118.19620999999999</v>
      </c>
      <c r="Q2887" s="147">
        <v>261.97669999999999</v>
      </c>
      <c r="R2887" s="147">
        <v>221.64560098839041</v>
      </c>
    </row>
    <row r="2888" spans="2:18" ht="15.75" hidden="1" thickBot="1" x14ac:dyDescent="0.3">
      <c r="B2888" s="723" t="s">
        <v>773</v>
      </c>
      <c r="C2888" s="722" t="s">
        <v>141</v>
      </c>
      <c r="D2888" t="s">
        <v>142</v>
      </c>
      <c r="E2888" s="148">
        <v>1.20983</v>
      </c>
      <c r="F2888" s="728"/>
      <c r="G2888" s="148">
        <v>1.20983</v>
      </c>
      <c r="H2888" s="148">
        <v>0</v>
      </c>
      <c r="I2888" s="728"/>
      <c r="J2888" s="148">
        <v>1.20983</v>
      </c>
      <c r="K2888" s="148">
        <v>0</v>
      </c>
      <c r="L2888" s="148">
        <v>3.1103800000000001</v>
      </c>
      <c r="M2888" s="728"/>
      <c r="N2888" s="148">
        <v>3.1103800000000001</v>
      </c>
      <c r="O2888" s="148">
        <v>0</v>
      </c>
      <c r="P2888" s="148">
        <v>1.4109100000000001</v>
      </c>
      <c r="Q2888" s="148">
        <v>1.69947</v>
      </c>
      <c r="R2888" s="148">
        <v>120.45204867780369</v>
      </c>
    </row>
    <row r="2889" spans="2:18" ht="15.75" hidden="1" thickBot="1" x14ac:dyDescent="0.3">
      <c r="B2889" s="723" t="s">
        <v>773</v>
      </c>
      <c r="C2889" s="722" t="s">
        <v>113</v>
      </c>
      <c r="D2889" t="s">
        <v>114</v>
      </c>
      <c r="E2889" s="147">
        <v>0.12272</v>
      </c>
      <c r="F2889" s="147">
        <v>0.18342</v>
      </c>
      <c r="G2889" s="147">
        <v>-6.0699999999999997E-2</v>
      </c>
      <c r="H2889" s="147">
        <v>-33.093446734271069</v>
      </c>
      <c r="I2889" s="729"/>
      <c r="J2889" s="147">
        <v>0.12272</v>
      </c>
      <c r="K2889" s="147">
        <v>0</v>
      </c>
      <c r="L2889" s="147">
        <v>5.1031300000000002</v>
      </c>
      <c r="M2889" s="147">
        <v>2.2010399999999999</v>
      </c>
      <c r="N2889" s="147">
        <v>2.9020899999999998</v>
      </c>
      <c r="O2889" s="147">
        <v>131.85085232435577</v>
      </c>
      <c r="P2889" s="147">
        <v>2.3134100000000002</v>
      </c>
      <c r="Q2889" s="147">
        <v>2.78972</v>
      </c>
      <c r="R2889" s="147">
        <v>120.58908710518239</v>
      </c>
    </row>
    <row r="2890" spans="2:18" ht="15.75" hidden="1" thickBot="1" x14ac:dyDescent="0.3">
      <c r="B2890" s="723" t="s">
        <v>773</v>
      </c>
      <c r="C2890" s="722" t="s">
        <v>201</v>
      </c>
      <c r="D2890" t="s">
        <v>202</v>
      </c>
      <c r="E2890" s="148">
        <v>3.1969999999999998E-2</v>
      </c>
      <c r="F2890" s="728"/>
      <c r="G2890" s="148">
        <v>3.1969999999999998E-2</v>
      </c>
      <c r="H2890" s="148">
        <v>0</v>
      </c>
      <c r="I2890" s="728"/>
      <c r="J2890" s="148">
        <v>3.1969999999999998E-2</v>
      </c>
      <c r="K2890" s="148">
        <v>0</v>
      </c>
      <c r="L2890" s="148">
        <v>0.29193999999999998</v>
      </c>
      <c r="M2890" s="728"/>
      <c r="N2890" s="148">
        <v>0.29193999999999998</v>
      </c>
      <c r="O2890" s="148">
        <v>0</v>
      </c>
      <c r="P2890" s="728"/>
      <c r="Q2890" s="148">
        <v>0.29193999999999998</v>
      </c>
      <c r="R2890" s="148">
        <v>0</v>
      </c>
    </row>
    <row r="2891" spans="2:18" ht="15.75" hidden="1" thickBot="1" x14ac:dyDescent="0.3">
      <c r="B2891" s="723" t="s">
        <v>773</v>
      </c>
      <c r="C2891" s="722" t="s">
        <v>143</v>
      </c>
      <c r="D2891" t="s">
        <v>144</v>
      </c>
      <c r="E2891" s="147">
        <v>40.686889999999998</v>
      </c>
      <c r="F2891" s="147">
        <v>40.565510000000003</v>
      </c>
      <c r="G2891" s="147">
        <v>0.12138</v>
      </c>
      <c r="H2891" s="147">
        <v>0.2992197065931132</v>
      </c>
      <c r="I2891" s="729"/>
      <c r="J2891" s="147">
        <v>40.686889999999998</v>
      </c>
      <c r="K2891" s="147">
        <v>0</v>
      </c>
      <c r="L2891" s="147">
        <v>205.00259</v>
      </c>
      <c r="M2891" s="147">
        <v>195.19604000000001</v>
      </c>
      <c r="N2891" s="147">
        <v>9.8065499999999997</v>
      </c>
      <c r="O2891" s="147">
        <v>5.0239492563476187</v>
      </c>
      <c r="P2891" s="147">
        <v>57.548439999999999</v>
      </c>
      <c r="Q2891" s="147">
        <v>147.45415</v>
      </c>
      <c r="R2891" s="147">
        <v>256.2261461822423</v>
      </c>
    </row>
    <row r="2892" spans="2:18" ht="15.75" hidden="1" thickBot="1" x14ac:dyDescent="0.3">
      <c r="B2892" s="723" t="s">
        <v>773</v>
      </c>
      <c r="C2892" s="722" t="s">
        <v>145</v>
      </c>
      <c r="D2892" t="s">
        <v>146</v>
      </c>
      <c r="E2892" s="148">
        <v>0.26763999999999999</v>
      </c>
      <c r="F2892" s="728"/>
      <c r="G2892" s="148">
        <v>0.26763999999999999</v>
      </c>
      <c r="H2892" s="148">
        <v>0</v>
      </c>
      <c r="I2892" s="728"/>
      <c r="J2892" s="148">
        <v>0.26763999999999999</v>
      </c>
      <c r="K2892" s="148">
        <v>0</v>
      </c>
      <c r="L2892" s="148">
        <v>4.7837399999999999</v>
      </c>
      <c r="M2892" s="728"/>
      <c r="N2892" s="148">
        <v>4.7837399999999999</v>
      </c>
      <c r="O2892" s="148">
        <v>0</v>
      </c>
      <c r="P2892" s="148">
        <v>2.6357499999999998</v>
      </c>
      <c r="Q2892" s="148">
        <v>2.1479900000000001</v>
      </c>
      <c r="R2892" s="148">
        <v>81.49445129469791</v>
      </c>
    </row>
    <row r="2893" spans="2:18" ht="15.75" hidden="1" thickBot="1" x14ac:dyDescent="0.3">
      <c r="B2893" s="723" t="s">
        <v>773</v>
      </c>
      <c r="C2893" s="722" t="s">
        <v>147</v>
      </c>
      <c r="D2893" t="s">
        <v>148</v>
      </c>
      <c r="E2893" s="147">
        <v>0</v>
      </c>
      <c r="F2893" s="729"/>
      <c r="G2893" s="147">
        <v>0</v>
      </c>
      <c r="H2893" s="147">
        <v>0</v>
      </c>
      <c r="I2893" s="729"/>
      <c r="J2893" s="147">
        <v>0</v>
      </c>
      <c r="K2893" s="147">
        <v>0</v>
      </c>
      <c r="L2893" s="147">
        <v>1.0040100000000001</v>
      </c>
      <c r="M2893" s="729"/>
      <c r="N2893" s="147">
        <v>1.0040100000000001</v>
      </c>
      <c r="O2893" s="147">
        <v>0</v>
      </c>
      <c r="P2893" s="147">
        <v>0.51988999999999996</v>
      </c>
      <c r="Q2893" s="147">
        <v>0.48411999999999999</v>
      </c>
      <c r="R2893" s="147">
        <v>93.119698397737977</v>
      </c>
    </row>
    <row r="2894" spans="2:18" ht="15.75" hidden="1" thickBot="1" x14ac:dyDescent="0.3">
      <c r="B2894" s="723" t="s">
        <v>773</v>
      </c>
      <c r="C2894" s="722" t="s">
        <v>203</v>
      </c>
      <c r="D2894" t="s">
        <v>204</v>
      </c>
      <c r="E2894" s="728"/>
      <c r="F2894" s="148">
        <v>0</v>
      </c>
      <c r="G2894" s="148">
        <v>0</v>
      </c>
      <c r="H2894" s="148">
        <v>0</v>
      </c>
      <c r="I2894" s="728"/>
      <c r="J2894" s="728"/>
      <c r="K2894" s="728"/>
      <c r="L2894" s="728"/>
      <c r="M2894" s="148">
        <v>0</v>
      </c>
      <c r="N2894" s="148">
        <v>0</v>
      </c>
      <c r="O2894" s="148">
        <v>0</v>
      </c>
      <c r="P2894" s="728"/>
      <c r="Q2894" s="728"/>
      <c r="R2894" s="728"/>
    </row>
    <row r="2895" spans="2:18" ht="15.75" hidden="1" thickBot="1" x14ac:dyDescent="0.3">
      <c r="B2895" s="723" t="s">
        <v>773</v>
      </c>
      <c r="C2895" s="722" t="s">
        <v>149</v>
      </c>
      <c r="D2895" t="s">
        <v>150</v>
      </c>
      <c r="E2895" s="147">
        <v>71.837999999999994</v>
      </c>
      <c r="F2895" s="147">
        <v>20.29166</v>
      </c>
      <c r="G2895" s="147">
        <v>51.546340000000001</v>
      </c>
      <c r="H2895" s="147">
        <v>254.0272210356373</v>
      </c>
      <c r="I2895" s="729"/>
      <c r="J2895" s="147">
        <v>71.837999999999994</v>
      </c>
      <c r="K2895" s="147">
        <v>0</v>
      </c>
      <c r="L2895" s="147">
        <v>83.602000000000004</v>
      </c>
      <c r="M2895" s="147">
        <v>214.4999</v>
      </c>
      <c r="N2895" s="147">
        <v>-130.89789999999999</v>
      </c>
      <c r="O2895" s="147">
        <v>-61.024690454401146</v>
      </c>
      <c r="P2895" s="147">
        <v>6.18</v>
      </c>
      <c r="Q2895" s="147">
        <v>77.421999999999997</v>
      </c>
      <c r="R2895" s="147">
        <v>1252.7831715210357</v>
      </c>
    </row>
    <row r="2896" spans="2:18" ht="15.75" hidden="1" thickBot="1" x14ac:dyDescent="0.3">
      <c r="B2896" s="723" t="s">
        <v>773</v>
      </c>
      <c r="C2896" s="722" t="s">
        <v>645</v>
      </c>
      <c r="D2896" t="s">
        <v>646</v>
      </c>
      <c r="E2896" s="148">
        <v>2.3187500000000001</v>
      </c>
      <c r="F2896" s="148">
        <v>4.21</v>
      </c>
      <c r="G2896" s="148">
        <v>-1.8912500000000001</v>
      </c>
      <c r="H2896" s="148">
        <v>-44.922802850356291</v>
      </c>
      <c r="I2896" s="728"/>
      <c r="J2896" s="148">
        <v>2.3187500000000001</v>
      </c>
      <c r="K2896" s="148">
        <v>0</v>
      </c>
      <c r="L2896" s="148">
        <v>38.308540000000001</v>
      </c>
      <c r="M2896" s="148">
        <v>45.100679999999997</v>
      </c>
      <c r="N2896" s="148">
        <v>-6.7921399999999998</v>
      </c>
      <c r="O2896" s="148">
        <v>-15.059950315604997</v>
      </c>
      <c r="P2896" s="148">
        <v>30.518170000000001</v>
      </c>
      <c r="Q2896" s="148">
        <v>7.7903700000000002</v>
      </c>
      <c r="R2896" s="148">
        <v>25.526989331273796</v>
      </c>
    </row>
    <row r="2897" spans="2:18" ht="15.75" hidden="1" thickBot="1" x14ac:dyDescent="0.3">
      <c r="B2897" s="723" t="s">
        <v>773</v>
      </c>
      <c r="C2897" s="722" t="s">
        <v>171</v>
      </c>
      <c r="D2897" t="s">
        <v>172</v>
      </c>
      <c r="E2897" s="147">
        <v>0.54</v>
      </c>
      <c r="F2897" s="147">
        <v>0.41663</v>
      </c>
      <c r="G2897" s="147">
        <v>0.12336999999999999</v>
      </c>
      <c r="H2897" s="147">
        <v>29.611405803710728</v>
      </c>
      <c r="I2897" s="729"/>
      <c r="J2897" s="147">
        <v>0.54</v>
      </c>
      <c r="K2897" s="147">
        <v>0</v>
      </c>
      <c r="L2897" s="147">
        <v>4.7438599999999997</v>
      </c>
      <c r="M2897" s="147">
        <v>5</v>
      </c>
      <c r="N2897" s="147">
        <v>-0.25613999999999998</v>
      </c>
      <c r="O2897" s="147">
        <v>-5.1227999999999998</v>
      </c>
      <c r="P2897" s="147">
        <v>8.3669999999999994E-2</v>
      </c>
      <c r="Q2897" s="147">
        <v>4.6601900000000001</v>
      </c>
      <c r="R2897" s="147">
        <v>5569.726305724872</v>
      </c>
    </row>
    <row r="2898" spans="2:18" ht="15.75" hidden="1" thickBot="1" x14ac:dyDescent="0.3">
      <c r="B2898" s="723" t="s">
        <v>773</v>
      </c>
      <c r="C2898" s="722" t="s">
        <v>205</v>
      </c>
      <c r="D2898" t="s">
        <v>206</v>
      </c>
      <c r="E2898" s="728"/>
      <c r="F2898" s="728"/>
      <c r="G2898" s="728"/>
      <c r="H2898" s="728"/>
      <c r="I2898" s="728"/>
      <c r="J2898" s="728"/>
      <c r="K2898" s="728"/>
      <c r="L2898" s="148">
        <v>1.9980000000000001E-2</v>
      </c>
      <c r="M2898" s="728"/>
      <c r="N2898" s="148">
        <v>1.9980000000000001E-2</v>
      </c>
      <c r="O2898" s="148">
        <v>0</v>
      </c>
      <c r="P2898" s="148">
        <v>1.4999999999999999E-2</v>
      </c>
      <c r="Q2898" s="148">
        <v>4.9800000000000001E-3</v>
      </c>
      <c r="R2898" s="148">
        <v>33.200000000000003</v>
      </c>
    </row>
    <row r="2899" spans="2:18" ht="15.75" hidden="1" thickBot="1" x14ac:dyDescent="0.3">
      <c r="B2899" s="723" t="s">
        <v>773</v>
      </c>
      <c r="C2899" s="722" t="s">
        <v>649</v>
      </c>
      <c r="D2899" t="s">
        <v>650</v>
      </c>
      <c r="E2899" s="147">
        <v>0.159</v>
      </c>
      <c r="F2899" s="729"/>
      <c r="G2899" s="147">
        <v>0.159</v>
      </c>
      <c r="H2899" s="147">
        <v>0</v>
      </c>
      <c r="I2899" s="729"/>
      <c r="J2899" s="147">
        <v>0.159</v>
      </c>
      <c r="K2899" s="147">
        <v>0</v>
      </c>
      <c r="L2899" s="147">
        <v>0.45899000000000001</v>
      </c>
      <c r="M2899" s="729"/>
      <c r="N2899" s="147">
        <v>0.45899000000000001</v>
      </c>
      <c r="O2899" s="147">
        <v>0</v>
      </c>
      <c r="P2899" s="729"/>
      <c r="Q2899" s="147">
        <v>0.45899000000000001</v>
      </c>
      <c r="R2899" s="147">
        <v>0</v>
      </c>
    </row>
    <row r="2900" spans="2:18" ht="15.75" hidden="1" thickBot="1" x14ac:dyDescent="0.3">
      <c r="B2900" s="723" t="s">
        <v>773</v>
      </c>
      <c r="C2900" s="722" t="s">
        <v>173</v>
      </c>
      <c r="D2900" t="s">
        <v>174</v>
      </c>
      <c r="E2900" s="148">
        <v>6.7500000000000004E-2</v>
      </c>
      <c r="F2900" s="148">
        <v>8.3330000000000001E-2</v>
      </c>
      <c r="G2900" s="148">
        <v>-1.583E-2</v>
      </c>
      <c r="H2900" s="148">
        <v>-18.996759870394815</v>
      </c>
      <c r="I2900" s="728"/>
      <c r="J2900" s="148">
        <v>6.7500000000000004E-2</v>
      </c>
      <c r="K2900" s="148">
        <v>0</v>
      </c>
      <c r="L2900" s="148">
        <v>0.79823999999999995</v>
      </c>
      <c r="M2900" s="148">
        <v>0.99995999999999996</v>
      </c>
      <c r="N2900" s="148">
        <v>-0.20172000000000001</v>
      </c>
      <c r="O2900" s="148">
        <v>-20.172806912276492</v>
      </c>
      <c r="P2900" s="148">
        <v>0.41572999999999999</v>
      </c>
      <c r="Q2900" s="148">
        <v>0.38251000000000002</v>
      </c>
      <c r="R2900" s="148">
        <v>92.009236764246026</v>
      </c>
    </row>
    <row r="2901" spans="2:18" ht="15.75" hidden="1" thickBot="1" x14ac:dyDescent="0.3">
      <c r="B2901" s="723" t="s">
        <v>773</v>
      </c>
      <c r="C2901" s="722" t="s">
        <v>151</v>
      </c>
      <c r="D2901" t="s">
        <v>152</v>
      </c>
      <c r="E2901" s="729"/>
      <c r="F2901" s="729"/>
      <c r="G2901" s="729"/>
      <c r="H2901" s="729"/>
      <c r="I2901" s="729"/>
      <c r="J2901" s="729"/>
      <c r="K2901" s="729"/>
      <c r="L2901" s="147">
        <v>5.1749999999999997E-2</v>
      </c>
      <c r="M2901" s="729"/>
      <c r="N2901" s="147">
        <v>5.1749999999999997E-2</v>
      </c>
      <c r="O2901" s="147">
        <v>0</v>
      </c>
      <c r="P2901" s="729"/>
      <c r="Q2901" s="147">
        <v>5.1749999999999997E-2</v>
      </c>
      <c r="R2901" s="147">
        <v>0</v>
      </c>
    </row>
    <row r="2902" spans="2:18" ht="15.75" hidden="1" thickBot="1" x14ac:dyDescent="0.3">
      <c r="B2902" s="723" t="s">
        <v>773</v>
      </c>
      <c r="C2902" s="722" t="s">
        <v>481</v>
      </c>
      <c r="D2902" t="s">
        <v>482</v>
      </c>
      <c r="E2902" s="728"/>
      <c r="F2902" s="728"/>
      <c r="G2902" s="728"/>
      <c r="H2902" s="728"/>
      <c r="I2902" s="728"/>
      <c r="J2902" s="728"/>
      <c r="K2902" s="728"/>
      <c r="L2902" s="148">
        <v>1.9990000000000001E-2</v>
      </c>
      <c r="M2902" s="728"/>
      <c r="N2902" s="148">
        <v>1.9990000000000001E-2</v>
      </c>
      <c r="O2902" s="148">
        <v>0</v>
      </c>
      <c r="P2902" s="728"/>
      <c r="Q2902" s="148">
        <v>1.9990000000000001E-2</v>
      </c>
      <c r="R2902" s="148">
        <v>0</v>
      </c>
    </row>
    <row r="2903" spans="2:18" ht="15.75" hidden="1" thickBot="1" x14ac:dyDescent="0.3">
      <c r="B2903" s="723" t="s">
        <v>773</v>
      </c>
      <c r="C2903" s="722" t="s">
        <v>665</v>
      </c>
      <c r="D2903" t="s">
        <v>666</v>
      </c>
      <c r="E2903" s="147">
        <v>2.9803199999999999</v>
      </c>
      <c r="F2903" s="147">
        <v>1.0965</v>
      </c>
      <c r="G2903" s="147">
        <v>1.8838200000000001</v>
      </c>
      <c r="H2903" s="147">
        <v>171.8030095759234</v>
      </c>
      <c r="I2903" s="729"/>
      <c r="J2903" s="147">
        <v>2.9803199999999999</v>
      </c>
      <c r="K2903" s="147">
        <v>0</v>
      </c>
      <c r="L2903" s="147">
        <v>18.23197</v>
      </c>
      <c r="M2903" s="147">
        <v>13.15789</v>
      </c>
      <c r="N2903" s="147">
        <v>5.0740800000000004</v>
      </c>
      <c r="O2903" s="147">
        <v>38.563021882687877</v>
      </c>
      <c r="P2903" s="147">
        <v>13.45027</v>
      </c>
      <c r="Q2903" s="147">
        <v>4.7816999999999998</v>
      </c>
      <c r="R2903" s="147">
        <v>35.550959200075539</v>
      </c>
    </row>
    <row r="2904" spans="2:18" ht="15.75" hidden="1" thickBot="1" x14ac:dyDescent="0.3">
      <c r="B2904" s="723" t="s">
        <v>773</v>
      </c>
      <c r="C2904" s="722" t="s">
        <v>153</v>
      </c>
      <c r="D2904" t="s">
        <v>154</v>
      </c>
      <c r="E2904" s="148">
        <v>10.38715</v>
      </c>
      <c r="F2904" s="148">
        <v>0.5</v>
      </c>
      <c r="G2904" s="148">
        <v>9.8871500000000001</v>
      </c>
      <c r="H2904" s="148">
        <v>1977.43</v>
      </c>
      <c r="I2904" s="728"/>
      <c r="J2904" s="148">
        <v>10.38715</v>
      </c>
      <c r="K2904" s="148">
        <v>0</v>
      </c>
      <c r="L2904" s="148">
        <v>13.26695</v>
      </c>
      <c r="M2904" s="148">
        <v>13</v>
      </c>
      <c r="N2904" s="148">
        <v>0.26695000000000002</v>
      </c>
      <c r="O2904" s="148">
        <v>2.0534615384615384</v>
      </c>
      <c r="P2904" s="148">
        <v>2.8797999999999999</v>
      </c>
      <c r="Q2904" s="148">
        <v>10.38715</v>
      </c>
      <c r="R2904" s="148">
        <v>360.68997847072711</v>
      </c>
    </row>
    <row r="2905" spans="2:18" ht="15.75" hidden="1" thickBot="1" x14ac:dyDescent="0.3">
      <c r="B2905" s="723" t="s">
        <v>773</v>
      </c>
      <c r="C2905" s="722" t="s">
        <v>207</v>
      </c>
      <c r="D2905" t="s">
        <v>208</v>
      </c>
      <c r="E2905" s="147">
        <v>0.26100000000000001</v>
      </c>
      <c r="F2905" s="729"/>
      <c r="G2905" s="147">
        <v>0.26100000000000001</v>
      </c>
      <c r="H2905" s="147">
        <v>0</v>
      </c>
      <c r="I2905" s="729"/>
      <c r="J2905" s="147">
        <v>0.26100000000000001</v>
      </c>
      <c r="K2905" s="147">
        <v>0</v>
      </c>
      <c r="L2905" s="147">
        <v>0.42925999999999997</v>
      </c>
      <c r="M2905" s="729"/>
      <c r="N2905" s="147">
        <v>0.42925999999999997</v>
      </c>
      <c r="O2905" s="147">
        <v>0</v>
      </c>
      <c r="P2905" s="147">
        <v>0.16825999999999999</v>
      </c>
      <c r="Q2905" s="147">
        <v>0.26100000000000001</v>
      </c>
      <c r="R2905" s="147">
        <v>155.11708070842744</v>
      </c>
    </row>
    <row r="2906" spans="2:18" ht="15.75" hidden="1" thickBot="1" x14ac:dyDescent="0.3">
      <c r="B2906" s="723" t="s">
        <v>773</v>
      </c>
      <c r="C2906" s="722" t="s">
        <v>75</v>
      </c>
      <c r="D2906" t="s">
        <v>76</v>
      </c>
      <c r="E2906" s="148">
        <v>4.2878299999999996</v>
      </c>
      <c r="F2906" s="148">
        <v>5.2153</v>
      </c>
      <c r="G2906" s="148">
        <v>-0.92747000000000002</v>
      </c>
      <c r="H2906" s="148">
        <v>-17.783636607673575</v>
      </c>
      <c r="I2906" s="728"/>
      <c r="J2906" s="148">
        <v>4.2878299999999996</v>
      </c>
      <c r="K2906" s="148">
        <v>0</v>
      </c>
      <c r="L2906" s="148">
        <v>57.614139999999999</v>
      </c>
      <c r="M2906" s="148">
        <v>59.60004</v>
      </c>
      <c r="N2906" s="148">
        <v>-1.9859</v>
      </c>
      <c r="O2906" s="148">
        <v>-3.3320447435941318</v>
      </c>
      <c r="P2906" s="148">
        <v>27.518360000000001</v>
      </c>
      <c r="Q2906" s="148">
        <v>30.095780000000001</v>
      </c>
      <c r="R2906" s="148">
        <v>109.36618315917082</v>
      </c>
    </row>
    <row r="2907" spans="2:18" ht="15.75" hidden="1" thickBot="1" x14ac:dyDescent="0.3">
      <c r="B2907" s="723" t="s">
        <v>773</v>
      </c>
      <c r="C2907" s="722" t="s">
        <v>121</v>
      </c>
      <c r="D2907" t="s">
        <v>122</v>
      </c>
      <c r="E2907" s="147">
        <v>0.32119999999999999</v>
      </c>
      <c r="F2907" s="147">
        <v>0.16663</v>
      </c>
      <c r="G2907" s="147">
        <v>0.15457000000000001</v>
      </c>
      <c r="H2907" s="147">
        <v>92.762407729700527</v>
      </c>
      <c r="I2907" s="729"/>
      <c r="J2907" s="147">
        <v>0.32119999999999999</v>
      </c>
      <c r="K2907" s="147">
        <v>0</v>
      </c>
      <c r="L2907" s="147">
        <v>6.53247</v>
      </c>
      <c r="M2907" s="147">
        <v>2</v>
      </c>
      <c r="N2907" s="147">
        <v>4.53247</v>
      </c>
      <c r="O2907" s="147">
        <v>226.62350000000001</v>
      </c>
      <c r="P2907" s="147">
        <v>4.3135599999999998</v>
      </c>
      <c r="Q2907" s="147">
        <v>2.2189100000000002</v>
      </c>
      <c r="R2907" s="147">
        <v>51.440341620378526</v>
      </c>
    </row>
    <row r="2908" spans="2:18" ht="15.75" hidden="1" thickBot="1" x14ac:dyDescent="0.3">
      <c r="B2908" s="723" t="s">
        <v>773</v>
      </c>
      <c r="C2908" s="722" t="s">
        <v>77</v>
      </c>
      <c r="D2908" t="s">
        <v>78</v>
      </c>
      <c r="E2908" s="148">
        <v>6.0986799999999999</v>
      </c>
      <c r="F2908" s="148">
        <v>10.16667</v>
      </c>
      <c r="G2908" s="148">
        <v>-4.06799</v>
      </c>
      <c r="H2908" s="148">
        <v>-40.013003274425159</v>
      </c>
      <c r="I2908" s="728"/>
      <c r="J2908" s="148">
        <v>6.0986799999999999</v>
      </c>
      <c r="K2908" s="148">
        <v>0</v>
      </c>
      <c r="L2908" s="148">
        <v>57.304090000000002</v>
      </c>
      <c r="M2908" s="148">
        <v>68.000039999999998</v>
      </c>
      <c r="N2908" s="148">
        <v>-10.69595</v>
      </c>
      <c r="O2908" s="148">
        <v>-15.729328982747656</v>
      </c>
      <c r="P2908" s="148">
        <v>36.635649999999998</v>
      </c>
      <c r="Q2908" s="148">
        <v>20.66844</v>
      </c>
      <c r="R2908" s="148">
        <v>56.416195700089936</v>
      </c>
    </row>
    <row r="2909" spans="2:18" ht="15.75" hidden="1" thickBot="1" x14ac:dyDescent="0.3">
      <c r="B2909" s="723" t="s">
        <v>773</v>
      </c>
      <c r="C2909" s="722" t="s">
        <v>79</v>
      </c>
      <c r="D2909" t="s">
        <v>80</v>
      </c>
      <c r="E2909" s="147">
        <v>0</v>
      </c>
      <c r="F2909" s="729"/>
      <c r="G2909" s="147">
        <v>0</v>
      </c>
      <c r="H2909" s="147">
        <v>0</v>
      </c>
      <c r="I2909" s="729"/>
      <c r="J2909" s="147">
        <v>0</v>
      </c>
      <c r="K2909" s="147">
        <v>0</v>
      </c>
      <c r="L2909" s="147">
        <v>0.81937000000000004</v>
      </c>
      <c r="M2909" s="729"/>
      <c r="N2909" s="147">
        <v>0.81937000000000004</v>
      </c>
      <c r="O2909" s="147">
        <v>0</v>
      </c>
      <c r="P2909" s="147">
        <v>0.37641000000000002</v>
      </c>
      <c r="Q2909" s="147">
        <v>0.44296000000000002</v>
      </c>
      <c r="R2909" s="147">
        <v>117.68018915544221</v>
      </c>
    </row>
    <row r="2910" spans="2:18" ht="15.75" hidden="1" thickBot="1" x14ac:dyDescent="0.3">
      <c r="B2910" s="723" t="s">
        <v>773</v>
      </c>
      <c r="C2910" s="722" t="s">
        <v>81</v>
      </c>
      <c r="D2910" t="s">
        <v>82</v>
      </c>
      <c r="E2910" s="148">
        <v>5.1584000000000003</v>
      </c>
      <c r="F2910" s="148">
        <v>3.95</v>
      </c>
      <c r="G2910" s="148">
        <v>1.2083999999999999</v>
      </c>
      <c r="H2910" s="148">
        <v>30.592405063291139</v>
      </c>
      <c r="I2910" s="728"/>
      <c r="J2910" s="148">
        <v>5.1584000000000003</v>
      </c>
      <c r="K2910" s="148">
        <v>0</v>
      </c>
      <c r="L2910" s="148">
        <v>8.6311499999999999</v>
      </c>
      <c r="M2910" s="148">
        <v>9.6</v>
      </c>
      <c r="N2910" s="148">
        <v>-0.96884999999999999</v>
      </c>
      <c r="O2910" s="148">
        <v>-10.0921875</v>
      </c>
      <c r="P2910" s="148">
        <v>2.0855800000000002</v>
      </c>
      <c r="Q2910" s="148">
        <v>6.5455699999999997</v>
      </c>
      <c r="R2910" s="148">
        <v>313.84890534048083</v>
      </c>
    </row>
    <row r="2911" spans="2:18" ht="15.75" hidden="1" thickBot="1" x14ac:dyDescent="0.3">
      <c r="B2911" s="723" t="s">
        <v>773</v>
      </c>
      <c r="C2911" s="722" t="s">
        <v>123</v>
      </c>
      <c r="D2911" t="s">
        <v>124</v>
      </c>
      <c r="E2911" s="147">
        <v>1.2416400000000001</v>
      </c>
      <c r="F2911" s="147">
        <v>3.95</v>
      </c>
      <c r="G2911" s="147">
        <v>-2.7083599999999999</v>
      </c>
      <c r="H2911" s="147">
        <v>-68.566075949367089</v>
      </c>
      <c r="I2911" s="729"/>
      <c r="J2911" s="147">
        <v>1.2416400000000001</v>
      </c>
      <c r="K2911" s="147">
        <v>0</v>
      </c>
      <c r="L2911" s="147">
        <v>2.7525400000000002</v>
      </c>
      <c r="M2911" s="147">
        <v>8.4</v>
      </c>
      <c r="N2911" s="147">
        <v>-5.6474599999999997</v>
      </c>
      <c r="O2911" s="147">
        <v>-67.231666666666669</v>
      </c>
      <c r="P2911" s="147">
        <v>0.94738</v>
      </c>
      <c r="Q2911" s="147">
        <v>1.8051600000000001</v>
      </c>
      <c r="R2911" s="147">
        <v>190.54233781587115</v>
      </c>
    </row>
    <row r="2912" spans="2:18" ht="15.75" hidden="1" thickBot="1" x14ac:dyDescent="0.3">
      <c r="B2912" s="723" t="s">
        <v>773</v>
      </c>
      <c r="C2912" s="722" t="s">
        <v>125</v>
      </c>
      <c r="D2912" t="s">
        <v>126</v>
      </c>
      <c r="E2912" s="148">
        <v>6.9989999999999997E-2</v>
      </c>
      <c r="F2912" s="728"/>
      <c r="G2912" s="148">
        <v>6.9989999999999997E-2</v>
      </c>
      <c r="H2912" s="148">
        <v>0</v>
      </c>
      <c r="I2912" s="728"/>
      <c r="J2912" s="148">
        <v>6.9989999999999997E-2</v>
      </c>
      <c r="K2912" s="148">
        <v>0</v>
      </c>
      <c r="L2912" s="148">
        <v>0.30171999999999999</v>
      </c>
      <c r="M2912" s="728"/>
      <c r="N2912" s="148">
        <v>0.30171999999999999</v>
      </c>
      <c r="O2912" s="148">
        <v>0</v>
      </c>
      <c r="P2912" s="148">
        <v>0.15897</v>
      </c>
      <c r="Q2912" s="148">
        <v>0.14274999999999999</v>
      </c>
      <c r="R2912" s="148">
        <v>89.796817009498653</v>
      </c>
    </row>
    <row r="2913" spans="2:18" ht="15.75" hidden="1" thickBot="1" x14ac:dyDescent="0.3">
      <c r="B2913" s="723" t="s">
        <v>773</v>
      </c>
      <c r="C2913" s="722" t="s">
        <v>677</v>
      </c>
      <c r="D2913" t="s">
        <v>678</v>
      </c>
      <c r="E2913" s="147">
        <v>0.375</v>
      </c>
      <c r="F2913" s="147">
        <v>0.58699999999999997</v>
      </c>
      <c r="G2913" s="147">
        <v>-0.21199999999999999</v>
      </c>
      <c r="H2913" s="147">
        <v>-36.115843270868822</v>
      </c>
      <c r="I2913" s="729"/>
      <c r="J2913" s="147">
        <v>0.375</v>
      </c>
      <c r="K2913" s="147">
        <v>0</v>
      </c>
      <c r="L2913" s="147">
        <v>2.1749999999999998</v>
      </c>
      <c r="M2913" s="147">
        <v>7</v>
      </c>
      <c r="N2913" s="147">
        <v>-4.8250000000000002</v>
      </c>
      <c r="O2913" s="147">
        <v>-68.928571428571431</v>
      </c>
      <c r="P2913" s="729"/>
      <c r="Q2913" s="147">
        <v>2.1749999999999998</v>
      </c>
      <c r="R2913" s="147">
        <v>0</v>
      </c>
    </row>
    <row r="2914" spans="2:18" ht="15.75" hidden="1" thickBot="1" x14ac:dyDescent="0.3">
      <c r="B2914" s="723" t="s">
        <v>773</v>
      </c>
      <c r="C2914" s="722" t="s">
        <v>687</v>
      </c>
      <c r="D2914" t="s">
        <v>688</v>
      </c>
      <c r="E2914" s="148">
        <v>24.754999999999999</v>
      </c>
      <c r="F2914" s="728"/>
      <c r="G2914" s="148">
        <v>24.754999999999999</v>
      </c>
      <c r="H2914" s="148">
        <v>0</v>
      </c>
      <c r="I2914" s="728"/>
      <c r="J2914" s="148">
        <v>24.754999999999999</v>
      </c>
      <c r="K2914" s="148">
        <v>0</v>
      </c>
      <c r="L2914" s="148">
        <v>24.754999999999999</v>
      </c>
      <c r="M2914" s="728"/>
      <c r="N2914" s="148">
        <v>24.754999999999999</v>
      </c>
      <c r="O2914" s="148">
        <v>0</v>
      </c>
      <c r="P2914" s="728"/>
      <c r="Q2914" s="148">
        <v>24.754999999999999</v>
      </c>
      <c r="R2914" s="148">
        <v>0</v>
      </c>
    </row>
    <row r="2915" spans="2:18" ht="15.75" hidden="1" thickBot="1" x14ac:dyDescent="0.3">
      <c r="B2915" s="723" t="s">
        <v>773</v>
      </c>
      <c r="C2915" s="722" t="s">
        <v>693</v>
      </c>
      <c r="D2915" t="s">
        <v>694</v>
      </c>
      <c r="E2915" s="147">
        <v>32.944899999999997</v>
      </c>
      <c r="F2915" s="147">
        <v>10.91667</v>
      </c>
      <c r="G2915" s="147">
        <v>22.028230000000001</v>
      </c>
      <c r="H2915" s="147">
        <v>201.78525136328201</v>
      </c>
      <c r="I2915" s="729"/>
      <c r="J2915" s="147">
        <v>32.944899999999997</v>
      </c>
      <c r="K2915" s="147">
        <v>0</v>
      </c>
      <c r="L2915" s="147">
        <v>336.70578999999998</v>
      </c>
      <c r="M2915" s="147">
        <v>131</v>
      </c>
      <c r="N2915" s="147">
        <v>205.70579000000001</v>
      </c>
      <c r="O2915" s="147">
        <v>157.02732061068701</v>
      </c>
      <c r="P2915" s="147">
        <v>154.10181</v>
      </c>
      <c r="Q2915" s="147">
        <v>182.60398000000001</v>
      </c>
      <c r="R2915" s="147">
        <v>118.49567503457617</v>
      </c>
    </row>
    <row r="2916" spans="2:18" ht="15.75" hidden="1" thickBot="1" x14ac:dyDescent="0.3">
      <c r="B2916" s="723" t="s">
        <v>773</v>
      </c>
      <c r="C2916" s="722" t="s">
        <v>211</v>
      </c>
      <c r="D2916" t="s">
        <v>212</v>
      </c>
      <c r="E2916" s="148">
        <v>2.1430000000000001E-2</v>
      </c>
      <c r="F2916" s="728"/>
      <c r="G2916" s="148">
        <v>2.1430000000000001E-2</v>
      </c>
      <c r="H2916" s="148">
        <v>0</v>
      </c>
      <c r="I2916" s="728"/>
      <c r="J2916" s="148">
        <v>2.1430000000000001E-2</v>
      </c>
      <c r="K2916" s="148">
        <v>0</v>
      </c>
      <c r="L2916" s="148">
        <v>0.30002000000000001</v>
      </c>
      <c r="M2916" s="728"/>
      <c r="N2916" s="148">
        <v>0.30002000000000001</v>
      </c>
      <c r="O2916" s="148">
        <v>0</v>
      </c>
      <c r="P2916" s="148">
        <v>0.17144000000000001</v>
      </c>
      <c r="Q2916" s="148">
        <v>0.12858</v>
      </c>
      <c r="R2916" s="148">
        <v>75</v>
      </c>
    </row>
    <row r="2917" spans="2:18" ht="15.75" hidden="1" thickBot="1" x14ac:dyDescent="0.3">
      <c r="B2917" s="723" t="s">
        <v>773</v>
      </c>
      <c r="C2917" s="722" t="s">
        <v>215</v>
      </c>
      <c r="D2917" t="s">
        <v>216</v>
      </c>
      <c r="E2917" s="147">
        <v>-2.1430000000000001E-2</v>
      </c>
      <c r="F2917" s="729"/>
      <c r="G2917" s="147">
        <v>-2.1430000000000001E-2</v>
      </c>
      <c r="H2917" s="147">
        <v>0</v>
      </c>
      <c r="I2917" s="729"/>
      <c r="J2917" s="147">
        <v>-2.1430000000000001E-2</v>
      </c>
      <c r="K2917" s="147">
        <v>0</v>
      </c>
      <c r="L2917" s="147">
        <v>-0.34288000000000002</v>
      </c>
      <c r="M2917" s="729"/>
      <c r="N2917" s="147">
        <v>-0.34288000000000002</v>
      </c>
      <c r="O2917" s="147">
        <v>0</v>
      </c>
      <c r="P2917" s="147">
        <v>-0.17144000000000001</v>
      </c>
      <c r="Q2917" s="147">
        <v>-0.17144000000000001</v>
      </c>
      <c r="R2917" s="147">
        <v>-100</v>
      </c>
    </row>
    <row r="2918" spans="2:18" ht="15.75" hidden="1" thickBot="1" x14ac:dyDescent="0.3">
      <c r="B2918" s="723" t="s">
        <v>773</v>
      </c>
      <c r="C2918" s="722" t="s">
        <v>83</v>
      </c>
      <c r="D2918" t="s">
        <v>84</v>
      </c>
      <c r="E2918" s="728"/>
      <c r="F2918" s="148">
        <v>3.07504</v>
      </c>
      <c r="G2918" s="148">
        <v>-3.07504</v>
      </c>
      <c r="H2918" s="148">
        <v>-100</v>
      </c>
      <c r="I2918" s="728"/>
      <c r="J2918" s="728"/>
      <c r="K2918" s="728"/>
      <c r="L2918" s="728"/>
      <c r="M2918" s="148">
        <v>36.9</v>
      </c>
      <c r="N2918" s="148">
        <v>-36.9</v>
      </c>
      <c r="O2918" s="148">
        <v>-100</v>
      </c>
      <c r="P2918" s="728"/>
      <c r="Q2918" s="728"/>
      <c r="R2918" s="728"/>
    </row>
    <row r="2919" spans="2:18" ht="15.75" hidden="1" thickBot="1" x14ac:dyDescent="0.3">
      <c r="B2919" s="723" t="s">
        <v>773</v>
      </c>
      <c r="C2919" s="149" t="s">
        <v>85</v>
      </c>
      <c r="D2919" t="s">
        <v>86</v>
      </c>
      <c r="E2919" s="147">
        <v>262.06130999999999</v>
      </c>
      <c r="F2919" s="147">
        <v>133.3528</v>
      </c>
      <c r="G2919" s="147">
        <v>128.70850999999999</v>
      </c>
      <c r="H2919" s="147">
        <v>96.517290975517568</v>
      </c>
      <c r="I2919" s="729"/>
      <c r="J2919" s="147">
        <v>262.06130999999999</v>
      </c>
      <c r="K2919" s="147">
        <v>0</v>
      </c>
      <c r="L2919" s="147">
        <v>1515.43038</v>
      </c>
      <c r="M2919" s="147">
        <v>1170.1535899999999</v>
      </c>
      <c r="N2919" s="147">
        <v>345.27679000000001</v>
      </c>
      <c r="O2919" s="147">
        <v>29.506963269667875</v>
      </c>
      <c r="P2919" s="147">
        <v>565.23740999999995</v>
      </c>
      <c r="Q2919" s="147">
        <v>950.19296999999995</v>
      </c>
      <c r="R2919" s="147">
        <v>168.10511002801459</v>
      </c>
    </row>
    <row r="2920" spans="2:18" ht="15.75" hidden="1" thickBot="1" x14ac:dyDescent="0.3">
      <c r="B2920" s="723" t="s">
        <v>773</v>
      </c>
      <c r="C2920" s="144" t="s">
        <v>87</v>
      </c>
      <c r="D2920" t="s">
        <v>87</v>
      </c>
      <c r="E2920" s="148">
        <v>634.96785999999997</v>
      </c>
      <c r="F2920" s="148">
        <v>543.96004000000005</v>
      </c>
      <c r="G2920" s="148">
        <v>91.007819999999995</v>
      </c>
      <c r="H2920" s="148">
        <v>16.730607638016938</v>
      </c>
      <c r="I2920" s="728"/>
      <c r="J2920" s="148">
        <v>634.96785999999997</v>
      </c>
      <c r="K2920" s="148">
        <v>0</v>
      </c>
      <c r="L2920" s="148">
        <v>6098.7897800000001</v>
      </c>
      <c r="M2920" s="148">
        <v>5926.9812199999997</v>
      </c>
      <c r="N2920" s="148">
        <v>171.80856</v>
      </c>
      <c r="O2920" s="148">
        <v>2.898753237487059</v>
      </c>
      <c r="P2920" s="148">
        <v>2871.35914</v>
      </c>
      <c r="Q2920" s="148">
        <v>3227.43064</v>
      </c>
      <c r="R2920" s="148">
        <v>112.40079985257435</v>
      </c>
    </row>
    <row r="2921" spans="2:18" ht="15.75" hidden="1" thickBot="1" x14ac:dyDescent="0.3">
      <c r="B2921" s="724" t="s">
        <v>774</v>
      </c>
      <c r="C2921" s="722" t="s">
        <v>59</v>
      </c>
      <c r="D2921" t="s">
        <v>60</v>
      </c>
      <c r="E2921" s="729"/>
      <c r="F2921" s="147">
        <v>21.171389999999999</v>
      </c>
      <c r="G2921" s="147">
        <v>-21.171389999999999</v>
      </c>
      <c r="H2921" s="147">
        <v>-100</v>
      </c>
      <c r="I2921" s="729"/>
      <c r="J2921" s="729"/>
      <c r="K2921" s="729"/>
      <c r="L2921" s="729"/>
      <c r="M2921" s="147">
        <v>252.72386</v>
      </c>
      <c r="N2921" s="147">
        <v>-252.72386</v>
      </c>
      <c r="O2921" s="147">
        <v>-100</v>
      </c>
      <c r="P2921" s="729"/>
      <c r="Q2921" s="729"/>
      <c r="R2921" s="729"/>
    </row>
    <row r="2922" spans="2:18" ht="15.75" hidden="1" thickBot="1" x14ac:dyDescent="0.3">
      <c r="B2922" s="724" t="s">
        <v>774</v>
      </c>
      <c r="C2922" s="722" t="s">
        <v>91</v>
      </c>
      <c r="D2922" t="s">
        <v>92</v>
      </c>
      <c r="E2922" s="728"/>
      <c r="F2922" s="148">
        <v>9.5526900000000001</v>
      </c>
      <c r="G2922" s="148">
        <v>-9.5526900000000001</v>
      </c>
      <c r="H2922" s="148">
        <v>-100</v>
      </c>
      <c r="I2922" s="728"/>
      <c r="J2922" s="728"/>
      <c r="K2922" s="728"/>
      <c r="L2922" s="728"/>
      <c r="M2922" s="148">
        <v>111.57174999999999</v>
      </c>
      <c r="N2922" s="148">
        <v>-111.57174999999999</v>
      </c>
      <c r="O2922" s="148">
        <v>-100</v>
      </c>
      <c r="P2922" s="728"/>
      <c r="Q2922" s="728"/>
      <c r="R2922" s="728"/>
    </row>
    <row r="2923" spans="2:18" ht="15.75" hidden="1" thickBot="1" x14ac:dyDescent="0.3">
      <c r="B2923" s="724" t="s">
        <v>774</v>
      </c>
      <c r="C2923" s="722" t="s">
        <v>159</v>
      </c>
      <c r="D2923" t="s">
        <v>160</v>
      </c>
      <c r="E2923" s="729"/>
      <c r="F2923" s="147">
        <v>4.8725899999999998</v>
      </c>
      <c r="G2923" s="147">
        <v>-4.8725899999999998</v>
      </c>
      <c r="H2923" s="147">
        <v>-100</v>
      </c>
      <c r="I2923" s="729"/>
      <c r="J2923" s="729"/>
      <c r="K2923" s="729"/>
      <c r="L2923" s="729"/>
      <c r="M2923" s="147">
        <v>56.909959999999998</v>
      </c>
      <c r="N2923" s="147">
        <v>-56.909959999999998</v>
      </c>
      <c r="O2923" s="147">
        <v>-100</v>
      </c>
      <c r="P2923" s="729"/>
      <c r="Q2923" s="729"/>
      <c r="R2923" s="729"/>
    </row>
    <row r="2924" spans="2:18" ht="15.75" hidden="1" thickBot="1" x14ac:dyDescent="0.3">
      <c r="B2924" s="724" t="s">
        <v>774</v>
      </c>
      <c r="C2924" s="722" t="s">
        <v>568</v>
      </c>
      <c r="D2924" t="s">
        <v>569</v>
      </c>
      <c r="E2924" s="728"/>
      <c r="F2924" s="148">
        <v>5.1520799999999998</v>
      </c>
      <c r="G2924" s="148">
        <v>-5.1520799999999998</v>
      </c>
      <c r="H2924" s="148">
        <v>-100</v>
      </c>
      <c r="I2924" s="728"/>
      <c r="J2924" s="728"/>
      <c r="K2924" s="728"/>
      <c r="L2924" s="728"/>
      <c r="M2924" s="148">
        <v>61.500619999999998</v>
      </c>
      <c r="N2924" s="148">
        <v>-61.500619999999998</v>
      </c>
      <c r="O2924" s="148">
        <v>-100</v>
      </c>
      <c r="P2924" s="728"/>
      <c r="Q2924" s="728"/>
      <c r="R2924" s="728"/>
    </row>
    <row r="2925" spans="2:18" ht="15.75" hidden="1" thickBot="1" x14ac:dyDescent="0.3">
      <c r="B2925" s="724" t="s">
        <v>774</v>
      </c>
      <c r="C2925" s="722" t="s">
        <v>61</v>
      </c>
      <c r="D2925" t="s">
        <v>62</v>
      </c>
      <c r="E2925" s="729"/>
      <c r="F2925" s="147">
        <v>6.3160600000000002</v>
      </c>
      <c r="G2925" s="147">
        <v>-6.3160600000000002</v>
      </c>
      <c r="H2925" s="147">
        <v>-100</v>
      </c>
      <c r="I2925" s="729"/>
      <c r="J2925" s="729"/>
      <c r="K2925" s="729"/>
      <c r="L2925" s="729"/>
      <c r="M2925" s="147">
        <v>74.819429999999997</v>
      </c>
      <c r="N2925" s="147">
        <v>-74.819429999999997</v>
      </c>
      <c r="O2925" s="147">
        <v>-100</v>
      </c>
      <c r="P2925" s="729"/>
      <c r="Q2925" s="729"/>
      <c r="R2925" s="729"/>
    </row>
    <row r="2926" spans="2:18" ht="15.75" hidden="1" thickBot="1" x14ac:dyDescent="0.3">
      <c r="B2926" s="724" t="s">
        <v>774</v>
      </c>
      <c r="C2926" s="722" t="s">
        <v>63</v>
      </c>
      <c r="D2926" t="s">
        <v>64</v>
      </c>
      <c r="E2926" s="728"/>
      <c r="F2926" s="148">
        <v>19.280480000000001</v>
      </c>
      <c r="G2926" s="148">
        <v>-19.280480000000001</v>
      </c>
      <c r="H2926" s="148">
        <v>-100</v>
      </c>
      <c r="I2926" s="728"/>
      <c r="J2926" s="728"/>
      <c r="K2926" s="728"/>
      <c r="L2926" s="728"/>
      <c r="M2926" s="148">
        <v>227.91273000000001</v>
      </c>
      <c r="N2926" s="148">
        <v>-227.91273000000001</v>
      </c>
      <c r="O2926" s="148">
        <v>-100</v>
      </c>
      <c r="P2926" s="728"/>
      <c r="Q2926" s="728"/>
      <c r="R2926" s="728"/>
    </row>
    <row r="2927" spans="2:18" ht="15.75" hidden="1" thickBot="1" x14ac:dyDescent="0.3">
      <c r="B2927" s="724" t="s">
        <v>774</v>
      </c>
      <c r="C2927" s="722" t="s">
        <v>65</v>
      </c>
      <c r="D2927" t="s">
        <v>66</v>
      </c>
      <c r="E2927" s="729"/>
      <c r="F2927" s="147">
        <v>-32.963850000000001</v>
      </c>
      <c r="G2927" s="147">
        <v>32.963850000000001</v>
      </c>
      <c r="H2927" s="147">
        <v>100</v>
      </c>
      <c r="I2927" s="729"/>
      <c r="J2927" s="729"/>
      <c r="K2927" s="729"/>
      <c r="L2927" s="729"/>
      <c r="M2927" s="147">
        <v>-393.49099999999999</v>
      </c>
      <c r="N2927" s="147">
        <v>393.49099999999999</v>
      </c>
      <c r="O2927" s="147">
        <v>100</v>
      </c>
      <c r="P2927" s="729"/>
      <c r="Q2927" s="729"/>
      <c r="R2927" s="729"/>
    </row>
    <row r="2928" spans="2:18" ht="15.75" hidden="1" thickBot="1" x14ac:dyDescent="0.3">
      <c r="B2928" s="724" t="s">
        <v>774</v>
      </c>
      <c r="C2928" s="722" t="s">
        <v>163</v>
      </c>
      <c r="D2928" t="s">
        <v>164</v>
      </c>
      <c r="E2928" s="728"/>
      <c r="F2928" s="148">
        <v>-16.79363</v>
      </c>
      <c r="G2928" s="148">
        <v>16.79363</v>
      </c>
      <c r="H2928" s="148">
        <v>100</v>
      </c>
      <c r="I2928" s="728"/>
      <c r="J2928" s="728"/>
      <c r="K2928" s="728"/>
      <c r="L2928" s="728"/>
      <c r="M2928" s="148">
        <v>-196.14313000000001</v>
      </c>
      <c r="N2928" s="148">
        <v>196.14313000000001</v>
      </c>
      <c r="O2928" s="148">
        <v>100</v>
      </c>
      <c r="P2928" s="728"/>
      <c r="Q2928" s="728"/>
      <c r="R2928" s="728"/>
    </row>
    <row r="2929" spans="2:18" ht="15.75" hidden="1" thickBot="1" x14ac:dyDescent="0.3">
      <c r="B2929" s="724" t="s">
        <v>774</v>
      </c>
      <c r="C2929" s="722" t="s">
        <v>578</v>
      </c>
      <c r="D2929" t="s">
        <v>579</v>
      </c>
      <c r="E2929" s="729"/>
      <c r="F2929" s="147">
        <v>-8.5660000000000007</v>
      </c>
      <c r="G2929" s="147">
        <v>8.5660000000000007</v>
      </c>
      <c r="H2929" s="147">
        <v>100</v>
      </c>
      <c r="I2929" s="729"/>
      <c r="J2929" s="729"/>
      <c r="K2929" s="729"/>
      <c r="L2929" s="729"/>
      <c r="M2929" s="147">
        <v>-100.04761000000001</v>
      </c>
      <c r="N2929" s="147">
        <v>100.04761000000001</v>
      </c>
      <c r="O2929" s="147">
        <v>100</v>
      </c>
      <c r="P2929" s="729"/>
      <c r="Q2929" s="729"/>
      <c r="R2929" s="729"/>
    </row>
    <row r="2930" spans="2:18" ht="15.75" hidden="1" thickBot="1" x14ac:dyDescent="0.3">
      <c r="B2930" s="724" t="s">
        <v>774</v>
      </c>
      <c r="C2930" s="722" t="s">
        <v>580</v>
      </c>
      <c r="D2930" t="s">
        <v>581</v>
      </c>
      <c r="E2930" s="728"/>
      <c r="F2930" s="148">
        <v>-8.0217899999999993</v>
      </c>
      <c r="G2930" s="148">
        <v>8.0217899999999993</v>
      </c>
      <c r="H2930" s="148">
        <v>100</v>
      </c>
      <c r="I2930" s="728"/>
      <c r="J2930" s="728"/>
      <c r="K2930" s="728"/>
      <c r="L2930" s="728"/>
      <c r="M2930" s="148">
        <v>-95.756479999999996</v>
      </c>
      <c r="N2930" s="148">
        <v>95.756479999999996</v>
      </c>
      <c r="O2930" s="148">
        <v>100</v>
      </c>
      <c r="P2930" s="728"/>
      <c r="Q2930" s="728"/>
      <c r="R2930" s="728"/>
    </row>
    <row r="2931" spans="2:18" ht="15.75" hidden="1" thickBot="1" x14ac:dyDescent="0.3">
      <c r="B2931" s="724" t="s">
        <v>774</v>
      </c>
      <c r="C2931" s="149" t="s">
        <v>67</v>
      </c>
      <c r="D2931" t="s">
        <v>68</v>
      </c>
      <c r="E2931" s="729"/>
      <c r="F2931" s="147">
        <v>2.0000000000000002E-5</v>
      </c>
      <c r="G2931" s="147">
        <v>-2.0000000000000002E-5</v>
      </c>
      <c r="H2931" s="147">
        <v>-100</v>
      </c>
      <c r="I2931" s="729"/>
      <c r="J2931" s="729"/>
      <c r="K2931" s="729"/>
      <c r="L2931" s="729"/>
      <c r="M2931" s="147">
        <v>1.2999999999999999E-4</v>
      </c>
      <c r="N2931" s="147">
        <v>-1.2999999999999999E-4</v>
      </c>
      <c r="O2931" s="147">
        <v>-100</v>
      </c>
      <c r="P2931" s="729"/>
      <c r="Q2931" s="729"/>
      <c r="R2931" s="729"/>
    </row>
    <row r="2932" spans="2:18" ht="15.75" hidden="1" thickBot="1" x14ac:dyDescent="0.3">
      <c r="B2932" s="724" t="s">
        <v>774</v>
      </c>
      <c r="C2932" s="144" t="s">
        <v>87</v>
      </c>
      <c r="D2932" t="s">
        <v>87</v>
      </c>
      <c r="E2932" s="728"/>
      <c r="F2932" s="148">
        <v>2.0000000000000002E-5</v>
      </c>
      <c r="G2932" s="148">
        <v>-2.0000000000000002E-5</v>
      </c>
      <c r="H2932" s="148">
        <v>-100</v>
      </c>
      <c r="I2932" s="728"/>
      <c r="J2932" s="728"/>
      <c r="K2932" s="728"/>
      <c r="L2932" s="728"/>
      <c r="M2932" s="148">
        <v>1.2999999999999999E-4</v>
      </c>
      <c r="N2932" s="148">
        <v>-1.2999999999999999E-4</v>
      </c>
      <c r="O2932" s="148">
        <v>-100</v>
      </c>
      <c r="P2932" s="728"/>
      <c r="Q2932" s="728"/>
      <c r="R2932" s="728"/>
    </row>
    <row r="2933" spans="2:18" ht="15.75" hidden="1" thickBot="1" x14ac:dyDescent="0.3">
      <c r="B2933" s="724" t="s">
        <v>775</v>
      </c>
      <c r="C2933" s="722" t="s">
        <v>59</v>
      </c>
      <c r="D2933" t="s">
        <v>60</v>
      </c>
      <c r="E2933" s="729"/>
      <c r="F2933" s="147">
        <v>4.7743099999999998</v>
      </c>
      <c r="G2933" s="147">
        <v>-4.7743099999999998</v>
      </c>
      <c r="H2933" s="147">
        <v>-100</v>
      </c>
      <c r="I2933" s="729"/>
      <c r="J2933" s="729"/>
      <c r="K2933" s="729"/>
      <c r="L2933" s="729"/>
      <c r="M2933" s="147">
        <v>56.991160000000001</v>
      </c>
      <c r="N2933" s="147">
        <v>-56.991160000000001</v>
      </c>
      <c r="O2933" s="147">
        <v>-100</v>
      </c>
      <c r="P2933" s="729"/>
      <c r="Q2933" s="729"/>
      <c r="R2933" s="729"/>
    </row>
    <row r="2934" spans="2:18" ht="15.75" hidden="1" thickBot="1" x14ac:dyDescent="0.3">
      <c r="B2934" s="724" t="s">
        <v>775</v>
      </c>
      <c r="C2934" s="722" t="s">
        <v>91</v>
      </c>
      <c r="D2934" t="s">
        <v>92</v>
      </c>
      <c r="E2934" s="728"/>
      <c r="F2934" s="148">
        <v>4.4642999999999997</v>
      </c>
      <c r="G2934" s="148">
        <v>-4.4642999999999997</v>
      </c>
      <c r="H2934" s="148">
        <v>-100</v>
      </c>
      <c r="I2934" s="728"/>
      <c r="J2934" s="728"/>
      <c r="K2934" s="728"/>
      <c r="L2934" s="728"/>
      <c r="M2934" s="148">
        <v>52.141269999999999</v>
      </c>
      <c r="N2934" s="148">
        <v>-52.141269999999999</v>
      </c>
      <c r="O2934" s="148">
        <v>-100</v>
      </c>
      <c r="P2934" s="728"/>
      <c r="Q2934" s="728"/>
      <c r="R2934" s="728"/>
    </row>
    <row r="2935" spans="2:18" ht="15.75" hidden="1" thickBot="1" x14ac:dyDescent="0.3">
      <c r="B2935" s="724" t="s">
        <v>775</v>
      </c>
      <c r="C2935" s="722" t="s">
        <v>61</v>
      </c>
      <c r="D2935" t="s">
        <v>62</v>
      </c>
      <c r="E2935" s="729"/>
      <c r="F2935" s="147">
        <v>1.43198</v>
      </c>
      <c r="G2935" s="147">
        <v>-1.43198</v>
      </c>
      <c r="H2935" s="147">
        <v>-100</v>
      </c>
      <c r="I2935" s="729"/>
      <c r="J2935" s="729"/>
      <c r="K2935" s="729"/>
      <c r="L2935" s="729"/>
      <c r="M2935" s="147">
        <v>16.91553</v>
      </c>
      <c r="N2935" s="147">
        <v>-16.91553</v>
      </c>
      <c r="O2935" s="147">
        <v>-100</v>
      </c>
      <c r="P2935" s="729"/>
      <c r="Q2935" s="729"/>
      <c r="R2935" s="729"/>
    </row>
    <row r="2936" spans="2:18" ht="15.75" hidden="1" thickBot="1" x14ac:dyDescent="0.3">
      <c r="B2936" s="724" t="s">
        <v>775</v>
      </c>
      <c r="C2936" s="722" t="s">
        <v>63</v>
      </c>
      <c r="D2936" t="s">
        <v>64</v>
      </c>
      <c r="E2936" s="728"/>
      <c r="F2936" s="148">
        <v>5.5708799999999998</v>
      </c>
      <c r="G2936" s="148">
        <v>-5.5708799999999998</v>
      </c>
      <c r="H2936" s="148">
        <v>-100</v>
      </c>
      <c r="I2936" s="728"/>
      <c r="J2936" s="728"/>
      <c r="K2936" s="728"/>
      <c r="L2936" s="728"/>
      <c r="M2936" s="148">
        <v>65.806809999999999</v>
      </c>
      <c r="N2936" s="148">
        <v>-65.806809999999999</v>
      </c>
      <c r="O2936" s="148">
        <v>-100</v>
      </c>
      <c r="P2936" s="728"/>
      <c r="Q2936" s="728"/>
      <c r="R2936" s="728"/>
    </row>
    <row r="2937" spans="2:18" ht="15.75" hidden="1" thickBot="1" x14ac:dyDescent="0.3">
      <c r="B2937" s="724" t="s">
        <v>775</v>
      </c>
      <c r="C2937" s="722" t="s">
        <v>65</v>
      </c>
      <c r="D2937" t="s">
        <v>66</v>
      </c>
      <c r="E2937" s="729"/>
      <c r="F2937" s="147">
        <v>-8.3932400000000005</v>
      </c>
      <c r="G2937" s="147">
        <v>8.3932400000000005</v>
      </c>
      <c r="H2937" s="147">
        <v>100</v>
      </c>
      <c r="I2937" s="729"/>
      <c r="J2937" s="729"/>
      <c r="K2937" s="729"/>
      <c r="L2937" s="729"/>
      <c r="M2937" s="147">
        <v>-100.1905</v>
      </c>
      <c r="N2937" s="147">
        <v>100.1905</v>
      </c>
      <c r="O2937" s="147">
        <v>100</v>
      </c>
      <c r="P2937" s="729"/>
      <c r="Q2937" s="729"/>
      <c r="R2937" s="729"/>
    </row>
    <row r="2938" spans="2:18" ht="15.75" hidden="1" thickBot="1" x14ac:dyDescent="0.3">
      <c r="B2938" s="724" t="s">
        <v>775</v>
      </c>
      <c r="C2938" s="722" t="s">
        <v>163</v>
      </c>
      <c r="D2938" t="s">
        <v>164</v>
      </c>
      <c r="E2938" s="728"/>
      <c r="F2938" s="148">
        <v>-7.8482399999999997</v>
      </c>
      <c r="G2938" s="148">
        <v>7.8482399999999997</v>
      </c>
      <c r="H2938" s="148">
        <v>100</v>
      </c>
      <c r="I2938" s="728"/>
      <c r="J2938" s="728"/>
      <c r="K2938" s="728"/>
      <c r="L2938" s="728"/>
      <c r="M2938" s="148">
        <v>-91.664389999999997</v>
      </c>
      <c r="N2938" s="148">
        <v>91.664389999999997</v>
      </c>
      <c r="O2938" s="148">
        <v>100</v>
      </c>
      <c r="P2938" s="728"/>
      <c r="Q2938" s="728"/>
      <c r="R2938" s="728"/>
    </row>
    <row r="2939" spans="2:18" ht="15.75" hidden="1" thickBot="1" x14ac:dyDescent="0.3">
      <c r="B2939" s="724" t="s">
        <v>775</v>
      </c>
      <c r="C2939" s="149" t="s">
        <v>67</v>
      </c>
      <c r="D2939" t="s">
        <v>68</v>
      </c>
      <c r="E2939" s="729"/>
      <c r="F2939" s="147">
        <v>-1.0000000000000001E-5</v>
      </c>
      <c r="G2939" s="147">
        <v>1.0000000000000001E-5</v>
      </c>
      <c r="H2939" s="147">
        <v>100</v>
      </c>
      <c r="I2939" s="729"/>
      <c r="J2939" s="729"/>
      <c r="K2939" s="729"/>
      <c r="L2939" s="729"/>
      <c r="M2939" s="147">
        <v>-1.2E-4</v>
      </c>
      <c r="N2939" s="147">
        <v>1.2E-4</v>
      </c>
      <c r="O2939" s="147">
        <v>100</v>
      </c>
      <c r="P2939" s="729"/>
      <c r="Q2939" s="729"/>
      <c r="R2939" s="729"/>
    </row>
    <row r="2940" spans="2:18" ht="15.75" hidden="1" thickBot="1" x14ac:dyDescent="0.3">
      <c r="B2940" s="724" t="s">
        <v>775</v>
      </c>
      <c r="C2940" s="144" t="s">
        <v>87</v>
      </c>
      <c r="D2940" t="s">
        <v>87</v>
      </c>
      <c r="E2940" s="728"/>
      <c r="F2940" s="148">
        <v>-1.0000000000000001E-5</v>
      </c>
      <c r="G2940" s="148">
        <v>1.0000000000000001E-5</v>
      </c>
      <c r="H2940" s="148">
        <v>100</v>
      </c>
      <c r="I2940" s="728"/>
      <c r="J2940" s="728"/>
      <c r="K2940" s="728"/>
      <c r="L2940" s="728"/>
      <c r="M2940" s="148">
        <v>-1.2E-4</v>
      </c>
      <c r="N2940" s="148">
        <v>1.2E-4</v>
      </c>
      <c r="O2940" s="148">
        <v>100</v>
      </c>
      <c r="P2940" s="728"/>
      <c r="Q2940" s="728"/>
      <c r="R2940" s="728"/>
    </row>
    <row r="2941" spans="2:18" ht="15.75" hidden="1" thickBot="1" x14ac:dyDescent="0.3">
      <c r="B2941" s="724" t="s">
        <v>776</v>
      </c>
      <c r="C2941" s="722" t="s">
        <v>59</v>
      </c>
      <c r="D2941" t="s">
        <v>60</v>
      </c>
      <c r="E2941" s="147">
        <v>29.93507</v>
      </c>
      <c r="F2941" s="147">
        <v>30.963819999999998</v>
      </c>
      <c r="G2941" s="147">
        <v>-1.0287500000000001</v>
      </c>
      <c r="H2941" s="147">
        <v>-3.3224259797402258</v>
      </c>
      <c r="I2941" s="729"/>
      <c r="J2941" s="147">
        <v>29.93507</v>
      </c>
      <c r="K2941" s="147">
        <v>0</v>
      </c>
      <c r="L2941" s="147">
        <v>355.27103</v>
      </c>
      <c r="M2941" s="147">
        <v>369.61653999999999</v>
      </c>
      <c r="N2941" s="147">
        <v>-14.345510000000001</v>
      </c>
      <c r="O2941" s="147">
        <v>-3.881187243406369</v>
      </c>
      <c r="P2941" s="147">
        <v>187.71190999999999</v>
      </c>
      <c r="Q2941" s="147">
        <v>167.55912000000001</v>
      </c>
      <c r="R2941" s="147">
        <v>89.263979041074165</v>
      </c>
    </row>
    <row r="2942" spans="2:18" ht="15.75" hidden="1" thickBot="1" x14ac:dyDescent="0.3">
      <c r="B2942" s="724" t="s">
        <v>776</v>
      </c>
      <c r="C2942" s="722" t="s">
        <v>91</v>
      </c>
      <c r="D2942" t="s">
        <v>92</v>
      </c>
      <c r="E2942" s="148">
        <v>4.8211300000000001</v>
      </c>
      <c r="F2942" s="148">
        <v>7.2186500000000002</v>
      </c>
      <c r="G2942" s="148">
        <v>-2.3975200000000001</v>
      </c>
      <c r="H2942" s="148">
        <v>-33.212858359942651</v>
      </c>
      <c r="I2942" s="728"/>
      <c r="J2942" s="148">
        <v>4.8211300000000001</v>
      </c>
      <c r="K2942" s="148">
        <v>0</v>
      </c>
      <c r="L2942" s="148">
        <v>89.342349999999996</v>
      </c>
      <c r="M2942" s="148">
        <v>84.311049999999994</v>
      </c>
      <c r="N2942" s="148">
        <v>5.0312999999999999</v>
      </c>
      <c r="O2942" s="148">
        <v>5.9675451794278445</v>
      </c>
      <c r="P2942" s="148">
        <v>45.363259999999997</v>
      </c>
      <c r="Q2942" s="148">
        <v>43.979089999999999</v>
      </c>
      <c r="R2942" s="148">
        <v>96.948698131483496</v>
      </c>
    </row>
    <row r="2943" spans="2:18" ht="15.75" hidden="1" thickBot="1" x14ac:dyDescent="0.3">
      <c r="B2943" s="724" t="s">
        <v>776</v>
      </c>
      <c r="C2943" s="722" t="s">
        <v>93</v>
      </c>
      <c r="D2943" t="s">
        <v>94</v>
      </c>
      <c r="E2943" s="147">
        <v>0.12383</v>
      </c>
      <c r="F2943" s="729"/>
      <c r="G2943" s="147">
        <v>0.12383</v>
      </c>
      <c r="H2943" s="147">
        <v>0</v>
      </c>
      <c r="I2943" s="729"/>
      <c r="J2943" s="147">
        <v>0.12383</v>
      </c>
      <c r="K2943" s="147">
        <v>0</v>
      </c>
      <c r="L2943" s="147">
        <v>2.0065</v>
      </c>
      <c r="M2943" s="729"/>
      <c r="N2943" s="147">
        <v>2.0065</v>
      </c>
      <c r="O2943" s="147">
        <v>0</v>
      </c>
      <c r="P2943" s="147">
        <v>0.82310000000000005</v>
      </c>
      <c r="Q2943" s="147">
        <v>1.1834</v>
      </c>
      <c r="R2943" s="147">
        <v>143.77353905965253</v>
      </c>
    </row>
    <row r="2944" spans="2:18" ht="15.75" hidden="1" thickBot="1" x14ac:dyDescent="0.3">
      <c r="B2944" s="724" t="s">
        <v>776</v>
      </c>
      <c r="C2944" s="722" t="s">
        <v>134</v>
      </c>
      <c r="D2944" t="s">
        <v>135</v>
      </c>
      <c r="E2944" s="148">
        <v>0.83333000000000002</v>
      </c>
      <c r="F2944" s="728"/>
      <c r="G2944" s="148">
        <v>0.83333000000000002</v>
      </c>
      <c r="H2944" s="148">
        <v>0</v>
      </c>
      <c r="I2944" s="728"/>
      <c r="J2944" s="148">
        <v>0.83333000000000002</v>
      </c>
      <c r="K2944" s="148">
        <v>0</v>
      </c>
      <c r="L2944" s="148">
        <v>9.9999599999999997</v>
      </c>
      <c r="M2944" s="728"/>
      <c r="N2944" s="148">
        <v>9.9999599999999997</v>
      </c>
      <c r="O2944" s="148">
        <v>0</v>
      </c>
      <c r="P2944" s="148">
        <v>4.9999799999999999</v>
      </c>
      <c r="Q2944" s="148">
        <v>4.9999799999999999</v>
      </c>
      <c r="R2944" s="148">
        <v>100</v>
      </c>
    </row>
    <row r="2945" spans="2:18" ht="15.75" hidden="1" thickBot="1" x14ac:dyDescent="0.3">
      <c r="B2945" s="724" t="s">
        <v>776</v>
      </c>
      <c r="C2945" s="722" t="s">
        <v>61</v>
      </c>
      <c r="D2945" t="s">
        <v>62</v>
      </c>
      <c r="E2945" s="147">
        <v>5.9029999999999996</v>
      </c>
      <c r="F2945" s="147">
        <v>5.9182899999999998</v>
      </c>
      <c r="G2945" s="147">
        <v>-1.529E-2</v>
      </c>
      <c r="H2945" s="147">
        <v>-0.25835165225090356</v>
      </c>
      <c r="I2945" s="729"/>
      <c r="J2945" s="147">
        <v>5.9029999999999996</v>
      </c>
      <c r="K2945" s="147">
        <v>0</v>
      </c>
      <c r="L2945" s="147">
        <v>70.641019999999997</v>
      </c>
      <c r="M2945" s="147">
        <v>70.358829999999998</v>
      </c>
      <c r="N2945" s="147">
        <v>0.28219</v>
      </c>
      <c r="O2945" s="147">
        <v>0.40107261590336279</v>
      </c>
      <c r="P2945" s="147">
        <v>35.130699999999997</v>
      </c>
      <c r="Q2945" s="147">
        <v>35.51032</v>
      </c>
      <c r="R2945" s="147">
        <v>101.08059332720384</v>
      </c>
    </row>
    <row r="2946" spans="2:18" ht="15.75" hidden="1" thickBot="1" x14ac:dyDescent="0.3">
      <c r="B2946" s="724" t="s">
        <v>776</v>
      </c>
      <c r="C2946" s="722" t="s">
        <v>63</v>
      </c>
      <c r="D2946" t="s">
        <v>64</v>
      </c>
      <c r="E2946" s="148">
        <v>23.035969999999999</v>
      </c>
      <c r="F2946" s="148">
        <v>23.024039999999999</v>
      </c>
      <c r="G2946" s="148">
        <v>1.193E-2</v>
      </c>
      <c r="H2946" s="148">
        <v>5.1815406853011024E-2</v>
      </c>
      <c r="I2946" s="728"/>
      <c r="J2946" s="148">
        <v>23.035969999999999</v>
      </c>
      <c r="K2946" s="148">
        <v>0</v>
      </c>
      <c r="L2946" s="148">
        <v>275.76686000000001</v>
      </c>
      <c r="M2946" s="148">
        <v>273.71845999999999</v>
      </c>
      <c r="N2946" s="148">
        <v>2.0484</v>
      </c>
      <c r="O2946" s="148">
        <v>0.74836019463210479</v>
      </c>
      <c r="P2946" s="148">
        <v>137.11666</v>
      </c>
      <c r="Q2946" s="148">
        <v>138.65020000000001</v>
      </c>
      <c r="R2946" s="148">
        <v>101.11841989149968</v>
      </c>
    </row>
    <row r="2947" spans="2:18" ht="15.75" hidden="1" thickBot="1" x14ac:dyDescent="0.3">
      <c r="B2947" s="724" t="s">
        <v>776</v>
      </c>
      <c r="C2947" s="722" t="s">
        <v>156</v>
      </c>
      <c r="D2947" t="s">
        <v>157</v>
      </c>
      <c r="E2947" s="147">
        <v>11.547779999999999</v>
      </c>
      <c r="F2947" s="729"/>
      <c r="G2947" s="147">
        <v>11.547779999999999</v>
      </c>
      <c r="H2947" s="147">
        <v>0</v>
      </c>
      <c r="I2947" s="729"/>
      <c r="J2947" s="147">
        <v>11.547779999999999</v>
      </c>
      <c r="K2947" s="147">
        <v>0</v>
      </c>
      <c r="L2947" s="147">
        <v>142.23168000000001</v>
      </c>
      <c r="M2947" s="729"/>
      <c r="N2947" s="147">
        <v>142.23168000000001</v>
      </c>
      <c r="O2947" s="147">
        <v>0</v>
      </c>
      <c r="P2947" s="147">
        <v>75.461920000000006</v>
      </c>
      <c r="Q2947" s="147">
        <v>66.769760000000005</v>
      </c>
      <c r="R2947" s="147">
        <v>88.481395649620367</v>
      </c>
    </row>
    <row r="2948" spans="2:18" ht="15.75" hidden="1" thickBot="1" x14ac:dyDescent="0.3">
      <c r="B2948" s="724" t="s">
        <v>776</v>
      </c>
      <c r="C2948" s="722" t="s">
        <v>65</v>
      </c>
      <c r="D2948" t="s">
        <v>66</v>
      </c>
      <c r="E2948" s="148">
        <v>-51.470480000000002</v>
      </c>
      <c r="F2948" s="148">
        <v>-42.231999999999999</v>
      </c>
      <c r="G2948" s="148">
        <v>-9.2384799999999991</v>
      </c>
      <c r="H2948" s="148">
        <v>-21.875544610721729</v>
      </c>
      <c r="I2948" s="728"/>
      <c r="J2948" s="148">
        <v>-51.470480000000002</v>
      </c>
      <c r="K2948" s="148">
        <v>0</v>
      </c>
      <c r="L2948" s="148">
        <v>-631.65628000000004</v>
      </c>
      <c r="M2948" s="148">
        <v>-504.12533999999999</v>
      </c>
      <c r="N2948" s="148">
        <v>-127.53094</v>
      </c>
      <c r="O2948" s="148">
        <v>-25.297466697468529</v>
      </c>
      <c r="P2948" s="148">
        <v>-334.20143999999999</v>
      </c>
      <c r="Q2948" s="148">
        <v>-297.45483999999999</v>
      </c>
      <c r="R2948" s="148">
        <v>-89.004655395859459</v>
      </c>
    </row>
    <row r="2949" spans="2:18" ht="15.75" hidden="1" thickBot="1" x14ac:dyDescent="0.3">
      <c r="B2949" s="724" t="s">
        <v>776</v>
      </c>
      <c r="C2949" s="149" t="s">
        <v>67</v>
      </c>
      <c r="D2949" t="s">
        <v>68</v>
      </c>
      <c r="E2949" s="147">
        <v>24.72963</v>
      </c>
      <c r="F2949" s="147">
        <v>24.892800000000001</v>
      </c>
      <c r="G2949" s="147">
        <v>-0.16317000000000001</v>
      </c>
      <c r="H2949" s="147">
        <v>-0.65549074431160814</v>
      </c>
      <c r="I2949" s="729"/>
      <c r="J2949" s="147">
        <v>24.72963</v>
      </c>
      <c r="K2949" s="147">
        <v>0</v>
      </c>
      <c r="L2949" s="147">
        <v>313.60311999999999</v>
      </c>
      <c r="M2949" s="147">
        <v>293.87954000000002</v>
      </c>
      <c r="N2949" s="147">
        <v>19.723579999999998</v>
      </c>
      <c r="O2949" s="147">
        <v>6.7114505487520502</v>
      </c>
      <c r="P2949" s="147">
        <v>152.40609000000001</v>
      </c>
      <c r="Q2949" s="147">
        <v>161.19703000000001</v>
      </c>
      <c r="R2949" s="147">
        <v>105.76810283631055</v>
      </c>
    </row>
    <row r="2950" spans="2:18" ht="15.75" hidden="1" thickBot="1" x14ac:dyDescent="0.3">
      <c r="B2950" s="724" t="s">
        <v>776</v>
      </c>
      <c r="C2950" s="722" t="s">
        <v>69</v>
      </c>
      <c r="D2950" t="s">
        <v>70</v>
      </c>
      <c r="E2950" s="148">
        <v>0.79900000000000004</v>
      </c>
      <c r="F2950" s="148">
        <v>3</v>
      </c>
      <c r="G2950" s="148">
        <v>-2.2010000000000001</v>
      </c>
      <c r="H2950" s="148">
        <v>-73.36666666666666</v>
      </c>
      <c r="I2950" s="728"/>
      <c r="J2950" s="148">
        <v>0.79900000000000004</v>
      </c>
      <c r="K2950" s="148">
        <v>0</v>
      </c>
      <c r="L2950" s="148">
        <v>2.6480000000000001</v>
      </c>
      <c r="M2950" s="148">
        <v>12</v>
      </c>
      <c r="N2950" s="148">
        <v>-9.3520000000000003</v>
      </c>
      <c r="O2950" s="148">
        <v>-77.933333333333337</v>
      </c>
      <c r="P2950" s="728"/>
      <c r="Q2950" s="148">
        <v>2.6480000000000001</v>
      </c>
      <c r="R2950" s="148">
        <v>0</v>
      </c>
    </row>
    <row r="2951" spans="2:18" ht="15.75" hidden="1" thickBot="1" x14ac:dyDescent="0.3">
      <c r="B2951" s="724" t="s">
        <v>776</v>
      </c>
      <c r="C2951" s="722" t="s">
        <v>165</v>
      </c>
      <c r="D2951" t="s">
        <v>166</v>
      </c>
      <c r="E2951" s="729"/>
      <c r="F2951" s="729"/>
      <c r="G2951" s="729"/>
      <c r="H2951" s="729"/>
      <c r="I2951" s="729"/>
      <c r="J2951" s="729"/>
      <c r="K2951" s="729"/>
      <c r="L2951" s="147">
        <v>0.19423000000000001</v>
      </c>
      <c r="M2951" s="729"/>
      <c r="N2951" s="147">
        <v>0.19423000000000001</v>
      </c>
      <c r="O2951" s="147">
        <v>0</v>
      </c>
      <c r="P2951" s="147">
        <v>0.12038</v>
      </c>
      <c r="Q2951" s="147">
        <v>7.3849999999999999E-2</v>
      </c>
      <c r="R2951" s="147">
        <v>61.347399900315665</v>
      </c>
    </row>
    <row r="2952" spans="2:18" ht="15.75" hidden="1" thickBot="1" x14ac:dyDescent="0.3">
      <c r="B2952" s="724" t="s">
        <v>776</v>
      </c>
      <c r="C2952" s="722" t="s">
        <v>137</v>
      </c>
      <c r="D2952" t="s">
        <v>138</v>
      </c>
      <c r="E2952" s="728"/>
      <c r="F2952" s="148">
        <v>0.20837</v>
      </c>
      <c r="G2952" s="148">
        <v>-0.20837</v>
      </c>
      <c r="H2952" s="148">
        <v>-100</v>
      </c>
      <c r="I2952" s="728"/>
      <c r="J2952" s="728"/>
      <c r="K2952" s="728"/>
      <c r="L2952" s="728"/>
      <c r="M2952" s="148">
        <v>2.5</v>
      </c>
      <c r="N2952" s="148">
        <v>-2.5</v>
      </c>
      <c r="O2952" s="148">
        <v>-100</v>
      </c>
      <c r="P2952" s="728"/>
      <c r="Q2952" s="728"/>
      <c r="R2952" s="728"/>
    </row>
    <row r="2953" spans="2:18" ht="15.75" hidden="1" thickBot="1" x14ac:dyDescent="0.3">
      <c r="B2953" s="724" t="s">
        <v>776</v>
      </c>
      <c r="C2953" s="722" t="s">
        <v>169</v>
      </c>
      <c r="D2953" t="s">
        <v>170</v>
      </c>
      <c r="E2953" s="729"/>
      <c r="F2953" s="147">
        <v>4.8333700000000004</v>
      </c>
      <c r="G2953" s="147">
        <v>-4.8333700000000004</v>
      </c>
      <c r="H2953" s="147">
        <v>-100</v>
      </c>
      <c r="I2953" s="729"/>
      <c r="J2953" s="729"/>
      <c r="K2953" s="729"/>
      <c r="L2953" s="147">
        <v>22.377680000000002</v>
      </c>
      <c r="M2953" s="147">
        <v>58</v>
      </c>
      <c r="N2953" s="147">
        <v>-35.622320000000002</v>
      </c>
      <c r="O2953" s="147">
        <v>-61.417793103448275</v>
      </c>
      <c r="P2953" s="147">
        <v>16.807079999999999</v>
      </c>
      <c r="Q2953" s="147">
        <v>5.5705999999999998</v>
      </c>
      <c r="R2953" s="147">
        <v>33.14436535079264</v>
      </c>
    </row>
    <row r="2954" spans="2:18" ht="15.75" hidden="1" thickBot="1" x14ac:dyDescent="0.3">
      <c r="B2954" s="724" t="s">
        <v>776</v>
      </c>
      <c r="C2954" s="722" t="s">
        <v>101</v>
      </c>
      <c r="D2954" t="s">
        <v>102</v>
      </c>
      <c r="E2954" s="148">
        <v>2.46E-2</v>
      </c>
      <c r="F2954" s="148">
        <v>0.25836999999999999</v>
      </c>
      <c r="G2954" s="148">
        <v>-0.23377000000000001</v>
      </c>
      <c r="H2954" s="148">
        <v>-90.478770755118632</v>
      </c>
      <c r="I2954" s="728"/>
      <c r="J2954" s="148">
        <v>2.46E-2</v>
      </c>
      <c r="K2954" s="148">
        <v>0</v>
      </c>
      <c r="L2954" s="148">
        <v>0.63444</v>
      </c>
      <c r="M2954" s="148">
        <v>52.5</v>
      </c>
      <c r="N2954" s="148">
        <v>-51.865560000000002</v>
      </c>
      <c r="O2954" s="148">
        <v>-98.791542857142858</v>
      </c>
      <c r="P2954" s="148">
        <v>0.32751000000000002</v>
      </c>
      <c r="Q2954" s="148">
        <v>0.30692999999999998</v>
      </c>
      <c r="R2954" s="148">
        <v>93.716222405422741</v>
      </c>
    </row>
    <row r="2955" spans="2:18" ht="15.75" hidden="1" thickBot="1" x14ac:dyDescent="0.3">
      <c r="B2955" s="724" t="s">
        <v>776</v>
      </c>
      <c r="C2955" s="722" t="s">
        <v>73</v>
      </c>
      <c r="D2955" t="s">
        <v>74</v>
      </c>
      <c r="E2955" s="147">
        <v>1.88025</v>
      </c>
      <c r="F2955" s="147">
        <v>1.2</v>
      </c>
      <c r="G2955" s="147">
        <v>0.68025000000000002</v>
      </c>
      <c r="H2955" s="147">
        <v>56.6875</v>
      </c>
      <c r="I2955" s="729"/>
      <c r="J2955" s="147">
        <v>1.88025</v>
      </c>
      <c r="K2955" s="147">
        <v>0</v>
      </c>
      <c r="L2955" s="147">
        <v>10.209009999999999</v>
      </c>
      <c r="M2955" s="147">
        <v>14.4</v>
      </c>
      <c r="N2955" s="147">
        <v>-4.1909900000000002</v>
      </c>
      <c r="O2955" s="147">
        <v>-29.104097222222222</v>
      </c>
      <c r="P2955" s="147">
        <v>4.5969100000000003</v>
      </c>
      <c r="Q2955" s="147">
        <v>5.6120999999999999</v>
      </c>
      <c r="R2955" s="147">
        <v>122.08418263572705</v>
      </c>
    </row>
    <row r="2956" spans="2:18" ht="15.75" hidden="1" thickBot="1" x14ac:dyDescent="0.3">
      <c r="B2956" s="724" t="s">
        <v>776</v>
      </c>
      <c r="C2956" s="722" t="s">
        <v>111</v>
      </c>
      <c r="D2956" t="s">
        <v>112</v>
      </c>
      <c r="E2956" s="148">
        <v>0.19214000000000001</v>
      </c>
      <c r="F2956" s="728"/>
      <c r="G2956" s="148">
        <v>0.19214000000000001</v>
      </c>
      <c r="H2956" s="148">
        <v>0</v>
      </c>
      <c r="I2956" s="728"/>
      <c r="J2956" s="148">
        <v>0.19214000000000001</v>
      </c>
      <c r="K2956" s="148">
        <v>0</v>
      </c>
      <c r="L2956" s="148">
        <v>0.65192000000000005</v>
      </c>
      <c r="M2956" s="728"/>
      <c r="N2956" s="148">
        <v>0.65192000000000005</v>
      </c>
      <c r="O2956" s="148">
        <v>0</v>
      </c>
      <c r="P2956" s="148">
        <v>0.32401999999999997</v>
      </c>
      <c r="Q2956" s="148">
        <v>0.32790000000000002</v>
      </c>
      <c r="R2956" s="148">
        <v>101.19745694710203</v>
      </c>
    </row>
    <row r="2957" spans="2:18" ht="15.75" hidden="1" thickBot="1" x14ac:dyDescent="0.3">
      <c r="B2957" s="724" t="s">
        <v>776</v>
      </c>
      <c r="C2957" s="722" t="s">
        <v>141</v>
      </c>
      <c r="D2957" t="s">
        <v>142</v>
      </c>
      <c r="E2957" s="147">
        <v>3.184E-2</v>
      </c>
      <c r="F2957" s="729"/>
      <c r="G2957" s="147">
        <v>3.184E-2</v>
      </c>
      <c r="H2957" s="147">
        <v>0</v>
      </c>
      <c r="I2957" s="729"/>
      <c r="J2957" s="147">
        <v>3.184E-2</v>
      </c>
      <c r="K2957" s="147">
        <v>0</v>
      </c>
      <c r="L2957" s="147">
        <v>0.34444000000000002</v>
      </c>
      <c r="M2957" s="729"/>
      <c r="N2957" s="147">
        <v>0.34444000000000002</v>
      </c>
      <c r="O2957" s="147">
        <v>0</v>
      </c>
      <c r="P2957" s="147">
        <v>0.13541</v>
      </c>
      <c r="Q2957" s="147">
        <v>0.20902999999999999</v>
      </c>
      <c r="R2957" s="147">
        <v>154.36821505058711</v>
      </c>
    </row>
    <row r="2958" spans="2:18" ht="15.75" hidden="1" thickBot="1" x14ac:dyDescent="0.3">
      <c r="B2958" s="724" t="s">
        <v>776</v>
      </c>
      <c r="C2958" s="722" t="s">
        <v>113</v>
      </c>
      <c r="D2958" t="s">
        <v>114</v>
      </c>
      <c r="E2958" s="148">
        <v>7.7270000000000005E-2</v>
      </c>
      <c r="F2958" s="148">
        <v>0.18342</v>
      </c>
      <c r="G2958" s="148">
        <v>-0.10614999999999999</v>
      </c>
      <c r="H2958" s="148">
        <v>-57.872642023770581</v>
      </c>
      <c r="I2958" s="728"/>
      <c r="J2958" s="148">
        <v>7.7270000000000005E-2</v>
      </c>
      <c r="K2958" s="148">
        <v>0</v>
      </c>
      <c r="L2958" s="148">
        <v>2.27949</v>
      </c>
      <c r="M2958" s="148">
        <v>2.2010399999999999</v>
      </c>
      <c r="N2958" s="148">
        <v>7.8450000000000006E-2</v>
      </c>
      <c r="O2958" s="148">
        <v>3.5642241849307599</v>
      </c>
      <c r="P2958" s="148">
        <v>1.2214799999999999</v>
      </c>
      <c r="Q2958" s="148">
        <v>1.0580099999999999</v>
      </c>
      <c r="R2958" s="148">
        <v>86.617054720502992</v>
      </c>
    </row>
    <row r="2959" spans="2:18" ht="15.75" hidden="1" thickBot="1" x14ac:dyDescent="0.3">
      <c r="B2959" s="724" t="s">
        <v>776</v>
      </c>
      <c r="C2959" s="722" t="s">
        <v>143</v>
      </c>
      <c r="D2959" t="s">
        <v>144</v>
      </c>
      <c r="E2959" s="729"/>
      <c r="F2959" s="729"/>
      <c r="G2959" s="729"/>
      <c r="H2959" s="729"/>
      <c r="I2959" s="729"/>
      <c r="J2959" s="729"/>
      <c r="K2959" s="729"/>
      <c r="L2959" s="147">
        <v>0.23036999999999999</v>
      </c>
      <c r="M2959" s="729"/>
      <c r="N2959" s="147">
        <v>0.23036999999999999</v>
      </c>
      <c r="O2959" s="147">
        <v>0</v>
      </c>
      <c r="P2959" s="147">
        <v>0.10069</v>
      </c>
      <c r="Q2959" s="147">
        <v>0.12967999999999999</v>
      </c>
      <c r="R2959" s="147">
        <v>128.79133975568575</v>
      </c>
    </row>
    <row r="2960" spans="2:18" ht="15.75" hidden="1" thickBot="1" x14ac:dyDescent="0.3">
      <c r="B2960" s="724" t="s">
        <v>776</v>
      </c>
      <c r="C2960" s="722" t="s">
        <v>145</v>
      </c>
      <c r="D2960" t="s">
        <v>146</v>
      </c>
      <c r="E2960" s="728"/>
      <c r="F2960" s="728"/>
      <c r="G2960" s="728"/>
      <c r="H2960" s="728"/>
      <c r="I2960" s="728"/>
      <c r="J2960" s="728"/>
      <c r="K2960" s="728"/>
      <c r="L2960" s="148">
        <v>1.7332000000000001</v>
      </c>
      <c r="M2960" s="728"/>
      <c r="N2960" s="148">
        <v>1.7332000000000001</v>
      </c>
      <c r="O2960" s="148">
        <v>0</v>
      </c>
      <c r="P2960" s="148">
        <v>1.1232</v>
      </c>
      <c r="Q2960" s="148">
        <v>0.61</v>
      </c>
      <c r="R2960" s="148">
        <v>54.309116809116809</v>
      </c>
    </row>
    <row r="2961" spans="2:18" ht="15.75" hidden="1" thickBot="1" x14ac:dyDescent="0.3">
      <c r="B2961" s="724" t="s">
        <v>776</v>
      </c>
      <c r="C2961" s="722" t="s">
        <v>147</v>
      </c>
      <c r="D2961" t="s">
        <v>148</v>
      </c>
      <c r="E2961" s="729"/>
      <c r="F2961" s="729"/>
      <c r="G2961" s="729"/>
      <c r="H2961" s="729"/>
      <c r="I2961" s="729"/>
      <c r="J2961" s="729"/>
      <c r="K2961" s="729"/>
      <c r="L2961" s="147">
        <v>2.3E-2</v>
      </c>
      <c r="M2961" s="729"/>
      <c r="N2961" s="147">
        <v>2.3E-2</v>
      </c>
      <c r="O2961" s="147">
        <v>0</v>
      </c>
      <c r="P2961" s="729"/>
      <c r="Q2961" s="147">
        <v>2.3E-2</v>
      </c>
      <c r="R2961" s="147">
        <v>0</v>
      </c>
    </row>
    <row r="2962" spans="2:18" ht="15.75" hidden="1" thickBot="1" x14ac:dyDescent="0.3">
      <c r="B2962" s="724" t="s">
        <v>776</v>
      </c>
      <c r="C2962" s="722" t="s">
        <v>171</v>
      </c>
      <c r="D2962" t="s">
        <v>172</v>
      </c>
      <c r="E2962" s="148">
        <v>0.54</v>
      </c>
      <c r="F2962" s="148">
        <v>0.41663</v>
      </c>
      <c r="G2962" s="148">
        <v>0.12336999999999999</v>
      </c>
      <c r="H2962" s="148">
        <v>29.611405803710728</v>
      </c>
      <c r="I2962" s="728"/>
      <c r="J2962" s="148">
        <v>0.54</v>
      </c>
      <c r="K2962" s="148">
        <v>0</v>
      </c>
      <c r="L2962" s="148">
        <v>4.7438599999999997</v>
      </c>
      <c r="M2962" s="148">
        <v>5</v>
      </c>
      <c r="N2962" s="148">
        <v>-0.25613999999999998</v>
      </c>
      <c r="O2962" s="148">
        <v>-5.1227999999999998</v>
      </c>
      <c r="P2962" s="148">
        <v>8.3669999999999994E-2</v>
      </c>
      <c r="Q2962" s="148">
        <v>4.6601900000000001</v>
      </c>
      <c r="R2962" s="148">
        <v>5569.726305724872</v>
      </c>
    </row>
    <row r="2963" spans="2:18" ht="15.75" hidden="1" thickBot="1" x14ac:dyDescent="0.3">
      <c r="B2963" s="724" t="s">
        <v>776</v>
      </c>
      <c r="C2963" s="722" t="s">
        <v>649</v>
      </c>
      <c r="D2963" t="s">
        <v>650</v>
      </c>
      <c r="E2963" s="729"/>
      <c r="F2963" s="729"/>
      <c r="G2963" s="729"/>
      <c r="H2963" s="729"/>
      <c r="I2963" s="729"/>
      <c r="J2963" s="729"/>
      <c r="K2963" s="729"/>
      <c r="L2963" s="147">
        <v>0.29998999999999998</v>
      </c>
      <c r="M2963" s="729"/>
      <c r="N2963" s="147">
        <v>0.29998999999999998</v>
      </c>
      <c r="O2963" s="147">
        <v>0</v>
      </c>
      <c r="P2963" s="729"/>
      <c r="Q2963" s="147">
        <v>0.29998999999999998</v>
      </c>
      <c r="R2963" s="147">
        <v>0</v>
      </c>
    </row>
    <row r="2964" spans="2:18" ht="15.75" hidden="1" thickBot="1" x14ac:dyDescent="0.3">
      <c r="B2964" s="724" t="s">
        <v>776</v>
      </c>
      <c r="C2964" s="722" t="s">
        <v>75</v>
      </c>
      <c r="D2964" t="s">
        <v>76</v>
      </c>
      <c r="E2964" s="148">
        <v>0.33313999999999999</v>
      </c>
      <c r="F2964" s="148">
        <v>1.0416300000000001</v>
      </c>
      <c r="G2964" s="148">
        <v>-0.70848999999999995</v>
      </c>
      <c r="H2964" s="148">
        <v>-68.017434213684325</v>
      </c>
      <c r="I2964" s="728"/>
      <c r="J2964" s="148">
        <v>0.33313999999999999</v>
      </c>
      <c r="K2964" s="148">
        <v>0</v>
      </c>
      <c r="L2964" s="148">
        <v>6.22464</v>
      </c>
      <c r="M2964" s="148">
        <v>12.5</v>
      </c>
      <c r="N2964" s="148">
        <v>-6.27536</v>
      </c>
      <c r="O2964" s="148">
        <v>-50.20288</v>
      </c>
      <c r="P2964" s="148">
        <v>3.9087200000000002</v>
      </c>
      <c r="Q2964" s="148">
        <v>2.3159200000000002</v>
      </c>
      <c r="R2964" s="148">
        <v>59.250086984997644</v>
      </c>
    </row>
    <row r="2965" spans="2:18" ht="15.75" hidden="1" thickBot="1" x14ac:dyDescent="0.3">
      <c r="B2965" s="724" t="s">
        <v>776</v>
      </c>
      <c r="C2965" s="722" t="s">
        <v>121</v>
      </c>
      <c r="D2965" t="s">
        <v>122</v>
      </c>
      <c r="E2965" s="729"/>
      <c r="F2965" s="147">
        <v>0.16663</v>
      </c>
      <c r="G2965" s="147">
        <v>-0.16663</v>
      </c>
      <c r="H2965" s="147">
        <v>-100</v>
      </c>
      <c r="I2965" s="729"/>
      <c r="J2965" s="729"/>
      <c r="K2965" s="729"/>
      <c r="L2965" s="147">
        <v>2.1999599999999999</v>
      </c>
      <c r="M2965" s="147">
        <v>2</v>
      </c>
      <c r="N2965" s="147">
        <v>0.19996</v>
      </c>
      <c r="O2965" s="147">
        <v>9.9979999999999993</v>
      </c>
      <c r="P2965" s="147">
        <v>2.1999599999999999</v>
      </c>
      <c r="Q2965" s="147">
        <v>0</v>
      </c>
      <c r="R2965" s="147">
        <v>0</v>
      </c>
    </row>
    <row r="2966" spans="2:18" ht="15.75" hidden="1" thickBot="1" x14ac:dyDescent="0.3">
      <c r="B2966" s="724" t="s">
        <v>776</v>
      </c>
      <c r="C2966" s="722" t="s">
        <v>77</v>
      </c>
      <c r="D2966" t="s">
        <v>78</v>
      </c>
      <c r="E2966" s="148">
        <v>2.8690699999999998</v>
      </c>
      <c r="F2966" s="148">
        <v>9.5</v>
      </c>
      <c r="G2966" s="148">
        <v>-6.6309300000000002</v>
      </c>
      <c r="H2966" s="148">
        <v>-69.799263157894742</v>
      </c>
      <c r="I2966" s="728"/>
      <c r="J2966" s="148">
        <v>2.8690699999999998</v>
      </c>
      <c r="K2966" s="148">
        <v>0</v>
      </c>
      <c r="L2966" s="148">
        <v>2.8690699999999998</v>
      </c>
      <c r="M2966" s="148">
        <v>38</v>
      </c>
      <c r="N2966" s="148">
        <v>-35.130929999999999</v>
      </c>
      <c r="O2966" s="148">
        <v>-92.449815789473689</v>
      </c>
      <c r="P2966" s="728"/>
      <c r="Q2966" s="148">
        <v>2.8690699999999998</v>
      </c>
      <c r="R2966" s="148">
        <v>0</v>
      </c>
    </row>
    <row r="2967" spans="2:18" ht="15.75" hidden="1" thickBot="1" x14ac:dyDescent="0.3">
      <c r="B2967" s="724" t="s">
        <v>776</v>
      </c>
      <c r="C2967" s="722" t="s">
        <v>81</v>
      </c>
      <c r="D2967" t="s">
        <v>82</v>
      </c>
      <c r="E2967" s="147">
        <v>2.77556</v>
      </c>
      <c r="F2967" s="147">
        <v>3.5</v>
      </c>
      <c r="G2967" s="147">
        <v>-0.72443999999999997</v>
      </c>
      <c r="H2967" s="147">
        <v>-20.698285714285714</v>
      </c>
      <c r="I2967" s="729"/>
      <c r="J2967" s="147">
        <v>2.77556</v>
      </c>
      <c r="K2967" s="147">
        <v>0</v>
      </c>
      <c r="L2967" s="147">
        <v>5.6978299999999997</v>
      </c>
      <c r="M2967" s="147">
        <v>7</v>
      </c>
      <c r="N2967" s="147">
        <v>-1.30217</v>
      </c>
      <c r="O2967" s="147">
        <v>-18.602428571428572</v>
      </c>
      <c r="P2967" s="147">
        <v>1.7451000000000001</v>
      </c>
      <c r="Q2967" s="147">
        <v>3.9527299999999999</v>
      </c>
      <c r="R2967" s="147">
        <v>226.50449830955247</v>
      </c>
    </row>
    <row r="2968" spans="2:18" ht="15.75" hidden="1" thickBot="1" x14ac:dyDescent="0.3">
      <c r="B2968" s="724" t="s">
        <v>776</v>
      </c>
      <c r="C2968" s="722" t="s">
        <v>123</v>
      </c>
      <c r="D2968" t="s">
        <v>124</v>
      </c>
      <c r="E2968" s="148">
        <v>0.94123999999999997</v>
      </c>
      <c r="F2968" s="148">
        <v>3.7</v>
      </c>
      <c r="G2968" s="148">
        <v>-2.7587600000000001</v>
      </c>
      <c r="H2968" s="148">
        <v>-74.561081081081085</v>
      </c>
      <c r="I2968" s="728"/>
      <c r="J2968" s="148">
        <v>0.94123999999999997</v>
      </c>
      <c r="K2968" s="148">
        <v>0</v>
      </c>
      <c r="L2968" s="148">
        <v>1.5680400000000001</v>
      </c>
      <c r="M2968" s="148">
        <v>7.4</v>
      </c>
      <c r="N2968" s="148">
        <v>-5.8319599999999996</v>
      </c>
      <c r="O2968" s="148">
        <v>-78.810270270270266</v>
      </c>
      <c r="P2968" s="148">
        <v>0.40484999999999999</v>
      </c>
      <c r="Q2968" s="148">
        <v>1.1631899999999999</v>
      </c>
      <c r="R2968" s="148">
        <v>287.31381993330865</v>
      </c>
    </row>
    <row r="2969" spans="2:18" ht="15.75" hidden="1" thickBot="1" x14ac:dyDescent="0.3">
      <c r="B2969" s="724" t="s">
        <v>776</v>
      </c>
      <c r="C2969" s="722" t="s">
        <v>125</v>
      </c>
      <c r="D2969" t="s">
        <v>126</v>
      </c>
      <c r="E2969" s="729"/>
      <c r="F2969" s="729"/>
      <c r="G2969" s="729"/>
      <c r="H2969" s="729"/>
      <c r="I2969" s="729"/>
      <c r="J2969" s="729"/>
      <c r="K2969" s="729"/>
      <c r="L2969" s="147">
        <v>0.15897</v>
      </c>
      <c r="M2969" s="729"/>
      <c r="N2969" s="147">
        <v>0.15897</v>
      </c>
      <c r="O2969" s="147">
        <v>0</v>
      </c>
      <c r="P2969" s="147">
        <v>0.15897</v>
      </c>
      <c r="Q2969" s="147">
        <v>0</v>
      </c>
      <c r="R2969" s="147">
        <v>0</v>
      </c>
    </row>
    <row r="2970" spans="2:18" ht="15.75" hidden="1" thickBot="1" x14ac:dyDescent="0.3">
      <c r="B2970" s="724" t="s">
        <v>776</v>
      </c>
      <c r="C2970" s="722" t="s">
        <v>83</v>
      </c>
      <c r="D2970" t="s">
        <v>84</v>
      </c>
      <c r="E2970" s="728"/>
      <c r="F2970" s="148">
        <v>1.075</v>
      </c>
      <c r="G2970" s="148">
        <v>-1.075</v>
      </c>
      <c r="H2970" s="148">
        <v>-100</v>
      </c>
      <c r="I2970" s="728"/>
      <c r="J2970" s="728"/>
      <c r="K2970" s="728"/>
      <c r="L2970" s="728"/>
      <c r="M2970" s="148">
        <v>12.9</v>
      </c>
      <c r="N2970" s="148">
        <v>-12.9</v>
      </c>
      <c r="O2970" s="148">
        <v>-100</v>
      </c>
      <c r="P2970" s="728"/>
      <c r="Q2970" s="728"/>
      <c r="R2970" s="728"/>
    </row>
    <row r="2971" spans="2:18" ht="15.75" hidden="1" thickBot="1" x14ac:dyDescent="0.3">
      <c r="B2971" s="724" t="s">
        <v>776</v>
      </c>
      <c r="C2971" s="149" t="s">
        <v>85</v>
      </c>
      <c r="D2971" t="s">
        <v>86</v>
      </c>
      <c r="E2971" s="147">
        <v>10.46411</v>
      </c>
      <c r="F2971" s="147">
        <v>29.08342</v>
      </c>
      <c r="G2971" s="147">
        <v>-18.619309999999999</v>
      </c>
      <c r="H2971" s="147">
        <v>-64.020359366264358</v>
      </c>
      <c r="I2971" s="729"/>
      <c r="J2971" s="147">
        <v>10.46411</v>
      </c>
      <c r="K2971" s="147">
        <v>0</v>
      </c>
      <c r="L2971" s="147">
        <v>65.088139999999996</v>
      </c>
      <c r="M2971" s="147">
        <v>226.40103999999999</v>
      </c>
      <c r="N2971" s="147">
        <v>-161.31290000000001</v>
      </c>
      <c r="O2971" s="147">
        <v>-71.250953617527557</v>
      </c>
      <c r="P2971" s="147">
        <v>33.257950000000001</v>
      </c>
      <c r="Q2971" s="147">
        <v>31.830190000000002</v>
      </c>
      <c r="R2971" s="147">
        <v>95.707011406295337</v>
      </c>
    </row>
    <row r="2972" spans="2:18" ht="15.75" hidden="1" thickBot="1" x14ac:dyDescent="0.3">
      <c r="B2972" s="724" t="s">
        <v>776</v>
      </c>
      <c r="C2972" s="144" t="s">
        <v>87</v>
      </c>
      <c r="D2972" t="s">
        <v>87</v>
      </c>
      <c r="E2972" s="148">
        <v>35.193739999999998</v>
      </c>
      <c r="F2972" s="148">
        <v>53.976219999999998</v>
      </c>
      <c r="G2972" s="148">
        <v>-18.78248</v>
      </c>
      <c r="H2972" s="148">
        <v>-34.797694243872577</v>
      </c>
      <c r="I2972" s="728"/>
      <c r="J2972" s="148">
        <v>35.193739999999998</v>
      </c>
      <c r="K2972" s="148">
        <v>0</v>
      </c>
      <c r="L2972" s="148">
        <v>378.69126</v>
      </c>
      <c r="M2972" s="148">
        <v>520.28057999999999</v>
      </c>
      <c r="N2972" s="148">
        <v>-141.58931999999999</v>
      </c>
      <c r="O2972" s="148">
        <v>-27.214031321330502</v>
      </c>
      <c r="P2972" s="148">
        <v>185.66404</v>
      </c>
      <c r="Q2972" s="148">
        <v>193.02722</v>
      </c>
      <c r="R2972" s="148">
        <v>103.96586221004347</v>
      </c>
    </row>
    <row r="2973" spans="2:18" ht="15.75" hidden="1" thickBot="1" x14ac:dyDescent="0.3">
      <c r="B2973" s="724" t="s">
        <v>777</v>
      </c>
      <c r="C2973" s="722" t="s">
        <v>59</v>
      </c>
      <c r="D2973" t="s">
        <v>60</v>
      </c>
      <c r="E2973" s="147">
        <v>43.165889999999997</v>
      </c>
      <c r="F2973" s="147">
        <v>47.303539999999998</v>
      </c>
      <c r="G2973" s="147">
        <v>-4.1376499999999998</v>
      </c>
      <c r="H2973" s="147">
        <v>-8.7470197790693884</v>
      </c>
      <c r="I2973" s="729"/>
      <c r="J2973" s="147">
        <v>43.165889999999997</v>
      </c>
      <c r="K2973" s="147">
        <v>0</v>
      </c>
      <c r="L2973" s="147">
        <v>556.90026999999998</v>
      </c>
      <c r="M2973" s="147">
        <v>564.66453999999999</v>
      </c>
      <c r="N2973" s="147">
        <v>-7.7642699999999998</v>
      </c>
      <c r="O2973" s="147">
        <v>-1.3750234785417905</v>
      </c>
      <c r="P2973" s="147">
        <v>283.17644000000001</v>
      </c>
      <c r="Q2973" s="147">
        <v>273.72383000000002</v>
      </c>
      <c r="R2973" s="147">
        <v>96.661936282552318</v>
      </c>
    </row>
    <row r="2974" spans="2:18" ht="15.75" hidden="1" thickBot="1" x14ac:dyDescent="0.3">
      <c r="B2974" s="724" t="s">
        <v>777</v>
      </c>
      <c r="C2974" s="722" t="s">
        <v>91</v>
      </c>
      <c r="D2974" t="s">
        <v>92</v>
      </c>
      <c r="E2974" s="148">
        <v>35.1813</v>
      </c>
      <c r="F2974" s="148">
        <v>40.178620000000002</v>
      </c>
      <c r="G2974" s="148">
        <v>-4.9973200000000002</v>
      </c>
      <c r="H2974" s="148">
        <v>-12.43775918635334</v>
      </c>
      <c r="I2974" s="728"/>
      <c r="J2974" s="148">
        <v>35.1813</v>
      </c>
      <c r="K2974" s="148">
        <v>0</v>
      </c>
      <c r="L2974" s="148">
        <v>504.86586999999997</v>
      </c>
      <c r="M2974" s="148">
        <v>469.27069</v>
      </c>
      <c r="N2974" s="148">
        <v>35.595179999999999</v>
      </c>
      <c r="O2974" s="148">
        <v>7.5852127052725153</v>
      </c>
      <c r="P2974" s="148">
        <v>246.11285000000001</v>
      </c>
      <c r="Q2974" s="148">
        <v>258.75301999999999</v>
      </c>
      <c r="R2974" s="148">
        <v>105.13592443466483</v>
      </c>
    </row>
    <row r="2975" spans="2:18" ht="15.75" hidden="1" thickBot="1" x14ac:dyDescent="0.3">
      <c r="B2975" s="724" t="s">
        <v>777</v>
      </c>
      <c r="C2975" s="722" t="s">
        <v>93</v>
      </c>
      <c r="D2975" t="s">
        <v>94</v>
      </c>
      <c r="E2975" s="147">
        <v>1.19425</v>
      </c>
      <c r="F2975" s="729"/>
      <c r="G2975" s="147">
        <v>1.19425</v>
      </c>
      <c r="H2975" s="147">
        <v>0</v>
      </c>
      <c r="I2975" s="729"/>
      <c r="J2975" s="147">
        <v>1.19425</v>
      </c>
      <c r="K2975" s="147">
        <v>0</v>
      </c>
      <c r="L2975" s="147">
        <v>22.778700000000001</v>
      </c>
      <c r="M2975" s="729"/>
      <c r="N2975" s="147">
        <v>22.778700000000001</v>
      </c>
      <c r="O2975" s="147">
        <v>0</v>
      </c>
      <c r="P2975" s="147">
        <v>11.02952</v>
      </c>
      <c r="Q2975" s="147">
        <v>11.749180000000001</v>
      </c>
      <c r="R2975" s="147">
        <v>106.52485330277293</v>
      </c>
    </row>
    <row r="2976" spans="2:18" ht="15.75" hidden="1" thickBot="1" x14ac:dyDescent="0.3">
      <c r="B2976" s="724" t="s">
        <v>777</v>
      </c>
      <c r="C2976" s="722" t="s">
        <v>61</v>
      </c>
      <c r="D2976" t="s">
        <v>62</v>
      </c>
      <c r="E2976" s="148">
        <v>13.994</v>
      </c>
      <c r="F2976" s="148">
        <v>13.55974</v>
      </c>
      <c r="G2976" s="148">
        <v>0.43425999999999998</v>
      </c>
      <c r="H2976" s="148">
        <v>3.2025687808173311</v>
      </c>
      <c r="I2976" s="728"/>
      <c r="J2976" s="148">
        <v>13.994</v>
      </c>
      <c r="K2976" s="148">
        <v>0</v>
      </c>
      <c r="L2976" s="148">
        <v>166.11985000000001</v>
      </c>
      <c r="M2976" s="148">
        <v>160.26000999999999</v>
      </c>
      <c r="N2976" s="148">
        <v>5.8598400000000002</v>
      </c>
      <c r="O2976" s="148">
        <v>3.6564580271772105</v>
      </c>
      <c r="P2976" s="148">
        <v>81.59581</v>
      </c>
      <c r="Q2976" s="148">
        <v>84.524039999999999</v>
      </c>
      <c r="R2976" s="148">
        <v>103.58870142964449</v>
      </c>
    </row>
    <row r="2977" spans="2:18" ht="15.75" hidden="1" thickBot="1" x14ac:dyDescent="0.3">
      <c r="B2977" s="724" t="s">
        <v>777</v>
      </c>
      <c r="C2977" s="722" t="s">
        <v>63</v>
      </c>
      <c r="D2977" t="s">
        <v>64</v>
      </c>
      <c r="E2977" s="147">
        <v>54.561300000000003</v>
      </c>
      <c r="F2977" s="147">
        <v>52.751739999999998</v>
      </c>
      <c r="G2977" s="147">
        <v>1.8095600000000001</v>
      </c>
      <c r="H2977" s="147">
        <v>3.43033234543543</v>
      </c>
      <c r="I2977" s="729"/>
      <c r="J2977" s="147">
        <v>54.561300000000003</v>
      </c>
      <c r="K2977" s="147">
        <v>0</v>
      </c>
      <c r="L2977" s="147">
        <v>649.10419000000002</v>
      </c>
      <c r="M2977" s="147">
        <v>623.46294</v>
      </c>
      <c r="N2977" s="147">
        <v>25.641249999999999</v>
      </c>
      <c r="O2977" s="147">
        <v>4.1127143820288659</v>
      </c>
      <c r="P2977" s="147">
        <v>318.80072000000001</v>
      </c>
      <c r="Q2977" s="147">
        <v>330.30347</v>
      </c>
      <c r="R2977" s="147">
        <v>103.60813175076895</v>
      </c>
    </row>
    <row r="2978" spans="2:18" ht="15.75" hidden="1" thickBot="1" x14ac:dyDescent="0.3">
      <c r="B2978" s="724" t="s">
        <v>777</v>
      </c>
      <c r="C2978" s="722" t="s">
        <v>156</v>
      </c>
      <c r="D2978" t="s">
        <v>157</v>
      </c>
      <c r="E2978" s="148">
        <v>19.86692</v>
      </c>
      <c r="F2978" s="728"/>
      <c r="G2978" s="148">
        <v>19.86692</v>
      </c>
      <c r="H2978" s="148">
        <v>0</v>
      </c>
      <c r="I2978" s="728"/>
      <c r="J2978" s="148">
        <v>19.86692</v>
      </c>
      <c r="K2978" s="148">
        <v>0</v>
      </c>
      <c r="L2978" s="148">
        <v>191.41882000000001</v>
      </c>
      <c r="M2978" s="728"/>
      <c r="N2978" s="148">
        <v>191.41882000000001</v>
      </c>
      <c r="O2978" s="148">
        <v>0</v>
      </c>
      <c r="P2978" s="148">
        <v>89.909649999999999</v>
      </c>
      <c r="Q2978" s="148">
        <v>101.50917</v>
      </c>
      <c r="R2978" s="148">
        <v>112.90130703433947</v>
      </c>
    </row>
    <row r="2979" spans="2:18" ht="15.75" hidden="1" thickBot="1" x14ac:dyDescent="0.3">
      <c r="B2979" s="724" t="s">
        <v>777</v>
      </c>
      <c r="C2979" s="722" t="s">
        <v>184</v>
      </c>
      <c r="D2979" t="s">
        <v>185</v>
      </c>
      <c r="E2979" s="147">
        <v>16.610900000000001</v>
      </c>
      <c r="F2979" s="729"/>
      <c r="G2979" s="147">
        <v>16.610900000000001</v>
      </c>
      <c r="H2979" s="147">
        <v>0</v>
      </c>
      <c r="I2979" s="729"/>
      <c r="J2979" s="147">
        <v>16.610900000000001</v>
      </c>
      <c r="K2979" s="147">
        <v>0</v>
      </c>
      <c r="L2979" s="147">
        <v>201.89624000000001</v>
      </c>
      <c r="M2979" s="729"/>
      <c r="N2979" s="147">
        <v>201.89624000000001</v>
      </c>
      <c r="O2979" s="147">
        <v>0</v>
      </c>
      <c r="P2979" s="147">
        <v>97.358750000000001</v>
      </c>
      <c r="Q2979" s="147">
        <v>104.53749000000001</v>
      </c>
      <c r="R2979" s="147">
        <v>107.37349236714728</v>
      </c>
    </row>
    <row r="2980" spans="2:18" ht="15.75" hidden="1" thickBot="1" x14ac:dyDescent="0.3">
      <c r="B2980" s="724" t="s">
        <v>777</v>
      </c>
      <c r="C2980" s="722" t="s">
        <v>161</v>
      </c>
      <c r="D2980" t="s">
        <v>162</v>
      </c>
      <c r="E2980" s="148">
        <v>1.6631400000000001</v>
      </c>
      <c r="F2980" s="728"/>
      <c r="G2980" s="148">
        <v>1.6631400000000001</v>
      </c>
      <c r="H2980" s="148">
        <v>0</v>
      </c>
      <c r="I2980" s="728"/>
      <c r="J2980" s="148">
        <v>1.6631400000000001</v>
      </c>
      <c r="K2980" s="148">
        <v>0</v>
      </c>
      <c r="L2980" s="148">
        <v>18.96359</v>
      </c>
      <c r="M2980" s="728"/>
      <c r="N2980" s="148">
        <v>18.96359</v>
      </c>
      <c r="O2980" s="148">
        <v>0</v>
      </c>
      <c r="P2980" s="148">
        <v>9.95946</v>
      </c>
      <c r="Q2980" s="148">
        <v>9.00413</v>
      </c>
      <c r="R2980" s="148">
        <v>90.40781327501692</v>
      </c>
    </row>
    <row r="2981" spans="2:18" ht="15.75" hidden="1" thickBot="1" x14ac:dyDescent="0.3">
      <c r="B2981" s="724" t="s">
        <v>777</v>
      </c>
      <c r="C2981" s="722" t="s">
        <v>65</v>
      </c>
      <c r="D2981" t="s">
        <v>66</v>
      </c>
      <c r="E2981" s="147">
        <v>-76.892960000000002</v>
      </c>
      <c r="F2981" s="147">
        <v>-66.527690000000007</v>
      </c>
      <c r="G2981" s="147">
        <v>-10.365270000000001</v>
      </c>
      <c r="H2981" s="147">
        <v>-15.580384648858242</v>
      </c>
      <c r="I2981" s="729"/>
      <c r="J2981" s="147">
        <v>-76.892960000000002</v>
      </c>
      <c r="K2981" s="147">
        <v>0</v>
      </c>
      <c r="L2981" s="147">
        <v>-1000.82784</v>
      </c>
      <c r="M2981" s="147">
        <v>-794.14409999999998</v>
      </c>
      <c r="N2981" s="147">
        <v>-206.68374</v>
      </c>
      <c r="O2981" s="147">
        <v>-26.025974379209014</v>
      </c>
      <c r="P2981" s="147">
        <v>-496.01627000000002</v>
      </c>
      <c r="Q2981" s="147">
        <v>-504.81157000000002</v>
      </c>
      <c r="R2981" s="147">
        <v>-101.77318780289202</v>
      </c>
    </row>
    <row r="2982" spans="2:18" ht="15.75" hidden="1" thickBot="1" x14ac:dyDescent="0.3">
      <c r="B2982" s="724" t="s">
        <v>777</v>
      </c>
      <c r="C2982" s="722" t="s">
        <v>163</v>
      </c>
      <c r="D2982" t="s">
        <v>164</v>
      </c>
      <c r="E2982" s="148">
        <v>-66.336119999999994</v>
      </c>
      <c r="F2982" s="148">
        <v>-52.97551</v>
      </c>
      <c r="G2982" s="148">
        <v>-13.360609999999999</v>
      </c>
      <c r="H2982" s="148">
        <v>-25.220351819170784</v>
      </c>
      <c r="I2982" s="728"/>
      <c r="J2982" s="148">
        <v>-66.336119999999994</v>
      </c>
      <c r="K2982" s="148">
        <v>0</v>
      </c>
      <c r="L2982" s="148">
        <v>-884.36496</v>
      </c>
      <c r="M2982" s="148">
        <v>-618.73344999999995</v>
      </c>
      <c r="N2982" s="148">
        <v>-265.63150999999999</v>
      </c>
      <c r="O2982" s="148">
        <v>-42.931493359539559</v>
      </c>
      <c r="P2982" s="148">
        <v>-432.73140000000001</v>
      </c>
      <c r="Q2982" s="148">
        <v>-451.63355999999999</v>
      </c>
      <c r="R2982" s="148">
        <v>-104.36810455631368</v>
      </c>
    </row>
    <row r="2983" spans="2:18" ht="15.75" hidden="1" thickBot="1" x14ac:dyDescent="0.3">
      <c r="B2983" s="724" t="s">
        <v>777</v>
      </c>
      <c r="C2983" s="722" t="s">
        <v>97</v>
      </c>
      <c r="D2983" t="s">
        <v>98</v>
      </c>
      <c r="E2983" s="147">
        <v>-1.6631400000000001</v>
      </c>
      <c r="F2983" s="729"/>
      <c r="G2983" s="147">
        <v>-1.6631400000000001</v>
      </c>
      <c r="H2983" s="147">
        <v>0</v>
      </c>
      <c r="I2983" s="729"/>
      <c r="J2983" s="147">
        <v>-1.6631400000000001</v>
      </c>
      <c r="K2983" s="147">
        <v>0</v>
      </c>
      <c r="L2983" s="147">
        <v>-19.039269999999998</v>
      </c>
      <c r="M2983" s="729"/>
      <c r="N2983" s="147">
        <v>-19.039269999999998</v>
      </c>
      <c r="O2983" s="147">
        <v>0</v>
      </c>
      <c r="P2983" s="147">
        <v>-10.00991</v>
      </c>
      <c r="Q2983" s="147">
        <v>-9.0293600000000005</v>
      </c>
      <c r="R2983" s="147">
        <v>-90.204207630238429</v>
      </c>
    </row>
    <row r="2984" spans="2:18" ht="15.75" hidden="1" thickBot="1" x14ac:dyDescent="0.3">
      <c r="B2984" s="724" t="s">
        <v>777</v>
      </c>
      <c r="C2984" s="149" t="s">
        <v>67</v>
      </c>
      <c r="D2984" t="s">
        <v>68</v>
      </c>
      <c r="E2984" s="148">
        <v>41.345480000000002</v>
      </c>
      <c r="F2984" s="148">
        <v>34.290439999999997</v>
      </c>
      <c r="G2984" s="148">
        <v>7.05504</v>
      </c>
      <c r="H2984" s="148">
        <v>20.574364166805676</v>
      </c>
      <c r="I2984" s="728"/>
      <c r="J2984" s="148">
        <v>41.345480000000002</v>
      </c>
      <c r="K2984" s="148">
        <v>0</v>
      </c>
      <c r="L2984" s="148">
        <v>407.81545999999997</v>
      </c>
      <c r="M2984" s="148">
        <v>404.78062999999997</v>
      </c>
      <c r="N2984" s="148">
        <v>3.0348299999999999</v>
      </c>
      <c r="O2984" s="148">
        <v>0.74974684435863448</v>
      </c>
      <c r="P2984" s="148">
        <v>199.18562</v>
      </c>
      <c r="Q2984" s="148">
        <v>208.62984</v>
      </c>
      <c r="R2984" s="148">
        <v>104.74141657414827</v>
      </c>
    </row>
    <row r="2985" spans="2:18" ht="15.75" hidden="1" thickBot="1" x14ac:dyDescent="0.3">
      <c r="B2985" s="724" t="s">
        <v>777</v>
      </c>
      <c r="C2985" s="722" t="s">
        <v>137</v>
      </c>
      <c r="D2985" t="s">
        <v>138</v>
      </c>
      <c r="E2985" s="729"/>
      <c r="F2985" s="729"/>
      <c r="G2985" s="729"/>
      <c r="H2985" s="729"/>
      <c r="I2985" s="729"/>
      <c r="J2985" s="729"/>
      <c r="K2985" s="729"/>
      <c r="L2985" s="147">
        <v>0.16732</v>
      </c>
      <c r="M2985" s="729"/>
      <c r="N2985" s="147">
        <v>0.16732</v>
      </c>
      <c r="O2985" s="147">
        <v>0</v>
      </c>
      <c r="P2985" s="147">
        <v>0.16732</v>
      </c>
      <c r="Q2985" s="147">
        <v>0</v>
      </c>
      <c r="R2985" s="147">
        <v>0</v>
      </c>
    </row>
    <row r="2986" spans="2:18" ht="15.75" hidden="1" thickBot="1" x14ac:dyDescent="0.3">
      <c r="B2986" s="724" t="s">
        <v>777</v>
      </c>
      <c r="C2986" s="722" t="s">
        <v>36</v>
      </c>
      <c r="D2986" t="s">
        <v>192</v>
      </c>
      <c r="E2986" s="148">
        <v>2.2450000000000001E-2</v>
      </c>
      <c r="F2986" s="728"/>
      <c r="G2986" s="148">
        <v>2.2450000000000001E-2</v>
      </c>
      <c r="H2986" s="148">
        <v>0</v>
      </c>
      <c r="I2986" s="728"/>
      <c r="J2986" s="148">
        <v>2.2450000000000001E-2</v>
      </c>
      <c r="K2986" s="148">
        <v>0</v>
      </c>
      <c r="L2986" s="148">
        <v>0.36358000000000001</v>
      </c>
      <c r="M2986" s="728"/>
      <c r="N2986" s="148">
        <v>0.36358000000000001</v>
      </c>
      <c r="O2986" s="148">
        <v>0</v>
      </c>
      <c r="P2986" s="148">
        <v>0.17448</v>
      </c>
      <c r="Q2986" s="148">
        <v>0.18909999999999999</v>
      </c>
      <c r="R2986" s="148">
        <v>108.3791838606144</v>
      </c>
    </row>
    <row r="2987" spans="2:18" ht="15.75" hidden="1" thickBot="1" x14ac:dyDescent="0.3">
      <c r="B2987" s="724" t="s">
        <v>777</v>
      </c>
      <c r="C2987" s="722" t="s">
        <v>139</v>
      </c>
      <c r="D2987" t="s">
        <v>140</v>
      </c>
      <c r="E2987" s="729"/>
      <c r="F2987" s="729"/>
      <c r="G2987" s="729"/>
      <c r="H2987" s="729"/>
      <c r="I2987" s="729"/>
      <c r="J2987" s="729"/>
      <c r="K2987" s="729"/>
      <c r="L2987" s="147">
        <v>2.9000000000000001E-2</v>
      </c>
      <c r="M2987" s="729"/>
      <c r="N2987" s="147">
        <v>2.9000000000000001E-2</v>
      </c>
      <c r="O2987" s="147">
        <v>0</v>
      </c>
      <c r="P2987" s="147">
        <v>2.9000000000000001E-2</v>
      </c>
      <c r="Q2987" s="147">
        <v>0</v>
      </c>
      <c r="R2987" s="147">
        <v>0</v>
      </c>
    </row>
    <row r="2988" spans="2:18" ht="15.75" hidden="1" thickBot="1" x14ac:dyDescent="0.3">
      <c r="B2988" s="724" t="s">
        <v>777</v>
      </c>
      <c r="C2988" s="722" t="s">
        <v>101</v>
      </c>
      <c r="D2988" t="s">
        <v>102</v>
      </c>
      <c r="E2988" s="728"/>
      <c r="F2988" s="728"/>
      <c r="G2988" s="728"/>
      <c r="H2988" s="728"/>
      <c r="I2988" s="728"/>
      <c r="J2988" s="728"/>
      <c r="K2988" s="728"/>
      <c r="L2988" s="148">
        <v>7.2249999999999995E-2</v>
      </c>
      <c r="M2988" s="728"/>
      <c r="N2988" s="148">
        <v>7.2249999999999995E-2</v>
      </c>
      <c r="O2988" s="148">
        <v>0</v>
      </c>
      <c r="P2988" s="148">
        <v>7.2249999999999995E-2</v>
      </c>
      <c r="Q2988" s="148">
        <v>0</v>
      </c>
      <c r="R2988" s="148">
        <v>0</v>
      </c>
    </row>
    <row r="2989" spans="2:18" ht="15.75" hidden="1" thickBot="1" x14ac:dyDescent="0.3">
      <c r="B2989" s="724" t="s">
        <v>777</v>
      </c>
      <c r="C2989" s="722" t="s">
        <v>113</v>
      </c>
      <c r="D2989" t="s">
        <v>114</v>
      </c>
      <c r="E2989" s="729"/>
      <c r="F2989" s="729"/>
      <c r="G2989" s="729"/>
      <c r="H2989" s="729"/>
      <c r="I2989" s="729"/>
      <c r="J2989" s="729"/>
      <c r="K2989" s="729"/>
      <c r="L2989" s="147">
        <v>6.4000000000000003E-3</v>
      </c>
      <c r="M2989" s="729"/>
      <c r="N2989" s="147">
        <v>6.4000000000000003E-3</v>
      </c>
      <c r="O2989" s="147">
        <v>0</v>
      </c>
      <c r="P2989" s="729"/>
      <c r="Q2989" s="147">
        <v>6.4000000000000003E-3</v>
      </c>
      <c r="R2989" s="147">
        <v>0</v>
      </c>
    </row>
    <row r="2990" spans="2:18" ht="15.75" hidden="1" thickBot="1" x14ac:dyDescent="0.3">
      <c r="B2990" s="724" t="s">
        <v>777</v>
      </c>
      <c r="C2990" s="722" t="s">
        <v>143</v>
      </c>
      <c r="D2990" t="s">
        <v>144</v>
      </c>
      <c r="E2990" s="148">
        <v>4.5969999999999997E-2</v>
      </c>
      <c r="F2990" s="728"/>
      <c r="G2990" s="148">
        <v>4.5969999999999997E-2</v>
      </c>
      <c r="H2990" s="148">
        <v>0</v>
      </c>
      <c r="I2990" s="728"/>
      <c r="J2990" s="148">
        <v>4.5969999999999997E-2</v>
      </c>
      <c r="K2990" s="148">
        <v>0</v>
      </c>
      <c r="L2990" s="148">
        <v>4.5969999999999997E-2</v>
      </c>
      <c r="M2990" s="728"/>
      <c r="N2990" s="148">
        <v>4.5969999999999997E-2</v>
      </c>
      <c r="O2990" s="148">
        <v>0</v>
      </c>
      <c r="P2990" s="728"/>
      <c r="Q2990" s="148">
        <v>4.5969999999999997E-2</v>
      </c>
      <c r="R2990" s="148">
        <v>0</v>
      </c>
    </row>
    <row r="2991" spans="2:18" ht="15.75" hidden="1" thickBot="1" x14ac:dyDescent="0.3">
      <c r="B2991" s="724" t="s">
        <v>777</v>
      </c>
      <c r="C2991" s="722" t="s">
        <v>153</v>
      </c>
      <c r="D2991" t="s">
        <v>154</v>
      </c>
      <c r="E2991" s="729"/>
      <c r="F2991" s="729"/>
      <c r="G2991" s="729"/>
      <c r="H2991" s="729"/>
      <c r="I2991" s="729"/>
      <c r="J2991" s="729"/>
      <c r="K2991" s="729"/>
      <c r="L2991" s="147">
        <v>4.4819999999999999E-2</v>
      </c>
      <c r="M2991" s="729"/>
      <c r="N2991" s="147">
        <v>4.4819999999999999E-2</v>
      </c>
      <c r="O2991" s="147">
        <v>0</v>
      </c>
      <c r="P2991" s="147">
        <v>4.4819999999999999E-2</v>
      </c>
      <c r="Q2991" s="147">
        <v>0</v>
      </c>
      <c r="R2991" s="147">
        <v>0</v>
      </c>
    </row>
    <row r="2992" spans="2:18" ht="15.75" hidden="1" thickBot="1" x14ac:dyDescent="0.3">
      <c r="B2992" s="724" t="s">
        <v>777</v>
      </c>
      <c r="C2992" s="722" t="s">
        <v>77</v>
      </c>
      <c r="D2992" t="s">
        <v>78</v>
      </c>
      <c r="E2992" s="728"/>
      <c r="F2992" s="728"/>
      <c r="G2992" s="728"/>
      <c r="H2992" s="728"/>
      <c r="I2992" s="728"/>
      <c r="J2992" s="728"/>
      <c r="K2992" s="728"/>
      <c r="L2992" s="148">
        <v>0.93035999999999996</v>
      </c>
      <c r="M2992" s="728"/>
      <c r="N2992" s="148">
        <v>0.93035999999999996</v>
      </c>
      <c r="O2992" s="148">
        <v>0</v>
      </c>
      <c r="P2992" s="148">
        <v>0.72950000000000004</v>
      </c>
      <c r="Q2992" s="148">
        <v>0.20086000000000001</v>
      </c>
      <c r="R2992" s="148">
        <v>27.533927347498288</v>
      </c>
    </row>
    <row r="2993" spans="2:18" ht="15.75" hidden="1" thickBot="1" x14ac:dyDescent="0.3">
      <c r="B2993" s="724" t="s">
        <v>777</v>
      </c>
      <c r="C2993" s="722" t="s">
        <v>693</v>
      </c>
      <c r="D2993" t="s">
        <v>694</v>
      </c>
      <c r="E2993" s="147">
        <v>32.944899999999997</v>
      </c>
      <c r="F2993" s="147">
        <v>10.91667</v>
      </c>
      <c r="G2993" s="147">
        <v>22.028230000000001</v>
      </c>
      <c r="H2993" s="147">
        <v>201.78525136328201</v>
      </c>
      <c r="I2993" s="729"/>
      <c r="J2993" s="147">
        <v>32.944899999999997</v>
      </c>
      <c r="K2993" s="147">
        <v>0</v>
      </c>
      <c r="L2993" s="147">
        <v>336.70578999999998</v>
      </c>
      <c r="M2993" s="147">
        <v>131</v>
      </c>
      <c r="N2993" s="147">
        <v>205.70579000000001</v>
      </c>
      <c r="O2993" s="147">
        <v>157.02732061068701</v>
      </c>
      <c r="P2993" s="147">
        <v>154.10181</v>
      </c>
      <c r="Q2993" s="147">
        <v>182.60398000000001</v>
      </c>
      <c r="R2993" s="147">
        <v>118.49567503457617</v>
      </c>
    </row>
    <row r="2994" spans="2:18" ht="15.75" hidden="1" thickBot="1" x14ac:dyDescent="0.3">
      <c r="B2994" s="724" t="s">
        <v>777</v>
      </c>
      <c r="C2994" s="149" t="s">
        <v>85</v>
      </c>
      <c r="D2994" t="s">
        <v>86</v>
      </c>
      <c r="E2994" s="148">
        <v>33.01332</v>
      </c>
      <c r="F2994" s="148">
        <v>10.91667</v>
      </c>
      <c r="G2994" s="148">
        <v>22.09665</v>
      </c>
      <c r="H2994" s="148">
        <v>202.41199926351169</v>
      </c>
      <c r="I2994" s="728"/>
      <c r="J2994" s="148">
        <v>33.01332</v>
      </c>
      <c r="K2994" s="148">
        <v>0</v>
      </c>
      <c r="L2994" s="148">
        <v>338.36549000000002</v>
      </c>
      <c r="M2994" s="148">
        <v>131</v>
      </c>
      <c r="N2994" s="148">
        <v>207.36548999999999</v>
      </c>
      <c r="O2994" s="148">
        <v>158.29426717557251</v>
      </c>
      <c r="P2994" s="148">
        <v>155.31917999999999</v>
      </c>
      <c r="Q2994" s="148">
        <v>183.04631000000001</v>
      </c>
      <c r="R2994" s="148">
        <v>117.85171026527439</v>
      </c>
    </row>
    <row r="2995" spans="2:18" ht="15.75" hidden="1" thickBot="1" x14ac:dyDescent="0.3">
      <c r="B2995" s="724" t="s">
        <v>777</v>
      </c>
      <c r="C2995" s="144" t="s">
        <v>87</v>
      </c>
      <c r="D2995" t="s">
        <v>87</v>
      </c>
      <c r="E2995" s="147">
        <v>74.358800000000002</v>
      </c>
      <c r="F2995" s="147">
        <v>45.20711</v>
      </c>
      <c r="G2995" s="147">
        <v>29.151689999999999</v>
      </c>
      <c r="H2995" s="147">
        <v>64.484745872939015</v>
      </c>
      <c r="I2995" s="729"/>
      <c r="J2995" s="147">
        <v>74.358800000000002</v>
      </c>
      <c r="K2995" s="147">
        <v>0</v>
      </c>
      <c r="L2995" s="147">
        <v>746.18095000000005</v>
      </c>
      <c r="M2995" s="147">
        <v>535.78062999999997</v>
      </c>
      <c r="N2995" s="147">
        <v>210.40031999999999</v>
      </c>
      <c r="O2995" s="147">
        <v>39.269863115432152</v>
      </c>
      <c r="P2995" s="147">
        <v>354.50479999999999</v>
      </c>
      <c r="Q2995" s="147">
        <v>391.67615000000001</v>
      </c>
      <c r="R2995" s="147">
        <v>110.48542925229785</v>
      </c>
    </row>
    <row r="2996" spans="2:18" ht="15.75" hidden="1" thickBot="1" x14ac:dyDescent="0.3">
      <c r="B2996" s="725" t="s">
        <v>778</v>
      </c>
      <c r="C2996" s="722" t="s">
        <v>693</v>
      </c>
      <c r="D2996" t="s">
        <v>694</v>
      </c>
      <c r="E2996" s="148">
        <v>3.7008999999999999</v>
      </c>
      <c r="F2996" s="148">
        <v>1.25</v>
      </c>
      <c r="G2996" s="148">
        <v>2.4508999999999999</v>
      </c>
      <c r="H2996" s="148">
        <v>196.072</v>
      </c>
      <c r="I2996" s="728"/>
      <c r="J2996" s="148">
        <v>3.7008999999999999</v>
      </c>
      <c r="K2996" s="148">
        <v>0</v>
      </c>
      <c r="L2996" s="148">
        <v>45.561839999999997</v>
      </c>
      <c r="M2996" s="148">
        <v>15</v>
      </c>
      <c r="N2996" s="148">
        <v>30.56184</v>
      </c>
      <c r="O2996" s="148">
        <v>203.7456</v>
      </c>
      <c r="P2996" s="148">
        <v>22.891010000000001</v>
      </c>
      <c r="Q2996" s="148">
        <v>22.670829999999999</v>
      </c>
      <c r="R2996" s="148">
        <v>99.038137679377186</v>
      </c>
    </row>
    <row r="2997" spans="2:18" ht="15.75" hidden="1" thickBot="1" x14ac:dyDescent="0.3">
      <c r="B2997" s="725" t="s">
        <v>778</v>
      </c>
      <c r="C2997" s="149" t="s">
        <v>85</v>
      </c>
      <c r="D2997" t="s">
        <v>86</v>
      </c>
      <c r="E2997" s="147">
        <v>3.7008999999999999</v>
      </c>
      <c r="F2997" s="147">
        <v>1.25</v>
      </c>
      <c r="G2997" s="147">
        <v>2.4508999999999999</v>
      </c>
      <c r="H2997" s="147">
        <v>196.072</v>
      </c>
      <c r="I2997" s="729"/>
      <c r="J2997" s="147">
        <v>3.7008999999999999</v>
      </c>
      <c r="K2997" s="147">
        <v>0</v>
      </c>
      <c r="L2997" s="147">
        <v>45.561839999999997</v>
      </c>
      <c r="M2997" s="147">
        <v>15</v>
      </c>
      <c r="N2997" s="147">
        <v>30.56184</v>
      </c>
      <c r="O2997" s="147">
        <v>203.7456</v>
      </c>
      <c r="P2997" s="147">
        <v>22.891010000000001</v>
      </c>
      <c r="Q2997" s="147">
        <v>22.670829999999999</v>
      </c>
      <c r="R2997" s="147">
        <v>99.038137679377186</v>
      </c>
    </row>
    <row r="2998" spans="2:18" ht="15.75" hidden="1" thickBot="1" x14ac:dyDescent="0.3">
      <c r="B2998" s="725" t="s">
        <v>778</v>
      </c>
      <c r="C2998" s="144" t="s">
        <v>87</v>
      </c>
      <c r="D2998" t="s">
        <v>87</v>
      </c>
      <c r="E2998" s="148">
        <v>3.7008999999999999</v>
      </c>
      <c r="F2998" s="148">
        <v>1.25</v>
      </c>
      <c r="G2998" s="148">
        <v>2.4508999999999999</v>
      </c>
      <c r="H2998" s="148">
        <v>196.072</v>
      </c>
      <c r="I2998" s="728"/>
      <c r="J2998" s="148">
        <v>3.7008999999999999</v>
      </c>
      <c r="K2998" s="148">
        <v>0</v>
      </c>
      <c r="L2998" s="148">
        <v>45.561839999999997</v>
      </c>
      <c r="M2998" s="148">
        <v>15</v>
      </c>
      <c r="N2998" s="148">
        <v>30.56184</v>
      </c>
      <c r="O2998" s="148">
        <v>203.7456</v>
      </c>
      <c r="P2998" s="148">
        <v>22.891010000000001</v>
      </c>
      <c r="Q2998" s="148">
        <v>22.670829999999999</v>
      </c>
      <c r="R2998" s="148">
        <v>99.038137679377186</v>
      </c>
    </row>
    <row r="2999" spans="2:18" ht="15.75" hidden="1" thickBot="1" x14ac:dyDescent="0.3">
      <c r="B2999" s="725" t="s">
        <v>779</v>
      </c>
      <c r="C2999" s="722" t="s">
        <v>91</v>
      </c>
      <c r="D2999" t="s">
        <v>92</v>
      </c>
      <c r="E2999" s="147">
        <v>35.1813</v>
      </c>
      <c r="F2999" s="147">
        <v>40.178620000000002</v>
      </c>
      <c r="G2999" s="147">
        <v>-4.9973200000000002</v>
      </c>
      <c r="H2999" s="147">
        <v>-12.43775918635334</v>
      </c>
      <c r="I2999" s="729"/>
      <c r="J2999" s="147">
        <v>35.1813</v>
      </c>
      <c r="K2999" s="147">
        <v>0</v>
      </c>
      <c r="L2999" s="147">
        <v>504.86586999999997</v>
      </c>
      <c r="M2999" s="147">
        <v>469.27069</v>
      </c>
      <c r="N2999" s="147">
        <v>35.595179999999999</v>
      </c>
      <c r="O2999" s="147">
        <v>7.5852127052725153</v>
      </c>
      <c r="P2999" s="147">
        <v>246.11285000000001</v>
      </c>
      <c r="Q2999" s="147">
        <v>258.75301999999999</v>
      </c>
      <c r="R2999" s="147">
        <v>105.13592443466483</v>
      </c>
    </row>
    <row r="3000" spans="2:18" ht="15.75" hidden="1" thickBot="1" x14ac:dyDescent="0.3">
      <c r="B3000" s="725" t="s">
        <v>779</v>
      </c>
      <c r="C3000" s="722" t="s">
        <v>93</v>
      </c>
      <c r="D3000" t="s">
        <v>94</v>
      </c>
      <c r="E3000" s="148">
        <v>1.19425</v>
      </c>
      <c r="F3000" s="728"/>
      <c r="G3000" s="148">
        <v>1.19425</v>
      </c>
      <c r="H3000" s="148">
        <v>0</v>
      </c>
      <c r="I3000" s="728"/>
      <c r="J3000" s="148">
        <v>1.19425</v>
      </c>
      <c r="K3000" s="148">
        <v>0</v>
      </c>
      <c r="L3000" s="148">
        <v>22.778700000000001</v>
      </c>
      <c r="M3000" s="728"/>
      <c r="N3000" s="148">
        <v>22.778700000000001</v>
      </c>
      <c r="O3000" s="148">
        <v>0</v>
      </c>
      <c r="P3000" s="148">
        <v>11.02952</v>
      </c>
      <c r="Q3000" s="148">
        <v>11.749180000000001</v>
      </c>
      <c r="R3000" s="148">
        <v>106.52485330277293</v>
      </c>
    </row>
    <row r="3001" spans="2:18" ht="15.75" hidden="1" thickBot="1" x14ac:dyDescent="0.3">
      <c r="B3001" s="725" t="s">
        <v>779</v>
      </c>
      <c r="C3001" s="722" t="s">
        <v>61</v>
      </c>
      <c r="D3001" t="s">
        <v>62</v>
      </c>
      <c r="E3001" s="147">
        <v>6.7328400000000004</v>
      </c>
      <c r="F3001" s="147">
        <v>6.2276899999999999</v>
      </c>
      <c r="G3001" s="147">
        <v>0.50514999999999999</v>
      </c>
      <c r="H3001" s="147">
        <v>8.1113542902745639</v>
      </c>
      <c r="I3001" s="729"/>
      <c r="J3001" s="147">
        <v>6.7328400000000004</v>
      </c>
      <c r="K3001" s="147">
        <v>0</v>
      </c>
      <c r="L3001" s="147">
        <v>80.511279999999999</v>
      </c>
      <c r="M3001" s="147">
        <v>72.736990000000006</v>
      </c>
      <c r="N3001" s="147">
        <v>7.7742899999999997</v>
      </c>
      <c r="O3001" s="147">
        <v>10.688220670115713</v>
      </c>
      <c r="P3001" s="147">
        <v>39.554180000000002</v>
      </c>
      <c r="Q3001" s="147">
        <v>40.957099999999997</v>
      </c>
      <c r="R3001" s="147">
        <v>103.54683120722007</v>
      </c>
    </row>
    <row r="3002" spans="2:18" ht="15.75" hidden="1" thickBot="1" x14ac:dyDescent="0.3">
      <c r="B3002" s="725" t="s">
        <v>779</v>
      </c>
      <c r="C3002" s="722" t="s">
        <v>63</v>
      </c>
      <c r="D3002" t="s">
        <v>64</v>
      </c>
      <c r="E3002" s="148">
        <v>26.35248</v>
      </c>
      <c r="F3002" s="148">
        <v>24.227709999999998</v>
      </c>
      <c r="G3002" s="148">
        <v>2.1247699999999998</v>
      </c>
      <c r="H3002" s="148">
        <v>8.7699993107066252</v>
      </c>
      <c r="I3002" s="728"/>
      <c r="J3002" s="148">
        <v>26.35248</v>
      </c>
      <c r="K3002" s="148">
        <v>0</v>
      </c>
      <c r="L3002" s="148">
        <v>316.52334999999999</v>
      </c>
      <c r="M3002" s="148">
        <v>282.97026</v>
      </c>
      <c r="N3002" s="148">
        <v>33.553089999999997</v>
      </c>
      <c r="O3002" s="148">
        <v>11.857461628653132</v>
      </c>
      <c r="P3002" s="148">
        <v>155.47287</v>
      </c>
      <c r="Q3002" s="148">
        <v>161.05047999999999</v>
      </c>
      <c r="R3002" s="148">
        <v>103.58751337130394</v>
      </c>
    </row>
    <row r="3003" spans="2:18" ht="15.75" hidden="1" thickBot="1" x14ac:dyDescent="0.3">
      <c r="B3003" s="725" t="s">
        <v>779</v>
      </c>
      <c r="C3003" s="722" t="s">
        <v>184</v>
      </c>
      <c r="D3003" t="s">
        <v>185</v>
      </c>
      <c r="E3003" s="147">
        <v>16.610900000000001</v>
      </c>
      <c r="F3003" s="729"/>
      <c r="G3003" s="147">
        <v>16.610900000000001</v>
      </c>
      <c r="H3003" s="147">
        <v>0</v>
      </c>
      <c r="I3003" s="729"/>
      <c r="J3003" s="147">
        <v>16.610900000000001</v>
      </c>
      <c r="K3003" s="147">
        <v>0</v>
      </c>
      <c r="L3003" s="147">
        <v>201.89624000000001</v>
      </c>
      <c r="M3003" s="729"/>
      <c r="N3003" s="147">
        <v>201.89624000000001</v>
      </c>
      <c r="O3003" s="147">
        <v>0</v>
      </c>
      <c r="P3003" s="147">
        <v>97.358750000000001</v>
      </c>
      <c r="Q3003" s="147">
        <v>104.53749000000001</v>
      </c>
      <c r="R3003" s="147">
        <v>107.37349236714728</v>
      </c>
    </row>
    <row r="3004" spans="2:18" ht="15.75" hidden="1" thickBot="1" x14ac:dyDescent="0.3">
      <c r="B3004" s="725" t="s">
        <v>779</v>
      </c>
      <c r="C3004" s="722" t="s">
        <v>161</v>
      </c>
      <c r="D3004" t="s">
        <v>162</v>
      </c>
      <c r="E3004" s="148">
        <v>1.6631400000000001</v>
      </c>
      <c r="F3004" s="728"/>
      <c r="G3004" s="148">
        <v>1.6631400000000001</v>
      </c>
      <c r="H3004" s="148">
        <v>0</v>
      </c>
      <c r="I3004" s="728"/>
      <c r="J3004" s="148">
        <v>1.6631400000000001</v>
      </c>
      <c r="K3004" s="148">
        <v>0</v>
      </c>
      <c r="L3004" s="148">
        <v>18.96359</v>
      </c>
      <c r="M3004" s="728"/>
      <c r="N3004" s="148">
        <v>18.96359</v>
      </c>
      <c r="O3004" s="148">
        <v>0</v>
      </c>
      <c r="P3004" s="148">
        <v>9.95946</v>
      </c>
      <c r="Q3004" s="148">
        <v>9.00413</v>
      </c>
      <c r="R3004" s="148">
        <v>90.40781327501692</v>
      </c>
    </row>
    <row r="3005" spans="2:18" ht="15.75" hidden="1" thickBot="1" x14ac:dyDescent="0.3">
      <c r="B3005" s="725" t="s">
        <v>779</v>
      </c>
      <c r="C3005" s="722" t="s">
        <v>163</v>
      </c>
      <c r="D3005" t="s">
        <v>164</v>
      </c>
      <c r="E3005" s="147">
        <v>-66.336119999999994</v>
      </c>
      <c r="F3005" s="147">
        <v>-52.97551</v>
      </c>
      <c r="G3005" s="147">
        <v>-13.360609999999999</v>
      </c>
      <c r="H3005" s="147">
        <v>-25.220351819170784</v>
      </c>
      <c r="I3005" s="729"/>
      <c r="J3005" s="147">
        <v>-66.336119999999994</v>
      </c>
      <c r="K3005" s="147">
        <v>0</v>
      </c>
      <c r="L3005" s="147">
        <v>-884.36496</v>
      </c>
      <c r="M3005" s="147">
        <v>-618.73344999999995</v>
      </c>
      <c r="N3005" s="147">
        <v>-265.63150999999999</v>
      </c>
      <c r="O3005" s="147">
        <v>-42.931493359539559</v>
      </c>
      <c r="P3005" s="147">
        <v>-432.73140000000001</v>
      </c>
      <c r="Q3005" s="147">
        <v>-451.63355999999999</v>
      </c>
      <c r="R3005" s="147">
        <v>-104.36810455631368</v>
      </c>
    </row>
    <row r="3006" spans="2:18" ht="15.75" hidden="1" thickBot="1" x14ac:dyDescent="0.3">
      <c r="B3006" s="725" t="s">
        <v>779</v>
      </c>
      <c r="C3006" s="722" t="s">
        <v>97</v>
      </c>
      <c r="D3006" t="s">
        <v>98</v>
      </c>
      <c r="E3006" s="148">
        <v>-1.6631400000000001</v>
      </c>
      <c r="F3006" s="728"/>
      <c r="G3006" s="148">
        <v>-1.6631400000000001</v>
      </c>
      <c r="H3006" s="148">
        <v>0</v>
      </c>
      <c r="I3006" s="728"/>
      <c r="J3006" s="148">
        <v>-1.6631400000000001</v>
      </c>
      <c r="K3006" s="148">
        <v>0</v>
      </c>
      <c r="L3006" s="148">
        <v>-19.039269999999998</v>
      </c>
      <c r="M3006" s="728"/>
      <c r="N3006" s="148">
        <v>-19.039269999999998</v>
      </c>
      <c r="O3006" s="148">
        <v>0</v>
      </c>
      <c r="P3006" s="148">
        <v>-10.00991</v>
      </c>
      <c r="Q3006" s="148">
        <v>-9.0293600000000005</v>
      </c>
      <c r="R3006" s="148">
        <v>-90.204207630238429</v>
      </c>
    </row>
    <row r="3007" spans="2:18" ht="15.75" hidden="1" thickBot="1" x14ac:dyDescent="0.3">
      <c r="B3007" s="725" t="s">
        <v>779</v>
      </c>
      <c r="C3007" s="149" t="s">
        <v>67</v>
      </c>
      <c r="D3007" t="s">
        <v>68</v>
      </c>
      <c r="E3007" s="147">
        <v>19.73565</v>
      </c>
      <c r="F3007" s="147">
        <v>17.65851</v>
      </c>
      <c r="G3007" s="147">
        <v>2.07714</v>
      </c>
      <c r="H3007" s="147">
        <v>11.762827101493841</v>
      </c>
      <c r="I3007" s="729"/>
      <c r="J3007" s="147">
        <v>19.73565</v>
      </c>
      <c r="K3007" s="147">
        <v>0</v>
      </c>
      <c r="L3007" s="147">
        <v>242.13480000000001</v>
      </c>
      <c r="M3007" s="147">
        <v>206.24449000000001</v>
      </c>
      <c r="N3007" s="147">
        <v>35.890309999999999</v>
      </c>
      <c r="O3007" s="147">
        <v>17.401827316695829</v>
      </c>
      <c r="P3007" s="147">
        <v>116.74632</v>
      </c>
      <c r="Q3007" s="147">
        <v>125.38848</v>
      </c>
      <c r="R3007" s="147">
        <v>107.40251170229605</v>
      </c>
    </row>
    <row r="3008" spans="2:18" ht="15.75" hidden="1" thickBot="1" x14ac:dyDescent="0.3">
      <c r="B3008" s="725" t="s">
        <v>779</v>
      </c>
      <c r="C3008" s="722" t="s">
        <v>36</v>
      </c>
      <c r="D3008" t="s">
        <v>192</v>
      </c>
      <c r="E3008" s="148">
        <v>2.2450000000000001E-2</v>
      </c>
      <c r="F3008" s="728"/>
      <c r="G3008" s="148">
        <v>2.2450000000000001E-2</v>
      </c>
      <c r="H3008" s="148">
        <v>0</v>
      </c>
      <c r="I3008" s="728"/>
      <c r="J3008" s="148">
        <v>2.2450000000000001E-2</v>
      </c>
      <c r="K3008" s="148">
        <v>0</v>
      </c>
      <c r="L3008" s="148">
        <v>0.36358000000000001</v>
      </c>
      <c r="M3008" s="728"/>
      <c r="N3008" s="148">
        <v>0.36358000000000001</v>
      </c>
      <c r="O3008" s="148">
        <v>0</v>
      </c>
      <c r="P3008" s="148">
        <v>0.17448</v>
      </c>
      <c r="Q3008" s="148">
        <v>0.18909999999999999</v>
      </c>
      <c r="R3008" s="148">
        <v>108.3791838606144</v>
      </c>
    </row>
    <row r="3009" spans="2:18" ht="15.75" hidden="1" thickBot="1" x14ac:dyDescent="0.3">
      <c r="B3009" s="725" t="s">
        <v>779</v>
      </c>
      <c r="C3009" s="722" t="s">
        <v>139</v>
      </c>
      <c r="D3009" t="s">
        <v>140</v>
      </c>
      <c r="E3009" s="729"/>
      <c r="F3009" s="729"/>
      <c r="G3009" s="729"/>
      <c r="H3009" s="729"/>
      <c r="I3009" s="729"/>
      <c r="J3009" s="729"/>
      <c r="K3009" s="729"/>
      <c r="L3009" s="147">
        <v>2.9000000000000001E-2</v>
      </c>
      <c r="M3009" s="729"/>
      <c r="N3009" s="147">
        <v>2.9000000000000001E-2</v>
      </c>
      <c r="O3009" s="147">
        <v>0</v>
      </c>
      <c r="P3009" s="147">
        <v>2.9000000000000001E-2</v>
      </c>
      <c r="Q3009" s="147">
        <v>0</v>
      </c>
      <c r="R3009" s="147">
        <v>0</v>
      </c>
    </row>
    <row r="3010" spans="2:18" ht="15.75" hidden="1" thickBot="1" x14ac:dyDescent="0.3">
      <c r="B3010" s="725" t="s">
        <v>779</v>
      </c>
      <c r="C3010" s="722" t="s">
        <v>101</v>
      </c>
      <c r="D3010" t="s">
        <v>102</v>
      </c>
      <c r="E3010" s="728"/>
      <c r="F3010" s="728"/>
      <c r="G3010" s="728"/>
      <c r="H3010" s="728"/>
      <c r="I3010" s="728"/>
      <c r="J3010" s="728"/>
      <c r="K3010" s="728"/>
      <c r="L3010" s="148">
        <v>7.2249999999999995E-2</v>
      </c>
      <c r="M3010" s="728"/>
      <c r="N3010" s="148">
        <v>7.2249999999999995E-2</v>
      </c>
      <c r="O3010" s="148">
        <v>0</v>
      </c>
      <c r="P3010" s="148">
        <v>7.2249999999999995E-2</v>
      </c>
      <c r="Q3010" s="148">
        <v>0</v>
      </c>
      <c r="R3010" s="148">
        <v>0</v>
      </c>
    </row>
    <row r="3011" spans="2:18" ht="15.75" hidden="1" thickBot="1" x14ac:dyDescent="0.3">
      <c r="B3011" s="725" t="s">
        <v>779</v>
      </c>
      <c r="C3011" s="722" t="s">
        <v>113</v>
      </c>
      <c r="D3011" t="s">
        <v>114</v>
      </c>
      <c r="E3011" s="729"/>
      <c r="F3011" s="729"/>
      <c r="G3011" s="729"/>
      <c r="H3011" s="729"/>
      <c r="I3011" s="729"/>
      <c r="J3011" s="729"/>
      <c r="K3011" s="729"/>
      <c r="L3011" s="147">
        <v>6.4000000000000003E-3</v>
      </c>
      <c r="M3011" s="729"/>
      <c r="N3011" s="147">
        <v>6.4000000000000003E-3</v>
      </c>
      <c r="O3011" s="147">
        <v>0</v>
      </c>
      <c r="P3011" s="729"/>
      <c r="Q3011" s="147">
        <v>6.4000000000000003E-3</v>
      </c>
      <c r="R3011" s="147">
        <v>0</v>
      </c>
    </row>
    <row r="3012" spans="2:18" ht="15.75" hidden="1" thickBot="1" x14ac:dyDescent="0.3">
      <c r="B3012" s="725" t="s">
        <v>779</v>
      </c>
      <c r="C3012" s="149" t="s">
        <v>85</v>
      </c>
      <c r="D3012" t="s">
        <v>86</v>
      </c>
      <c r="E3012" s="148">
        <v>2.2450000000000001E-2</v>
      </c>
      <c r="F3012" s="728"/>
      <c r="G3012" s="148">
        <v>2.2450000000000001E-2</v>
      </c>
      <c r="H3012" s="148">
        <v>0</v>
      </c>
      <c r="I3012" s="728"/>
      <c r="J3012" s="148">
        <v>2.2450000000000001E-2</v>
      </c>
      <c r="K3012" s="148">
        <v>0</v>
      </c>
      <c r="L3012" s="148">
        <v>0.47122999999999998</v>
      </c>
      <c r="M3012" s="728"/>
      <c r="N3012" s="148">
        <v>0.47122999999999998</v>
      </c>
      <c r="O3012" s="148">
        <v>0</v>
      </c>
      <c r="P3012" s="148">
        <v>0.27572999999999998</v>
      </c>
      <c r="Q3012" s="148">
        <v>0.19550000000000001</v>
      </c>
      <c r="R3012" s="148">
        <v>70.902694665070896</v>
      </c>
    </row>
    <row r="3013" spans="2:18" ht="15.75" hidden="1" thickBot="1" x14ac:dyDescent="0.3">
      <c r="B3013" s="725" t="s">
        <v>779</v>
      </c>
      <c r="C3013" s="144" t="s">
        <v>87</v>
      </c>
      <c r="D3013" t="s">
        <v>87</v>
      </c>
      <c r="E3013" s="147">
        <v>19.758099999999999</v>
      </c>
      <c r="F3013" s="147">
        <v>17.65851</v>
      </c>
      <c r="G3013" s="147">
        <v>2.0995900000000001</v>
      </c>
      <c r="H3013" s="147">
        <v>11.889961270798047</v>
      </c>
      <c r="I3013" s="729"/>
      <c r="J3013" s="147">
        <v>19.758099999999999</v>
      </c>
      <c r="K3013" s="147">
        <v>0</v>
      </c>
      <c r="L3013" s="147">
        <v>242.60603</v>
      </c>
      <c r="M3013" s="147">
        <v>206.24449000000001</v>
      </c>
      <c r="N3013" s="147">
        <v>36.361539999999998</v>
      </c>
      <c r="O3013" s="147">
        <v>17.630308572122338</v>
      </c>
      <c r="P3013" s="147">
        <v>117.02204999999999</v>
      </c>
      <c r="Q3013" s="147">
        <v>125.58398</v>
      </c>
      <c r="R3013" s="147">
        <v>107.31651000815658</v>
      </c>
    </row>
    <row r="3014" spans="2:18" ht="15.75" hidden="1" thickBot="1" x14ac:dyDescent="0.3">
      <c r="B3014" s="725" t="s">
        <v>780</v>
      </c>
      <c r="C3014" s="722" t="s">
        <v>59</v>
      </c>
      <c r="D3014" t="s">
        <v>60</v>
      </c>
      <c r="E3014" s="148">
        <v>43.165889999999997</v>
      </c>
      <c r="F3014" s="148">
        <v>47.303539999999998</v>
      </c>
      <c r="G3014" s="148">
        <v>-4.1376499999999998</v>
      </c>
      <c r="H3014" s="148">
        <v>-8.7470197790693884</v>
      </c>
      <c r="I3014" s="728"/>
      <c r="J3014" s="148">
        <v>43.165889999999997</v>
      </c>
      <c r="K3014" s="148">
        <v>0</v>
      </c>
      <c r="L3014" s="148">
        <v>556.90026999999998</v>
      </c>
      <c r="M3014" s="148">
        <v>564.66453999999999</v>
      </c>
      <c r="N3014" s="148">
        <v>-7.7642699999999998</v>
      </c>
      <c r="O3014" s="148">
        <v>-1.3750234785417905</v>
      </c>
      <c r="P3014" s="148">
        <v>283.17644000000001</v>
      </c>
      <c r="Q3014" s="148">
        <v>273.72383000000002</v>
      </c>
      <c r="R3014" s="148">
        <v>96.661936282552318</v>
      </c>
    </row>
    <row r="3015" spans="2:18" ht="15.75" hidden="1" thickBot="1" x14ac:dyDescent="0.3">
      <c r="B3015" s="725" t="s">
        <v>780</v>
      </c>
      <c r="C3015" s="722" t="s">
        <v>61</v>
      </c>
      <c r="D3015" t="s">
        <v>62</v>
      </c>
      <c r="E3015" s="147">
        <v>7.2611600000000003</v>
      </c>
      <c r="F3015" s="147">
        <v>7.3320499999999997</v>
      </c>
      <c r="G3015" s="147">
        <v>-7.0889999999999995E-2</v>
      </c>
      <c r="H3015" s="147">
        <v>-0.96685101710981236</v>
      </c>
      <c r="I3015" s="729"/>
      <c r="J3015" s="147">
        <v>7.2611600000000003</v>
      </c>
      <c r="K3015" s="147">
        <v>0</v>
      </c>
      <c r="L3015" s="147">
        <v>85.60857</v>
      </c>
      <c r="M3015" s="147">
        <v>87.523020000000002</v>
      </c>
      <c r="N3015" s="147">
        <v>-1.91445</v>
      </c>
      <c r="O3015" s="147">
        <v>-2.1873673920301195</v>
      </c>
      <c r="P3015" s="147">
        <v>42.041629999999998</v>
      </c>
      <c r="Q3015" s="147">
        <v>43.566940000000002</v>
      </c>
      <c r="R3015" s="147">
        <v>103.62809434363035</v>
      </c>
    </row>
    <row r="3016" spans="2:18" ht="15.75" hidden="1" thickBot="1" x14ac:dyDescent="0.3">
      <c r="B3016" s="725" t="s">
        <v>780</v>
      </c>
      <c r="C3016" s="722" t="s">
        <v>63</v>
      </c>
      <c r="D3016" t="s">
        <v>64</v>
      </c>
      <c r="E3016" s="148">
        <v>28.208819999999999</v>
      </c>
      <c r="F3016" s="148">
        <v>28.52403</v>
      </c>
      <c r="G3016" s="148">
        <v>-0.31520999999999999</v>
      </c>
      <c r="H3016" s="148">
        <v>-1.1050682529782783</v>
      </c>
      <c r="I3016" s="728"/>
      <c r="J3016" s="148">
        <v>28.208819999999999</v>
      </c>
      <c r="K3016" s="148">
        <v>0</v>
      </c>
      <c r="L3016" s="148">
        <v>332.58084000000002</v>
      </c>
      <c r="M3016" s="148">
        <v>340.49268000000001</v>
      </c>
      <c r="N3016" s="148">
        <v>-7.9118399999999998</v>
      </c>
      <c r="O3016" s="148">
        <v>-2.323644666898566</v>
      </c>
      <c r="P3016" s="148">
        <v>163.32785000000001</v>
      </c>
      <c r="Q3016" s="148">
        <v>169.25299000000001</v>
      </c>
      <c r="R3016" s="148">
        <v>103.62775852373004</v>
      </c>
    </row>
    <row r="3017" spans="2:18" ht="15.75" hidden="1" thickBot="1" x14ac:dyDescent="0.3">
      <c r="B3017" s="725" t="s">
        <v>780</v>
      </c>
      <c r="C3017" s="722" t="s">
        <v>156</v>
      </c>
      <c r="D3017" t="s">
        <v>157</v>
      </c>
      <c r="E3017" s="147">
        <v>19.86692</v>
      </c>
      <c r="F3017" s="729"/>
      <c r="G3017" s="147">
        <v>19.86692</v>
      </c>
      <c r="H3017" s="147">
        <v>0</v>
      </c>
      <c r="I3017" s="729"/>
      <c r="J3017" s="147">
        <v>19.86692</v>
      </c>
      <c r="K3017" s="147">
        <v>0</v>
      </c>
      <c r="L3017" s="147">
        <v>191.41882000000001</v>
      </c>
      <c r="M3017" s="729"/>
      <c r="N3017" s="147">
        <v>191.41882000000001</v>
      </c>
      <c r="O3017" s="147">
        <v>0</v>
      </c>
      <c r="P3017" s="147">
        <v>89.909649999999999</v>
      </c>
      <c r="Q3017" s="147">
        <v>101.50917</v>
      </c>
      <c r="R3017" s="147">
        <v>112.90130703433947</v>
      </c>
    </row>
    <row r="3018" spans="2:18" ht="15.75" hidden="1" thickBot="1" x14ac:dyDescent="0.3">
      <c r="B3018" s="725" t="s">
        <v>780</v>
      </c>
      <c r="C3018" s="722" t="s">
        <v>65</v>
      </c>
      <c r="D3018" t="s">
        <v>66</v>
      </c>
      <c r="E3018" s="148">
        <v>-76.892960000000002</v>
      </c>
      <c r="F3018" s="148">
        <v>-66.527690000000007</v>
      </c>
      <c r="G3018" s="148">
        <v>-10.365270000000001</v>
      </c>
      <c r="H3018" s="148">
        <v>-15.580384648858242</v>
      </c>
      <c r="I3018" s="728"/>
      <c r="J3018" s="148">
        <v>-76.892960000000002</v>
      </c>
      <c r="K3018" s="148">
        <v>0</v>
      </c>
      <c r="L3018" s="148">
        <v>-1000.82784</v>
      </c>
      <c r="M3018" s="148">
        <v>-794.14409999999998</v>
      </c>
      <c r="N3018" s="148">
        <v>-206.68374</v>
      </c>
      <c r="O3018" s="148">
        <v>-26.025974379209014</v>
      </c>
      <c r="P3018" s="148">
        <v>-496.01627000000002</v>
      </c>
      <c r="Q3018" s="148">
        <v>-504.81157000000002</v>
      </c>
      <c r="R3018" s="148">
        <v>-101.77318780289202</v>
      </c>
    </row>
    <row r="3019" spans="2:18" ht="15.75" hidden="1" thickBot="1" x14ac:dyDescent="0.3">
      <c r="B3019" s="725" t="s">
        <v>780</v>
      </c>
      <c r="C3019" s="149" t="s">
        <v>67</v>
      </c>
      <c r="D3019" t="s">
        <v>68</v>
      </c>
      <c r="E3019" s="147">
        <v>21.609829999999999</v>
      </c>
      <c r="F3019" s="147">
        <v>16.631930000000001</v>
      </c>
      <c r="G3019" s="147">
        <v>4.9779</v>
      </c>
      <c r="H3019" s="147">
        <v>29.929779646739735</v>
      </c>
      <c r="I3019" s="729"/>
      <c r="J3019" s="147">
        <v>21.609829999999999</v>
      </c>
      <c r="K3019" s="147">
        <v>0</v>
      </c>
      <c r="L3019" s="147">
        <v>165.68065999999999</v>
      </c>
      <c r="M3019" s="147">
        <v>198.53613999999999</v>
      </c>
      <c r="N3019" s="147">
        <v>-32.85548</v>
      </c>
      <c r="O3019" s="147">
        <v>-16.54886611576109</v>
      </c>
      <c r="P3019" s="147">
        <v>82.439300000000003</v>
      </c>
      <c r="Q3019" s="147">
        <v>83.24136</v>
      </c>
      <c r="R3019" s="147">
        <v>100.97290976512416</v>
      </c>
    </row>
    <row r="3020" spans="2:18" ht="15.75" hidden="1" thickBot="1" x14ac:dyDescent="0.3">
      <c r="B3020" s="725" t="s">
        <v>780</v>
      </c>
      <c r="C3020" s="722" t="s">
        <v>137</v>
      </c>
      <c r="D3020" t="s">
        <v>138</v>
      </c>
      <c r="E3020" s="728"/>
      <c r="F3020" s="728"/>
      <c r="G3020" s="728"/>
      <c r="H3020" s="728"/>
      <c r="I3020" s="728"/>
      <c r="J3020" s="728"/>
      <c r="K3020" s="728"/>
      <c r="L3020" s="148">
        <v>0.16732</v>
      </c>
      <c r="M3020" s="728"/>
      <c r="N3020" s="148">
        <v>0.16732</v>
      </c>
      <c r="O3020" s="148">
        <v>0</v>
      </c>
      <c r="P3020" s="148">
        <v>0.16732</v>
      </c>
      <c r="Q3020" s="148">
        <v>0</v>
      </c>
      <c r="R3020" s="148">
        <v>0</v>
      </c>
    </row>
    <row r="3021" spans="2:18" ht="15.75" hidden="1" thickBot="1" x14ac:dyDescent="0.3">
      <c r="B3021" s="725" t="s">
        <v>780</v>
      </c>
      <c r="C3021" s="722" t="s">
        <v>143</v>
      </c>
      <c r="D3021" t="s">
        <v>144</v>
      </c>
      <c r="E3021" s="147">
        <v>4.5969999999999997E-2</v>
      </c>
      <c r="F3021" s="729"/>
      <c r="G3021" s="147">
        <v>4.5969999999999997E-2</v>
      </c>
      <c r="H3021" s="147">
        <v>0</v>
      </c>
      <c r="I3021" s="729"/>
      <c r="J3021" s="147">
        <v>4.5969999999999997E-2</v>
      </c>
      <c r="K3021" s="147">
        <v>0</v>
      </c>
      <c r="L3021" s="147">
        <v>4.5969999999999997E-2</v>
      </c>
      <c r="M3021" s="729"/>
      <c r="N3021" s="147">
        <v>4.5969999999999997E-2</v>
      </c>
      <c r="O3021" s="147">
        <v>0</v>
      </c>
      <c r="P3021" s="729"/>
      <c r="Q3021" s="147">
        <v>4.5969999999999997E-2</v>
      </c>
      <c r="R3021" s="147">
        <v>0</v>
      </c>
    </row>
    <row r="3022" spans="2:18" ht="15.75" hidden="1" thickBot="1" x14ac:dyDescent="0.3">
      <c r="B3022" s="725" t="s">
        <v>780</v>
      </c>
      <c r="C3022" s="722" t="s">
        <v>153</v>
      </c>
      <c r="D3022" t="s">
        <v>154</v>
      </c>
      <c r="E3022" s="728"/>
      <c r="F3022" s="728"/>
      <c r="G3022" s="728"/>
      <c r="H3022" s="728"/>
      <c r="I3022" s="728"/>
      <c r="J3022" s="728"/>
      <c r="K3022" s="728"/>
      <c r="L3022" s="148">
        <v>4.4819999999999999E-2</v>
      </c>
      <c r="M3022" s="728"/>
      <c r="N3022" s="148">
        <v>4.4819999999999999E-2</v>
      </c>
      <c r="O3022" s="148">
        <v>0</v>
      </c>
      <c r="P3022" s="148">
        <v>4.4819999999999999E-2</v>
      </c>
      <c r="Q3022" s="148">
        <v>0</v>
      </c>
      <c r="R3022" s="148">
        <v>0</v>
      </c>
    </row>
    <row r="3023" spans="2:18" ht="15.75" hidden="1" thickBot="1" x14ac:dyDescent="0.3">
      <c r="B3023" s="725" t="s">
        <v>780</v>
      </c>
      <c r="C3023" s="722" t="s">
        <v>77</v>
      </c>
      <c r="D3023" t="s">
        <v>78</v>
      </c>
      <c r="E3023" s="729"/>
      <c r="F3023" s="729"/>
      <c r="G3023" s="729"/>
      <c r="H3023" s="729"/>
      <c r="I3023" s="729"/>
      <c r="J3023" s="729"/>
      <c r="K3023" s="729"/>
      <c r="L3023" s="147">
        <v>0.93035999999999996</v>
      </c>
      <c r="M3023" s="729"/>
      <c r="N3023" s="147">
        <v>0.93035999999999996</v>
      </c>
      <c r="O3023" s="147">
        <v>0</v>
      </c>
      <c r="P3023" s="147">
        <v>0.72950000000000004</v>
      </c>
      <c r="Q3023" s="147">
        <v>0.20086000000000001</v>
      </c>
      <c r="R3023" s="147">
        <v>27.533927347498288</v>
      </c>
    </row>
    <row r="3024" spans="2:18" ht="15.75" hidden="1" thickBot="1" x14ac:dyDescent="0.3">
      <c r="B3024" s="725" t="s">
        <v>780</v>
      </c>
      <c r="C3024" s="722" t="s">
        <v>693</v>
      </c>
      <c r="D3024" t="s">
        <v>694</v>
      </c>
      <c r="E3024" s="148">
        <v>29.244</v>
      </c>
      <c r="F3024" s="148">
        <v>9.6666699999999999</v>
      </c>
      <c r="G3024" s="148">
        <v>19.57733</v>
      </c>
      <c r="H3024" s="148">
        <v>202.52403361240221</v>
      </c>
      <c r="I3024" s="728"/>
      <c r="J3024" s="148">
        <v>29.244</v>
      </c>
      <c r="K3024" s="148">
        <v>0</v>
      </c>
      <c r="L3024" s="148">
        <v>291.14395000000002</v>
      </c>
      <c r="M3024" s="148">
        <v>116</v>
      </c>
      <c r="N3024" s="148">
        <v>175.14394999999999</v>
      </c>
      <c r="O3024" s="148">
        <v>150.98616379310346</v>
      </c>
      <c r="P3024" s="148">
        <v>131.21080000000001</v>
      </c>
      <c r="Q3024" s="148">
        <v>159.93315000000001</v>
      </c>
      <c r="R3024" s="148">
        <v>121.89023312105407</v>
      </c>
    </row>
    <row r="3025" spans="2:18" ht="15.75" hidden="1" thickBot="1" x14ac:dyDescent="0.3">
      <c r="B3025" s="725" t="s">
        <v>780</v>
      </c>
      <c r="C3025" s="149" t="s">
        <v>85</v>
      </c>
      <c r="D3025" t="s">
        <v>86</v>
      </c>
      <c r="E3025" s="147">
        <v>29.28997</v>
      </c>
      <c r="F3025" s="147">
        <v>9.6666699999999999</v>
      </c>
      <c r="G3025" s="147">
        <v>19.6233</v>
      </c>
      <c r="H3025" s="147">
        <v>202.99958517255683</v>
      </c>
      <c r="I3025" s="729"/>
      <c r="J3025" s="147">
        <v>29.28997</v>
      </c>
      <c r="K3025" s="147">
        <v>0</v>
      </c>
      <c r="L3025" s="147">
        <v>292.33242000000001</v>
      </c>
      <c r="M3025" s="147">
        <v>116</v>
      </c>
      <c r="N3025" s="147">
        <v>176.33242000000001</v>
      </c>
      <c r="O3025" s="147">
        <v>152.01070689655171</v>
      </c>
      <c r="P3025" s="147">
        <v>132.15244000000001</v>
      </c>
      <c r="Q3025" s="147">
        <v>160.17998</v>
      </c>
      <c r="R3025" s="147">
        <v>121.20849225334015</v>
      </c>
    </row>
    <row r="3026" spans="2:18" ht="15.75" hidden="1" thickBot="1" x14ac:dyDescent="0.3">
      <c r="B3026" s="725" t="s">
        <v>780</v>
      </c>
      <c r="C3026" s="144" t="s">
        <v>87</v>
      </c>
      <c r="D3026" t="s">
        <v>87</v>
      </c>
      <c r="E3026" s="148">
        <v>50.899799999999999</v>
      </c>
      <c r="F3026" s="148">
        <v>26.2986</v>
      </c>
      <c r="G3026" s="148">
        <v>24.601199999999999</v>
      </c>
      <c r="H3026" s="148">
        <v>93.545664027742916</v>
      </c>
      <c r="I3026" s="728"/>
      <c r="J3026" s="148">
        <v>50.899799999999999</v>
      </c>
      <c r="K3026" s="148">
        <v>0</v>
      </c>
      <c r="L3026" s="148">
        <v>458.01308</v>
      </c>
      <c r="M3026" s="148">
        <v>314.53613999999999</v>
      </c>
      <c r="N3026" s="148">
        <v>143.47694000000001</v>
      </c>
      <c r="O3026" s="148">
        <v>45.615406865487699</v>
      </c>
      <c r="P3026" s="148">
        <v>214.59173999999999</v>
      </c>
      <c r="Q3026" s="148">
        <v>243.42133999999999</v>
      </c>
      <c r="R3026" s="148">
        <v>113.43462707371681</v>
      </c>
    </row>
    <row r="3027" spans="2:18" ht="15.75" hidden="1" thickBot="1" x14ac:dyDescent="0.3">
      <c r="B3027" s="724" t="s">
        <v>781</v>
      </c>
      <c r="C3027" s="722" t="s">
        <v>59</v>
      </c>
      <c r="D3027" t="s">
        <v>60</v>
      </c>
      <c r="E3027" s="147">
        <v>99.783670000000001</v>
      </c>
      <c r="F3027" s="147">
        <v>111.50687000000001</v>
      </c>
      <c r="G3027" s="147">
        <v>-11.7232</v>
      </c>
      <c r="H3027" s="147">
        <v>-10.513432939154331</v>
      </c>
      <c r="I3027" s="729"/>
      <c r="J3027" s="147">
        <v>99.783670000000001</v>
      </c>
      <c r="K3027" s="147">
        <v>0</v>
      </c>
      <c r="L3027" s="147">
        <v>1324.5188499999999</v>
      </c>
      <c r="M3027" s="147">
        <v>1331.0626600000001</v>
      </c>
      <c r="N3027" s="147">
        <v>-6.5438099999999997</v>
      </c>
      <c r="O3027" s="147">
        <v>-0.4916229864039609</v>
      </c>
      <c r="P3027" s="147">
        <v>669.81407999999999</v>
      </c>
      <c r="Q3027" s="147">
        <v>654.70477000000005</v>
      </c>
      <c r="R3027" s="147">
        <v>97.744253151561097</v>
      </c>
    </row>
    <row r="3028" spans="2:18" ht="15.75" hidden="1" thickBot="1" x14ac:dyDescent="0.3">
      <c r="B3028" s="724" t="s">
        <v>781</v>
      </c>
      <c r="C3028" s="722" t="s">
        <v>61</v>
      </c>
      <c r="D3028" t="s">
        <v>62</v>
      </c>
      <c r="E3028" s="148">
        <v>17.519010000000002</v>
      </c>
      <c r="F3028" s="148">
        <v>17.283570000000001</v>
      </c>
      <c r="G3028" s="148">
        <v>0.23544000000000001</v>
      </c>
      <c r="H3028" s="148">
        <v>1.3622185694274966</v>
      </c>
      <c r="I3028" s="728"/>
      <c r="J3028" s="148">
        <v>17.519010000000002</v>
      </c>
      <c r="K3028" s="148">
        <v>0</v>
      </c>
      <c r="L3028" s="148">
        <v>205.10615000000001</v>
      </c>
      <c r="M3028" s="148">
        <v>206.31478000000001</v>
      </c>
      <c r="N3028" s="148">
        <v>-1.2086300000000001</v>
      </c>
      <c r="O3028" s="148">
        <v>-0.5858184275503675</v>
      </c>
      <c r="P3028" s="148">
        <v>99.991929999999996</v>
      </c>
      <c r="Q3028" s="148">
        <v>105.11422</v>
      </c>
      <c r="R3028" s="148">
        <v>105.12270340216456</v>
      </c>
    </row>
    <row r="3029" spans="2:18" ht="15.75" hidden="1" thickBot="1" x14ac:dyDescent="0.3">
      <c r="B3029" s="724" t="s">
        <v>781</v>
      </c>
      <c r="C3029" s="722" t="s">
        <v>63</v>
      </c>
      <c r="D3029" t="s">
        <v>64</v>
      </c>
      <c r="E3029" s="147">
        <v>68.060050000000004</v>
      </c>
      <c r="F3029" s="147">
        <v>67.238630000000001</v>
      </c>
      <c r="G3029" s="147">
        <v>0.82142000000000004</v>
      </c>
      <c r="H3029" s="147">
        <v>1.2216489241378059</v>
      </c>
      <c r="I3029" s="729"/>
      <c r="J3029" s="147">
        <v>68.060050000000004</v>
      </c>
      <c r="K3029" s="147">
        <v>0</v>
      </c>
      <c r="L3029" s="147">
        <v>796.82135000000005</v>
      </c>
      <c r="M3029" s="147">
        <v>802.63063999999997</v>
      </c>
      <c r="N3029" s="147">
        <v>-5.8092899999999998</v>
      </c>
      <c r="O3029" s="147">
        <v>-0.72378124014802125</v>
      </c>
      <c r="P3029" s="147">
        <v>388.46100000000001</v>
      </c>
      <c r="Q3029" s="147">
        <v>408.36034999999998</v>
      </c>
      <c r="R3029" s="147">
        <v>105.12261205114542</v>
      </c>
    </row>
    <row r="3030" spans="2:18" ht="15.75" hidden="1" thickBot="1" x14ac:dyDescent="0.3">
      <c r="B3030" s="724" t="s">
        <v>781</v>
      </c>
      <c r="C3030" s="722" t="s">
        <v>156</v>
      </c>
      <c r="D3030" t="s">
        <v>157</v>
      </c>
      <c r="E3030" s="148">
        <v>89.891120000000001</v>
      </c>
      <c r="F3030" s="148">
        <v>5.15083</v>
      </c>
      <c r="G3030" s="148">
        <v>84.740290000000002</v>
      </c>
      <c r="H3030" s="148">
        <v>1645.1773791796661</v>
      </c>
      <c r="I3030" s="728"/>
      <c r="J3030" s="148">
        <v>89.891120000000001</v>
      </c>
      <c r="K3030" s="148">
        <v>0</v>
      </c>
      <c r="L3030" s="148">
        <v>1312.17489</v>
      </c>
      <c r="M3030" s="148">
        <v>61.485700000000001</v>
      </c>
      <c r="N3030" s="148">
        <v>1250.6891900000001</v>
      </c>
      <c r="O3030" s="148">
        <v>2034.1139321826051</v>
      </c>
      <c r="P3030" s="148">
        <v>676.11900000000003</v>
      </c>
      <c r="Q3030" s="148">
        <v>636.05588999999998</v>
      </c>
      <c r="R3030" s="148">
        <v>94.074547527876007</v>
      </c>
    </row>
    <row r="3031" spans="2:18" ht="15.75" hidden="1" thickBot="1" x14ac:dyDescent="0.3">
      <c r="B3031" s="724" t="s">
        <v>781</v>
      </c>
      <c r="C3031" s="722" t="s">
        <v>65</v>
      </c>
      <c r="D3031" t="s">
        <v>66</v>
      </c>
      <c r="E3031" s="147">
        <v>-125.29904999999999</v>
      </c>
      <c r="F3031" s="147">
        <v>-37.584609999999998</v>
      </c>
      <c r="G3031" s="147">
        <v>-87.714439999999996</v>
      </c>
      <c r="H3031" s="147">
        <v>-233.37860895723011</v>
      </c>
      <c r="I3031" s="729"/>
      <c r="J3031" s="147">
        <v>-125.29904999999999</v>
      </c>
      <c r="K3031" s="147">
        <v>0</v>
      </c>
      <c r="L3031" s="147">
        <v>-1805.01711</v>
      </c>
      <c r="M3031" s="147">
        <v>-448.64920000000001</v>
      </c>
      <c r="N3031" s="147">
        <v>-1356.3679099999999</v>
      </c>
      <c r="O3031" s="147">
        <v>-302.32259636259244</v>
      </c>
      <c r="P3031" s="147">
        <v>-922.30041000000006</v>
      </c>
      <c r="Q3031" s="147">
        <v>-882.71669999999995</v>
      </c>
      <c r="R3031" s="147">
        <v>-95.708154352875113</v>
      </c>
    </row>
    <row r="3032" spans="2:18" ht="15.75" hidden="1" thickBot="1" x14ac:dyDescent="0.3">
      <c r="B3032" s="724" t="s">
        <v>781</v>
      </c>
      <c r="C3032" s="149" t="s">
        <v>67</v>
      </c>
      <c r="D3032" t="s">
        <v>68</v>
      </c>
      <c r="E3032" s="148">
        <v>149.95480000000001</v>
      </c>
      <c r="F3032" s="148">
        <v>163.59529000000001</v>
      </c>
      <c r="G3032" s="148">
        <v>-13.64049</v>
      </c>
      <c r="H3032" s="148">
        <v>-8.3379478712376134</v>
      </c>
      <c r="I3032" s="728"/>
      <c r="J3032" s="148">
        <v>149.95480000000001</v>
      </c>
      <c r="K3032" s="148">
        <v>0</v>
      </c>
      <c r="L3032" s="148">
        <v>1833.6041299999999</v>
      </c>
      <c r="M3032" s="148">
        <v>1952.84458</v>
      </c>
      <c r="N3032" s="148">
        <v>-119.24045</v>
      </c>
      <c r="O3032" s="148">
        <v>-6.1059877074293336</v>
      </c>
      <c r="P3032" s="148">
        <v>912.0856</v>
      </c>
      <c r="Q3032" s="148">
        <v>921.51853000000006</v>
      </c>
      <c r="R3032" s="148">
        <v>101.03421542890273</v>
      </c>
    </row>
    <row r="3033" spans="2:18" ht="15.75" hidden="1" thickBot="1" x14ac:dyDescent="0.3">
      <c r="B3033" s="724" t="s">
        <v>781</v>
      </c>
      <c r="C3033" s="722" t="s">
        <v>69</v>
      </c>
      <c r="D3033" t="s">
        <v>70</v>
      </c>
      <c r="E3033" s="147">
        <v>3.8769999999999999E-2</v>
      </c>
      <c r="F3033" s="729"/>
      <c r="G3033" s="147">
        <v>3.8769999999999999E-2</v>
      </c>
      <c r="H3033" s="147">
        <v>0</v>
      </c>
      <c r="I3033" s="729"/>
      <c r="J3033" s="147">
        <v>3.8769999999999999E-2</v>
      </c>
      <c r="K3033" s="147">
        <v>0</v>
      </c>
      <c r="L3033" s="147">
        <v>4.8176600000000001</v>
      </c>
      <c r="M3033" s="729"/>
      <c r="N3033" s="147">
        <v>4.8176600000000001</v>
      </c>
      <c r="O3033" s="147">
        <v>0</v>
      </c>
      <c r="P3033" s="147">
        <v>4.2169999999999996</v>
      </c>
      <c r="Q3033" s="147">
        <v>0.60065999999999997</v>
      </c>
      <c r="R3033" s="147">
        <v>14.243775195636708</v>
      </c>
    </row>
    <row r="3034" spans="2:18" ht="15.75" hidden="1" thickBot="1" x14ac:dyDescent="0.3">
      <c r="B3034" s="724" t="s">
        <v>781</v>
      </c>
      <c r="C3034" s="722" t="s">
        <v>137</v>
      </c>
      <c r="D3034" t="s">
        <v>138</v>
      </c>
      <c r="E3034" s="148">
        <v>5.2693599999999998</v>
      </c>
      <c r="F3034" s="148">
        <v>2.448</v>
      </c>
      <c r="G3034" s="148">
        <v>2.8213599999999999</v>
      </c>
      <c r="H3034" s="148">
        <v>115.2516339869281</v>
      </c>
      <c r="I3034" s="728"/>
      <c r="J3034" s="148">
        <v>5.2693599999999998</v>
      </c>
      <c r="K3034" s="148">
        <v>0</v>
      </c>
      <c r="L3034" s="148">
        <v>25.48996</v>
      </c>
      <c r="M3034" s="148">
        <v>26.25</v>
      </c>
      <c r="N3034" s="148">
        <v>-0.76004000000000005</v>
      </c>
      <c r="O3034" s="148">
        <v>-2.8953904761904763</v>
      </c>
      <c r="P3034" s="148">
        <v>9.7308500000000002</v>
      </c>
      <c r="Q3034" s="148">
        <v>15.75911</v>
      </c>
      <c r="R3034" s="148">
        <v>161.94998381436361</v>
      </c>
    </row>
    <row r="3035" spans="2:18" ht="15.75" hidden="1" thickBot="1" x14ac:dyDescent="0.3">
      <c r="B3035" s="724" t="s">
        <v>781</v>
      </c>
      <c r="C3035" s="722" t="s">
        <v>139</v>
      </c>
      <c r="D3035" t="s">
        <v>140</v>
      </c>
      <c r="E3035" s="147">
        <v>4.05</v>
      </c>
      <c r="F3035" s="729"/>
      <c r="G3035" s="147">
        <v>4.05</v>
      </c>
      <c r="H3035" s="147">
        <v>0</v>
      </c>
      <c r="I3035" s="729"/>
      <c r="J3035" s="147">
        <v>4.05</v>
      </c>
      <c r="K3035" s="147">
        <v>0</v>
      </c>
      <c r="L3035" s="147">
        <v>22.253</v>
      </c>
      <c r="M3035" s="729"/>
      <c r="N3035" s="147">
        <v>22.253</v>
      </c>
      <c r="O3035" s="147">
        <v>0</v>
      </c>
      <c r="P3035" s="147">
        <v>9.7279999999999998</v>
      </c>
      <c r="Q3035" s="147">
        <v>12.525</v>
      </c>
      <c r="R3035" s="147">
        <v>128.75205592105263</v>
      </c>
    </row>
    <row r="3036" spans="2:18" ht="15.75" hidden="1" thickBot="1" x14ac:dyDescent="0.3">
      <c r="B3036" s="724" t="s">
        <v>781</v>
      </c>
      <c r="C3036" s="722" t="s">
        <v>101</v>
      </c>
      <c r="D3036" t="s">
        <v>102</v>
      </c>
      <c r="E3036" s="148">
        <v>0</v>
      </c>
      <c r="F3036" s="728"/>
      <c r="G3036" s="148">
        <v>0</v>
      </c>
      <c r="H3036" s="148">
        <v>0</v>
      </c>
      <c r="I3036" s="728"/>
      <c r="J3036" s="148">
        <v>0</v>
      </c>
      <c r="K3036" s="148">
        <v>0</v>
      </c>
      <c r="L3036" s="148">
        <v>11.37942</v>
      </c>
      <c r="M3036" s="728"/>
      <c r="N3036" s="148">
        <v>11.37942</v>
      </c>
      <c r="O3036" s="148">
        <v>0</v>
      </c>
      <c r="P3036" s="148">
        <v>3.3000500000000001</v>
      </c>
      <c r="Q3036" s="148">
        <v>8.0793700000000008</v>
      </c>
      <c r="R3036" s="148">
        <v>244.82568445932637</v>
      </c>
    </row>
    <row r="3037" spans="2:18" ht="15.75" hidden="1" thickBot="1" x14ac:dyDescent="0.3">
      <c r="B3037" s="724" t="s">
        <v>781</v>
      </c>
      <c r="C3037" s="722" t="s">
        <v>103</v>
      </c>
      <c r="D3037" t="s">
        <v>104</v>
      </c>
      <c r="E3037" s="147">
        <v>0</v>
      </c>
      <c r="F3037" s="729"/>
      <c r="G3037" s="147">
        <v>0</v>
      </c>
      <c r="H3037" s="147">
        <v>0</v>
      </c>
      <c r="I3037" s="729"/>
      <c r="J3037" s="147">
        <v>0</v>
      </c>
      <c r="K3037" s="147">
        <v>0</v>
      </c>
      <c r="L3037" s="147">
        <v>0.3</v>
      </c>
      <c r="M3037" s="729"/>
      <c r="N3037" s="147">
        <v>0.3</v>
      </c>
      <c r="O3037" s="147">
        <v>0</v>
      </c>
      <c r="P3037" s="147">
        <v>0.3</v>
      </c>
      <c r="Q3037" s="147">
        <v>0</v>
      </c>
      <c r="R3037" s="147">
        <v>0</v>
      </c>
    </row>
    <row r="3038" spans="2:18" ht="15.75" hidden="1" thickBot="1" x14ac:dyDescent="0.3">
      <c r="B3038" s="724" t="s">
        <v>781</v>
      </c>
      <c r="C3038" s="722" t="s">
        <v>71</v>
      </c>
      <c r="D3038" t="s">
        <v>72</v>
      </c>
      <c r="E3038" s="148">
        <v>7.9799999999999992E-3</v>
      </c>
      <c r="F3038" s="728"/>
      <c r="G3038" s="148">
        <v>7.9799999999999992E-3</v>
      </c>
      <c r="H3038" s="148">
        <v>0</v>
      </c>
      <c r="I3038" s="728"/>
      <c r="J3038" s="148">
        <v>7.9799999999999992E-3</v>
      </c>
      <c r="K3038" s="148">
        <v>0</v>
      </c>
      <c r="L3038" s="148">
        <v>0.79783999999999999</v>
      </c>
      <c r="M3038" s="728"/>
      <c r="N3038" s="148">
        <v>0.79783999999999999</v>
      </c>
      <c r="O3038" s="148">
        <v>0</v>
      </c>
      <c r="P3038" s="148">
        <v>0.76270000000000004</v>
      </c>
      <c r="Q3038" s="148">
        <v>3.5139999999999998E-2</v>
      </c>
      <c r="R3038" s="148">
        <v>4.6073161138062151</v>
      </c>
    </row>
    <row r="3039" spans="2:18" ht="15.75" hidden="1" thickBot="1" x14ac:dyDescent="0.3">
      <c r="B3039" s="724" t="s">
        <v>781</v>
      </c>
      <c r="C3039" s="722" t="s">
        <v>109</v>
      </c>
      <c r="D3039" t="s">
        <v>110</v>
      </c>
      <c r="E3039" s="147">
        <v>0.05</v>
      </c>
      <c r="F3039" s="147">
        <v>10.66433</v>
      </c>
      <c r="G3039" s="147">
        <v>-10.614330000000001</v>
      </c>
      <c r="H3039" s="147">
        <v>-99.531147291953644</v>
      </c>
      <c r="I3039" s="729"/>
      <c r="J3039" s="147">
        <v>0.05</v>
      </c>
      <c r="K3039" s="147">
        <v>0</v>
      </c>
      <c r="L3039" s="147">
        <v>85.59751</v>
      </c>
      <c r="M3039" s="147">
        <v>125</v>
      </c>
      <c r="N3039" s="147">
        <v>-39.40249</v>
      </c>
      <c r="O3039" s="147">
        <v>-31.521992000000001</v>
      </c>
      <c r="P3039" s="147">
        <v>36.130710000000001</v>
      </c>
      <c r="Q3039" s="147">
        <v>49.466799999999999</v>
      </c>
      <c r="R3039" s="147">
        <v>136.91067792467959</v>
      </c>
    </row>
    <row r="3040" spans="2:18" ht="15.75" hidden="1" thickBot="1" x14ac:dyDescent="0.3">
      <c r="B3040" s="724" t="s">
        <v>781</v>
      </c>
      <c r="C3040" s="722" t="s">
        <v>73</v>
      </c>
      <c r="D3040" t="s">
        <v>74</v>
      </c>
      <c r="E3040" s="148">
        <v>3.2000000000000002E-3</v>
      </c>
      <c r="F3040" s="728"/>
      <c r="G3040" s="148">
        <v>3.2000000000000002E-3</v>
      </c>
      <c r="H3040" s="148">
        <v>0</v>
      </c>
      <c r="I3040" s="728"/>
      <c r="J3040" s="148">
        <v>3.2000000000000002E-3</v>
      </c>
      <c r="K3040" s="148">
        <v>0</v>
      </c>
      <c r="L3040" s="148">
        <v>9.9940000000000001E-2</v>
      </c>
      <c r="M3040" s="728"/>
      <c r="N3040" s="148">
        <v>9.9940000000000001E-2</v>
      </c>
      <c r="O3040" s="148">
        <v>0</v>
      </c>
      <c r="P3040" s="148">
        <v>1.899E-2</v>
      </c>
      <c r="Q3040" s="148">
        <v>8.0949999999999994E-2</v>
      </c>
      <c r="R3040" s="148">
        <v>426.27698788836227</v>
      </c>
    </row>
    <row r="3041" spans="2:18" ht="15.75" hidden="1" thickBot="1" x14ac:dyDescent="0.3">
      <c r="B3041" s="724" t="s">
        <v>781</v>
      </c>
      <c r="C3041" s="722" t="s">
        <v>111</v>
      </c>
      <c r="D3041" t="s">
        <v>112</v>
      </c>
      <c r="E3041" s="147">
        <v>1.28</v>
      </c>
      <c r="F3041" s="147">
        <v>2.6120000000000001</v>
      </c>
      <c r="G3041" s="147">
        <v>-1.3320000000000001</v>
      </c>
      <c r="H3041" s="147">
        <v>-50.995405819295556</v>
      </c>
      <c r="I3041" s="729"/>
      <c r="J3041" s="147">
        <v>1.28</v>
      </c>
      <c r="K3041" s="147">
        <v>0</v>
      </c>
      <c r="L3041" s="147">
        <v>379.43558999999999</v>
      </c>
      <c r="M3041" s="147">
        <v>28</v>
      </c>
      <c r="N3041" s="147">
        <v>351.43558999999999</v>
      </c>
      <c r="O3041" s="147">
        <v>1255.1271071428571</v>
      </c>
      <c r="P3041" s="147">
        <v>117.87219</v>
      </c>
      <c r="Q3041" s="147">
        <v>261.5634</v>
      </c>
      <c r="R3041" s="147">
        <v>221.90425069730188</v>
      </c>
    </row>
    <row r="3042" spans="2:18" ht="15.75" hidden="1" thickBot="1" x14ac:dyDescent="0.3">
      <c r="B3042" s="724" t="s">
        <v>781</v>
      </c>
      <c r="C3042" s="722" t="s">
        <v>141</v>
      </c>
      <c r="D3042" t="s">
        <v>142</v>
      </c>
      <c r="E3042" s="148">
        <v>0.17799000000000001</v>
      </c>
      <c r="F3042" s="728"/>
      <c r="G3042" s="148">
        <v>0.17799000000000001</v>
      </c>
      <c r="H3042" s="148">
        <v>0</v>
      </c>
      <c r="I3042" s="728"/>
      <c r="J3042" s="148">
        <v>0.17799000000000001</v>
      </c>
      <c r="K3042" s="148">
        <v>0</v>
      </c>
      <c r="L3042" s="148">
        <v>0.50593999999999995</v>
      </c>
      <c r="M3042" s="728"/>
      <c r="N3042" s="148">
        <v>0.50593999999999995</v>
      </c>
      <c r="O3042" s="148">
        <v>0</v>
      </c>
      <c r="P3042" s="148">
        <v>0.27800000000000002</v>
      </c>
      <c r="Q3042" s="148">
        <v>0.22794</v>
      </c>
      <c r="R3042" s="148">
        <v>81.992805755395679</v>
      </c>
    </row>
    <row r="3043" spans="2:18" ht="15.75" hidden="1" thickBot="1" x14ac:dyDescent="0.3">
      <c r="B3043" s="724" t="s">
        <v>781</v>
      </c>
      <c r="C3043" s="722" t="s">
        <v>113</v>
      </c>
      <c r="D3043" t="s">
        <v>114</v>
      </c>
      <c r="E3043" s="147">
        <v>1.35E-2</v>
      </c>
      <c r="F3043" s="729"/>
      <c r="G3043" s="147">
        <v>1.35E-2</v>
      </c>
      <c r="H3043" s="147">
        <v>0</v>
      </c>
      <c r="I3043" s="729"/>
      <c r="J3043" s="147">
        <v>1.35E-2</v>
      </c>
      <c r="K3043" s="147">
        <v>0</v>
      </c>
      <c r="L3043" s="147">
        <v>1.7826900000000001</v>
      </c>
      <c r="M3043" s="729"/>
      <c r="N3043" s="147">
        <v>1.7826900000000001</v>
      </c>
      <c r="O3043" s="147">
        <v>0</v>
      </c>
      <c r="P3043" s="147">
        <v>0.48297000000000001</v>
      </c>
      <c r="Q3043" s="147">
        <v>1.29972</v>
      </c>
      <c r="R3043" s="147">
        <v>269.1098826014038</v>
      </c>
    </row>
    <row r="3044" spans="2:18" ht="15.75" hidden="1" thickBot="1" x14ac:dyDescent="0.3">
      <c r="B3044" s="724" t="s">
        <v>781</v>
      </c>
      <c r="C3044" s="722" t="s">
        <v>143</v>
      </c>
      <c r="D3044" t="s">
        <v>144</v>
      </c>
      <c r="E3044" s="148">
        <v>40.640920000000001</v>
      </c>
      <c r="F3044" s="148">
        <v>40.565510000000003</v>
      </c>
      <c r="G3044" s="148">
        <v>7.5410000000000005E-2</v>
      </c>
      <c r="H3044" s="148">
        <v>0.18589683699280496</v>
      </c>
      <c r="I3044" s="728"/>
      <c r="J3044" s="148">
        <v>40.640920000000001</v>
      </c>
      <c r="K3044" s="148">
        <v>0</v>
      </c>
      <c r="L3044" s="148">
        <v>200.10525000000001</v>
      </c>
      <c r="M3044" s="148">
        <v>188.19604000000001</v>
      </c>
      <c r="N3044" s="148">
        <v>11.90921</v>
      </c>
      <c r="O3044" s="148">
        <v>6.3280874560378635</v>
      </c>
      <c r="P3044" s="148">
        <v>57.447749999999999</v>
      </c>
      <c r="Q3044" s="148">
        <v>142.6575</v>
      </c>
      <c r="R3044" s="148">
        <v>248.3256524406961</v>
      </c>
    </row>
    <row r="3045" spans="2:18" ht="15.75" hidden="1" thickBot="1" x14ac:dyDescent="0.3">
      <c r="B3045" s="724" t="s">
        <v>781</v>
      </c>
      <c r="C3045" s="722" t="s">
        <v>145</v>
      </c>
      <c r="D3045" t="s">
        <v>146</v>
      </c>
      <c r="E3045" s="147">
        <v>0.24593999999999999</v>
      </c>
      <c r="F3045" s="729"/>
      <c r="G3045" s="147">
        <v>0.24593999999999999</v>
      </c>
      <c r="H3045" s="147">
        <v>0</v>
      </c>
      <c r="I3045" s="729"/>
      <c r="J3045" s="147">
        <v>0.24593999999999999</v>
      </c>
      <c r="K3045" s="147">
        <v>0</v>
      </c>
      <c r="L3045" s="147">
        <v>2.5188899999999999</v>
      </c>
      <c r="M3045" s="729"/>
      <c r="N3045" s="147">
        <v>2.5188899999999999</v>
      </c>
      <c r="O3045" s="147">
        <v>0</v>
      </c>
      <c r="P3045" s="147">
        <v>1.1707000000000001</v>
      </c>
      <c r="Q3045" s="147">
        <v>1.34819</v>
      </c>
      <c r="R3045" s="147">
        <v>115.16101477748356</v>
      </c>
    </row>
    <row r="3046" spans="2:18" ht="15.75" hidden="1" thickBot="1" x14ac:dyDescent="0.3">
      <c r="B3046" s="724" t="s">
        <v>781</v>
      </c>
      <c r="C3046" s="722" t="s">
        <v>147</v>
      </c>
      <c r="D3046" t="s">
        <v>148</v>
      </c>
      <c r="E3046" s="148">
        <v>0</v>
      </c>
      <c r="F3046" s="728"/>
      <c r="G3046" s="148">
        <v>0</v>
      </c>
      <c r="H3046" s="148">
        <v>0</v>
      </c>
      <c r="I3046" s="728"/>
      <c r="J3046" s="148">
        <v>0</v>
      </c>
      <c r="K3046" s="148">
        <v>0</v>
      </c>
      <c r="L3046" s="148">
        <v>0.94901000000000002</v>
      </c>
      <c r="M3046" s="728"/>
      <c r="N3046" s="148">
        <v>0.94901000000000002</v>
      </c>
      <c r="O3046" s="148">
        <v>0</v>
      </c>
      <c r="P3046" s="148">
        <v>0.51988999999999996</v>
      </c>
      <c r="Q3046" s="148">
        <v>0.42912</v>
      </c>
      <c r="R3046" s="148">
        <v>82.540537421377593</v>
      </c>
    </row>
    <row r="3047" spans="2:18" ht="15.75" hidden="1" thickBot="1" x14ac:dyDescent="0.3">
      <c r="B3047" s="724" t="s">
        <v>781</v>
      </c>
      <c r="C3047" s="722" t="s">
        <v>149</v>
      </c>
      <c r="D3047" t="s">
        <v>150</v>
      </c>
      <c r="E3047" s="147">
        <v>0</v>
      </c>
      <c r="F3047" s="147">
        <v>16.66666</v>
      </c>
      <c r="G3047" s="147">
        <v>-16.66666</v>
      </c>
      <c r="H3047" s="147">
        <v>-100</v>
      </c>
      <c r="I3047" s="729"/>
      <c r="J3047" s="147">
        <v>0</v>
      </c>
      <c r="K3047" s="147">
        <v>0</v>
      </c>
      <c r="L3047" s="147">
        <v>1.472</v>
      </c>
      <c r="M3047" s="147">
        <v>199.9999</v>
      </c>
      <c r="N3047" s="147">
        <v>-198.52789999999999</v>
      </c>
      <c r="O3047" s="147">
        <v>-99.263999631999809</v>
      </c>
      <c r="P3047" s="147">
        <v>0.88800000000000001</v>
      </c>
      <c r="Q3047" s="147">
        <v>0.58399999999999996</v>
      </c>
      <c r="R3047" s="147">
        <v>65.765765765765764</v>
      </c>
    </row>
    <row r="3048" spans="2:18" ht="15.75" hidden="1" thickBot="1" x14ac:dyDescent="0.3">
      <c r="B3048" s="724" t="s">
        <v>781</v>
      </c>
      <c r="C3048" s="722" t="s">
        <v>645</v>
      </c>
      <c r="D3048" t="s">
        <v>646</v>
      </c>
      <c r="E3048" s="148">
        <v>2.3187500000000001</v>
      </c>
      <c r="F3048" s="148">
        <v>4.21</v>
      </c>
      <c r="G3048" s="148">
        <v>-1.8912500000000001</v>
      </c>
      <c r="H3048" s="148">
        <v>-44.922802850356291</v>
      </c>
      <c r="I3048" s="728"/>
      <c r="J3048" s="148">
        <v>2.3187500000000001</v>
      </c>
      <c r="K3048" s="148">
        <v>0</v>
      </c>
      <c r="L3048" s="148">
        <v>38.308540000000001</v>
      </c>
      <c r="M3048" s="148">
        <v>45.100679999999997</v>
      </c>
      <c r="N3048" s="148">
        <v>-6.7921399999999998</v>
      </c>
      <c r="O3048" s="148">
        <v>-15.059950315604997</v>
      </c>
      <c r="P3048" s="148">
        <v>30.518170000000001</v>
      </c>
      <c r="Q3048" s="148">
        <v>7.7903700000000002</v>
      </c>
      <c r="R3048" s="148">
        <v>25.526989331273796</v>
      </c>
    </row>
    <row r="3049" spans="2:18" ht="15.75" hidden="1" thickBot="1" x14ac:dyDescent="0.3">
      <c r="B3049" s="724" t="s">
        <v>781</v>
      </c>
      <c r="C3049" s="722" t="s">
        <v>649</v>
      </c>
      <c r="D3049" t="s">
        <v>650</v>
      </c>
      <c r="E3049" s="147">
        <v>0.159</v>
      </c>
      <c r="F3049" s="729"/>
      <c r="G3049" s="147">
        <v>0.159</v>
      </c>
      <c r="H3049" s="147">
        <v>0</v>
      </c>
      <c r="I3049" s="729"/>
      <c r="J3049" s="147">
        <v>0.159</v>
      </c>
      <c r="K3049" s="147">
        <v>0</v>
      </c>
      <c r="L3049" s="147">
        <v>0.159</v>
      </c>
      <c r="M3049" s="729"/>
      <c r="N3049" s="147">
        <v>0.159</v>
      </c>
      <c r="O3049" s="147">
        <v>0</v>
      </c>
      <c r="P3049" s="729"/>
      <c r="Q3049" s="147">
        <v>0.159</v>
      </c>
      <c r="R3049" s="147">
        <v>0</v>
      </c>
    </row>
    <row r="3050" spans="2:18" ht="15.75" hidden="1" thickBot="1" x14ac:dyDescent="0.3">
      <c r="B3050" s="724" t="s">
        <v>781</v>
      </c>
      <c r="C3050" s="722" t="s">
        <v>665</v>
      </c>
      <c r="D3050" t="s">
        <v>666</v>
      </c>
      <c r="E3050" s="148">
        <v>2.9803199999999999</v>
      </c>
      <c r="F3050" s="148">
        <v>1.0965</v>
      </c>
      <c r="G3050" s="148">
        <v>1.8838200000000001</v>
      </c>
      <c r="H3050" s="148">
        <v>171.8030095759234</v>
      </c>
      <c r="I3050" s="728"/>
      <c r="J3050" s="148">
        <v>2.9803199999999999</v>
      </c>
      <c r="K3050" s="148">
        <v>0</v>
      </c>
      <c r="L3050" s="148">
        <v>18.23197</v>
      </c>
      <c r="M3050" s="148">
        <v>13.15789</v>
      </c>
      <c r="N3050" s="148">
        <v>5.0740800000000004</v>
      </c>
      <c r="O3050" s="148">
        <v>38.563021882687877</v>
      </c>
      <c r="P3050" s="148">
        <v>13.45027</v>
      </c>
      <c r="Q3050" s="148">
        <v>4.7816999999999998</v>
      </c>
      <c r="R3050" s="148">
        <v>35.550959200075539</v>
      </c>
    </row>
    <row r="3051" spans="2:18" ht="15.75" hidden="1" thickBot="1" x14ac:dyDescent="0.3">
      <c r="B3051" s="724" t="s">
        <v>781</v>
      </c>
      <c r="C3051" s="722" t="s">
        <v>153</v>
      </c>
      <c r="D3051" t="s">
        <v>154</v>
      </c>
      <c r="E3051" s="147">
        <v>1.53</v>
      </c>
      <c r="F3051" s="729"/>
      <c r="G3051" s="147">
        <v>1.53</v>
      </c>
      <c r="H3051" s="147">
        <v>0</v>
      </c>
      <c r="I3051" s="729"/>
      <c r="J3051" s="147">
        <v>1.53</v>
      </c>
      <c r="K3051" s="147">
        <v>0</v>
      </c>
      <c r="L3051" s="147">
        <v>1.5549999999999999</v>
      </c>
      <c r="M3051" s="729"/>
      <c r="N3051" s="147">
        <v>1.5549999999999999</v>
      </c>
      <c r="O3051" s="147">
        <v>0</v>
      </c>
      <c r="P3051" s="147">
        <v>2.5000000000000001E-2</v>
      </c>
      <c r="Q3051" s="147">
        <v>1.53</v>
      </c>
      <c r="R3051" s="147">
        <v>6120</v>
      </c>
    </row>
    <row r="3052" spans="2:18" ht="15.75" hidden="1" thickBot="1" x14ac:dyDescent="0.3">
      <c r="B3052" s="724" t="s">
        <v>781</v>
      </c>
      <c r="C3052" s="722" t="s">
        <v>75</v>
      </c>
      <c r="D3052" t="s">
        <v>76</v>
      </c>
      <c r="E3052" s="148">
        <v>3.0734599999999999</v>
      </c>
      <c r="F3052" s="148">
        <v>2.3319999999999999</v>
      </c>
      <c r="G3052" s="148">
        <v>0.74146000000000001</v>
      </c>
      <c r="H3052" s="148">
        <v>31.795025728987994</v>
      </c>
      <c r="I3052" s="728"/>
      <c r="J3052" s="148">
        <v>3.0734599999999999</v>
      </c>
      <c r="K3052" s="148">
        <v>0</v>
      </c>
      <c r="L3052" s="148">
        <v>34.577939999999998</v>
      </c>
      <c r="M3052" s="148">
        <v>25</v>
      </c>
      <c r="N3052" s="148">
        <v>9.5779399999999999</v>
      </c>
      <c r="O3052" s="148">
        <v>38.31176</v>
      </c>
      <c r="P3052" s="148">
        <v>16.314530000000001</v>
      </c>
      <c r="Q3052" s="148">
        <v>18.26341</v>
      </c>
      <c r="R3052" s="148">
        <v>111.94567051579175</v>
      </c>
    </row>
    <row r="3053" spans="2:18" ht="15.75" hidden="1" thickBot="1" x14ac:dyDescent="0.3">
      <c r="B3053" s="724" t="s">
        <v>781</v>
      </c>
      <c r="C3053" s="722" t="s">
        <v>121</v>
      </c>
      <c r="D3053" t="s">
        <v>122</v>
      </c>
      <c r="E3053" s="147">
        <v>0.32119999999999999</v>
      </c>
      <c r="F3053" s="729"/>
      <c r="G3053" s="147">
        <v>0.32119999999999999</v>
      </c>
      <c r="H3053" s="147">
        <v>0</v>
      </c>
      <c r="I3053" s="729"/>
      <c r="J3053" s="147">
        <v>0.32119999999999999</v>
      </c>
      <c r="K3053" s="147">
        <v>0</v>
      </c>
      <c r="L3053" s="147">
        <v>2.5111699999999999</v>
      </c>
      <c r="M3053" s="729"/>
      <c r="N3053" s="147">
        <v>2.5111699999999999</v>
      </c>
      <c r="O3053" s="147">
        <v>0</v>
      </c>
      <c r="P3053" s="147">
        <v>0.96033999999999997</v>
      </c>
      <c r="Q3053" s="147">
        <v>1.5508299999999999</v>
      </c>
      <c r="R3053" s="147">
        <v>161.4875981423246</v>
      </c>
    </row>
    <row r="3054" spans="2:18" ht="15.75" hidden="1" thickBot="1" x14ac:dyDescent="0.3">
      <c r="B3054" s="724" t="s">
        <v>781</v>
      </c>
      <c r="C3054" s="722" t="s">
        <v>77</v>
      </c>
      <c r="D3054" t="s">
        <v>78</v>
      </c>
      <c r="E3054" s="148">
        <v>1.76661</v>
      </c>
      <c r="F3054" s="728"/>
      <c r="G3054" s="148">
        <v>1.76661</v>
      </c>
      <c r="H3054" s="148">
        <v>0</v>
      </c>
      <c r="I3054" s="728"/>
      <c r="J3054" s="148">
        <v>1.76661</v>
      </c>
      <c r="K3054" s="148">
        <v>0</v>
      </c>
      <c r="L3054" s="148">
        <v>28.5243</v>
      </c>
      <c r="M3054" s="728"/>
      <c r="N3054" s="148">
        <v>28.5243</v>
      </c>
      <c r="O3054" s="148">
        <v>0</v>
      </c>
      <c r="P3054" s="148">
        <v>17.353149999999999</v>
      </c>
      <c r="Q3054" s="148">
        <v>11.171150000000001</v>
      </c>
      <c r="R3054" s="148">
        <v>64.375343957725249</v>
      </c>
    </row>
    <row r="3055" spans="2:18" ht="15.75" hidden="1" thickBot="1" x14ac:dyDescent="0.3">
      <c r="B3055" s="724" t="s">
        <v>781</v>
      </c>
      <c r="C3055" s="722" t="s">
        <v>79</v>
      </c>
      <c r="D3055" t="s">
        <v>80</v>
      </c>
      <c r="E3055" s="147">
        <v>0</v>
      </c>
      <c r="F3055" s="729"/>
      <c r="G3055" s="147">
        <v>0</v>
      </c>
      <c r="H3055" s="147">
        <v>0</v>
      </c>
      <c r="I3055" s="729"/>
      <c r="J3055" s="147">
        <v>0</v>
      </c>
      <c r="K3055" s="147">
        <v>0</v>
      </c>
      <c r="L3055" s="147">
        <v>0.34383000000000002</v>
      </c>
      <c r="M3055" s="729"/>
      <c r="N3055" s="147">
        <v>0.34383000000000002</v>
      </c>
      <c r="O3055" s="147">
        <v>0</v>
      </c>
      <c r="P3055" s="147">
        <v>0.16793</v>
      </c>
      <c r="Q3055" s="147">
        <v>0.1759</v>
      </c>
      <c r="R3055" s="147">
        <v>104.74602512951826</v>
      </c>
    </row>
    <row r="3056" spans="2:18" ht="15.75" hidden="1" thickBot="1" x14ac:dyDescent="0.3">
      <c r="B3056" s="724" t="s">
        <v>781</v>
      </c>
      <c r="C3056" s="722" t="s">
        <v>81</v>
      </c>
      <c r="D3056" t="s">
        <v>82</v>
      </c>
      <c r="E3056" s="148">
        <v>1.3358399999999999</v>
      </c>
      <c r="F3056" s="728"/>
      <c r="G3056" s="148">
        <v>1.3358399999999999</v>
      </c>
      <c r="H3056" s="148">
        <v>0</v>
      </c>
      <c r="I3056" s="728"/>
      <c r="J3056" s="148">
        <v>1.3358399999999999</v>
      </c>
      <c r="K3056" s="148">
        <v>0</v>
      </c>
      <c r="L3056" s="148">
        <v>1.47983</v>
      </c>
      <c r="M3056" s="728"/>
      <c r="N3056" s="148">
        <v>1.47983</v>
      </c>
      <c r="O3056" s="148">
        <v>0</v>
      </c>
      <c r="P3056" s="148">
        <v>0.14399000000000001</v>
      </c>
      <c r="Q3056" s="148">
        <v>1.3358399999999999</v>
      </c>
      <c r="R3056" s="148">
        <v>927.73109243697479</v>
      </c>
    </row>
    <row r="3057" spans="2:18" ht="15.75" hidden="1" thickBot="1" x14ac:dyDescent="0.3">
      <c r="B3057" s="724" t="s">
        <v>781</v>
      </c>
      <c r="C3057" s="722" t="s">
        <v>123</v>
      </c>
      <c r="D3057" t="s">
        <v>124</v>
      </c>
      <c r="E3057" s="147">
        <v>0</v>
      </c>
      <c r="F3057" s="729"/>
      <c r="G3057" s="147">
        <v>0</v>
      </c>
      <c r="H3057" s="147">
        <v>0</v>
      </c>
      <c r="I3057" s="729"/>
      <c r="J3057" s="147">
        <v>0</v>
      </c>
      <c r="K3057" s="147">
        <v>0</v>
      </c>
      <c r="L3057" s="147">
        <v>0.18074999999999999</v>
      </c>
      <c r="M3057" s="729"/>
      <c r="N3057" s="147">
        <v>0.18074999999999999</v>
      </c>
      <c r="O3057" s="147">
        <v>0</v>
      </c>
      <c r="P3057" s="729"/>
      <c r="Q3057" s="147">
        <v>0.18074999999999999</v>
      </c>
      <c r="R3057" s="147">
        <v>0</v>
      </c>
    </row>
    <row r="3058" spans="2:18" ht="15.75" hidden="1" thickBot="1" x14ac:dyDescent="0.3">
      <c r="B3058" s="724" t="s">
        <v>781</v>
      </c>
      <c r="C3058" s="722" t="s">
        <v>125</v>
      </c>
      <c r="D3058" t="s">
        <v>126</v>
      </c>
      <c r="E3058" s="148">
        <v>6.9989999999999997E-2</v>
      </c>
      <c r="F3058" s="728"/>
      <c r="G3058" s="148">
        <v>6.9989999999999997E-2</v>
      </c>
      <c r="H3058" s="148">
        <v>0</v>
      </c>
      <c r="I3058" s="728"/>
      <c r="J3058" s="148">
        <v>6.9989999999999997E-2</v>
      </c>
      <c r="K3058" s="148">
        <v>0</v>
      </c>
      <c r="L3058" s="148">
        <v>0.14274999999999999</v>
      </c>
      <c r="M3058" s="728"/>
      <c r="N3058" s="148">
        <v>0.14274999999999999</v>
      </c>
      <c r="O3058" s="148">
        <v>0</v>
      </c>
      <c r="P3058" s="728"/>
      <c r="Q3058" s="148">
        <v>0.14274999999999999</v>
      </c>
      <c r="R3058" s="148">
        <v>0</v>
      </c>
    </row>
    <row r="3059" spans="2:18" ht="15.75" hidden="1" thickBot="1" x14ac:dyDescent="0.3">
      <c r="B3059" s="724" t="s">
        <v>781</v>
      </c>
      <c r="C3059" s="722" t="s">
        <v>677</v>
      </c>
      <c r="D3059" t="s">
        <v>678</v>
      </c>
      <c r="E3059" s="147">
        <v>0.375</v>
      </c>
      <c r="F3059" s="147">
        <v>0.58699999999999997</v>
      </c>
      <c r="G3059" s="147">
        <v>-0.21199999999999999</v>
      </c>
      <c r="H3059" s="147">
        <v>-36.115843270868822</v>
      </c>
      <c r="I3059" s="729"/>
      <c r="J3059" s="147">
        <v>0.375</v>
      </c>
      <c r="K3059" s="147">
        <v>0</v>
      </c>
      <c r="L3059" s="147">
        <v>2.1749999999999998</v>
      </c>
      <c r="M3059" s="147">
        <v>7</v>
      </c>
      <c r="N3059" s="147">
        <v>-4.8250000000000002</v>
      </c>
      <c r="O3059" s="147">
        <v>-68.928571428571431</v>
      </c>
      <c r="P3059" s="729"/>
      <c r="Q3059" s="147">
        <v>2.1749999999999998</v>
      </c>
      <c r="R3059" s="147">
        <v>0</v>
      </c>
    </row>
    <row r="3060" spans="2:18" ht="15.75" hidden="1" thickBot="1" x14ac:dyDescent="0.3">
      <c r="B3060" s="724" t="s">
        <v>781</v>
      </c>
      <c r="C3060" s="722" t="s">
        <v>687</v>
      </c>
      <c r="D3060" t="s">
        <v>688</v>
      </c>
      <c r="E3060" s="148">
        <v>24.754999999999999</v>
      </c>
      <c r="F3060" s="728"/>
      <c r="G3060" s="148">
        <v>24.754999999999999</v>
      </c>
      <c r="H3060" s="148">
        <v>0</v>
      </c>
      <c r="I3060" s="728"/>
      <c r="J3060" s="148">
        <v>24.754999999999999</v>
      </c>
      <c r="K3060" s="148">
        <v>0</v>
      </c>
      <c r="L3060" s="148">
        <v>24.754999999999999</v>
      </c>
      <c r="M3060" s="728"/>
      <c r="N3060" s="148">
        <v>24.754999999999999</v>
      </c>
      <c r="O3060" s="148">
        <v>0</v>
      </c>
      <c r="P3060" s="728"/>
      <c r="Q3060" s="148">
        <v>24.754999999999999</v>
      </c>
      <c r="R3060" s="148">
        <v>0</v>
      </c>
    </row>
    <row r="3061" spans="2:18" ht="15.75" hidden="1" thickBot="1" x14ac:dyDescent="0.3">
      <c r="B3061" s="724" t="s">
        <v>781</v>
      </c>
      <c r="C3061" s="149" t="s">
        <v>85</v>
      </c>
      <c r="D3061" t="s">
        <v>86</v>
      </c>
      <c r="E3061" s="147">
        <v>90.462829999999997</v>
      </c>
      <c r="F3061" s="147">
        <v>81.182000000000002</v>
      </c>
      <c r="G3061" s="147">
        <v>9.2808299999999999</v>
      </c>
      <c r="H3061" s="147">
        <v>11.432127811583848</v>
      </c>
      <c r="I3061" s="729"/>
      <c r="J3061" s="147">
        <v>90.462829999999997</v>
      </c>
      <c r="K3061" s="147">
        <v>0</v>
      </c>
      <c r="L3061" s="147">
        <v>890.44978000000003</v>
      </c>
      <c r="M3061" s="147">
        <v>657.70451000000003</v>
      </c>
      <c r="N3061" s="147">
        <v>232.74527</v>
      </c>
      <c r="O3061" s="147">
        <v>35.387513155413821</v>
      </c>
      <c r="P3061" s="147">
        <v>321.78118000000001</v>
      </c>
      <c r="Q3061" s="147">
        <v>568.66859999999997</v>
      </c>
      <c r="R3061" s="147">
        <v>176.7252516135344</v>
      </c>
    </row>
    <row r="3062" spans="2:18" ht="15.75" hidden="1" thickBot="1" x14ac:dyDescent="0.3">
      <c r="B3062" s="724" t="s">
        <v>781</v>
      </c>
      <c r="C3062" s="144" t="s">
        <v>87</v>
      </c>
      <c r="D3062" t="s">
        <v>87</v>
      </c>
      <c r="E3062" s="148">
        <v>240.41763</v>
      </c>
      <c r="F3062" s="148">
        <v>244.77728999999999</v>
      </c>
      <c r="G3062" s="148">
        <v>-4.3596599999999999</v>
      </c>
      <c r="H3062" s="148">
        <v>-1.781072092104623</v>
      </c>
      <c r="I3062" s="728"/>
      <c r="J3062" s="148">
        <v>240.41763</v>
      </c>
      <c r="K3062" s="148">
        <v>0</v>
      </c>
      <c r="L3062" s="148">
        <v>2724.0539100000001</v>
      </c>
      <c r="M3062" s="148">
        <v>2610.54909</v>
      </c>
      <c r="N3062" s="148">
        <v>113.50482</v>
      </c>
      <c r="O3062" s="148">
        <v>4.3479289638640735</v>
      </c>
      <c r="P3062" s="148">
        <v>1233.8667800000001</v>
      </c>
      <c r="Q3062" s="148">
        <v>1490.18713</v>
      </c>
      <c r="R3062" s="148">
        <v>120.77374593065873</v>
      </c>
    </row>
    <row r="3063" spans="2:18" ht="15.75" hidden="1" thickBot="1" x14ac:dyDescent="0.3">
      <c r="B3063" s="725" t="s">
        <v>782</v>
      </c>
      <c r="C3063" s="722" t="s">
        <v>59</v>
      </c>
      <c r="D3063" t="s">
        <v>60</v>
      </c>
      <c r="E3063" s="147">
        <v>47.52787</v>
      </c>
      <c r="F3063" s="147">
        <v>54.21049</v>
      </c>
      <c r="G3063" s="147">
        <v>-6.68262</v>
      </c>
      <c r="H3063" s="147">
        <v>-12.327171364804117</v>
      </c>
      <c r="I3063" s="729"/>
      <c r="J3063" s="147">
        <v>47.52787</v>
      </c>
      <c r="K3063" s="147">
        <v>0</v>
      </c>
      <c r="L3063" s="147">
        <v>636.28377</v>
      </c>
      <c r="M3063" s="147">
        <v>647.11311999999998</v>
      </c>
      <c r="N3063" s="147">
        <v>-10.82935</v>
      </c>
      <c r="O3063" s="147">
        <v>-1.673486391374664</v>
      </c>
      <c r="P3063" s="147">
        <v>314.40622000000002</v>
      </c>
      <c r="Q3063" s="147">
        <v>321.87754999999999</v>
      </c>
      <c r="R3063" s="147">
        <v>102.37633021382338</v>
      </c>
    </row>
    <row r="3064" spans="2:18" ht="15.75" hidden="1" thickBot="1" x14ac:dyDescent="0.3">
      <c r="B3064" s="725" t="s">
        <v>782</v>
      </c>
      <c r="C3064" s="722" t="s">
        <v>61</v>
      </c>
      <c r="D3064" t="s">
        <v>62</v>
      </c>
      <c r="E3064" s="148">
        <v>8.6048600000000004</v>
      </c>
      <c r="F3064" s="148">
        <v>8.4026200000000006</v>
      </c>
      <c r="G3064" s="148">
        <v>0.20224</v>
      </c>
      <c r="H3064" s="148">
        <v>2.406868333924419</v>
      </c>
      <c r="I3064" s="728"/>
      <c r="J3064" s="148">
        <v>8.6048600000000004</v>
      </c>
      <c r="K3064" s="148">
        <v>0</v>
      </c>
      <c r="L3064" s="148">
        <v>98.697460000000007</v>
      </c>
      <c r="M3064" s="148">
        <v>100.30248</v>
      </c>
      <c r="N3064" s="148">
        <v>-1.6050199999999999</v>
      </c>
      <c r="O3064" s="148">
        <v>-1.6001797762129111</v>
      </c>
      <c r="P3064" s="148">
        <v>47.068249999999999</v>
      </c>
      <c r="Q3064" s="148">
        <v>51.62921</v>
      </c>
      <c r="R3064" s="148">
        <v>109.69009895205366</v>
      </c>
    </row>
    <row r="3065" spans="2:18" ht="15.75" hidden="1" thickBot="1" x14ac:dyDescent="0.3">
      <c r="B3065" s="725" t="s">
        <v>782</v>
      </c>
      <c r="C3065" s="722" t="s">
        <v>63</v>
      </c>
      <c r="D3065" t="s">
        <v>64</v>
      </c>
      <c r="E3065" s="147">
        <v>33.429209999999998</v>
      </c>
      <c r="F3065" s="147">
        <v>32.688929999999999</v>
      </c>
      <c r="G3065" s="147">
        <v>0.74028000000000005</v>
      </c>
      <c r="H3065" s="147">
        <v>2.2646198575481056</v>
      </c>
      <c r="I3065" s="729"/>
      <c r="J3065" s="147">
        <v>33.429209999999998</v>
      </c>
      <c r="K3065" s="147">
        <v>0</v>
      </c>
      <c r="L3065" s="147">
        <v>383.43209000000002</v>
      </c>
      <c r="M3065" s="147">
        <v>390.20925999999997</v>
      </c>
      <c r="N3065" s="147">
        <v>-6.7771699999999999</v>
      </c>
      <c r="O3065" s="147">
        <v>-1.7368039907612649</v>
      </c>
      <c r="P3065" s="147">
        <v>182.85674</v>
      </c>
      <c r="Q3065" s="147">
        <v>200.57534999999999</v>
      </c>
      <c r="R3065" s="147">
        <v>109.68988619178052</v>
      </c>
    </row>
    <row r="3066" spans="2:18" ht="15.75" hidden="1" thickBot="1" x14ac:dyDescent="0.3">
      <c r="B3066" s="725" t="s">
        <v>782</v>
      </c>
      <c r="C3066" s="722" t="s">
        <v>156</v>
      </c>
      <c r="D3066" t="s">
        <v>157</v>
      </c>
      <c r="E3066" s="148">
        <v>24.376280000000001</v>
      </c>
      <c r="F3066" s="148">
        <v>2.5179800000000001</v>
      </c>
      <c r="G3066" s="148">
        <v>21.8583</v>
      </c>
      <c r="H3066" s="148">
        <v>868.08870602625916</v>
      </c>
      <c r="I3066" s="728"/>
      <c r="J3066" s="148">
        <v>24.376280000000001</v>
      </c>
      <c r="K3066" s="148">
        <v>0</v>
      </c>
      <c r="L3066" s="148">
        <v>367.75963999999999</v>
      </c>
      <c r="M3066" s="148">
        <v>30.05724</v>
      </c>
      <c r="N3066" s="148">
        <v>337.70240000000001</v>
      </c>
      <c r="O3066" s="148">
        <v>1123.5309695767144</v>
      </c>
      <c r="P3066" s="148">
        <v>185.73447999999999</v>
      </c>
      <c r="Q3066" s="148">
        <v>182.02516</v>
      </c>
      <c r="R3066" s="148">
        <v>98.002891008713078</v>
      </c>
    </row>
    <row r="3067" spans="2:18" ht="15.75" hidden="1" thickBot="1" x14ac:dyDescent="0.3">
      <c r="B3067" s="725" t="s">
        <v>782</v>
      </c>
      <c r="C3067" s="722" t="s">
        <v>65</v>
      </c>
      <c r="D3067" t="s">
        <v>66</v>
      </c>
      <c r="E3067" s="147">
        <v>-59.756839999999997</v>
      </c>
      <c r="F3067" s="147">
        <v>-23.814050000000002</v>
      </c>
      <c r="G3067" s="147">
        <v>-35.942790000000002</v>
      </c>
      <c r="H3067" s="147">
        <v>-150.93102601195514</v>
      </c>
      <c r="I3067" s="729"/>
      <c r="J3067" s="147">
        <v>-59.756839999999997</v>
      </c>
      <c r="K3067" s="147">
        <v>0</v>
      </c>
      <c r="L3067" s="147">
        <v>-829.34208999999998</v>
      </c>
      <c r="M3067" s="147">
        <v>-284.26940000000002</v>
      </c>
      <c r="N3067" s="147">
        <v>-545.07268999999997</v>
      </c>
      <c r="O3067" s="147">
        <v>-191.74511572473153</v>
      </c>
      <c r="P3067" s="147">
        <v>-405.41496000000001</v>
      </c>
      <c r="Q3067" s="147">
        <v>-423.92712999999998</v>
      </c>
      <c r="R3067" s="147">
        <v>-104.56622764981341</v>
      </c>
    </row>
    <row r="3068" spans="2:18" ht="15.75" hidden="1" thickBot="1" x14ac:dyDescent="0.3">
      <c r="B3068" s="725" t="s">
        <v>782</v>
      </c>
      <c r="C3068" s="149" t="s">
        <v>67</v>
      </c>
      <c r="D3068" t="s">
        <v>68</v>
      </c>
      <c r="E3068" s="148">
        <v>54.181379999999997</v>
      </c>
      <c r="F3068" s="148">
        <v>74.005970000000005</v>
      </c>
      <c r="G3068" s="148">
        <v>-19.824590000000001</v>
      </c>
      <c r="H3068" s="148">
        <v>-26.787825360575638</v>
      </c>
      <c r="I3068" s="728"/>
      <c r="J3068" s="148">
        <v>54.181379999999997</v>
      </c>
      <c r="K3068" s="148">
        <v>0</v>
      </c>
      <c r="L3068" s="148">
        <v>656.83087</v>
      </c>
      <c r="M3068" s="148">
        <v>883.41269999999997</v>
      </c>
      <c r="N3068" s="148">
        <v>-226.58183</v>
      </c>
      <c r="O3068" s="148">
        <v>-25.64846871682963</v>
      </c>
      <c r="P3068" s="148">
        <v>324.65073000000001</v>
      </c>
      <c r="Q3068" s="148">
        <v>332.18013999999999</v>
      </c>
      <c r="R3068" s="148">
        <v>102.31923396568368</v>
      </c>
    </row>
    <row r="3069" spans="2:18" ht="15.75" hidden="1" thickBot="1" x14ac:dyDescent="0.3">
      <c r="B3069" s="725" t="s">
        <v>782</v>
      </c>
      <c r="C3069" s="722" t="s">
        <v>69</v>
      </c>
      <c r="D3069" t="s">
        <v>70</v>
      </c>
      <c r="E3069" s="147">
        <v>0</v>
      </c>
      <c r="F3069" s="729"/>
      <c r="G3069" s="147">
        <v>0</v>
      </c>
      <c r="H3069" s="147">
        <v>0</v>
      </c>
      <c r="I3069" s="729"/>
      <c r="J3069" s="147">
        <v>0</v>
      </c>
      <c r="K3069" s="147">
        <v>0</v>
      </c>
      <c r="L3069" s="147">
        <v>1.3180000000000001</v>
      </c>
      <c r="M3069" s="729"/>
      <c r="N3069" s="147">
        <v>1.3180000000000001</v>
      </c>
      <c r="O3069" s="147">
        <v>0</v>
      </c>
      <c r="P3069" s="147">
        <v>1.3180000000000001</v>
      </c>
      <c r="Q3069" s="147">
        <v>0</v>
      </c>
      <c r="R3069" s="147">
        <v>0</v>
      </c>
    </row>
    <row r="3070" spans="2:18" ht="15.75" hidden="1" thickBot="1" x14ac:dyDescent="0.3">
      <c r="B3070" s="725" t="s">
        <v>782</v>
      </c>
      <c r="C3070" s="722" t="s">
        <v>137</v>
      </c>
      <c r="D3070" t="s">
        <v>138</v>
      </c>
      <c r="E3070" s="148">
        <v>1.32463</v>
      </c>
      <c r="F3070" s="148">
        <v>1.224</v>
      </c>
      <c r="G3070" s="148">
        <v>0.10063</v>
      </c>
      <c r="H3070" s="148">
        <v>8.2214052287581705</v>
      </c>
      <c r="I3070" s="728"/>
      <c r="J3070" s="148">
        <v>1.32463</v>
      </c>
      <c r="K3070" s="148">
        <v>0</v>
      </c>
      <c r="L3070" s="148">
        <v>13.49994</v>
      </c>
      <c r="M3070" s="148">
        <v>13.125</v>
      </c>
      <c r="N3070" s="148">
        <v>0.37494</v>
      </c>
      <c r="O3070" s="148">
        <v>2.8566857142857143</v>
      </c>
      <c r="P3070" s="148">
        <v>6.4717900000000004</v>
      </c>
      <c r="Q3070" s="148">
        <v>7.0281500000000001</v>
      </c>
      <c r="R3070" s="148">
        <v>108.59669426850995</v>
      </c>
    </row>
    <row r="3071" spans="2:18" ht="15.75" hidden="1" thickBot="1" x14ac:dyDescent="0.3">
      <c r="B3071" s="725" t="s">
        <v>782</v>
      </c>
      <c r="C3071" s="722" t="s">
        <v>139</v>
      </c>
      <c r="D3071" t="s">
        <v>140</v>
      </c>
      <c r="E3071" s="147">
        <v>4.05</v>
      </c>
      <c r="F3071" s="729"/>
      <c r="G3071" s="147">
        <v>4.05</v>
      </c>
      <c r="H3071" s="147">
        <v>0</v>
      </c>
      <c r="I3071" s="729"/>
      <c r="J3071" s="147">
        <v>4.05</v>
      </c>
      <c r="K3071" s="147">
        <v>0</v>
      </c>
      <c r="L3071" s="147">
        <v>5.48</v>
      </c>
      <c r="M3071" s="729"/>
      <c r="N3071" s="147">
        <v>5.48</v>
      </c>
      <c r="O3071" s="147">
        <v>0</v>
      </c>
      <c r="P3071" s="147">
        <v>1.43</v>
      </c>
      <c r="Q3071" s="147">
        <v>4.05</v>
      </c>
      <c r="R3071" s="147">
        <v>283.2167832167832</v>
      </c>
    </row>
    <row r="3072" spans="2:18" ht="15.75" hidden="1" thickBot="1" x14ac:dyDescent="0.3">
      <c r="B3072" s="725" t="s">
        <v>782</v>
      </c>
      <c r="C3072" s="722" t="s">
        <v>101</v>
      </c>
      <c r="D3072" t="s">
        <v>102</v>
      </c>
      <c r="E3072" s="148">
        <v>0</v>
      </c>
      <c r="F3072" s="728"/>
      <c r="G3072" s="148">
        <v>0</v>
      </c>
      <c r="H3072" s="148">
        <v>0</v>
      </c>
      <c r="I3072" s="728"/>
      <c r="J3072" s="148">
        <v>0</v>
      </c>
      <c r="K3072" s="148">
        <v>0</v>
      </c>
      <c r="L3072" s="148">
        <v>1.28603</v>
      </c>
      <c r="M3072" s="728"/>
      <c r="N3072" s="148">
        <v>1.28603</v>
      </c>
      <c r="O3072" s="148">
        <v>0</v>
      </c>
      <c r="P3072" s="148">
        <v>0.312</v>
      </c>
      <c r="Q3072" s="148">
        <v>0.97402999999999995</v>
      </c>
      <c r="R3072" s="148">
        <v>312.18910256410254</v>
      </c>
    </row>
    <row r="3073" spans="2:18" ht="15.75" hidden="1" thickBot="1" x14ac:dyDescent="0.3">
      <c r="B3073" s="725" t="s">
        <v>782</v>
      </c>
      <c r="C3073" s="722" t="s">
        <v>109</v>
      </c>
      <c r="D3073" t="s">
        <v>110</v>
      </c>
      <c r="E3073" s="729"/>
      <c r="F3073" s="147">
        <v>10.66433</v>
      </c>
      <c r="G3073" s="147">
        <v>-10.66433</v>
      </c>
      <c r="H3073" s="147">
        <v>-100</v>
      </c>
      <c r="I3073" s="729"/>
      <c r="J3073" s="729"/>
      <c r="K3073" s="729"/>
      <c r="L3073" s="147">
        <v>85.437510000000003</v>
      </c>
      <c r="M3073" s="147">
        <v>125</v>
      </c>
      <c r="N3073" s="147">
        <v>-39.562489999999997</v>
      </c>
      <c r="O3073" s="147">
        <v>-31.649992000000001</v>
      </c>
      <c r="P3073" s="147">
        <v>36.06071</v>
      </c>
      <c r="Q3073" s="147">
        <v>49.376800000000003</v>
      </c>
      <c r="R3073" s="147">
        <v>136.92686583264722</v>
      </c>
    </row>
    <row r="3074" spans="2:18" ht="15.75" hidden="1" thickBot="1" x14ac:dyDescent="0.3">
      <c r="B3074" s="725" t="s">
        <v>782</v>
      </c>
      <c r="C3074" s="722" t="s">
        <v>73</v>
      </c>
      <c r="D3074" t="s">
        <v>74</v>
      </c>
      <c r="E3074" s="148">
        <v>0</v>
      </c>
      <c r="F3074" s="728"/>
      <c r="G3074" s="148">
        <v>0</v>
      </c>
      <c r="H3074" s="148">
        <v>0</v>
      </c>
      <c r="I3074" s="728"/>
      <c r="J3074" s="148">
        <v>0</v>
      </c>
      <c r="K3074" s="148">
        <v>0</v>
      </c>
      <c r="L3074" s="148">
        <v>3.2499999999999999E-3</v>
      </c>
      <c r="M3074" s="728"/>
      <c r="N3074" s="148">
        <v>3.2499999999999999E-3</v>
      </c>
      <c r="O3074" s="148">
        <v>0</v>
      </c>
      <c r="P3074" s="728"/>
      <c r="Q3074" s="148">
        <v>3.2499999999999999E-3</v>
      </c>
      <c r="R3074" s="148">
        <v>0</v>
      </c>
    </row>
    <row r="3075" spans="2:18" ht="15.75" hidden="1" thickBot="1" x14ac:dyDescent="0.3">
      <c r="B3075" s="725" t="s">
        <v>782</v>
      </c>
      <c r="C3075" s="722" t="s">
        <v>111</v>
      </c>
      <c r="D3075" t="s">
        <v>112</v>
      </c>
      <c r="E3075" s="147">
        <v>1.28</v>
      </c>
      <c r="F3075" s="147">
        <v>2.6120000000000001</v>
      </c>
      <c r="G3075" s="147">
        <v>-1.3320000000000001</v>
      </c>
      <c r="H3075" s="147">
        <v>-50.995405819295556</v>
      </c>
      <c r="I3075" s="729"/>
      <c r="J3075" s="147">
        <v>1.28</v>
      </c>
      <c r="K3075" s="147">
        <v>0</v>
      </c>
      <c r="L3075" s="147">
        <v>375.8845</v>
      </c>
      <c r="M3075" s="147">
        <v>28</v>
      </c>
      <c r="N3075" s="147">
        <v>347.8845</v>
      </c>
      <c r="O3075" s="147">
        <v>1242.4446428571428</v>
      </c>
      <c r="P3075" s="147">
        <v>115.2</v>
      </c>
      <c r="Q3075" s="147">
        <v>260.68450000000001</v>
      </c>
      <c r="R3075" s="147">
        <v>226.28862847222223</v>
      </c>
    </row>
    <row r="3076" spans="2:18" ht="15.75" hidden="1" thickBot="1" x14ac:dyDescent="0.3">
      <c r="B3076" s="725" t="s">
        <v>782</v>
      </c>
      <c r="C3076" s="722" t="s">
        <v>113</v>
      </c>
      <c r="D3076" t="s">
        <v>114</v>
      </c>
      <c r="E3076" s="148">
        <v>0</v>
      </c>
      <c r="F3076" s="728"/>
      <c r="G3076" s="148">
        <v>0</v>
      </c>
      <c r="H3076" s="148">
        <v>0</v>
      </c>
      <c r="I3076" s="728"/>
      <c r="J3076" s="148">
        <v>0</v>
      </c>
      <c r="K3076" s="148">
        <v>0</v>
      </c>
      <c r="L3076" s="148">
        <v>0.23241999999999999</v>
      </c>
      <c r="M3076" s="728"/>
      <c r="N3076" s="148">
        <v>0.23241999999999999</v>
      </c>
      <c r="O3076" s="148">
        <v>0</v>
      </c>
      <c r="P3076" s="728"/>
      <c r="Q3076" s="148">
        <v>0.23241999999999999</v>
      </c>
      <c r="R3076" s="148">
        <v>0</v>
      </c>
    </row>
    <row r="3077" spans="2:18" ht="15.75" hidden="1" thickBot="1" x14ac:dyDescent="0.3">
      <c r="B3077" s="725" t="s">
        <v>782</v>
      </c>
      <c r="C3077" s="722" t="s">
        <v>143</v>
      </c>
      <c r="D3077" t="s">
        <v>144</v>
      </c>
      <c r="E3077" s="147">
        <v>19.07893</v>
      </c>
      <c r="F3077" s="147">
        <v>27.015000000000001</v>
      </c>
      <c r="G3077" s="147">
        <v>-7.93607</v>
      </c>
      <c r="H3077" s="147">
        <v>-29.376531556542663</v>
      </c>
      <c r="I3077" s="729"/>
      <c r="J3077" s="147">
        <v>19.07893</v>
      </c>
      <c r="K3077" s="147">
        <v>0</v>
      </c>
      <c r="L3077" s="147">
        <v>82.692629999999994</v>
      </c>
      <c r="M3077" s="147">
        <v>119.75</v>
      </c>
      <c r="N3077" s="147">
        <v>-37.057369999999999</v>
      </c>
      <c r="O3077" s="147">
        <v>-30.945611691022965</v>
      </c>
      <c r="P3077" s="147">
        <v>11.66466</v>
      </c>
      <c r="Q3077" s="147">
        <v>71.027969999999996</v>
      </c>
      <c r="R3077" s="147">
        <v>608.91590496422532</v>
      </c>
    </row>
    <row r="3078" spans="2:18" ht="15.75" hidden="1" thickBot="1" x14ac:dyDescent="0.3">
      <c r="B3078" s="725" t="s">
        <v>782</v>
      </c>
      <c r="C3078" s="722" t="s">
        <v>145</v>
      </c>
      <c r="D3078" t="s">
        <v>146</v>
      </c>
      <c r="E3078" s="148">
        <v>5.0849999999999999E-2</v>
      </c>
      <c r="F3078" s="728"/>
      <c r="G3078" s="148">
        <v>5.0849999999999999E-2</v>
      </c>
      <c r="H3078" s="148">
        <v>0</v>
      </c>
      <c r="I3078" s="728"/>
      <c r="J3078" s="148">
        <v>5.0849999999999999E-2</v>
      </c>
      <c r="K3078" s="148">
        <v>0</v>
      </c>
      <c r="L3078" s="148">
        <v>0.24579999999999999</v>
      </c>
      <c r="M3078" s="728"/>
      <c r="N3078" s="148">
        <v>0.24579999999999999</v>
      </c>
      <c r="O3078" s="148">
        <v>0</v>
      </c>
      <c r="P3078" s="148">
        <v>0.121</v>
      </c>
      <c r="Q3078" s="148">
        <v>0.12479999999999999</v>
      </c>
      <c r="R3078" s="148">
        <v>103.14049586776859</v>
      </c>
    </row>
    <row r="3079" spans="2:18" ht="15.75" hidden="1" thickBot="1" x14ac:dyDescent="0.3">
      <c r="B3079" s="725" t="s">
        <v>782</v>
      </c>
      <c r="C3079" s="722" t="s">
        <v>147</v>
      </c>
      <c r="D3079" t="s">
        <v>148</v>
      </c>
      <c r="E3079" s="729"/>
      <c r="F3079" s="729"/>
      <c r="G3079" s="729"/>
      <c r="H3079" s="729"/>
      <c r="I3079" s="729"/>
      <c r="J3079" s="729"/>
      <c r="K3079" s="729"/>
      <c r="L3079" s="147">
        <v>0.10013</v>
      </c>
      <c r="M3079" s="729"/>
      <c r="N3079" s="147">
        <v>0.10013</v>
      </c>
      <c r="O3079" s="147">
        <v>0</v>
      </c>
      <c r="P3079" s="147">
        <v>3.5130000000000002E-2</v>
      </c>
      <c r="Q3079" s="147">
        <v>6.5000000000000002E-2</v>
      </c>
      <c r="R3079" s="147">
        <v>185.02704241389125</v>
      </c>
    </row>
    <row r="3080" spans="2:18" ht="15.75" hidden="1" thickBot="1" x14ac:dyDescent="0.3">
      <c r="B3080" s="725" t="s">
        <v>782</v>
      </c>
      <c r="C3080" s="722" t="s">
        <v>149</v>
      </c>
      <c r="D3080" t="s">
        <v>150</v>
      </c>
      <c r="E3080" s="728"/>
      <c r="F3080" s="148">
        <v>16.66666</v>
      </c>
      <c r="G3080" s="148">
        <v>-16.66666</v>
      </c>
      <c r="H3080" s="148">
        <v>-100</v>
      </c>
      <c r="I3080" s="728"/>
      <c r="J3080" s="728"/>
      <c r="K3080" s="728"/>
      <c r="L3080" s="728"/>
      <c r="M3080" s="148">
        <v>199.9999</v>
      </c>
      <c r="N3080" s="148">
        <v>-199.9999</v>
      </c>
      <c r="O3080" s="148">
        <v>-100</v>
      </c>
      <c r="P3080" s="728"/>
      <c r="Q3080" s="728"/>
      <c r="R3080" s="728"/>
    </row>
    <row r="3081" spans="2:18" ht="15.75" hidden="1" thickBot="1" x14ac:dyDescent="0.3">
      <c r="B3081" s="725" t="s">
        <v>782</v>
      </c>
      <c r="C3081" s="722" t="s">
        <v>645</v>
      </c>
      <c r="D3081" t="s">
        <v>646</v>
      </c>
      <c r="E3081" s="147">
        <v>2.3187500000000001</v>
      </c>
      <c r="F3081" s="147">
        <v>4.21</v>
      </c>
      <c r="G3081" s="147">
        <v>-1.8912500000000001</v>
      </c>
      <c r="H3081" s="147">
        <v>-44.922802850356291</v>
      </c>
      <c r="I3081" s="729"/>
      <c r="J3081" s="147">
        <v>2.3187500000000001</v>
      </c>
      <c r="K3081" s="147">
        <v>0</v>
      </c>
      <c r="L3081" s="147">
        <v>37.770510000000002</v>
      </c>
      <c r="M3081" s="147">
        <v>45.100679999999997</v>
      </c>
      <c r="N3081" s="147">
        <v>-7.3301699999999999</v>
      </c>
      <c r="O3081" s="147">
        <v>-16.252903503893954</v>
      </c>
      <c r="P3081" s="147">
        <v>30.518170000000001</v>
      </c>
      <c r="Q3081" s="147">
        <v>7.2523400000000002</v>
      </c>
      <c r="R3081" s="147">
        <v>23.764006819543898</v>
      </c>
    </row>
    <row r="3082" spans="2:18" ht="15.75" hidden="1" thickBot="1" x14ac:dyDescent="0.3">
      <c r="B3082" s="725" t="s">
        <v>782</v>
      </c>
      <c r="C3082" s="722" t="s">
        <v>665</v>
      </c>
      <c r="D3082" t="s">
        <v>666</v>
      </c>
      <c r="E3082" s="148">
        <v>2.9803199999999999</v>
      </c>
      <c r="F3082" s="148">
        <v>1.0965</v>
      </c>
      <c r="G3082" s="148">
        <v>1.8838200000000001</v>
      </c>
      <c r="H3082" s="148">
        <v>171.8030095759234</v>
      </c>
      <c r="I3082" s="728"/>
      <c r="J3082" s="148">
        <v>2.9803199999999999</v>
      </c>
      <c r="K3082" s="148">
        <v>0</v>
      </c>
      <c r="L3082" s="148">
        <v>18.23197</v>
      </c>
      <c r="M3082" s="148">
        <v>13.15789</v>
      </c>
      <c r="N3082" s="148">
        <v>5.0740800000000004</v>
      </c>
      <c r="O3082" s="148">
        <v>38.563021882687877</v>
      </c>
      <c r="P3082" s="148">
        <v>13.45027</v>
      </c>
      <c r="Q3082" s="148">
        <v>4.7816999999999998</v>
      </c>
      <c r="R3082" s="148">
        <v>35.550959200075539</v>
      </c>
    </row>
    <row r="3083" spans="2:18" ht="15.75" hidden="1" thickBot="1" x14ac:dyDescent="0.3">
      <c r="B3083" s="725" t="s">
        <v>782</v>
      </c>
      <c r="C3083" s="722" t="s">
        <v>153</v>
      </c>
      <c r="D3083" t="s">
        <v>154</v>
      </c>
      <c r="E3083" s="147">
        <v>1.53</v>
      </c>
      <c r="F3083" s="729"/>
      <c r="G3083" s="147">
        <v>1.53</v>
      </c>
      <c r="H3083" s="147">
        <v>0</v>
      </c>
      <c r="I3083" s="729"/>
      <c r="J3083" s="147">
        <v>1.53</v>
      </c>
      <c r="K3083" s="147">
        <v>0</v>
      </c>
      <c r="L3083" s="147">
        <v>1.53</v>
      </c>
      <c r="M3083" s="729"/>
      <c r="N3083" s="147">
        <v>1.53</v>
      </c>
      <c r="O3083" s="147">
        <v>0</v>
      </c>
      <c r="P3083" s="729"/>
      <c r="Q3083" s="147">
        <v>1.53</v>
      </c>
      <c r="R3083" s="147">
        <v>0</v>
      </c>
    </row>
    <row r="3084" spans="2:18" ht="15.75" hidden="1" thickBot="1" x14ac:dyDescent="0.3">
      <c r="B3084" s="725" t="s">
        <v>782</v>
      </c>
      <c r="C3084" s="722" t="s">
        <v>75</v>
      </c>
      <c r="D3084" t="s">
        <v>76</v>
      </c>
      <c r="E3084" s="148">
        <v>0.36259999999999998</v>
      </c>
      <c r="F3084" s="148">
        <v>1.169</v>
      </c>
      <c r="G3084" s="148">
        <v>-0.80640000000000001</v>
      </c>
      <c r="H3084" s="148">
        <v>-68.982035928143716</v>
      </c>
      <c r="I3084" s="728"/>
      <c r="J3084" s="148">
        <v>0.36259999999999998</v>
      </c>
      <c r="K3084" s="148">
        <v>0</v>
      </c>
      <c r="L3084" s="148">
        <v>6.6507899999999998</v>
      </c>
      <c r="M3084" s="148">
        <v>12.5</v>
      </c>
      <c r="N3084" s="148">
        <v>-5.8492100000000002</v>
      </c>
      <c r="O3084" s="148">
        <v>-46.793680000000002</v>
      </c>
      <c r="P3084" s="148">
        <v>2.1994500000000001</v>
      </c>
      <c r="Q3084" s="148">
        <v>4.4513400000000001</v>
      </c>
      <c r="R3084" s="148">
        <v>202.38423242174179</v>
      </c>
    </row>
    <row r="3085" spans="2:18" ht="15.75" hidden="1" thickBot="1" x14ac:dyDescent="0.3">
      <c r="B3085" s="725" t="s">
        <v>782</v>
      </c>
      <c r="C3085" s="722" t="s">
        <v>121</v>
      </c>
      <c r="D3085" t="s">
        <v>122</v>
      </c>
      <c r="E3085" s="147">
        <v>0.11803</v>
      </c>
      <c r="F3085" s="729"/>
      <c r="G3085" s="147">
        <v>0.11803</v>
      </c>
      <c r="H3085" s="147">
        <v>0</v>
      </c>
      <c r="I3085" s="729"/>
      <c r="J3085" s="147">
        <v>0.11803</v>
      </c>
      <c r="K3085" s="147">
        <v>0</v>
      </c>
      <c r="L3085" s="147">
        <v>0.32002000000000003</v>
      </c>
      <c r="M3085" s="729"/>
      <c r="N3085" s="147">
        <v>0.32002000000000003</v>
      </c>
      <c r="O3085" s="147">
        <v>0</v>
      </c>
      <c r="P3085" s="729"/>
      <c r="Q3085" s="147">
        <v>0.32002000000000003</v>
      </c>
      <c r="R3085" s="147">
        <v>0</v>
      </c>
    </row>
    <row r="3086" spans="2:18" ht="15.75" hidden="1" thickBot="1" x14ac:dyDescent="0.3">
      <c r="B3086" s="725" t="s">
        <v>782</v>
      </c>
      <c r="C3086" s="722" t="s">
        <v>77</v>
      </c>
      <c r="D3086" t="s">
        <v>78</v>
      </c>
      <c r="E3086" s="148">
        <v>1.6085799999999999</v>
      </c>
      <c r="F3086" s="728"/>
      <c r="G3086" s="148">
        <v>1.6085799999999999</v>
      </c>
      <c r="H3086" s="148">
        <v>0</v>
      </c>
      <c r="I3086" s="728"/>
      <c r="J3086" s="148">
        <v>1.6085799999999999</v>
      </c>
      <c r="K3086" s="148">
        <v>0</v>
      </c>
      <c r="L3086" s="148">
        <v>9.7417200000000008</v>
      </c>
      <c r="M3086" s="728"/>
      <c r="N3086" s="148">
        <v>9.7417200000000008</v>
      </c>
      <c r="O3086" s="148">
        <v>0</v>
      </c>
      <c r="P3086" s="148">
        <v>5.18771</v>
      </c>
      <c r="Q3086" s="148">
        <v>4.5540099999999999</v>
      </c>
      <c r="R3086" s="148">
        <v>87.784590888850758</v>
      </c>
    </row>
    <row r="3087" spans="2:18" ht="15.75" hidden="1" thickBot="1" x14ac:dyDescent="0.3">
      <c r="B3087" s="725" t="s">
        <v>782</v>
      </c>
      <c r="C3087" s="722" t="s">
        <v>79</v>
      </c>
      <c r="D3087" t="s">
        <v>80</v>
      </c>
      <c r="E3087" s="147">
        <v>0</v>
      </c>
      <c r="F3087" s="729"/>
      <c r="G3087" s="147">
        <v>0</v>
      </c>
      <c r="H3087" s="147">
        <v>0</v>
      </c>
      <c r="I3087" s="729"/>
      <c r="J3087" s="147">
        <v>0</v>
      </c>
      <c r="K3087" s="147">
        <v>0</v>
      </c>
      <c r="L3087" s="147">
        <v>0.1759</v>
      </c>
      <c r="M3087" s="729"/>
      <c r="N3087" s="147">
        <v>0.1759</v>
      </c>
      <c r="O3087" s="147">
        <v>0</v>
      </c>
      <c r="P3087" s="729"/>
      <c r="Q3087" s="147">
        <v>0.1759</v>
      </c>
      <c r="R3087" s="147">
        <v>0</v>
      </c>
    </row>
    <row r="3088" spans="2:18" ht="15.75" hidden="1" thickBot="1" x14ac:dyDescent="0.3">
      <c r="B3088" s="725" t="s">
        <v>782</v>
      </c>
      <c r="C3088" s="722" t="s">
        <v>81</v>
      </c>
      <c r="D3088" t="s">
        <v>82</v>
      </c>
      <c r="E3088" s="148">
        <v>0</v>
      </c>
      <c r="F3088" s="728"/>
      <c r="G3088" s="148">
        <v>0</v>
      </c>
      <c r="H3088" s="148">
        <v>0</v>
      </c>
      <c r="I3088" s="728"/>
      <c r="J3088" s="148">
        <v>0</v>
      </c>
      <c r="K3088" s="148">
        <v>0</v>
      </c>
      <c r="L3088" s="148">
        <v>7.4999999999999997E-2</v>
      </c>
      <c r="M3088" s="728"/>
      <c r="N3088" s="148">
        <v>7.4999999999999997E-2</v>
      </c>
      <c r="O3088" s="148">
        <v>0</v>
      </c>
      <c r="P3088" s="148">
        <v>7.4999999999999997E-2</v>
      </c>
      <c r="Q3088" s="148">
        <v>0</v>
      </c>
      <c r="R3088" s="148">
        <v>0</v>
      </c>
    </row>
    <row r="3089" spans="2:18" ht="15.75" hidden="1" thickBot="1" x14ac:dyDescent="0.3">
      <c r="B3089" s="725" t="s">
        <v>782</v>
      </c>
      <c r="C3089" s="722" t="s">
        <v>123</v>
      </c>
      <c r="D3089" t="s">
        <v>124</v>
      </c>
      <c r="E3089" s="147">
        <v>0</v>
      </c>
      <c r="F3089" s="729"/>
      <c r="G3089" s="147">
        <v>0</v>
      </c>
      <c r="H3089" s="147">
        <v>0</v>
      </c>
      <c r="I3089" s="729"/>
      <c r="J3089" s="147">
        <v>0</v>
      </c>
      <c r="K3089" s="147">
        <v>0</v>
      </c>
      <c r="L3089" s="147">
        <v>0.18074999999999999</v>
      </c>
      <c r="M3089" s="729"/>
      <c r="N3089" s="147">
        <v>0.18074999999999999</v>
      </c>
      <c r="O3089" s="147">
        <v>0</v>
      </c>
      <c r="P3089" s="729"/>
      <c r="Q3089" s="147">
        <v>0.18074999999999999</v>
      </c>
      <c r="R3089" s="147">
        <v>0</v>
      </c>
    </row>
    <row r="3090" spans="2:18" ht="15.75" hidden="1" thickBot="1" x14ac:dyDescent="0.3">
      <c r="B3090" s="725" t="s">
        <v>782</v>
      </c>
      <c r="C3090" s="722" t="s">
        <v>687</v>
      </c>
      <c r="D3090" t="s">
        <v>688</v>
      </c>
      <c r="E3090" s="148">
        <v>24.754999999999999</v>
      </c>
      <c r="F3090" s="728"/>
      <c r="G3090" s="148">
        <v>24.754999999999999</v>
      </c>
      <c r="H3090" s="148">
        <v>0</v>
      </c>
      <c r="I3090" s="728"/>
      <c r="J3090" s="148">
        <v>24.754999999999999</v>
      </c>
      <c r="K3090" s="148">
        <v>0</v>
      </c>
      <c r="L3090" s="148">
        <v>24.754999999999999</v>
      </c>
      <c r="M3090" s="728"/>
      <c r="N3090" s="148">
        <v>24.754999999999999</v>
      </c>
      <c r="O3090" s="148">
        <v>0</v>
      </c>
      <c r="P3090" s="728"/>
      <c r="Q3090" s="148">
        <v>24.754999999999999</v>
      </c>
      <c r="R3090" s="148">
        <v>0</v>
      </c>
    </row>
    <row r="3091" spans="2:18" ht="15.75" hidden="1" thickBot="1" x14ac:dyDescent="0.3">
      <c r="B3091" s="725" t="s">
        <v>782</v>
      </c>
      <c r="C3091" s="149" t="s">
        <v>85</v>
      </c>
      <c r="D3091" t="s">
        <v>86</v>
      </c>
      <c r="E3091" s="147">
        <v>59.457689999999999</v>
      </c>
      <c r="F3091" s="147">
        <v>64.657489999999996</v>
      </c>
      <c r="G3091" s="147">
        <v>-5.1997999999999998</v>
      </c>
      <c r="H3091" s="147">
        <v>-8.0420690626870908</v>
      </c>
      <c r="I3091" s="729"/>
      <c r="J3091" s="147">
        <v>59.457689999999999</v>
      </c>
      <c r="K3091" s="147">
        <v>0</v>
      </c>
      <c r="L3091" s="147">
        <v>665.61186999999995</v>
      </c>
      <c r="M3091" s="147">
        <v>556.63346999999999</v>
      </c>
      <c r="N3091" s="147">
        <v>108.97839999999999</v>
      </c>
      <c r="O3091" s="147">
        <v>19.578125620078147</v>
      </c>
      <c r="P3091" s="147">
        <v>224.04389</v>
      </c>
      <c r="Q3091" s="147">
        <v>441.56797999999998</v>
      </c>
      <c r="R3091" s="147">
        <v>197.08994518886456</v>
      </c>
    </row>
    <row r="3092" spans="2:18" ht="15.75" hidden="1" thickBot="1" x14ac:dyDescent="0.3">
      <c r="B3092" s="725" t="s">
        <v>782</v>
      </c>
      <c r="C3092" s="144" t="s">
        <v>87</v>
      </c>
      <c r="D3092" t="s">
        <v>87</v>
      </c>
      <c r="E3092" s="148">
        <v>113.63907</v>
      </c>
      <c r="F3092" s="148">
        <v>138.66345999999999</v>
      </c>
      <c r="G3092" s="148">
        <v>-25.02439</v>
      </c>
      <c r="H3092" s="148">
        <v>-18.04685242961628</v>
      </c>
      <c r="I3092" s="728"/>
      <c r="J3092" s="148">
        <v>113.63907</v>
      </c>
      <c r="K3092" s="148">
        <v>0</v>
      </c>
      <c r="L3092" s="148">
        <v>1322.44274</v>
      </c>
      <c r="M3092" s="148">
        <v>1440.0461700000001</v>
      </c>
      <c r="N3092" s="148">
        <v>-117.60343</v>
      </c>
      <c r="O3092" s="148">
        <v>-8.166643018119343</v>
      </c>
      <c r="P3092" s="148">
        <v>548.69461999999999</v>
      </c>
      <c r="Q3092" s="148">
        <v>773.74811999999997</v>
      </c>
      <c r="R3092" s="148">
        <v>141.01616669760676</v>
      </c>
    </row>
    <row r="3093" spans="2:18" ht="15.75" hidden="1" thickBot="1" x14ac:dyDescent="0.3">
      <c r="B3093" s="725" t="s">
        <v>783</v>
      </c>
      <c r="C3093" s="722" t="s">
        <v>59</v>
      </c>
      <c r="D3093" t="s">
        <v>60</v>
      </c>
      <c r="E3093" s="147">
        <v>52.255800000000001</v>
      </c>
      <c r="F3093" s="147">
        <v>57.296379999999999</v>
      </c>
      <c r="G3093" s="147">
        <v>-5.0405800000000003</v>
      </c>
      <c r="H3093" s="147">
        <v>-8.797379520311754</v>
      </c>
      <c r="I3093" s="729"/>
      <c r="J3093" s="147">
        <v>52.255800000000001</v>
      </c>
      <c r="K3093" s="147">
        <v>0</v>
      </c>
      <c r="L3093" s="147">
        <v>688.23508000000004</v>
      </c>
      <c r="M3093" s="147">
        <v>683.94953999999996</v>
      </c>
      <c r="N3093" s="147">
        <v>4.2855400000000001</v>
      </c>
      <c r="O3093" s="147">
        <v>0.62658716021652705</v>
      </c>
      <c r="P3093" s="147">
        <v>355.40786000000003</v>
      </c>
      <c r="Q3093" s="147">
        <v>332.82722000000001</v>
      </c>
      <c r="R3093" s="147">
        <v>93.646555818996234</v>
      </c>
    </row>
    <row r="3094" spans="2:18" ht="15.75" hidden="1" thickBot="1" x14ac:dyDescent="0.3">
      <c r="B3094" s="725" t="s">
        <v>783</v>
      </c>
      <c r="C3094" s="722" t="s">
        <v>61</v>
      </c>
      <c r="D3094" t="s">
        <v>62</v>
      </c>
      <c r="E3094" s="148">
        <v>8.9141499999999994</v>
      </c>
      <c r="F3094" s="148">
        <v>8.8809500000000003</v>
      </c>
      <c r="G3094" s="148">
        <v>3.32E-2</v>
      </c>
      <c r="H3094" s="148">
        <v>0.37383388038441834</v>
      </c>
      <c r="I3094" s="728"/>
      <c r="J3094" s="148">
        <v>8.9141499999999994</v>
      </c>
      <c r="K3094" s="148">
        <v>0</v>
      </c>
      <c r="L3094" s="148">
        <v>106.40869000000001</v>
      </c>
      <c r="M3094" s="148">
        <v>106.0123</v>
      </c>
      <c r="N3094" s="148">
        <v>0.39639000000000002</v>
      </c>
      <c r="O3094" s="148">
        <v>0.37390944258354925</v>
      </c>
      <c r="P3094" s="148">
        <v>52.923679999999997</v>
      </c>
      <c r="Q3094" s="148">
        <v>53.485010000000003</v>
      </c>
      <c r="R3094" s="148">
        <v>101.06064052991024</v>
      </c>
    </row>
    <row r="3095" spans="2:18" ht="15.75" hidden="1" thickBot="1" x14ac:dyDescent="0.3">
      <c r="B3095" s="725" t="s">
        <v>783</v>
      </c>
      <c r="C3095" s="722" t="s">
        <v>63</v>
      </c>
      <c r="D3095" t="s">
        <v>64</v>
      </c>
      <c r="E3095" s="147">
        <v>34.630839999999999</v>
      </c>
      <c r="F3095" s="147">
        <v>34.549700000000001</v>
      </c>
      <c r="G3095" s="147">
        <v>8.1140000000000004E-2</v>
      </c>
      <c r="H3095" s="147">
        <v>0.23485008552896264</v>
      </c>
      <c r="I3095" s="729"/>
      <c r="J3095" s="147">
        <v>34.630839999999999</v>
      </c>
      <c r="K3095" s="147">
        <v>0</v>
      </c>
      <c r="L3095" s="147">
        <v>413.38925999999998</v>
      </c>
      <c r="M3095" s="147">
        <v>412.42138</v>
      </c>
      <c r="N3095" s="147">
        <v>0.96787999999999996</v>
      </c>
      <c r="O3095" s="147">
        <v>0.23468230478255031</v>
      </c>
      <c r="P3095" s="147">
        <v>205.60426000000001</v>
      </c>
      <c r="Q3095" s="147">
        <v>207.785</v>
      </c>
      <c r="R3095" s="147">
        <v>101.06064922973873</v>
      </c>
    </row>
    <row r="3096" spans="2:18" ht="15.75" hidden="1" thickBot="1" x14ac:dyDescent="0.3">
      <c r="B3096" s="725" t="s">
        <v>783</v>
      </c>
      <c r="C3096" s="722" t="s">
        <v>156</v>
      </c>
      <c r="D3096" t="s">
        <v>157</v>
      </c>
      <c r="E3096" s="148">
        <v>65.514840000000007</v>
      </c>
      <c r="F3096" s="148">
        <v>2.6328499999999999</v>
      </c>
      <c r="G3096" s="148">
        <v>62.881990000000002</v>
      </c>
      <c r="H3096" s="148">
        <v>2388.3620411341321</v>
      </c>
      <c r="I3096" s="728"/>
      <c r="J3096" s="148">
        <v>65.514840000000007</v>
      </c>
      <c r="K3096" s="148">
        <v>0</v>
      </c>
      <c r="L3096" s="148">
        <v>944.41525000000001</v>
      </c>
      <c r="M3096" s="148">
        <v>31.428460000000001</v>
      </c>
      <c r="N3096" s="148">
        <v>912.98679000000004</v>
      </c>
      <c r="O3096" s="148">
        <v>2904.9682676147668</v>
      </c>
      <c r="P3096" s="148">
        <v>490.38452000000001</v>
      </c>
      <c r="Q3096" s="148">
        <v>454.03073000000001</v>
      </c>
      <c r="R3096" s="148">
        <v>92.586676675682995</v>
      </c>
    </row>
    <row r="3097" spans="2:18" ht="15.75" hidden="1" thickBot="1" x14ac:dyDescent="0.3">
      <c r="B3097" s="725" t="s">
        <v>783</v>
      </c>
      <c r="C3097" s="722" t="s">
        <v>65</v>
      </c>
      <c r="D3097" t="s">
        <v>66</v>
      </c>
      <c r="E3097" s="147">
        <v>-65.542209999999997</v>
      </c>
      <c r="F3097" s="147">
        <v>-13.77056</v>
      </c>
      <c r="G3097" s="147">
        <v>-51.771650000000001</v>
      </c>
      <c r="H3097" s="147">
        <v>-375.95892977482396</v>
      </c>
      <c r="I3097" s="729"/>
      <c r="J3097" s="147">
        <v>-65.542209999999997</v>
      </c>
      <c r="K3097" s="147">
        <v>0</v>
      </c>
      <c r="L3097" s="147">
        <v>-975.67502000000002</v>
      </c>
      <c r="M3097" s="147">
        <v>-164.37979999999999</v>
      </c>
      <c r="N3097" s="147">
        <v>-811.29521999999997</v>
      </c>
      <c r="O3097" s="147">
        <v>-493.54921955130737</v>
      </c>
      <c r="P3097" s="147">
        <v>-516.88544999999999</v>
      </c>
      <c r="Q3097" s="147">
        <v>-458.78957000000003</v>
      </c>
      <c r="R3097" s="147">
        <v>-88.760395557661766</v>
      </c>
    </row>
    <row r="3098" spans="2:18" ht="15.75" hidden="1" thickBot="1" x14ac:dyDescent="0.3">
      <c r="B3098" s="725" t="s">
        <v>783</v>
      </c>
      <c r="C3098" s="149" t="s">
        <v>67</v>
      </c>
      <c r="D3098" t="s">
        <v>68</v>
      </c>
      <c r="E3098" s="148">
        <v>95.773420000000002</v>
      </c>
      <c r="F3098" s="148">
        <v>89.589320000000001</v>
      </c>
      <c r="G3098" s="148">
        <v>6.1840999999999999</v>
      </c>
      <c r="H3098" s="148">
        <v>6.90272010101204</v>
      </c>
      <c r="I3098" s="728"/>
      <c r="J3098" s="148">
        <v>95.773420000000002</v>
      </c>
      <c r="K3098" s="148">
        <v>0</v>
      </c>
      <c r="L3098" s="148">
        <v>1176.7732599999999</v>
      </c>
      <c r="M3098" s="148">
        <v>1069.4318800000001</v>
      </c>
      <c r="N3098" s="148">
        <v>107.34138</v>
      </c>
      <c r="O3098" s="148">
        <v>10.037233975108354</v>
      </c>
      <c r="P3098" s="148">
        <v>587.43487000000005</v>
      </c>
      <c r="Q3098" s="148">
        <v>589.33839</v>
      </c>
      <c r="R3098" s="148">
        <v>100.32403932711723</v>
      </c>
    </row>
    <row r="3099" spans="2:18" ht="15.75" hidden="1" thickBot="1" x14ac:dyDescent="0.3">
      <c r="B3099" s="725" t="s">
        <v>783</v>
      </c>
      <c r="C3099" s="722" t="s">
        <v>69</v>
      </c>
      <c r="D3099" t="s">
        <v>70</v>
      </c>
      <c r="E3099" s="147">
        <v>3.8769999999999999E-2</v>
      </c>
      <c r="F3099" s="729"/>
      <c r="G3099" s="147">
        <v>3.8769999999999999E-2</v>
      </c>
      <c r="H3099" s="147">
        <v>0</v>
      </c>
      <c r="I3099" s="729"/>
      <c r="J3099" s="147">
        <v>3.8769999999999999E-2</v>
      </c>
      <c r="K3099" s="147">
        <v>0</v>
      </c>
      <c r="L3099" s="147">
        <v>3.49966</v>
      </c>
      <c r="M3099" s="729"/>
      <c r="N3099" s="147">
        <v>3.49966</v>
      </c>
      <c r="O3099" s="147">
        <v>0</v>
      </c>
      <c r="P3099" s="147">
        <v>2.899</v>
      </c>
      <c r="Q3099" s="147">
        <v>0.60065999999999997</v>
      </c>
      <c r="R3099" s="147">
        <v>20.719558468437391</v>
      </c>
    </row>
    <row r="3100" spans="2:18" ht="15.75" hidden="1" thickBot="1" x14ac:dyDescent="0.3">
      <c r="B3100" s="725" t="s">
        <v>783</v>
      </c>
      <c r="C3100" s="722" t="s">
        <v>137</v>
      </c>
      <c r="D3100" t="s">
        <v>138</v>
      </c>
      <c r="E3100" s="148">
        <v>3.9447299999999998</v>
      </c>
      <c r="F3100" s="148">
        <v>1.224</v>
      </c>
      <c r="G3100" s="148">
        <v>2.7207300000000001</v>
      </c>
      <c r="H3100" s="148">
        <v>222.28186274509804</v>
      </c>
      <c r="I3100" s="728"/>
      <c r="J3100" s="148">
        <v>3.9447299999999998</v>
      </c>
      <c r="K3100" s="148">
        <v>0</v>
      </c>
      <c r="L3100" s="148">
        <v>11.990019999999999</v>
      </c>
      <c r="M3100" s="148">
        <v>13.125</v>
      </c>
      <c r="N3100" s="148">
        <v>-1.1349800000000001</v>
      </c>
      <c r="O3100" s="148">
        <v>-8.6474666666666664</v>
      </c>
      <c r="P3100" s="148">
        <v>3.2590599999999998</v>
      </c>
      <c r="Q3100" s="148">
        <v>8.7309599999999996</v>
      </c>
      <c r="R3100" s="148">
        <v>267.89810558872801</v>
      </c>
    </row>
    <row r="3101" spans="2:18" ht="15.75" hidden="1" thickBot="1" x14ac:dyDescent="0.3">
      <c r="B3101" s="725" t="s">
        <v>783</v>
      </c>
      <c r="C3101" s="722" t="s">
        <v>139</v>
      </c>
      <c r="D3101" t="s">
        <v>140</v>
      </c>
      <c r="E3101" s="147">
        <v>0</v>
      </c>
      <c r="F3101" s="729"/>
      <c r="G3101" s="147">
        <v>0</v>
      </c>
      <c r="H3101" s="147">
        <v>0</v>
      </c>
      <c r="I3101" s="729"/>
      <c r="J3101" s="147">
        <v>0</v>
      </c>
      <c r="K3101" s="147">
        <v>0</v>
      </c>
      <c r="L3101" s="147">
        <v>16.773</v>
      </c>
      <c r="M3101" s="729"/>
      <c r="N3101" s="147">
        <v>16.773</v>
      </c>
      <c r="O3101" s="147">
        <v>0</v>
      </c>
      <c r="P3101" s="147">
        <v>8.298</v>
      </c>
      <c r="Q3101" s="147">
        <v>8.4749999999999996</v>
      </c>
      <c r="R3101" s="147">
        <v>102.13304410701373</v>
      </c>
    </row>
    <row r="3102" spans="2:18" ht="15.75" hidden="1" thickBot="1" x14ac:dyDescent="0.3">
      <c r="B3102" s="725" t="s">
        <v>783</v>
      </c>
      <c r="C3102" s="722" t="s">
        <v>101</v>
      </c>
      <c r="D3102" t="s">
        <v>102</v>
      </c>
      <c r="E3102" s="148">
        <v>0</v>
      </c>
      <c r="F3102" s="728"/>
      <c r="G3102" s="148">
        <v>0</v>
      </c>
      <c r="H3102" s="148">
        <v>0</v>
      </c>
      <c r="I3102" s="728"/>
      <c r="J3102" s="148">
        <v>0</v>
      </c>
      <c r="K3102" s="148">
        <v>0</v>
      </c>
      <c r="L3102" s="148">
        <v>10.093389999999999</v>
      </c>
      <c r="M3102" s="728"/>
      <c r="N3102" s="148">
        <v>10.093389999999999</v>
      </c>
      <c r="O3102" s="148">
        <v>0</v>
      </c>
      <c r="P3102" s="148">
        <v>2.9880499999999999</v>
      </c>
      <c r="Q3102" s="148">
        <v>7.10534</v>
      </c>
      <c r="R3102" s="148">
        <v>237.79187095262796</v>
      </c>
    </row>
    <row r="3103" spans="2:18" ht="15.75" hidden="1" thickBot="1" x14ac:dyDescent="0.3">
      <c r="B3103" s="725" t="s">
        <v>783</v>
      </c>
      <c r="C3103" s="722" t="s">
        <v>103</v>
      </c>
      <c r="D3103" t="s">
        <v>104</v>
      </c>
      <c r="E3103" s="147">
        <v>0</v>
      </c>
      <c r="F3103" s="729"/>
      <c r="G3103" s="147">
        <v>0</v>
      </c>
      <c r="H3103" s="147">
        <v>0</v>
      </c>
      <c r="I3103" s="729"/>
      <c r="J3103" s="147">
        <v>0</v>
      </c>
      <c r="K3103" s="147">
        <v>0</v>
      </c>
      <c r="L3103" s="147">
        <v>0.3</v>
      </c>
      <c r="M3103" s="729"/>
      <c r="N3103" s="147">
        <v>0.3</v>
      </c>
      <c r="O3103" s="147">
        <v>0</v>
      </c>
      <c r="P3103" s="147">
        <v>0.3</v>
      </c>
      <c r="Q3103" s="147">
        <v>0</v>
      </c>
      <c r="R3103" s="147">
        <v>0</v>
      </c>
    </row>
    <row r="3104" spans="2:18" ht="15.75" hidden="1" thickBot="1" x14ac:dyDescent="0.3">
      <c r="B3104" s="725" t="s">
        <v>783</v>
      </c>
      <c r="C3104" s="722" t="s">
        <v>71</v>
      </c>
      <c r="D3104" t="s">
        <v>72</v>
      </c>
      <c r="E3104" s="148">
        <v>7.9799999999999992E-3</v>
      </c>
      <c r="F3104" s="728"/>
      <c r="G3104" s="148">
        <v>7.9799999999999992E-3</v>
      </c>
      <c r="H3104" s="148">
        <v>0</v>
      </c>
      <c r="I3104" s="728"/>
      <c r="J3104" s="148">
        <v>7.9799999999999992E-3</v>
      </c>
      <c r="K3104" s="148">
        <v>0</v>
      </c>
      <c r="L3104" s="148">
        <v>0.79783999999999999</v>
      </c>
      <c r="M3104" s="728"/>
      <c r="N3104" s="148">
        <v>0.79783999999999999</v>
      </c>
      <c r="O3104" s="148">
        <v>0</v>
      </c>
      <c r="P3104" s="148">
        <v>0.76270000000000004</v>
      </c>
      <c r="Q3104" s="148">
        <v>3.5139999999999998E-2</v>
      </c>
      <c r="R3104" s="148">
        <v>4.6073161138062151</v>
      </c>
    </row>
    <row r="3105" spans="2:18" ht="15.75" hidden="1" thickBot="1" x14ac:dyDescent="0.3">
      <c r="B3105" s="725" t="s">
        <v>783</v>
      </c>
      <c r="C3105" s="722" t="s">
        <v>109</v>
      </c>
      <c r="D3105" t="s">
        <v>110</v>
      </c>
      <c r="E3105" s="147">
        <v>0.05</v>
      </c>
      <c r="F3105" s="729"/>
      <c r="G3105" s="147">
        <v>0.05</v>
      </c>
      <c r="H3105" s="147">
        <v>0</v>
      </c>
      <c r="I3105" s="729"/>
      <c r="J3105" s="147">
        <v>0.05</v>
      </c>
      <c r="K3105" s="147">
        <v>0</v>
      </c>
      <c r="L3105" s="147">
        <v>0.16</v>
      </c>
      <c r="M3105" s="729"/>
      <c r="N3105" s="147">
        <v>0.16</v>
      </c>
      <c r="O3105" s="147">
        <v>0</v>
      </c>
      <c r="P3105" s="147">
        <v>7.0000000000000007E-2</v>
      </c>
      <c r="Q3105" s="147">
        <v>0.09</v>
      </c>
      <c r="R3105" s="147">
        <v>128.57142857142858</v>
      </c>
    </row>
    <row r="3106" spans="2:18" ht="15.75" hidden="1" thickBot="1" x14ac:dyDescent="0.3">
      <c r="B3106" s="725" t="s">
        <v>783</v>
      </c>
      <c r="C3106" s="722" t="s">
        <v>73</v>
      </c>
      <c r="D3106" t="s">
        <v>74</v>
      </c>
      <c r="E3106" s="148">
        <v>3.2000000000000002E-3</v>
      </c>
      <c r="F3106" s="728"/>
      <c r="G3106" s="148">
        <v>3.2000000000000002E-3</v>
      </c>
      <c r="H3106" s="148">
        <v>0</v>
      </c>
      <c r="I3106" s="728"/>
      <c r="J3106" s="148">
        <v>3.2000000000000002E-3</v>
      </c>
      <c r="K3106" s="148">
        <v>0</v>
      </c>
      <c r="L3106" s="148">
        <v>9.6689999999999998E-2</v>
      </c>
      <c r="M3106" s="728"/>
      <c r="N3106" s="148">
        <v>9.6689999999999998E-2</v>
      </c>
      <c r="O3106" s="148">
        <v>0</v>
      </c>
      <c r="P3106" s="148">
        <v>1.899E-2</v>
      </c>
      <c r="Q3106" s="148">
        <v>7.7700000000000005E-2</v>
      </c>
      <c r="R3106" s="148">
        <v>409.16271721958924</v>
      </c>
    </row>
    <row r="3107" spans="2:18" ht="15.75" hidden="1" thickBot="1" x14ac:dyDescent="0.3">
      <c r="B3107" s="725" t="s">
        <v>783</v>
      </c>
      <c r="C3107" s="722" t="s">
        <v>111</v>
      </c>
      <c r="D3107" t="s">
        <v>112</v>
      </c>
      <c r="E3107" s="729"/>
      <c r="F3107" s="729"/>
      <c r="G3107" s="729"/>
      <c r="H3107" s="729"/>
      <c r="I3107" s="729"/>
      <c r="J3107" s="729"/>
      <c r="K3107" s="729"/>
      <c r="L3107" s="147">
        <v>3.5510899999999999</v>
      </c>
      <c r="M3107" s="729"/>
      <c r="N3107" s="147">
        <v>3.5510899999999999</v>
      </c>
      <c r="O3107" s="147">
        <v>0</v>
      </c>
      <c r="P3107" s="147">
        <v>2.6721900000000001</v>
      </c>
      <c r="Q3107" s="147">
        <v>0.87890000000000001</v>
      </c>
      <c r="R3107" s="147">
        <v>32.89062529236319</v>
      </c>
    </row>
    <row r="3108" spans="2:18" ht="15.75" hidden="1" thickBot="1" x14ac:dyDescent="0.3">
      <c r="B3108" s="725" t="s">
        <v>783</v>
      </c>
      <c r="C3108" s="722" t="s">
        <v>141</v>
      </c>
      <c r="D3108" t="s">
        <v>142</v>
      </c>
      <c r="E3108" s="148">
        <v>0.17799000000000001</v>
      </c>
      <c r="F3108" s="728"/>
      <c r="G3108" s="148">
        <v>0.17799000000000001</v>
      </c>
      <c r="H3108" s="148">
        <v>0</v>
      </c>
      <c r="I3108" s="728"/>
      <c r="J3108" s="148">
        <v>0.17799000000000001</v>
      </c>
      <c r="K3108" s="148">
        <v>0</v>
      </c>
      <c r="L3108" s="148">
        <v>0.50593999999999995</v>
      </c>
      <c r="M3108" s="728"/>
      <c r="N3108" s="148">
        <v>0.50593999999999995</v>
      </c>
      <c r="O3108" s="148">
        <v>0</v>
      </c>
      <c r="P3108" s="148">
        <v>0.27800000000000002</v>
      </c>
      <c r="Q3108" s="148">
        <v>0.22794</v>
      </c>
      <c r="R3108" s="148">
        <v>81.992805755395679</v>
      </c>
    </row>
    <row r="3109" spans="2:18" ht="15.75" hidden="1" thickBot="1" x14ac:dyDescent="0.3">
      <c r="B3109" s="725" t="s">
        <v>783</v>
      </c>
      <c r="C3109" s="722" t="s">
        <v>113</v>
      </c>
      <c r="D3109" t="s">
        <v>114</v>
      </c>
      <c r="E3109" s="147">
        <v>1.35E-2</v>
      </c>
      <c r="F3109" s="729"/>
      <c r="G3109" s="147">
        <v>1.35E-2</v>
      </c>
      <c r="H3109" s="147">
        <v>0</v>
      </c>
      <c r="I3109" s="729"/>
      <c r="J3109" s="147">
        <v>1.35E-2</v>
      </c>
      <c r="K3109" s="147">
        <v>0</v>
      </c>
      <c r="L3109" s="147">
        <v>1.55027</v>
      </c>
      <c r="M3109" s="729"/>
      <c r="N3109" s="147">
        <v>1.55027</v>
      </c>
      <c r="O3109" s="147">
        <v>0</v>
      </c>
      <c r="P3109" s="147">
        <v>0.48297000000000001</v>
      </c>
      <c r="Q3109" s="147">
        <v>1.0672999999999999</v>
      </c>
      <c r="R3109" s="147">
        <v>220.98681077499637</v>
      </c>
    </row>
    <row r="3110" spans="2:18" ht="15.75" hidden="1" thickBot="1" x14ac:dyDescent="0.3">
      <c r="B3110" s="725" t="s">
        <v>783</v>
      </c>
      <c r="C3110" s="722" t="s">
        <v>143</v>
      </c>
      <c r="D3110" t="s">
        <v>144</v>
      </c>
      <c r="E3110" s="148">
        <v>21.561990000000002</v>
      </c>
      <c r="F3110" s="148">
        <v>13.550509999999999</v>
      </c>
      <c r="G3110" s="148">
        <v>8.0114800000000006</v>
      </c>
      <c r="H3110" s="148">
        <v>59.123088356084011</v>
      </c>
      <c r="I3110" s="728"/>
      <c r="J3110" s="148">
        <v>21.561990000000002</v>
      </c>
      <c r="K3110" s="148">
        <v>0</v>
      </c>
      <c r="L3110" s="148">
        <v>117.41262</v>
      </c>
      <c r="M3110" s="148">
        <v>68.446039999999996</v>
      </c>
      <c r="N3110" s="148">
        <v>48.96658</v>
      </c>
      <c r="O3110" s="148">
        <v>71.540413441011339</v>
      </c>
      <c r="P3110" s="148">
        <v>45.783090000000001</v>
      </c>
      <c r="Q3110" s="148">
        <v>71.629530000000003</v>
      </c>
      <c r="R3110" s="148">
        <v>156.45411875869453</v>
      </c>
    </row>
    <row r="3111" spans="2:18" ht="15.75" hidden="1" thickBot="1" x14ac:dyDescent="0.3">
      <c r="B3111" s="725" t="s">
        <v>783</v>
      </c>
      <c r="C3111" s="722" t="s">
        <v>145</v>
      </c>
      <c r="D3111" t="s">
        <v>146</v>
      </c>
      <c r="E3111" s="147">
        <v>0.19509000000000001</v>
      </c>
      <c r="F3111" s="729"/>
      <c r="G3111" s="147">
        <v>0.19509000000000001</v>
      </c>
      <c r="H3111" s="147">
        <v>0</v>
      </c>
      <c r="I3111" s="729"/>
      <c r="J3111" s="147">
        <v>0.19509000000000001</v>
      </c>
      <c r="K3111" s="147">
        <v>0</v>
      </c>
      <c r="L3111" s="147">
        <v>2.2730899999999998</v>
      </c>
      <c r="M3111" s="729"/>
      <c r="N3111" s="147">
        <v>2.2730899999999998</v>
      </c>
      <c r="O3111" s="147">
        <v>0</v>
      </c>
      <c r="P3111" s="147">
        <v>1.0497000000000001</v>
      </c>
      <c r="Q3111" s="147">
        <v>1.22339</v>
      </c>
      <c r="R3111" s="147">
        <v>116.54663237115366</v>
      </c>
    </row>
    <row r="3112" spans="2:18" ht="15.75" hidden="1" thickBot="1" x14ac:dyDescent="0.3">
      <c r="B3112" s="725" t="s">
        <v>783</v>
      </c>
      <c r="C3112" s="722" t="s">
        <v>147</v>
      </c>
      <c r="D3112" t="s">
        <v>148</v>
      </c>
      <c r="E3112" s="148">
        <v>0</v>
      </c>
      <c r="F3112" s="728"/>
      <c r="G3112" s="148">
        <v>0</v>
      </c>
      <c r="H3112" s="148">
        <v>0</v>
      </c>
      <c r="I3112" s="728"/>
      <c r="J3112" s="148">
        <v>0</v>
      </c>
      <c r="K3112" s="148">
        <v>0</v>
      </c>
      <c r="L3112" s="148">
        <v>0.84887999999999997</v>
      </c>
      <c r="M3112" s="728"/>
      <c r="N3112" s="148">
        <v>0.84887999999999997</v>
      </c>
      <c r="O3112" s="148">
        <v>0</v>
      </c>
      <c r="P3112" s="148">
        <v>0.48476000000000002</v>
      </c>
      <c r="Q3112" s="148">
        <v>0.36412</v>
      </c>
      <c r="R3112" s="148">
        <v>75.113458206122615</v>
      </c>
    </row>
    <row r="3113" spans="2:18" ht="15.75" hidden="1" thickBot="1" x14ac:dyDescent="0.3">
      <c r="B3113" s="725" t="s">
        <v>783</v>
      </c>
      <c r="C3113" s="722" t="s">
        <v>149</v>
      </c>
      <c r="D3113" t="s">
        <v>150</v>
      </c>
      <c r="E3113" s="147">
        <v>0</v>
      </c>
      <c r="F3113" s="729"/>
      <c r="G3113" s="147">
        <v>0</v>
      </c>
      <c r="H3113" s="147">
        <v>0</v>
      </c>
      <c r="I3113" s="729"/>
      <c r="J3113" s="147">
        <v>0</v>
      </c>
      <c r="K3113" s="147">
        <v>0</v>
      </c>
      <c r="L3113" s="147">
        <v>1.472</v>
      </c>
      <c r="M3113" s="729"/>
      <c r="N3113" s="147">
        <v>1.472</v>
      </c>
      <c r="O3113" s="147">
        <v>0</v>
      </c>
      <c r="P3113" s="147">
        <v>0.88800000000000001</v>
      </c>
      <c r="Q3113" s="147">
        <v>0.58399999999999996</v>
      </c>
      <c r="R3113" s="147">
        <v>65.765765765765764</v>
      </c>
    </row>
    <row r="3114" spans="2:18" ht="15.75" hidden="1" thickBot="1" x14ac:dyDescent="0.3">
      <c r="B3114" s="725" t="s">
        <v>783</v>
      </c>
      <c r="C3114" s="722" t="s">
        <v>645</v>
      </c>
      <c r="D3114" t="s">
        <v>646</v>
      </c>
      <c r="E3114" s="728"/>
      <c r="F3114" s="728"/>
      <c r="G3114" s="728"/>
      <c r="H3114" s="728"/>
      <c r="I3114" s="728"/>
      <c r="J3114" s="728"/>
      <c r="K3114" s="728"/>
      <c r="L3114" s="148">
        <v>0.53803000000000001</v>
      </c>
      <c r="M3114" s="728"/>
      <c r="N3114" s="148">
        <v>0.53803000000000001</v>
      </c>
      <c r="O3114" s="148">
        <v>0</v>
      </c>
      <c r="P3114" s="728"/>
      <c r="Q3114" s="148">
        <v>0.53803000000000001</v>
      </c>
      <c r="R3114" s="148">
        <v>0</v>
      </c>
    </row>
    <row r="3115" spans="2:18" ht="15.75" hidden="1" thickBot="1" x14ac:dyDescent="0.3">
      <c r="B3115" s="725" t="s">
        <v>783</v>
      </c>
      <c r="C3115" s="722" t="s">
        <v>649</v>
      </c>
      <c r="D3115" t="s">
        <v>650</v>
      </c>
      <c r="E3115" s="147">
        <v>0.159</v>
      </c>
      <c r="F3115" s="729"/>
      <c r="G3115" s="147">
        <v>0.159</v>
      </c>
      <c r="H3115" s="147">
        <v>0</v>
      </c>
      <c r="I3115" s="729"/>
      <c r="J3115" s="147">
        <v>0.159</v>
      </c>
      <c r="K3115" s="147">
        <v>0</v>
      </c>
      <c r="L3115" s="147">
        <v>0.159</v>
      </c>
      <c r="M3115" s="729"/>
      <c r="N3115" s="147">
        <v>0.159</v>
      </c>
      <c r="O3115" s="147">
        <v>0</v>
      </c>
      <c r="P3115" s="729"/>
      <c r="Q3115" s="147">
        <v>0.159</v>
      </c>
      <c r="R3115" s="147">
        <v>0</v>
      </c>
    </row>
    <row r="3116" spans="2:18" ht="15.75" hidden="1" thickBot="1" x14ac:dyDescent="0.3">
      <c r="B3116" s="725" t="s">
        <v>783</v>
      </c>
      <c r="C3116" s="722" t="s">
        <v>153</v>
      </c>
      <c r="D3116" t="s">
        <v>154</v>
      </c>
      <c r="E3116" s="728"/>
      <c r="F3116" s="728"/>
      <c r="G3116" s="728"/>
      <c r="H3116" s="728"/>
      <c r="I3116" s="728"/>
      <c r="J3116" s="728"/>
      <c r="K3116" s="728"/>
      <c r="L3116" s="148">
        <v>2.5000000000000001E-2</v>
      </c>
      <c r="M3116" s="728"/>
      <c r="N3116" s="148">
        <v>2.5000000000000001E-2</v>
      </c>
      <c r="O3116" s="148">
        <v>0</v>
      </c>
      <c r="P3116" s="148">
        <v>2.5000000000000001E-2</v>
      </c>
      <c r="Q3116" s="148">
        <v>0</v>
      </c>
      <c r="R3116" s="148">
        <v>0</v>
      </c>
    </row>
    <row r="3117" spans="2:18" ht="15.75" hidden="1" thickBot="1" x14ac:dyDescent="0.3">
      <c r="B3117" s="725" t="s">
        <v>783</v>
      </c>
      <c r="C3117" s="722" t="s">
        <v>75</v>
      </c>
      <c r="D3117" t="s">
        <v>76</v>
      </c>
      <c r="E3117" s="147">
        <v>2.7108599999999998</v>
      </c>
      <c r="F3117" s="147">
        <v>1.163</v>
      </c>
      <c r="G3117" s="147">
        <v>1.54786</v>
      </c>
      <c r="H3117" s="147">
        <v>133.0920034393809</v>
      </c>
      <c r="I3117" s="729"/>
      <c r="J3117" s="147">
        <v>2.7108599999999998</v>
      </c>
      <c r="K3117" s="147">
        <v>0</v>
      </c>
      <c r="L3117" s="147">
        <v>27.927150000000001</v>
      </c>
      <c r="M3117" s="147">
        <v>12.5</v>
      </c>
      <c r="N3117" s="147">
        <v>15.427149999999999</v>
      </c>
      <c r="O3117" s="147">
        <v>123.41719999999999</v>
      </c>
      <c r="P3117" s="147">
        <v>14.115080000000001</v>
      </c>
      <c r="Q3117" s="147">
        <v>13.81207</v>
      </c>
      <c r="R3117" s="147">
        <v>97.85328882301765</v>
      </c>
    </row>
    <row r="3118" spans="2:18" ht="15.75" hidden="1" thickBot="1" x14ac:dyDescent="0.3">
      <c r="B3118" s="725" t="s">
        <v>783</v>
      </c>
      <c r="C3118" s="722" t="s">
        <v>121</v>
      </c>
      <c r="D3118" t="s">
        <v>122</v>
      </c>
      <c r="E3118" s="148">
        <v>0.20316999999999999</v>
      </c>
      <c r="F3118" s="728"/>
      <c r="G3118" s="148">
        <v>0.20316999999999999</v>
      </c>
      <c r="H3118" s="148">
        <v>0</v>
      </c>
      <c r="I3118" s="728"/>
      <c r="J3118" s="148">
        <v>0.20316999999999999</v>
      </c>
      <c r="K3118" s="148">
        <v>0</v>
      </c>
      <c r="L3118" s="148">
        <v>2.1911499999999999</v>
      </c>
      <c r="M3118" s="728"/>
      <c r="N3118" s="148">
        <v>2.1911499999999999</v>
      </c>
      <c r="O3118" s="148">
        <v>0</v>
      </c>
      <c r="P3118" s="148">
        <v>0.96033999999999997</v>
      </c>
      <c r="Q3118" s="148">
        <v>1.23081</v>
      </c>
      <c r="R3118" s="148">
        <v>128.16398358914552</v>
      </c>
    </row>
    <row r="3119" spans="2:18" ht="15.75" hidden="1" thickBot="1" x14ac:dyDescent="0.3">
      <c r="B3119" s="725" t="s">
        <v>783</v>
      </c>
      <c r="C3119" s="722" t="s">
        <v>77</v>
      </c>
      <c r="D3119" t="s">
        <v>78</v>
      </c>
      <c r="E3119" s="147">
        <v>0.15803</v>
      </c>
      <c r="F3119" s="729"/>
      <c r="G3119" s="147">
        <v>0.15803</v>
      </c>
      <c r="H3119" s="147">
        <v>0</v>
      </c>
      <c r="I3119" s="729"/>
      <c r="J3119" s="147">
        <v>0.15803</v>
      </c>
      <c r="K3119" s="147">
        <v>0</v>
      </c>
      <c r="L3119" s="147">
        <v>18.782579999999999</v>
      </c>
      <c r="M3119" s="729"/>
      <c r="N3119" s="147">
        <v>18.782579999999999</v>
      </c>
      <c r="O3119" s="147">
        <v>0</v>
      </c>
      <c r="P3119" s="147">
        <v>12.16544</v>
      </c>
      <c r="Q3119" s="147">
        <v>6.61714</v>
      </c>
      <c r="R3119" s="147">
        <v>54.392936054922799</v>
      </c>
    </row>
    <row r="3120" spans="2:18" ht="15.75" hidden="1" thickBot="1" x14ac:dyDescent="0.3">
      <c r="B3120" s="725" t="s">
        <v>783</v>
      </c>
      <c r="C3120" s="722" t="s">
        <v>79</v>
      </c>
      <c r="D3120" t="s">
        <v>80</v>
      </c>
      <c r="E3120" s="148">
        <v>0</v>
      </c>
      <c r="F3120" s="728"/>
      <c r="G3120" s="148">
        <v>0</v>
      </c>
      <c r="H3120" s="148">
        <v>0</v>
      </c>
      <c r="I3120" s="728"/>
      <c r="J3120" s="148">
        <v>0</v>
      </c>
      <c r="K3120" s="148">
        <v>0</v>
      </c>
      <c r="L3120" s="148">
        <v>0.16793</v>
      </c>
      <c r="M3120" s="728"/>
      <c r="N3120" s="148">
        <v>0.16793</v>
      </c>
      <c r="O3120" s="148">
        <v>0</v>
      </c>
      <c r="P3120" s="148">
        <v>0.16793</v>
      </c>
      <c r="Q3120" s="148">
        <v>0</v>
      </c>
      <c r="R3120" s="148">
        <v>0</v>
      </c>
    </row>
    <row r="3121" spans="2:18" ht="15.75" hidden="1" thickBot="1" x14ac:dyDescent="0.3">
      <c r="B3121" s="725" t="s">
        <v>783</v>
      </c>
      <c r="C3121" s="722" t="s">
        <v>81</v>
      </c>
      <c r="D3121" t="s">
        <v>82</v>
      </c>
      <c r="E3121" s="147">
        <v>1.3358399999999999</v>
      </c>
      <c r="F3121" s="729"/>
      <c r="G3121" s="147">
        <v>1.3358399999999999</v>
      </c>
      <c r="H3121" s="147">
        <v>0</v>
      </c>
      <c r="I3121" s="729"/>
      <c r="J3121" s="147">
        <v>1.3358399999999999</v>
      </c>
      <c r="K3121" s="147">
        <v>0</v>
      </c>
      <c r="L3121" s="147">
        <v>1.40483</v>
      </c>
      <c r="M3121" s="729"/>
      <c r="N3121" s="147">
        <v>1.40483</v>
      </c>
      <c r="O3121" s="147">
        <v>0</v>
      </c>
      <c r="P3121" s="147">
        <v>6.8989999999999996E-2</v>
      </c>
      <c r="Q3121" s="147">
        <v>1.3358399999999999</v>
      </c>
      <c r="R3121" s="147">
        <v>1936.2806203797652</v>
      </c>
    </row>
    <row r="3122" spans="2:18" ht="15.75" hidden="1" thickBot="1" x14ac:dyDescent="0.3">
      <c r="B3122" s="725" t="s">
        <v>783</v>
      </c>
      <c r="C3122" s="722" t="s">
        <v>125</v>
      </c>
      <c r="D3122" t="s">
        <v>126</v>
      </c>
      <c r="E3122" s="148">
        <v>6.9989999999999997E-2</v>
      </c>
      <c r="F3122" s="728"/>
      <c r="G3122" s="148">
        <v>6.9989999999999997E-2</v>
      </c>
      <c r="H3122" s="148">
        <v>0</v>
      </c>
      <c r="I3122" s="728"/>
      <c r="J3122" s="148">
        <v>6.9989999999999997E-2</v>
      </c>
      <c r="K3122" s="148">
        <v>0</v>
      </c>
      <c r="L3122" s="148">
        <v>0.14274999999999999</v>
      </c>
      <c r="M3122" s="728"/>
      <c r="N3122" s="148">
        <v>0.14274999999999999</v>
      </c>
      <c r="O3122" s="148">
        <v>0</v>
      </c>
      <c r="P3122" s="728"/>
      <c r="Q3122" s="148">
        <v>0.14274999999999999</v>
      </c>
      <c r="R3122" s="148">
        <v>0</v>
      </c>
    </row>
    <row r="3123" spans="2:18" ht="15.75" hidden="1" thickBot="1" x14ac:dyDescent="0.3">
      <c r="B3123" s="725" t="s">
        <v>783</v>
      </c>
      <c r="C3123" s="722" t="s">
        <v>677</v>
      </c>
      <c r="D3123" t="s">
        <v>678</v>
      </c>
      <c r="E3123" s="147">
        <v>0.375</v>
      </c>
      <c r="F3123" s="147">
        <v>0.58699999999999997</v>
      </c>
      <c r="G3123" s="147">
        <v>-0.21199999999999999</v>
      </c>
      <c r="H3123" s="147">
        <v>-36.115843270868822</v>
      </c>
      <c r="I3123" s="729"/>
      <c r="J3123" s="147">
        <v>0.375</v>
      </c>
      <c r="K3123" s="147">
        <v>0</v>
      </c>
      <c r="L3123" s="147">
        <v>2.1749999999999998</v>
      </c>
      <c r="M3123" s="147">
        <v>7</v>
      </c>
      <c r="N3123" s="147">
        <v>-4.8250000000000002</v>
      </c>
      <c r="O3123" s="147">
        <v>-68.928571428571431</v>
      </c>
      <c r="P3123" s="729"/>
      <c r="Q3123" s="147">
        <v>2.1749999999999998</v>
      </c>
      <c r="R3123" s="147">
        <v>0</v>
      </c>
    </row>
    <row r="3124" spans="2:18" ht="15.75" hidden="1" thickBot="1" x14ac:dyDescent="0.3">
      <c r="B3124" s="725" t="s">
        <v>783</v>
      </c>
      <c r="C3124" s="149" t="s">
        <v>85</v>
      </c>
      <c r="D3124" t="s">
        <v>86</v>
      </c>
      <c r="E3124" s="148">
        <v>31.005140000000001</v>
      </c>
      <c r="F3124" s="148">
        <v>16.524509999999999</v>
      </c>
      <c r="G3124" s="148">
        <v>14.48063</v>
      </c>
      <c r="H3124" s="148">
        <v>87.631221742732464</v>
      </c>
      <c r="I3124" s="728"/>
      <c r="J3124" s="148">
        <v>31.005140000000001</v>
      </c>
      <c r="K3124" s="148">
        <v>0</v>
      </c>
      <c r="L3124" s="148">
        <v>224.83790999999999</v>
      </c>
      <c r="M3124" s="148">
        <v>101.07104</v>
      </c>
      <c r="N3124" s="148">
        <v>123.76687</v>
      </c>
      <c r="O3124" s="148">
        <v>122.45532449255494</v>
      </c>
      <c r="P3124" s="148">
        <v>97.737290000000002</v>
      </c>
      <c r="Q3124" s="148">
        <v>127.10062000000001</v>
      </c>
      <c r="R3124" s="148">
        <v>130.04311865000554</v>
      </c>
    </row>
    <row r="3125" spans="2:18" ht="15.75" hidden="1" thickBot="1" x14ac:dyDescent="0.3">
      <c r="B3125" s="725" t="s">
        <v>783</v>
      </c>
      <c r="C3125" s="144" t="s">
        <v>87</v>
      </c>
      <c r="D3125" t="s">
        <v>87</v>
      </c>
      <c r="E3125" s="147">
        <v>126.77856</v>
      </c>
      <c r="F3125" s="147">
        <v>106.11382999999999</v>
      </c>
      <c r="G3125" s="147">
        <v>20.664729999999999</v>
      </c>
      <c r="H3125" s="147">
        <v>19.474115673706244</v>
      </c>
      <c r="I3125" s="729"/>
      <c r="J3125" s="147">
        <v>126.77856</v>
      </c>
      <c r="K3125" s="147">
        <v>0</v>
      </c>
      <c r="L3125" s="147">
        <v>1401.6111699999999</v>
      </c>
      <c r="M3125" s="147">
        <v>1170.5029199999999</v>
      </c>
      <c r="N3125" s="147">
        <v>231.10825</v>
      </c>
      <c r="O3125" s="147">
        <v>19.744354845351431</v>
      </c>
      <c r="P3125" s="147">
        <v>685.17215999999996</v>
      </c>
      <c r="Q3125" s="147">
        <v>716.43901000000005</v>
      </c>
      <c r="R3125" s="147">
        <v>104.56335674817845</v>
      </c>
    </row>
    <row r="3126" spans="2:18" ht="15.75" hidden="1" thickBot="1" x14ac:dyDescent="0.3">
      <c r="B3126" s="724" t="s">
        <v>784</v>
      </c>
      <c r="C3126" s="722" t="s">
        <v>59</v>
      </c>
      <c r="D3126" t="s">
        <v>60</v>
      </c>
      <c r="E3126" s="148">
        <v>46.807899999999997</v>
      </c>
      <c r="F3126" s="148">
        <v>59.895969999999998</v>
      </c>
      <c r="G3126" s="148">
        <v>-13.08807</v>
      </c>
      <c r="H3126" s="148">
        <v>-21.851336575732891</v>
      </c>
      <c r="I3126" s="728"/>
      <c r="J3126" s="148">
        <v>46.807899999999997</v>
      </c>
      <c r="K3126" s="148">
        <v>0</v>
      </c>
      <c r="L3126" s="148">
        <v>616.77828999999997</v>
      </c>
      <c r="M3126" s="148">
        <v>648.39588000000003</v>
      </c>
      <c r="N3126" s="148">
        <v>-31.61759</v>
      </c>
      <c r="O3126" s="148">
        <v>-4.8762786709872366</v>
      </c>
      <c r="P3126" s="148">
        <v>329.92128000000002</v>
      </c>
      <c r="Q3126" s="148">
        <v>286.85701</v>
      </c>
      <c r="R3126" s="148">
        <v>86.947107503947606</v>
      </c>
    </row>
    <row r="3127" spans="2:18" ht="15.75" hidden="1" thickBot="1" x14ac:dyDescent="0.3">
      <c r="B3127" s="724" t="s">
        <v>784</v>
      </c>
      <c r="C3127" s="722" t="s">
        <v>89</v>
      </c>
      <c r="D3127" t="s">
        <v>90</v>
      </c>
      <c r="E3127" s="147">
        <v>0.65107999999999999</v>
      </c>
      <c r="F3127" s="729"/>
      <c r="G3127" s="147">
        <v>0.65107999999999999</v>
      </c>
      <c r="H3127" s="147">
        <v>0</v>
      </c>
      <c r="I3127" s="729"/>
      <c r="J3127" s="147">
        <v>0.65107999999999999</v>
      </c>
      <c r="K3127" s="147">
        <v>0</v>
      </c>
      <c r="L3127" s="147">
        <v>4.1823899999999998</v>
      </c>
      <c r="M3127" s="729"/>
      <c r="N3127" s="147">
        <v>4.1823899999999998</v>
      </c>
      <c r="O3127" s="147">
        <v>0</v>
      </c>
      <c r="P3127" s="147">
        <v>2.5753200000000001</v>
      </c>
      <c r="Q3127" s="147">
        <v>1.60707</v>
      </c>
      <c r="R3127" s="147">
        <v>62.402730534457852</v>
      </c>
    </row>
    <row r="3128" spans="2:18" ht="15.75" hidden="1" thickBot="1" x14ac:dyDescent="0.3">
      <c r="B3128" s="724" t="s">
        <v>784</v>
      </c>
      <c r="C3128" s="722" t="s">
        <v>91</v>
      </c>
      <c r="D3128" t="s">
        <v>92</v>
      </c>
      <c r="E3128" s="148">
        <v>32.168089999999999</v>
      </c>
      <c r="F3128" s="148">
        <v>42.062100000000001</v>
      </c>
      <c r="G3128" s="148">
        <v>-9.8940099999999997</v>
      </c>
      <c r="H3128" s="148">
        <v>-23.522387137113935</v>
      </c>
      <c r="I3128" s="728"/>
      <c r="J3128" s="148">
        <v>32.168089999999999</v>
      </c>
      <c r="K3128" s="148">
        <v>0</v>
      </c>
      <c r="L3128" s="148">
        <v>477.24104</v>
      </c>
      <c r="M3128" s="148">
        <v>491.26898999999997</v>
      </c>
      <c r="N3128" s="148">
        <v>-14.027950000000001</v>
      </c>
      <c r="O3128" s="148">
        <v>-2.8554519592209555</v>
      </c>
      <c r="P3128" s="148">
        <v>244.09800000000001</v>
      </c>
      <c r="Q3128" s="148">
        <v>233.14304000000001</v>
      </c>
      <c r="R3128" s="148">
        <v>95.512064826422176</v>
      </c>
    </row>
    <row r="3129" spans="2:18" ht="15.75" hidden="1" thickBot="1" x14ac:dyDescent="0.3">
      <c r="B3129" s="724" t="s">
        <v>784</v>
      </c>
      <c r="C3129" s="722" t="s">
        <v>93</v>
      </c>
      <c r="D3129" t="s">
        <v>94</v>
      </c>
      <c r="E3129" s="147">
        <v>1.09249</v>
      </c>
      <c r="F3129" s="147">
        <v>2.7357399999999998</v>
      </c>
      <c r="G3129" s="147">
        <v>-1.6432500000000001</v>
      </c>
      <c r="H3129" s="147">
        <v>-60.06601504528939</v>
      </c>
      <c r="I3129" s="729"/>
      <c r="J3129" s="147">
        <v>1.09249</v>
      </c>
      <c r="K3129" s="147">
        <v>0</v>
      </c>
      <c r="L3129" s="147">
        <v>23.499949999999998</v>
      </c>
      <c r="M3129" s="147">
        <v>31.952400000000001</v>
      </c>
      <c r="N3129" s="147">
        <v>-8.4524500000000007</v>
      </c>
      <c r="O3129" s="147">
        <v>-26.453255467507919</v>
      </c>
      <c r="P3129" s="147">
        <v>8.2461900000000004</v>
      </c>
      <c r="Q3129" s="147">
        <v>15.25376</v>
      </c>
      <c r="R3129" s="147">
        <v>184.97948749664997</v>
      </c>
    </row>
    <row r="3130" spans="2:18" ht="15.75" hidden="1" thickBot="1" x14ac:dyDescent="0.3">
      <c r="B3130" s="724" t="s">
        <v>784</v>
      </c>
      <c r="C3130" s="722" t="s">
        <v>134</v>
      </c>
      <c r="D3130" t="s">
        <v>135</v>
      </c>
      <c r="E3130" s="728"/>
      <c r="F3130" s="728"/>
      <c r="G3130" s="728"/>
      <c r="H3130" s="728"/>
      <c r="I3130" s="728"/>
      <c r="J3130" s="728"/>
      <c r="K3130" s="728"/>
      <c r="L3130" s="148">
        <v>2.12242</v>
      </c>
      <c r="M3130" s="728"/>
      <c r="N3130" s="148">
        <v>2.12242</v>
      </c>
      <c r="O3130" s="148">
        <v>0</v>
      </c>
      <c r="P3130" s="728"/>
      <c r="Q3130" s="148">
        <v>2.12242</v>
      </c>
      <c r="R3130" s="148">
        <v>0</v>
      </c>
    </row>
    <row r="3131" spans="2:18" ht="15.75" hidden="1" thickBot="1" x14ac:dyDescent="0.3">
      <c r="B3131" s="724" t="s">
        <v>784</v>
      </c>
      <c r="C3131" s="722" t="s">
        <v>61</v>
      </c>
      <c r="D3131" t="s">
        <v>62</v>
      </c>
      <c r="E3131" s="147">
        <v>14.59878</v>
      </c>
      <c r="F3131" s="147">
        <v>15.8035</v>
      </c>
      <c r="G3131" s="147">
        <v>-1.20472</v>
      </c>
      <c r="H3131" s="147">
        <v>-7.6231214604359794</v>
      </c>
      <c r="I3131" s="729"/>
      <c r="J3131" s="147">
        <v>14.59878</v>
      </c>
      <c r="K3131" s="147">
        <v>0</v>
      </c>
      <c r="L3131" s="147">
        <v>171.65333000000001</v>
      </c>
      <c r="M3131" s="147">
        <v>176.64805000000001</v>
      </c>
      <c r="N3131" s="147">
        <v>-4.99472</v>
      </c>
      <c r="O3131" s="147">
        <v>-2.8274979542655578</v>
      </c>
      <c r="P3131" s="147">
        <v>86.629050000000007</v>
      </c>
      <c r="Q3131" s="147">
        <v>85.024280000000005</v>
      </c>
      <c r="R3131" s="147">
        <v>98.147538268052116</v>
      </c>
    </row>
    <row r="3132" spans="2:18" ht="15.75" hidden="1" thickBot="1" x14ac:dyDescent="0.3">
      <c r="B3132" s="724" t="s">
        <v>784</v>
      </c>
      <c r="C3132" s="722" t="s">
        <v>63</v>
      </c>
      <c r="D3132" t="s">
        <v>64</v>
      </c>
      <c r="E3132" s="148">
        <v>57.001669999999997</v>
      </c>
      <c r="F3132" s="148">
        <v>61.480719999999998</v>
      </c>
      <c r="G3132" s="148">
        <v>-4.47905</v>
      </c>
      <c r="H3132" s="148">
        <v>-7.2852920395206819</v>
      </c>
      <c r="I3132" s="728"/>
      <c r="J3132" s="148">
        <v>57.001669999999997</v>
      </c>
      <c r="K3132" s="148">
        <v>0</v>
      </c>
      <c r="L3132" s="148">
        <v>671.39242000000002</v>
      </c>
      <c r="M3132" s="148">
        <v>687.21783000000005</v>
      </c>
      <c r="N3132" s="148">
        <v>-15.82541</v>
      </c>
      <c r="O3132" s="148">
        <v>-2.3028229637173414</v>
      </c>
      <c r="P3132" s="148">
        <v>338.32315999999997</v>
      </c>
      <c r="Q3132" s="148">
        <v>333.06925999999999</v>
      </c>
      <c r="R3132" s="148">
        <v>98.447076457904927</v>
      </c>
    </row>
    <row r="3133" spans="2:18" ht="15.75" hidden="1" thickBot="1" x14ac:dyDescent="0.3">
      <c r="B3133" s="724" t="s">
        <v>784</v>
      </c>
      <c r="C3133" s="722" t="s">
        <v>156</v>
      </c>
      <c r="D3133" t="s">
        <v>157</v>
      </c>
      <c r="E3133" s="147">
        <v>4.6626000000000003</v>
      </c>
      <c r="F3133" s="147">
        <v>5.85067</v>
      </c>
      <c r="G3133" s="147">
        <v>-1.18807</v>
      </c>
      <c r="H3133" s="147">
        <v>-20.306563179943495</v>
      </c>
      <c r="I3133" s="729"/>
      <c r="J3133" s="147">
        <v>4.6626000000000003</v>
      </c>
      <c r="K3133" s="147">
        <v>0</v>
      </c>
      <c r="L3133" s="147">
        <v>67.730279999999993</v>
      </c>
      <c r="M3133" s="147">
        <v>69.83972</v>
      </c>
      <c r="N3133" s="147">
        <v>-2.1094400000000002</v>
      </c>
      <c r="O3133" s="147">
        <v>-3.0204015709112237</v>
      </c>
      <c r="P3133" s="147">
        <v>35.402920000000002</v>
      </c>
      <c r="Q3133" s="147">
        <v>32.327359999999999</v>
      </c>
      <c r="R3133" s="147">
        <v>91.312693981174434</v>
      </c>
    </row>
    <row r="3134" spans="2:18" ht="15.75" hidden="1" thickBot="1" x14ac:dyDescent="0.3">
      <c r="B3134" s="724" t="s">
        <v>784</v>
      </c>
      <c r="C3134" s="722" t="s">
        <v>182</v>
      </c>
      <c r="D3134" t="s">
        <v>183</v>
      </c>
      <c r="E3134" s="148">
        <v>0.74887999999999999</v>
      </c>
      <c r="F3134" s="728"/>
      <c r="G3134" s="148">
        <v>0.74887999999999999</v>
      </c>
      <c r="H3134" s="148">
        <v>0</v>
      </c>
      <c r="I3134" s="728"/>
      <c r="J3134" s="148">
        <v>0.74887999999999999</v>
      </c>
      <c r="K3134" s="148">
        <v>0</v>
      </c>
      <c r="L3134" s="148">
        <v>3.9978400000000001</v>
      </c>
      <c r="M3134" s="728"/>
      <c r="N3134" s="148">
        <v>3.9978400000000001</v>
      </c>
      <c r="O3134" s="148">
        <v>0</v>
      </c>
      <c r="P3134" s="148">
        <v>2.9990399999999999</v>
      </c>
      <c r="Q3134" s="148">
        <v>0.99880000000000002</v>
      </c>
      <c r="R3134" s="148">
        <v>33.30399061032864</v>
      </c>
    </row>
    <row r="3135" spans="2:18" ht="15.75" hidden="1" thickBot="1" x14ac:dyDescent="0.3">
      <c r="B3135" s="724" t="s">
        <v>784</v>
      </c>
      <c r="C3135" s="722" t="s">
        <v>184</v>
      </c>
      <c r="D3135" t="s">
        <v>185</v>
      </c>
      <c r="E3135" s="147">
        <v>35.111289999999997</v>
      </c>
      <c r="F3135" s="729"/>
      <c r="G3135" s="147">
        <v>35.111289999999997</v>
      </c>
      <c r="H3135" s="147">
        <v>0</v>
      </c>
      <c r="I3135" s="729"/>
      <c r="J3135" s="147">
        <v>35.111289999999997</v>
      </c>
      <c r="K3135" s="147">
        <v>0</v>
      </c>
      <c r="L3135" s="147">
        <v>470.67313999999999</v>
      </c>
      <c r="M3135" s="729"/>
      <c r="N3135" s="147">
        <v>470.67313999999999</v>
      </c>
      <c r="O3135" s="147">
        <v>0</v>
      </c>
      <c r="P3135" s="147">
        <v>243.36377999999999</v>
      </c>
      <c r="Q3135" s="147">
        <v>227.30936</v>
      </c>
      <c r="R3135" s="147">
        <v>93.403118574177313</v>
      </c>
    </row>
    <row r="3136" spans="2:18" ht="15.75" hidden="1" thickBot="1" x14ac:dyDescent="0.3">
      <c r="B3136" s="724" t="s">
        <v>784</v>
      </c>
      <c r="C3136" s="722" t="s">
        <v>161</v>
      </c>
      <c r="D3136" t="s">
        <v>162</v>
      </c>
      <c r="E3136" s="148">
        <v>1.8079499999999999</v>
      </c>
      <c r="F3136" s="728"/>
      <c r="G3136" s="148">
        <v>1.8079499999999999</v>
      </c>
      <c r="H3136" s="148">
        <v>0</v>
      </c>
      <c r="I3136" s="728"/>
      <c r="J3136" s="148">
        <v>1.8079499999999999</v>
      </c>
      <c r="K3136" s="148">
        <v>0</v>
      </c>
      <c r="L3136" s="148">
        <v>22.664909999999999</v>
      </c>
      <c r="M3136" s="728"/>
      <c r="N3136" s="148">
        <v>22.664909999999999</v>
      </c>
      <c r="O3136" s="148">
        <v>0</v>
      </c>
      <c r="P3136" s="148">
        <v>8.5881600000000002</v>
      </c>
      <c r="Q3136" s="148">
        <v>14.076750000000001</v>
      </c>
      <c r="R3136" s="148">
        <v>163.90880002235636</v>
      </c>
    </row>
    <row r="3137" spans="2:18" ht="15.75" hidden="1" thickBot="1" x14ac:dyDescent="0.3">
      <c r="B3137" s="724" t="s">
        <v>784</v>
      </c>
      <c r="C3137" s="722" t="s">
        <v>186</v>
      </c>
      <c r="D3137" t="s">
        <v>187</v>
      </c>
      <c r="E3137" s="147">
        <v>-0.74887999999999999</v>
      </c>
      <c r="F3137" s="729"/>
      <c r="G3137" s="147">
        <v>-0.74887999999999999</v>
      </c>
      <c r="H3137" s="147">
        <v>0</v>
      </c>
      <c r="I3137" s="729"/>
      <c r="J3137" s="147">
        <v>-0.74887999999999999</v>
      </c>
      <c r="K3137" s="147">
        <v>0</v>
      </c>
      <c r="L3137" s="147">
        <v>-4.8612000000000002</v>
      </c>
      <c r="M3137" s="729"/>
      <c r="N3137" s="147">
        <v>-4.8612000000000002</v>
      </c>
      <c r="O3137" s="147">
        <v>0</v>
      </c>
      <c r="P3137" s="147">
        <v>-2.9990399999999999</v>
      </c>
      <c r="Q3137" s="147">
        <v>-1.86216</v>
      </c>
      <c r="R3137" s="147">
        <v>-62.091869398207429</v>
      </c>
    </row>
    <row r="3138" spans="2:18" ht="15.75" hidden="1" thickBot="1" x14ac:dyDescent="0.3">
      <c r="B3138" s="724" t="s">
        <v>784</v>
      </c>
      <c r="C3138" s="722" t="s">
        <v>163</v>
      </c>
      <c r="D3138" t="s">
        <v>164</v>
      </c>
      <c r="E3138" s="148">
        <v>-35.18215</v>
      </c>
      <c r="F3138" s="728"/>
      <c r="G3138" s="148">
        <v>-35.18215</v>
      </c>
      <c r="H3138" s="148">
        <v>0</v>
      </c>
      <c r="I3138" s="728"/>
      <c r="J3138" s="148">
        <v>-35.18215</v>
      </c>
      <c r="K3138" s="148">
        <v>0</v>
      </c>
      <c r="L3138" s="148">
        <v>-475.52690000000001</v>
      </c>
      <c r="M3138" s="728"/>
      <c r="N3138" s="148">
        <v>-475.52690000000001</v>
      </c>
      <c r="O3138" s="148">
        <v>0</v>
      </c>
      <c r="P3138" s="148">
        <v>-245.99600000000001</v>
      </c>
      <c r="Q3138" s="148">
        <v>-229.5309</v>
      </c>
      <c r="R3138" s="148">
        <v>-93.3067610855461</v>
      </c>
    </row>
    <row r="3139" spans="2:18" ht="15.75" hidden="1" thickBot="1" x14ac:dyDescent="0.3">
      <c r="B3139" s="724" t="s">
        <v>784</v>
      </c>
      <c r="C3139" s="722" t="s">
        <v>97</v>
      </c>
      <c r="D3139" t="s">
        <v>98</v>
      </c>
      <c r="E3139" s="147">
        <v>-1.8430599999999999</v>
      </c>
      <c r="F3139" s="729"/>
      <c r="G3139" s="147">
        <v>-1.8430599999999999</v>
      </c>
      <c r="H3139" s="147">
        <v>0</v>
      </c>
      <c r="I3139" s="729"/>
      <c r="J3139" s="147">
        <v>-1.8430599999999999</v>
      </c>
      <c r="K3139" s="147">
        <v>0</v>
      </c>
      <c r="L3139" s="147">
        <v>-23.211220000000001</v>
      </c>
      <c r="M3139" s="729"/>
      <c r="N3139" s="147">
        <v>-23.211220000000001</v>
      </c>
      <c r="O3139" s="147">
        <v>0</v>
      </c>
      <c r="P3139" s="147">
        <v>-8.7074400000000001</v>
      </c>
      <c r="Q3139" s="147">
        <v>-14.503780000000001</v>
      </c>
      <c r="R3139" s="147">
        <v>-166.56767086537491</v>
      </c>
    </row>
    <row r="3140" spans="2:18" ht="15.75" hidden="1" thickBot="1" x14ac:dyDescent="0.3">
      <c r="B3140" s="724" t="s">
        <v>784</v>
      </c>
      <c r="C3140" s="149" t="s">
        <v>67</v>
      </c>
      <c r="D3140" t="s">
        <v>68</v>
      </c>
      <c r="E3140" s="148">
        <v>156.87664000000001</v>
      </c>
      <c r="F3140" s="148">
        <v>187.8287</v>
      </c>
      <c r="G3140" s="148">
        <v>-30.952059999999999</v>
      </c>
      <c r="H3140" s="148">
        <v>-16.478876763774654</v>
      </c>
      <c r="I3140" s="728"/>
      <c r="J3140" s="148">
        <v>156.87664000000001</v>
      </c>
      <c r="K3140" s="148">
        <v>0</v>
      </c>
      <c r="L3140" s="148">
        <v>2028.3366900000001</v>
      </c>
      <c r="M3140" s="148">
        <v>2105.32287</v>
      </c>
      <c r="N3140" s="148">
        <v>-76.986180000000004</v>
      </c>
      <c r="O3140" s="148">
        <v>-3.6567398329739325</v>
      </c>
      <c r="P3140" s="148">
        <v>1042.44442</v>
      </c>
      <c r="Q3140" s="148">
        <v>985.89227000000005</v>
      </c>
      <c r="R3140" s="148">
        <v>94.575044106428237</v>
      </c>
    </row>
    <row r="3141" spans="2:18" ht="15.75" hidden="1" thickBot="1" x14ac:dyDescent="0.3">
      <c r="B3141" s="724" t="s">
        <v>784</v>
      </c>
      <c r="C3141" s="722" t="s">
        <v>69</v>
      </c>
      <c r="D3141" t="s">
        <v>70</v>
      </c>
      <c r="E3141" s="147">
        <v>1.895</v>
      </c>
      <c r="F3141" s="147">
        <v>0.75</v>
      </c>
      <c r="G3141" s="147">
        <v>1.145</v>
      </c>
      <c r="H3141" s="147">
        <v>152.66666666666666</v>
      </c>
      <c r="I3141" s="729"/>
      <c r="J3141" s="147">
        <v>1.895</v>
      </c>
      <c r="K3141" s="147">
        <v>0</v>
      </c>
      <c r="L3141" s="147">
        <v>3.7890000000000001</v>
      </c>
      <c r="M3141" s="147">
        <v>9</v>
      </c>
      <c r="N3141" s="147">
        <v>-5.2110000000000003</v>
      </c>
      <c r="O3141" s="147">
        <v>-57.9</v>
      </c>
      <c r="P3141" s="147">
        <v>1.839</v>
      </c>
      <c r="Q3141" s="147">
        <v>1.95</v>
      </c>
      <c r="R3141" s="147">
        <v>106.03588907014682</v>
      </c>
    </row>
    <row r="3142" spans="2:18" ht="15.75" hidden="1" thickBot="1" x14ac:dyDescent="0.3">
      <c r="B3142" s="724" t="s">
        <v>784</v>
      </c>
      <c r="C3142" s="722" t="s">
        <v>99</v>
      </c>
      <c r="D3142" t="s">
        <v>100</v>
      </c>
      <c r="E3142" s="148">
        <v>6.3450000000000006E-2</v>
      </c>
      <c r="F3142" s="728"/>
      <c r="G3142" s="148">
        <v>6.3450000000000006E-2</v>
      </c>
      <c r="H3142" s="148">
        <v>0</v>
      </c>
      <c r="I3142" s="728"/>
      <c r="J3142" s="148">
        <v>6.3450000000000006E-2</v>
      </c>
      <c r="K3142" s="148">
        <v>0</v>
      </c>
      <c r="L3142" s="148">
        <v>0.19369</v>
      </c>
      <c r="M3142" s="728"/>
      <c r="N3142" s="148">
        <v>0.19369</v>
      </c>
      <c r="O3142" s="148">
        <v>0</v>
      </c>
      <c r="P3142" s="148">
        <v>4.7969999999999999E-2</v>
      </c>
      <c r="Q3142" s="148">
        <v>0.14571999999999999</v>
      </c>
      <c r="R3142" s="148">
        <v>303.7731915780696</v>
      </c>
    </row>
    <row r="3143" spans="2:18" ht="15.75" hidden="1" thickBot="1" x14ac:dyDescent="0.3">
      <c r="B3143" s="724" t="s">
        <v>784</v>
      </c>
      <c r="C3143" s="722" t="s">
        <v>137</v>
      </c>
      <c r="D3143" t="s">
        <v>138</v>
      </c>
      <c r="E3143" s="147">
        <v>1.6301000000000001</v>
      </c>
      <c r="F3143" s="147">
        <v>1</v>
      </c>
      <c r="G3143" s="147">
        <v>0.63009999999999999</v>
      </c>
      <c r="H3143" s="147">
        <v>63.01</v>
      </c>
      <c r="I3143" s="729"/>
      <c r="J3143" s="147">
        <v>1.6301000000000001</v>
      </c>
      <c r="K3143" s="147">
        <v>0</v>
      </c>
      <c r="L3143" s="147">
        <v>11.76196</v>
      </c>
      <c r="M3143" s="147">
        <v>12</v>
      </c>
      <c r="N3143" s="147">
        <v>-0.23804</v>
      </c>
      <c r="O3143" s="147">
        <v>-1.9836666666666667</v>
      </c>
      <c r="P3143" s="147">
        <v>6.2187200000000002</v>
      </c>
      <c r="Q3143" s="147">
        <v>5.5432399999999999</v>
      </c>
      <c r="R3143" s="147">
        <v>89.137957650448968</v>
      </c>
    </row>
    <row r="3144" spans="2:18" ht="15.75" hidden="1" thickBot="1" x14ac:dyDescent="0.3">
      <c r="B3144" s="724" t="s">
        <v>784</v>
      </c>
      <c r="C3144" s="722" t="s">
        <v>190</v>
      </c>
      <c r="D3144" t="s">
        <v>191</v>
      </c>
      <c r="E3144" s="148">
        <v>0.754</v>
      </c>
      <c r="F3144" s="148">
        <v>0.754</v>
      </c>
      <c r="G3144" s="148">
        <v>0</v>
      </c>
      <c r="H3144" s="148">
        <v>0</v>
      </c>
      <c r="I3144" s="728"/>
      <c r="J3144" s="148">
        <v>0.754</v>
      </c>
      <c r="K3144" s="148">
        <v>0</v>
      </c>
      <c r="L3144" s="148">
        <v>9.048</v>
      </c>
      <c r="M3144" s="148">
        <v>9.048</v>
      </c>
      <c r="N3144" s="148">
        <v>0</v>
      </c>
      <c r="O3144" s="148">
        <v>0</v>
      </c>
      <c r="P3144" s="148">
        <v>4.524</v>
      </c>
      <c r="Q3144" s="148">
        <v>4.524</v>
      </c>
      <c r="R3144" s="148">
        <v>100</v>
      </c>
    </row>
    <row r="3145" spans="2:18" ht="15.75" hidden="1" thickBot="1" x14ac:dyDescent="0.3">
      <c r="B3145" s="724" t="s">
        <v>784</v>
      </c>
      <c r="C3145" s="722" t="s">
        <v>36</v>
      </c>
      <c r="D3145" t="s">
        <v>192</v>
      </c>
      <c r="E3145" s="729"/>
      <c r="F3145" s="729"/>
      <c r="G3145" s="729"/>
      <c r="H3145" s="729"/>
      <c r="I3145" s="729"/>
      <c r="J3145" s="729"/>
      <c r="K3145" s="729"/>
      <c r="L3145" s="147">
        <v>2.1787999999999998</v>
      </c>
      <c r="M3145" s="729"/>
      <c r="N3145" s="147">
        <v>2.1787999999999998</v>
      </c>
      <c r="O3145" s="147">
        <v>0</v>
      </c>
      <c r="P3145" s="147">
        <v>0.19</v>
      </c>
      <c r="Q3145" s="147">
        <v>1.9887999999999999</v>
      </c>
      <c r="R3145" s="147">
        <v>1046.7368421052631</v>
      </c>
    </row>
    <row r="3146" spans="2:18" ht="15.75" hidden="1" thickBot="1" x14ac:dyDescent="0.3">
      <c r="B3146" s="724" t="s">
        <v>784</v>
      </c>
      <c r="C3146" s="722" t="s">
        <v>139</v>
      </c>
      <c r="D3146" t="s">
        <v>140</v>
      </c>
      <c r="E3146" s="148">
        <v>37.42</v>
      </c>
      <c r="F3146" s="148">
        <v>0</v>
      </c>
      <c r="G3146" s="148">
        <v>37.42</v>
      </c>
      <c r="H3146" s="148">
        <v>0</v>
      </c>
      <c r="I3146" s="728"/>
      <c r="J3146" s="148">
        <v>37.42</v>
      </c>
      <c r="K3146" s="148">
        <v>0</v>
      </c>
      <c r="L3146" s="148">
        <v>39.725250000000003</v>
      </c>
      <c r="M3146" s="148">
        <v>6.8</v>
      </c>
      <c r="N3146" s="148">
        <v>32.925249999999998</v>
      </c>
      <c r="O3146" s="148">
        <v>484.19485294117646</v>
      </c>
      <c r="P3146" s="148">
        <v>1.1399999999999999</v>
      </c>
      <c r="Q3146" s="148">
        <v>38.585250000000002</v>
      </c>
      <c r="R3146" s="148">
        <v>3384.6710526315787</v>
      </c>
    </row>
    <row r="3147" spans="2:18" ht="15.75" hidden="1" thickBot="1" x14ac:dyDescent="0.3">
      <c r="B3147" s="724" t="s">
        <v>784</v>
      </c>
      <c r="C3147" s="722" t="s">
        <v>101</v>
      </c>
      <c r="D3147" t="s">
        <v>102</v>
      </c>
      <c r="E3147" s="147">
        <v>2.5340000000000001E-2</v>
      </c>
      <c r="F3147" s="729"/>
      <c r="G3147" s="147">
        <v>2.5340000000000001E-2</v>
      </c>
      <c r="H3147" s="147">
        <v>0</v>
      </c>
      <c r="I3147" s="729"/>
      <c r="J3147" s="147">
        <v>2.5340000000000001E-2</v>
      </c>
      <c r="K3147" s="147">
        <v>0</v>
      </c>
      <c r="L3147" s="147">
        <v>1.7065600000000001</v>
      </c>
      <c r="M3147" s="729"/>
      <c r="N3147" s="147">
        <v>1.7065600000000001</v>
      </c>
      <c r="O3147" s="147">
        <v>0</v>
      </c>
      <c r="P3147" s="147">
        <v>1.15126</v>
      </c>
      <c r="Q3147" s="147">
        <v>0.55530000000000002</v>
      </c>
      <c r="R3147" s="147">
        <v>48.23410871566805</v>
      </c>
    </row>
    <row r="3148" spans="2:18" ht="15.75" hidden="1" thickBot="1" x14ac:dyDescent="0.3">
      <c r="B3148" s="724" t="s">
        <v>784</v>
      </c>
      <c r="C3148" s="722" t="s">
        <v>103</v>
      </c>
      <c r="D3148" t="s">
        <v>104</v>
      </c>
      <c r="E3148" s="728"/>
      <c r="F3148" s="728"/>
      <c r="G3148" s="728"/>
      <c r="H3148" s="728"/>
      <c r="I3148" s="728"/>
      <c r="J3148" s="728"/>
      <c r="K3148" s="728"/>
      <c r="L3148" s="148">
        <v>2.5000000000000001E-3</v>
      </c>
      <c r="M3148" s="728"/>
      <c r="N3148" s="148">
        <v>2.5000000000000001E-3</v>
      </c>
      <c r="O3148" s="148">
        <v>0</v>
      </c>
      <c r="P3148" s="148">
        <v>0</v>
      </c>
      <c r="Q3148" s="148">
        <v>2.5000000000000001E-3</v>
      </c>
      <c r="R3148" s="148">
        <v>0</v>
      </c>
    </row>
    <row r="3149" spans="2:18" ht="15.75" hidden="1" thickBot="1" x14ac:dyDescent="0.3">
      <c r="B3149" s="724" t="s">
        <v>784</v>
      </c>
      <c r="C3149" s="722" t="s">
        <v>71</v>
      </c>
      <c r="D3149" t="s">
        <v>72</v>
      </c>
      <c r="E3149" s="729"/>
      <c r="F3149" s="729"/>
      <c r="G3149" s="729"/>
      <c r="H3149" s="729"/>
      <c r="I3149" s="729"/>
      <c r="J3149" s="729"/>
      <c r="K3149" s="729"/>
      <c r="L3149" s="147">
        <v>3.5999999999999999E-3</v>
      </c>
      <c r="M3149" s="729"/>
      <c r="N3149" s="147">
        <v>3.5999999999999999E-3</v>
      </c>
      <c r="O3149" s="147">
        <v>0</v>
      </c>
      <c r="P3149" s="147">
        <v>0.03</v>
      </c>
      <c r="Q3149" s="147">
        <v>-2.64E-2</v>
      </c>
      <c r="R3149" s="147">
        <v>-88</v>
      </c>
    </row>
    <row r="3150" spans="2:18" ht="15.75" hidden="1" thickBot="1" x14ac:dyDescent="0.3">
      <c r="B3150" s="724" t="s">
        <v>784</v>
      </c>
      <c r="C3150" s="722" t="s">
        <v>73</v>
      </c>
      <c r="D3150" t="s">
        <v>74</v>
      </c>
      <c r="E3150" s="148">
        <v>0.53225999999999996</v>
      </c>
      <c r="F3150" s="148">
        <v>0.25</v>
      </c>
      <c r="G3150" s="148">
        <v>0.28226000000000001</v>
      </c>
      <c r="H3150" s="148">
        <v>112.904</v>
      </c>
      <c r="I3150" s="728"/>
      <c r="J3150" s="148">
        <v>0.53225999999999996</v>
      </c>
      <c r="K3150" s="148">
        <v>0</v>
      </c>
      <c r="L3150" s="148">
        <v>2.64154</v>
      </c>
      <c r="M3150" s="148">
        <v>3</v>
      </c>
      <c r="N3150" s="148">
        <v>-0.35846</v>
      </c>
      <c r="O3150" s="148">
        <v>-11.948666666666666</v>
      </c>
      <c r="P3150" s="148">
        <v>1.1399999999999999</v>
      </c>
      <c r="Q3150" s="148">
        <v>1.5015400000000001</v>
      </c>
      <c r="R3150" s="148">
        <v>131.71403508771931</v>
      </c>
    </row>
    <row r="3151" spans="2:18" ht="15.75" hidden="1" thickBot="1" x14ac:dyDescent="0.3">
      <c r="B3151" s="724" t="s">
        <v>784</v>
      </c>
      <c r="C3151" s="722" t="s">
        <v>111</v>
      </c>
      <c r="D3151" t="s">
        <v>112</v>
      </c>
      <c r="E3151" s="729"/>
      <c r="F3151" s="729"/>
      <c r="G3151" s="729"/>
      <c r="H3151" s="729"/>
      <c r="I3151" s="729"/>
      <c r="J3151" s="729"/>
      <c r="K3151" s="729"/>
      <c r="L3151" s="147">
        <v>8.5400000000000004E-2</v>
      </c>
      <c r="M3151" s="729"/>
      <c r="N3151" s="147">
        <v>8.5400000000000004E-2</v>
      </c>
      <c r="O3151" s="147">
        <v>0</v>
      </c>
      <c r="P3151" s="729"/>
      <c r="Q3151" s="147">
        <v>8.5400000000000004E-2</v>
      </c>
      <c r="R3151" s="147">
        <v>0</v>
      </c>
    </row>
    <row r="3152" spans="2:18" ht="15.75" hidden="1" thickBot="1" x14ac:dyDescent="0.3">
      <c r="B3152" s="724" t="s">
        <v>784</v>
      </c>
      <c r="C3152" s="722" t="s">
        <v>141</v>
      </c>
      <c r="D3152" t="s">
        <v>142</v>
      </c>
      <c r="E3152" s="148">
        <v>1</v>
      </c>
      <c r="F3152" s="728"/>
      <c r="G3152" s="148">
        <v>1</v>
      </c>
      <c r="H3152" s="148">
        <v>0</v>
      </c>
      <c r="I3152" s="728"/>
      <c r="J3152" s="148">
        <v>1</v>
      </c>
      <c r="K3152" s="148">
        <v>0</v>
      </c>
      <c r="L3152" s="148">
        <v>2.2599999999999998</v>
      </c>
      <c r="M3152" s="728"/>
      <c r="N3152" s="148">
        <v>2.2599999999999998</v>
      </c>
      <c r="O3152" s="148">
        <v>0</v>
      </c>
      <c r="P3152" s="148">
        <v>0.99750000000000005</v>
      </c>
      <c r="Q3152" s="148">
        <v>1.2625</v>
      </c>
      <c r="R3152" s="148">
        <v>126.56641604010025</v>
      </c>
    </row>
    <row r="3153" spans="2:18" ht="15.75" hidden="1" thickBot="1" x14ac:dyDescent="0.3">
      <c r="B3153" s="724" t="s">
        <v>784</v>
      </c>
      <c r="C3153" s="722" t="s">
        <v>113</v>
      </c>
      <c r="D3153" t="s">
        <v>114</v>
      </c>
      <c r="E3153" s="147">
        <v>3.1949999999999999E-2</v>
      </c>
      <c r="F3153" s="729"/>
      <c r="G3153" s="147">
        <v>3.1949999999999999E-2</v>
      </c>
      <c r="H3153" s="147">
        <v>0</v>
      </c>
      <c r="I3153" s="729"/>
      <c r="J3153" s="147">
        <v>3.1949999999999999E-2</v>
      </c>
      <c r="K3153" s="147">
        <v>0</v>
      </c>
      <c r="L3153" s="147">
        <v>1.0345500000000001</v>
      </c>
      <c r="M3153" s="729"/>
      <c r="N3153" s="147">
        <v>1.0345500000000001</v>
      </c>
      <c r="O3153" s="147">
        <v>0</v>
      </c>
      <c r="P3153" s="147">
        <v>0.60895999999999995</v>
      </c>
      <c r="Q3153" s="147">
        <v>0.42559000000000002</v>
      </c>
      <c r="R3153" s="147">
        <v>69.888005780346816</v>
      </c>
    </row>
    <row r="3154" spans="2:18" ht="15.75" hidden="1" thickBot="1" x14ac:dyDescent="0.3">
      <c r="B3154" s="724" t="s">
        <v>784</v>
      </c>
      <c r="C3154" s="722" t="s">
        <v>201</v>
      </c>
      <c r="D3154" t="s">
        <v>202</v>
      </c>
      <c r="E3154" s="148">
        <v>3.1969999999999998E-2</v>
      </c>
      <c r="F3154" s="728"/>
      <c r="G3154" s="148">
        <v>3.1969999999999998E-2</v>
      </c>
      <c r="H3154" s="148">
        <v>0</v>
      </c>
      <c r="I3154" s="728"/>
      <c r="J3154" s="148">
        <v>3.1969999999999998E-2</v>
      </c>
      <c r="K3154" s="148">
        <v>0</v>
      </c>
      <c r="L3154" s="148">
        <v>0.29193999999999998</v>
      </c>
      <c r="M3154" s="728"/>
      <c r="N3154" s="148">
        <v>0.29193999999999998</v>
      </c>
      <c r="O3154" s="148">
        <v>0</v>
      </c>
      <c r="P3154" s="728"/>
      <c r="Q3154" s="148">
        <v>0.29193999999999998</v>
      </c>
      <c r="R3154" s="148">
        <v>0</v>
      </c>
    </row>
    <row r="3155" spans="2:18" ht="15.75" hidden="1" thickBot="1" x14ac:dyDescent="0.3">
      <c r="B3155" s="724" t="s">
        <v>784</v>
      </c>
      <c r="C3155" s="722" t="s">
        <v>143</v>
      </c>
      <c r="D3155" t="s">
        <v>144</v>
      </c>
      <c r="E3155" s="729"/>
      <c r="F3155" s="147">
        <v>0</v>
      </c>
      <c r="G3155" s="147">
        <v>0</v>
      </c>
      <c r="H3155" s="147">
        <v>0</v>
      </c>
      <c r="I3155" s="729"/>
      <c r="J3155" s="729"/>
      <c r="K3155" s="729"/>
      <c r="L3155" s="147">
        <v>4.6210000000000004</v>
      </c>
      <c r="M3155" s="147">
        <v>7</v>
      </c>
      <c r="N3155" s="147">
        <v>-2.379</v>
      </c>
      <c r="O3155" s="147">
        <v>-33.985714285714288</v>
      </c>
      <c r="P3155" s="729"/>
      <c r="Q3155" s="147">
        <v>4.6210000000000004</v>
      </c>
      <c r="R3155" s="147">
        <v>0</v>
      </c>
    </row>
    <row r="3156" spans="2:18" ht="15.75" hidden="1" thickBot="1" x14ac:dyDescent="0.3">
      <c r="B3156" s="724" t="s">
        <v>784</v>
      </c>
      <c r="C3156" s="722" t="s">
        <v>145</v>
      </c>
      <c r="D3156" t="s">
        <v>146</v>
      </c>
      <c r="E3156" s="148">
        <v>2.1700000000000001E-2</v>
      </c>
      <c r="F3156" s="728"/>
      <c r="G3156" s="148">
        <v>2.1700000000000001E-2</v>
      </c>
      <c r="H3156" s="148">
        <v>0</v>
      </c>
      <c r="I3156" s="728"/>
      <c r="J3156" s="148">
        <v>2.1700000000000001E-2</v>
      </c>
      <c r="K3156" s="148">
        <v>0</v>
      </c>
      <c r="L3156" s="148">
        <v>0.53164999999999996</v>
      </c>
      <c r="M3156" s="728"/>
      <c r="N3156" s="148">
        <v>0.53164999999999996</v>
      </c>
      <c r="O3156" s="148">
        <v>0</v>
      </c>
      <c r="P3156" s="148">
        <v>0.34184999999999999</v>
      </c>
      <c r="Q3156" s="148">
        <v>0.1898</v>
      </c>
      <c r="R3156" s="148">
        <v>55.521427526692996</v>
      </c>
    </row>
    <row r="3157" spans="2:18" ht="15.75" hidden="1" thickBot="1" x14ac:dyDescent="0.3">
      <c r="B3157" s="724" t="s">
        <v>784</v>
      </c>
      <c r="C3157" s="722" t="s">
        <v>147</v>
      </c>
      <c r="D3157" t="s">
        <v>148</v>
      </c>
      <c r="E3157" s="729"/>
      <c r="F3157" s="729"/>
      <c r="G3157" s="729"/>
      <c r="H3157" s="729"/>
      <c r="I3157" s="729"/>
      <c r="J3157" s="729"/>
      <c r="K3157" s="729"/>
      <c r="L3157" s="147">
        <v>3.2000000000000001E-2</v>
      </c>
      <c r="M3157" s="729"/>
      <c r="N3157" s="147">
        <v>3.2000000000000001E-2</v>
      </c>
      <c r="O3157" s="147">
        <v>0</v>
      </c>
      <c r="P3157" s="729"/>
      <c r="Q3157" s="147">
        <v>3.2000000000000001E-2</v>
      </c>
      <c r="R3157" s="147">
        <v>0</v>
      </c>
    </row>
    <row r="3158" spans="2:18" ht="15.75" hidden="1" thickBot="1" x14ac:dyDescent="0.3">
      <c r="B3158" s="724" t="s">
        <v>784</v>
      </c>
      <c r="C3158" s="722" t="s">
        <v>203</v>
      </c>
      <c r="D3158" t="s">
        <v>204</v>
      </c>
      <c r="E3158" s="728"/>
      <c r="F3158" s="148">
        <v>0</v>
      </c>
      <c r="G3158" s="148">
        <v>0</v>
      </c>
      <c r="H3158" s="148">
        <v>0</v>
      </c>
      <c r="I3158" s="728"/>
      <c r="J3158" s="728"/>
      <c r="K3158" s="728"/>
      <c r="L3158" s="728"/>
      <c r="M3158" s="148">
        <v>0</v>
      </c>
      <c r="N3158" s="148">
        <v>0</v>
      </c>
      <c r="O3158" s="148">
        <v>0</v>
      </c>
      <c r="P3158" s="728"/>
      <c r="Q3158" s="728"/>
      <c r="R3158" s="728"/>
    </row>
    <row r="3159" spans="2:18" ht="15.75" hidden="1" thickBot="1" x14ac:dyDescent="0.3">
      <c r="B3159" s="724" t="s">
        <v>784</v>
      </c>
      <c r="C3159" s="722" t="s">
        <v>149</v>
      </c>
      <c r="D3159" t="s">
        <v>150</v>
      </c>
      <c r="E3159" s="147">
        <v>71.837999999999994</v>
      </c>
      <c r="F3159" s="147">
        <v>3.625</v>
      </c>
      <c r="G3159" s="147">
        <v>68.212999999999994</v>
      </c>
      <c r="H3159" s="147">
        <v>1881.7379310344827</v>
      </c>
      <c r="I3159" s="729"/>
      <c r="J3159" s="147">
        <v>71.837999999999994</v>
      </c>
      <c r="K3159" s="147">
        <v>0</v>
      </c>
      <c r="L3159" s="147">
        <v>82.13</v>
      </c>
      <c r="M3159" s="147">
        <v>14.5</v>
      </c>
      <c r="N3159" s="147">
        <v>67.63</v>
      </c>
      <c r="O3159" s="147">
        <v>466.41379310344826</v>
      </c>
      <c r="P3159" s="147">
        <v>5.2919999999999998</v>
      </c>
      <c r="Q3159" s="147">
        <v>76.837999999999994</v>
      </c>
      <c r="R3159" s="147">
        <v>1451.9652305366592</v>
      </c>
    </row>
    <row r="3160" spans="2:18" ht="15.75" hidden="1" thickBot="1" x14ac:dyDescent="0.3">
      <c r="B3160" s="724" t="s">
        <v>784</v>
      </c>
      <c r="C3160" s="722" t="s">
        <v>205</v>
      </c>
      <c r="D3160" t="s">
        <v>206</v>
      </c>
      <c r="E3160" s="728"/>
      <c r="F3160" s="728"/>
      <c r="G3160" s="728"/>
      <c r="H3160" s="728"/>
      <c r="I3160" s="728"/>
      <c r="J3160" s="728"/>
      <c r="K3160" s="728"/>
      <c r="L3160" s="148">
        <v>1.9980000000000001E-2</v>
      </c>
      <c r="M3160" s="728"/>
      <c r="N3160" s="148">
        <v>1.9980000000000001E-2</v>
      </c>
      <c r="O3160" s="148">
        <v>0</v>
      </c>
      <c r="P3160" s="148">
        <v>1.4999999999999999E-2</v>
      </c>
      <c r="Q3160" s="148">
        <v>4.9800000000000001E-3</v>
      </c>
      <c r="R3160" s="148">
        <v>33.200000000000003</v>
      </c>
    </row>
    <row r="3161" spans="2:18" ht="15.75" hidden="1" thickBot="1" x14ac:dyDescent="0.3">
      <c r="B3161" s="724" t="s">
        <v>784</v>
      </c>
      <c r="C3161" s="722" t="s">
        <v>173</v>
      </c>
      <c r="D3161" t="s">
        <v>174</v>
      </c>
      <c r="E3161" s="147">
        <v>6.7500000000000004E-2</v>
      </c>
      <c r="F3161" s="147">
        <v>8.3330000000000001E-2</v>
      </c>
      <c r="G3161" s="147">
        <v>-1.583E-2</v>
      </c>
      <c r="H3161" s="147">
        <v>-18.996759870394815</v>
      </c>
      <c r="I3161" s="729"/>
      <c r="J3161" s="147">
        <v>6.7500000000000004E-2</v>
      </c>
      <c r="K3161" s="147">
        <v>0</v>
      </c>
      <c r="L3161" s="147">
        <v>0.79823999999999995</v>
      </c>
      <c r="M3161" s="147">
        <v>0.99995999999999996</v>
      </c>
      <c r="N3161" s="147">
        <v>-0.20172000000000001</v>
      </c>
      <c r="O3161" s="147">
        <v>-20.172806912276492</v>
      </c>
      <c r="P3161" s="147">
        <v>0.41572999999999999</v>
      </c>
      <c r="Q3161" s="147">
        <v>0.38251000000000002</v>
      </c>
      <c r="R3161" s="147">
        <v>92.009236764246026</v>
      </c>
    </row>
    <row r="3162" spans="2:18" ht="15.75" hidden="1" thickBot="1" x14ac:dyDescent="0.3">
      <c r="B3162" s="724" t="s">
        <v>784</v>
      </c>
      <c r="C3162" s="722" t="s">
        <v>151</v>
      </c>
      <c r="D3162" t="s">
        <v>152</v>
      </c>
      <c r="E3162" s="728"/>
      <c r="F3162" s="728"/>
      <c r="G3162" s="728"/>
      <c r="H3162" s="728"/>
      <c r="I3162" s="728"/>
      <c r="J3162" s="728"/>
      <c r="K3162" s="728"/>
      <c r="L3162" s="148">
        <v>5.1749999999999997E-2</v>
      </c>
      <c r="M3162" s="728"/>
      <c r="N3162" s="148">
        <v>5.1749999999999997E-2</v>
      </c>
      <c r="O3162" s="148">
        <v>0</v>
      </c>
      <c r="P3162" s="728"/>
      <c r="Q3162" s="148">
        <v>5.1749999999999997E-2</v>
      </c>
      <c r="R3162" s="148">
        <v>0</v>
      </c>
    </row>
    <row r="3163" spans="2:18" ht="15.75" hidden="1" thickBot="1" x14ac:dyDescent="0.3">
      <c r="B3163" s="724" t="s">
        <v>784</v>
      </c>
      <c r="C3163" s="722" t="s">
        <v>481</v>
      </c>
      <c r="D3163" t="s">
        <v>482</v>
      </c>
      <c r="E3163" s="729"/>
      <c r="F3163" s="729"/>
      <c r="G3163" s="729"/>
      <c r="H3163" s="729"/>
      <c r="I3163" s="729"/>
      <c r="J3163" s="729"/>
      <c r="K3163" s="729"/>
      <c r="L3163" s="147">
        <v>1.9990000000000001E-2</v>
      </c>
      <c r="M3163" s="729"/>
      <c r="N3163" s="147">
        <v>1.9990000000000001E-2</v>
      </c>
      <c r="O3163" s="147">
        <v>0</v>
      </c>
      <c r="P3163" s="729"/>
      <c r="Q3163" s="147">
        <v>1.9990000000000001E-2</v>
      </c>
      <c r="R3163" s="147">
        <v>0</v>
      </c>
    </row>
    <row r="3164" spans="2:18" ht="15.75" hidden="1" thickBot="1" x14ac:dyDescent="0.3">
      <c r="B3164" s="724" t="s">
        <v>784</v>
      </c>
      <c r="C3164" s="722" t="s">
        <v>153</v>
      </c>
      <c r="D3164" t="s">
        <v>154</v>
      </c>
      <c r="E3164" s="148">
        <v>8.8571500000000007</v>
      </c>
      <c r="F3164" s="148">
        <v>0.5</v>
      </c>
      <c r="G3164" s="148">
        <v>8.3571500000000007</v>
      </c>
      <c r="H3164" s="148">
        <v>1671.43</v>
      </c>
      <c r="I3164" s="728"/>
      <c r="J3164" s="148">
        <v>8.8571500000000007</v>
      </c>
      <c r="K3164" s="148">
        <v>0</v>
      </c>
      <c r="L3164" s="148">
        <v>11.66713</v>
      </c>
      <c r="M3164" s="148">
        <v>13</v>
      </c>
      <c r="N3164" s="148">
        <v>-1.33287</v>
      </c>
      <c r="O3164" s="148">
        <v>-10.252846153846153</v>
      </c>
      <c r="P3164" s="148">
        <v>2.8099799999999999</v>
      </c>
      <c r="Q3164" s="148">
        <v>8.8571500000000007</v>
      </c>
      <c r="R3164" s="148">
        <v>315.20331105559472</v>
      </c>
    </row>
    <row r="3165" spans="2:18" ht="15.75" hidden="1" thickBot="1" x14ac:dyDescent="0.3">
      <c r="B3165" s="724" t="s">
        <v>784</v>
      </c>
      <c r="C3165" s="722" t="s">
        <v>207</v>
      </c>
      <c r="D3165" t="s">
        <v>208</v>
      </c>
      <c r="E3165" s="147">
        <v>0.26100000000000001</v>
      </c>
      <c r="F3165" s="729"/>
      <c r="G3165" s="147">
        <v>0.26100000000000001</v>
      </c>
      <c r="H3165" s="147">
        <v>0</v>
      </c>
      <c r="I3165" s="729"/>
      <c r="J3165" s="147">
        <v>0.26100000000000001</v>
      </c>
      <c r="K3165" s="147">
        <v>0</v>
      </c>
      <c r="L3165" s="147">
        <v>0.42925999999999997</v>
      </c>
      <c r="M3165" s="729"/>
      <c r="N3165" s="147">
        <v>0.42925999999999997</v>
      </c>
      <c r="O3165" s="147">
        <v>0</v>
      </c>
      <c r="P3165" s="147">
        <v>0.16825999999999999</v>
      </c>
      <c r="Q3165" s="147">
        <v>0.26100000000000001</v>
      </c>
      <c r="R3165" s="147">
        <v>155.11708070842744</v>
      </c>
    </row>
    <row r="3166" spans="2:18" ht="15.75" hidden="1" thickBot="1" x14ac:dyDescent="0.3">
      <c r="B3166" s="724" t="s">
        <v>784</v>
      </c>
      <c r="C3166" s="722" t="s">
        <v>75</v>
      </c>
      <c r="D3166" t="s">
        <v>76</v>
      </c>
      <c r="E3166" s="148">
        <v>0.88122999999999996</v>
      </c>
      <c r="F3166" s="148">
        <v>1.8416699999999999</v>
      </c>
      <c r="G3166" s="148">
        <v>-0.96043999999999996</v>
      </c>
      <c r="H3166" s="148">
        <v>-52.150493845260009</v>
      </c>
      <c r="I3166" s="728"/>
      <c r="J3166" s="148">
        <v>0.88122999999999996</v>
      </c>
      <c r="K3166" s="148">
        <v>0</v>
      </c>
      <c r="L3166" s="148">
        <v>16.81156</v>
      </c>
      <c r="M3166" s="148">
        <v>22.10004</v>
      </c>
      <c r="N3166" s="148">
        <v>-5.2884799999999998</v>
      </c>
      <c r="O3166" s="148">
        <v>-23.929730443926797</v>
      </c>
      <c r="P3166" s="148">
        <v>7.2951100000000002</v>
      </c>
      <c r="Q3166" s="148">
        <v>9.5164500000000007</v>
      </c>
      <c r="R3166" s="148">
        <v>130.4497122044767</v>
      </c>
    </row>
    <row r="3167" spans="2:18" ht="15.75" hidden="1" thickBot="1" x14ac:dyDescent="0.3">
      <c r="B3167" s="724" t="s">
        <v>784</v>
      </c>
      <c r="C3167" s="722" t="s">
        <v>121</v>
      </c>
      <c r="D3167" t="s">
        <v>122</v>
      </c>
      <c r="E3167" s="729"/>
      <c r="F3167" s="729"/>
      <c r="G3167" s="729"/>
      <c r="H3167" s="729"/>
      <c r="I3167" s="729"/>
      <c r="J3167" s="729"/>
      <c r="K3167" s="729"/>
      <c r="L3167" s="147">
        <v>1.82134</v>
      </c>
      <c r="M3167" s="729"/>
      <c r="N3167" s="147">
        <v>1.82134</v>
      </c>
      <c r="O3167" s="147">
        <v>0</v>
      </c>
      <c r="P3167" s="147">
        <v>1.15326</v>
      </c>
      <c r="Q3167" s="147">
        <v>0.66808000000000001</v>
      </c>
      <c r="R3167" s="147">
        <v>57.929694951702132</v>
      </c>
    </row>
    <row r="3168" spans="2:18" ht="15.75" hidden="1" thickBot="1" x14ac:dyDescent="0.3">
      <c r="B3168" s="724" t="s">
        <v>784</v>
      </c>
      <c r="C3168" s="722" t="s">
        <v>77</v>
      </c>
      <c r="D3168" t="s">
        <v>78</v>
      </c>
      <c r="E3168" s="148">
        <v>1.4630000000000001</v>
      </c>
      <c r="F3168" s="148">
        <v>0.66666999999999998</v>
      </c>
      <c r="G3168" s="148">
        <v>0.79632999999999998</v>
      </c>
      <c r="H3168" s="148">
        <v>119.44890275548622</v>
      </c>
      <c r="I3168" s="728"/>
      <c r="J3168" s="148">
        <v>1.4630000000000001</v>
      </c>
      <c r="K3168" s="148">
        <v>0</v>
      </c>
      <c r="L3168" s="148">
        <v>24.980360000000001</v>
      </c>
      <c r="M3168" s="148">
        <v>30.000039999999998</v>
      </c>
      <c r="N3168" s="148">
        <v>-5.0196800000000001</v>
      </c>
      <c r="O3168" s="148">
        <v>-16.732244357007524</v>
      </c>
      <c r="P3168" s="148">
        <v>18.553000000000001</v>
      </c>
      <c r="Q3168" s="148">
        <v>6.4273600000000002</v>
      </c>
      <c r="R3168" s="148">
        <v>34.643238290303458</v>
      </c>
    </row>
    <row r="3169" spans="1:18" ht="15.75" hidden="1" thickBot="1" x14ac:dyDescent="0.3">
      <c r="B3169" s="724" t="s">
        <v>784</v>
      </c>
      <c r="C3169" s="722" t="s">
        <v>79</v>
      </c>
      <c r="D3169" t="s">
        <v>80</v>
      </c>
      <c r="E3169" s="729"/>
      <c r="F3169" s="729"/>
      <c r="G3169" s="729"/>
      <c r="H3169" s="729"/>
      <c r="I3169" s="729"/>
      <c r="J3169" s="729"/>
      <c r="K3169" s="729"/>
      <c r="L3169" s="147">
        <v>0.47554000000000002</v>
      </c>
      <c r="M3169" s="729"/>
      <c r="N3169" s="147">
        <v>0.47554000000000002</v>
      </c>
      <c r="O3169" s="147">
        <v>0</v>
      </c>
      <c r="P3169" s="147">
        <v>0.20848</v>
      </c>
      <c r="Q3169" s="147">
        <v>0.26706000000000002</v>
      </c>
      <c r="R3169" s="147">
        <v>128.09861857252494</v>
      </c>
    </row>
    <row r="3170" spans="1:18" ht="15.75" hidden="1" thickBot="1" x14ac:dyDescent="0.3">
      <c r="B3170" s="724" t="s">
        <v>784</v>
      </c>
      <c r="C3170" s="722" t="s">
        <v>81</v>
      </c>
      <c r="D3170" t="s">
        <v>82</v>
      </c>
      <c r="E3170" s="148">
        <v>1.0469999999999999</v>
      </c>
      <c r="F3170" s="148">
        <v>0.45</v>
      </c>
      <c r="G3170" s="148">
        <v>0.59699999999999998</v>
      </c>
      <c r="H3170" s="148">
        <v>132.66666666666666</v>
      </c>
      <c r="I3170" s="728"/>
      <c r="J3170" s="148">
        <v>1.0469999999999999</v>
      </c>
      <c r="K3170" s="148">
        <v>0</v>
      </c>
      <c r="L3170" s="148">
        <v>1.4534899999999999</v>
      </c>
      <c r="M3170" s="148">
        <v>2.6</v>
      </c>
      <c r="N3170" s="148">
        <v>-1.1465099999999999</v>
      </c>
      <c r="O3170" s="148">
        <v>-44.096538461538465</v>
      </c>
      <c r="P3170" s="148">
        <v>0.19649</v>
      </c>
      <c r="Q3170" s="148">
        <v>1.2569999999999999</v>
      </c>
      <c r="R3170" s="148">
        <v>639.72721258079287</v>
      </c>
    </row>
    <row r="3171" spans="1:18" ht="15.75" hidden="1" thickBot="1" x14ac:dyDescent="0.3">
      <c r="B3171" s="724" t="s">
        <v>784</v>
      </c>
      <c r="C3171" s="722" t="s">
        <v>123</v>
      </c>
      <c r="D3171" t="s">
        <v>124</v>
      </c>
      <c r="E3171" s="147">
        <v>0.3004</v>
      </c>
      <c r="F3171" s="147">
        <v>0.25</v>
      </c>
      <c r="G3171" s="147">
        <v>5.04E-2</v>
      </c>
      <c r="H3171" s="147">
        <v>20.16</v>
      </c>
      <c r="I3171" s="729"/>
      <c r="J3171" s="147">
        <v>0.3004</v>
      </c>
      <c r="K3171" s="147">
        <v>0</v>
      </c>
      <c r="L3171" s="147">
        <v>1.0037499999999999</v>
      </c>
      <c r="M3171" s="147">
        <v>1</v>
      </c>
      <c r="N3171" s="147">
        <v>3.7499999999999999E-3</v>
      </c>
      <c r="O3171" s="147">
        <v>0.375</v>
      </c>
      <c r="P3171" s="147">
        <v>0.54252999999999996</v>
      </c>
      <c r="Q3171" s="147">
        <v>0.46122000000000002</v>
      </c>
      <c r="R3171" s="147">
        <v>85.012810351501301</v>
      </c>
    </row>
    <row r="3172" spans="1:18" ht="15.75" hidden="1" thickBot="1" x14ac:dyDescent="0.3">
      <c r="B3172" s="724" t="s">
        <v>784</v>
      </c>
      <c r="C3172" s="722" t="s">
        <v>211</v>
      </c>
      <c r="D3172" t="s">
        <v>212</v>
      </c>
      <c r="E3172" s="148">
        <v>2.1430000000000001E-2</v>
      </c>
      <c r="F3172" s="728"/>
      <c r="G3172" s="148">
        <v>2.1430000000000001E-2</v>
      </c>
      <c r="H3172" s="148">
        <v>0</v>
      </c>
      <c r="I3172" s="728"/>
      <c r="J3172" s="148">
        <v>2.1430000000000001E-2</v>
      </c>
      <c r="K3172" s="148">
        <v>0</v>
      </c>
      <c r="L3172" s="148">
        <v>0.30002000000000001</v>
      </c>
      <c r="M3172" s="728"/>
      <c r="N3172" s="148">
        <v>0.30002000000000001</v>
      </c>
      <c r="O3172" s="148">
        <v>0</v>
      </c>
      <c r="P3172" s="148">
        <v>0.17144000000000001</v>
      </c>
      <c r="Q3172" s="148">
        <v>0.12858</v>
      </c>
      <c r="R3172" s="148">
        <v>75</v>
      </c>
    </row>
    <row r="3173" spans="1:18" ht="15.75" hidden="1" thickBot="1" x14ac:dyDescent="0.3">
      <c r="B3173" s="724" t="s">
        <v>784</v>
      </c>
      <c r="C3173" s="722" t="s">
        <v>215</v>
      </c>
      <c r="D3173" t="s">
        <v>216</v>
      </c>
      <c r="E3173" s="147">
        <v>-2.1430000000000001E-2</v>
      </c>
      <c r="F3173" s="729"/>
      <c r="G3173" s="147">
        <v>-2.1430000000000001E-2</v>
      </c>
      <c r="H3173" s="147">
        <v>0</v>
      </c>
      <c r="I3173" s="729"/>
      <c r="J3173" s="147">
        <v>-2.1430000000000001E-2</v>
      </c>
      <c r="K3173" s="147">
        <v>0</v>
      </c>
      <c r="L3173" s="147">
        <v>-0.34288000000000002</v>
      </c>
      <c r="M3173" s="729"/>
      <c r="N3173" s="147">
        <v>-0.34288000000000002</v>
      </c>
      <c r="O3173" s="147">
        <v>0</v>
      </c>
      <c r="P3173" s="147">
        <v>-0.17144000000000001</v>
      </c>
      <c r="Q3173" s="147">
        <v>-0.17144000000000001</v>
      </c>
      <c r="R3173" s="147">
        <v>-100</v>
      </c>
    </row>
    <row r="3174" spans="1:18" ht="15.75" hidden="1" thickBot="1" x14ac:dyDescent="0.3">
      <c r="B3174" s="724" t="s">
        <v>784</v>
      </c>
      <c r="C3174" s="722" t="s">
        <v>83</v>
      </c>
      <c r="D3174" t="s">
        <v>84</v>
      </c>
      <c r="E3174" s="728"/>
      <c r="F3174" s="148">
        <v>2.0000399999999998</v>
      </c>
      <c r="G3174" s="148">
        <v>-2.0000399999999998</v>
      </c>
      <c r="H3174" s="148">
        <v>-100</v>
      </c>
      <c r="I3174" s="728"/>
      <c r="J3174" s="728"/>
      <c r="K3174" s="728"/>
      <c r="L3174" s="728"/>
      <c r="M3174" s="148">
        <v>24</v>
      </c>
      <c r="N3174" s="148">
        <v>-24</v>
      </c>
      <c r="O3174" s="148">
        <v>-100</v>
      </c>
      <c r="P3174" s="728"/>
      <c r="Q3174" s="728"/>
      <c r="R3174" s="728"/>
    </row>
    <row r="3175" spans="1:18" ht="15.75" hidden="1" thickBot="1" x14ac:dyDescent="0.3">
      <c r="B3175" s="724" t="s">
        <v>784</v>
      </c>
      <c r="C3175" s="149" t="s">
        <v>85</v>
      </c>
      <c r="D3175" t="s">
        <v>86</v>
      </c>
      <c r="E3175" s="147">
        <v>128.12105</v>
      </c>
      <c r="F3175" s="147">
        <v>12.17071</v>
      </c>
      <c r="G3175" s="147">
        <v>115.95034</v>
      </c>
      <c r="H3175" s="147">
        <v>952.69988357293869</v>
      </c>
      <c r="I3175" s="729"/>
      <c r="J3175" s="147">
        <v>128.12105</v>
      </c>
      <c r="K3175" s="147">
        <v>0</v>
      </c>
      <c r="L3175" s="147">
        <v>221.52697000000001</v>
      </c>
      <c r="M3175" s="147">
        <v>155.04803999999999</v>
      </c>
      <c r="N3175" s="147">
        <v>66.478930000000005</v>
      </c>
      <c r="O3175" s="147">
        <v>42.876343357839289</v>
      </c>
      <c r="P3175" s="147">
        <v>54.879100000000001</v>
      </c>
      <c r="Q3175" s="147">
        <v>166.64787000000001</v>
      </c>
      <c r="R3175" s="147">
        <v>303.6636351543666</v>
      </c>
    </row>
    <row r="3176" spans="1:18" ht="15.75" hidden="1" thickBot="1" x14ac:dyDescent="0.3">
      <c r="B3176" s="724" t="s">
        <v>784</v>
      </c>
      <c r="C3176" s="144" t="s">
        <v>87</v>
      </c>
      <c r="D3176" t="s">
        <v>87</v>
      </c>
      <c r="E3176" s="148">
        <v>284.99768999999998</v>
      </c>
      <c r="F3176" s="148">
        <v>199.99941000000001</v>
      </c>
      <c r="G3176" s="148">
        <v>84.998279999999994</v>
      </c>
      <c r="H3176" s="148">
        <v>42.499265372832852</v>
      </c>
      <c r="I3176" s="728"/>
      <c r="J3176" s="148">
        <v>284.99768999999998</v>
      </c>
      <c r="K3176" s="148">
        <v>0</v>
      </c>
      <c r="L3176" s="148">
        <v>2249.86366</v>
      </c>
      <c r="M3176" s="148">
        <v>2260.3709100000001</v>
      </c>
      <c r="N3176" s="148">
        <v>-10.507250000000001</v>
      </c>
      <c r="O3176" s="148">
        <v>-0.46484627604767748</v>
      </c>
      <c r="P3176" s="148">
        <v>1097.3235199999999</v>
      </c>
      <c r="Q3176" s="148">
        <v>1152.5401400000001</v>
      </c>
      <c r="R3176" s="148">
        <v>105.03193625158058</v>
      </c>
    </row>
    <row r="3177" spans="1:18" ht="15.75" hidden="1" thickBot="1" x14ac:dyDescent="0.3">
      <c r="A3177" s="199" t="str">
        <f t="shared" ref="A3177:A3240" si="10">B3177&amp;C3177</f>
        <v>MAJ ACCT SERV TEAMHOURLY REGULAR  PAY</v>
      </c>
      <c r="B3177" s="725" t="s">
        <v>155</v>
      </c>
      <c r="C3177" s="722" t="s">
        <v>91</v>
      </c>
      <c r="D3177" t="s">
        <v>92</v>
      </c>
      <c r="E3177" s="147">
        <v>14.038349999999999</v>
      </c>
      <c r="F3177" s="147">
        <v>17.938369999999999</v>
      </c>
      <c r="G3177" s="147">
        <v>-3.90002</v>
      </c>
      <c r="H3177" s="147">
        <v>-21.74121729008823</v>
      </c>
      <c r="I3177" s="729"/>
      <c r="J3177" s="147">
        <v>14.038349999999999</v>
      </c>
      <c r="K3177" s="147">
        <v>0</v>
      </c>
      <c r="L3177" s="147">
        <v>207.31344000000001</v>
      </c>
      <c r="M3177" s="147">
        <v>209.51316</v>
      </c>
      <c r="N3177" s="147">
        <v>-2.1997200000000001</v>
      </c>
      <c r="O3177" s="147">
        <v>-1.0499197281927302</v>
      </c>
      <c r="P3177" s="147">
        <v>103.35211</v>
      </c>
      <c r="Q3177" s="147">
        <v>103.96133</v>
      </c>
      <c r="R3177" s="147">
        <v>100.58946063123433</v>
      </c>
    </row>
    <row r="3178" spans="1:18" ht="15.75" hidden="1" thickBot="1" x14ac:dyDescent="0.3">
      <c r="A3178" s="199" t="str">
        <f t="shared" si="10"/>
        <v>MAJ ACCT SERV TEAMHOURLY OVERTIME PAY</v>
      </c>
      <c r="B3178" s="725" t="s">
        <v>155</v>
      </c>
      <c r="C3178" s="722" t="s">
        <v>93</v>
      </c>
      <c r="D3178" t="s">
        <v>94</v>
      </c>
      <c r="E3178" s="148">
        <v>-0.70867000000000002</v>
      </c>
      <c r="F3178" s="728"/>
      <c r="G3178" s="148">
        <v>-0.70867000000000002</v>
      </c>
      <c r="H3178" s="148">
        <v>0</v>
      </c>
      <c r="I3178" s="728"/>
      <c r="J3178" s="148">
        <v>-0.70867000000000002</v>
      </c>
      <c r="K3178" s="148">
        <v>0</v>
      </c>
      <c r="L3178" s="148">
        <v>3.39133</v>
      </c>
      <c r="M3178" s="728"/>
      <c r="N3178" s="148">
        <v>3.39133</v>
      </c>
      <c r="O3178" s="148">
        <v>0</v>
      </c>
      <c r="P3178" s="148">
        <v>0.87329000000000001</v>
      </c>
      <c r="Q3178" s="148">
        <v>2.5180400000000001</v>
      </c>
      <c r="R3178" s="148">
        <v>288.33949776133932</v>
      </c>
    </row>
    <row r="3179" spans="1:18" ht="15.75" hidden="1" thickBot="1" x14ac:dyDescent="0.3">
      <c r="A3179" s="199" t="str">
        <f t="shared" si="10"/>
        <v>MAJ ACCT SERV TEAMVACATION, SICK &amp; HOL</v>
      </c>
      <c r="B3179" s="725" t="s">
        <v>155</v>
      </c>
      <c r="C3179" s="722" t="s">
        <v>61</v>
      </c>
      <c r="D3179" t="s">
        <v>62</v>
      </c>
      <c r="E3179" s="147">
        <v>2.7052200000000002</v>
      </c>
      <c r="F3179" s="147">
        <v>2.7804500000000001</v>
      </c>
      <c r="G3179" s="147">
        <v>-7.5230000000000005E-2</v>
      </c>
      <c r="H3179" s="147">
        <v>-2.7056771385926739</v>
      </c>
      <c r="I3179" s="729"/>
      <c r="J3179" s="147">
        <v>2.7052200000000002</v>
      </c>
      <c r="K3179" s="147">
        <v>0</v>
      </c>
      <c r="L3179" s="147">
        <v>32.719569999999997</v>
      </c>
      <c r="M3179" s="147">
        <v>32.474510000000002</v>
      </c>
      <c r="N3179" s="147">
        <v>0.24506</v>
      </c>
      <c r="O3179" s="147">
        <v>0.75462262556078596</v>
      </c>
      <c r="P3179" s="147">
        <v>16.257739999999998</v>
      </c>
      <c r="Q3179" s="147">
        <v>16.461829999999999</v>
      </c>
      <c r="R3179" s="147">
        <v>101.25534053318604</v>
      </c>
    </row>
    <row r="3180" spans="1:18" ht="15.75" hidden="1" thickBot="1" x14ac:dyDescent="0.3">
      <c r="A3180" s="199" t="str">
        <f t="shared" si="10"/>
        <v>MAJ ACCT SERV TEAMPAYROLL OVERHEAD</v>
      </c>
      <c r="B3180" s="725" t="s">
        <v>155</v>
      </c>
      <c r="C3180" s="722" t="s">
        <v>63</v>
      </c>
      <c r="D3180" t="s">
        <v>64</v>
      </c>
      <c r="E3180" s="148">
        <v>10.392530000000001</v>
      </c>
      <c r="F3180" s="148">
        <v>10.816839999999999</v>
      </c>
      <c r="G3180" s="148">
        <v>-0.42431000000000002</v>
      </c>
      <c r="H3180" s="148">
        <v>-3.9226798214635696</v>
      </c>
      <c r="I3180" s="728"/>
      <c r="J3180" s="148">
        <v>10.392530000000001</v>
      </c>
      <c r="K3180" s="148">
        <v>0</v>
      </c>
      <c r="L3180" s="148">
        <v>127.66622</v>
      </c>
      <c r="M3180" s="148">
        <v>126.33642</v>
      </c>
      <c r="N3180" s="148">
        <v>1.3298000000000001</v>
      </c>
      <c r="O3180" s="148">
        <v>1.052586419656343</v>
      </c>
      <c r="P3180" s="148">
        <v>63.301459999999999</v>
      </c>
      <c r="Q3180" s="148">
        <v>64.364760000000004</v>
      </c>
      <c r="R3180" s="148">
        <v>101.6797400881433</v>
      </c>
    </row>
    <row r="3181" spans="1:18" ht="15.75" hidden="1" thickBot="1" x14ac:dyDescent="0.3">
      <c r="A3181" s="199" t="str">
        <f t="shared" si="10"/>
        <v>MAJ ACCT SERV TEAMNWN/580105</v>
      </c>
      <c r="B3181" s="725" t="s">
        <v>155</v>
      </c>
      <c r="C3181" s="722" t="s">
        <v>156</v>
      </c>
      <c r="D3181" t="s">
        <v>157</v>
      </c>
      <c r="E3181" s="147">
        <v>4.6626000000000003</v>
      </c>
      <c r="F3181" s="147">
        <v>5.85067</v>
      </c>
      <c r="G3181" s="147">
        <v>-1.18807</v>
      </c>
      <c r="H3181" s="147">
        <v>-20.306563179943495</v>
      </c>
      <c r="I3181" s="729"/>
      <c r="J3181" s="147">
        <v>4.6626000000000003</v>
      </c>
      <c r="K3181" s="147">
        <v>0</v>
      </c>
      <c r="L3181" s="147">
        <v>67.730279999999993</v>
      </c>
      <c r="M3181" s="147">
        <v>69.83972</v>
      </c>
      <c r="N3181" s="147">
        <v>-2.1094400000000002</v>
      </c>
      <c r="O3181" s="147">
        <v>-3.0204015709112237</v>
      </c>
      <c r="P3181" s="147">
        <v>35.402920000000002</v>
      </c>
      <c r="Q3181" s="147">
        <v>32.327359999999999</v>
      </c>
      <c r="R3181" s="147">
        <v>91.312693981174434</v>
      </c>
    </row>
    <row r="3182" spans="1:18" ht="18.75" thickBot="1" x14ac:dyDescent="0.3">
      <c r="A3182" s="199" t="str">
        <f t="shared" si="10"/>
        <v>MAJ ACCT SERV TEAMPayroll</v>
      </c>
      <c r="B3182" s="725" t="s">
        <v>155</v>
      </c>
      <c r="C3182" s="149" t="s">
        <v>67</v>
      </c>
      <c r="D3182" t="s">
        <v>68</v>
      </c>
      <c r="E3182" s="148">
        <v>31.090029999999999</v>
      </c>
      <c r="F3182" s="148">
        <v>37.386330000000001</v>
      </c>
      <c r="G3182" s="148">
        <v>-6.2962999999999996</v>
      </c>
      <c r="H3182" s="148">
        <v>-16.841182325197472</v>
      </c>
      <c r="I3182" s="728"/>
      <c r="J3182" s="148">
        <v>31.090029999999999</v>
      </c>
      <c r="K3182" s="148">
        <v>0</v>
      </c>
      <c r="L3182" s="739">
        <v>438.82083999999998</v>
      </c>
      <c r="M3182" s="148">
        <v>438.16381000000001</v>
      </c>
      <c r="N3182" s="148">
        <v>0.65703</v>
      </c>
      <c r="O3182" s="148">
        <v>0.14995076841238897</v>
      </c>
      <c r="P3182" s="148">
        <v>219.18752000000001</v>
      </c>
      <c r="Q3182" s="148">
        <v>219.63332</v>
      </c>
      <c r="R3182" s="148">
        <v>100.2033874921346</v>
      </c>
    </row>
    <row r="3183" spans="1:18" ht="15.75" hidden="1" thickBot="1" x14ac:dyDescent="0.3">
      <c r="A3183" s="199" t="str">
        <f t="shared" si="10"/>
        <v>MAJ ACCT SERV TEAMEDUCATION</v>
      </c>
      <c r="B3183" s="725" t="s">
        <v>155</v>
      </c>
      <c r="C3183" s="722" t="s">
        <v>69</v>
      </c>
      <c r="D3183" t="s">
        <v>70</v>
      </c>
      <c r="E3183" s="729"/>
      <c r="F3183" s="729"/>
      <c r="G3183" s="729"/>
      <c r="H3183" s="729"/>
      <c r="I3183" s="729"/>
      <c r="J3183" s="729"/>
      <c r="K3183" s="729"/>
      <c r="L3183" s="147">
        <v>0.03</v>
      </c>
      <c r="M3183" s="147">
        <v>3</v>
      </c>
      <c r="N3183" s="147">
        <v>-2.97</v>
      </c>
      <c r="O3183" s="147">
        <v>-99</v>
      </c>
      <c r="P3183" s="729"/>
      <c r="Q3183" s="147">
        <v>0.03</v>
      </c>
      <c r="R3183" s="147">
        <v>0</v>
      </c>
    </row>
    <row r="3184" spans="1:18" ht="15.75" hidden="1" thickBot="1" x14ac:dyDescent="0.3">
      <c r="A3184" s="199" t="str">
        <f t="shared" si="10"/>
        <v>MAJ ACCT SERV TEAMMILEAGE REIMBURSE</v>
      </c>
      <c r="B3184" s="725" t="s">
        <v>155</v>
      </c>
      <c r="C3184" s="722" t="s">
        <v>137</v>
      </c>
      <c r="D3184" t="s">
        <v>138</v>
      </c>
      <c r="E3184" s="148">
        <v>7.1389999999999995E-2</v>
      </c>
      <c r="F3184" s="728"/>
      <c r="G3184" s="148">
        <v>7.1389999999999995E-2</v>
      </c>
      <c r="H3184" s="148">
        <v>0</v>
      </c>
      <c r="I3184" s="728"/>
      <c r="J3184" s="148">
        <v>7.1389999999999995E-2</v>
      </c>
      <c r="K3184" s="148">
        <v>0</v>
      </c>
      <c r="L3184" s="148">
        <v>0.10518</v>
      </c>
      <c r="M3184" s="728"/>
      <c r="N3184" s="148">
        <v>0.10518</v>
      </c>
      <c r="O3184" s="148">
        <v>0</v>
      </c>
      <c r="P3184" s="148">
        <v>1.635E-2</v>
      </c>
      <c r="Q3184" s="148">
        <v>8.8830000000000006E-2</v>
      </c>
      <c r="R3184" s="148">
        <v>543.30275229357801</v>
      </c>
    </row>
    <row r="3185" spans="1:18" ht="15.75" hidden="1" thickBot="1" x14ac:dyDescent="0.3">
      <c r="A3185" s="199" t="str">
        <f t="shared" si="10"/>
        <v>MAJ ACCT SERV TEAMDUES/MEMBERSHIP</v>
      </c>
      <c r="B3185" s="725" t="s">
        <v>155</v>
      </c>
      <c r="C3185" s="722" t="s">
        <v>139</v>
      </c>
      <c r="D3185" t="s">
        <v>140</v>
      </c>
      <c r="E3185" s="729"/>
      <c r="F3185" s="729"/>
      <c r="G3185" s="729"/>
      <c r="H3185" s="729"/>
      <c r="I3185" s="729"/>
      <c r="J3185" s="729"/>
      <c r="K3185" s="729"/>
      <c r="L3185" s="147">
        <v>0.36525000000000002</v>
      </c>
      <c r="M3185" s="729"/>
      <c r="N3185" s="147">
        <v>0.36525000000000002</v>
      </c>
      <c r="O3185" s="147">
        <v>0</v>
      </c>
      <c r="P3185" s="147">
        <v>0.24</v>
      </c>
      <c r="Q3185" s="147">
        <v>0.12525</v>
      </c>
      <c r="R3185" s="147">
        <v>52.1875</v>
      </c>
    </row>
    <row r="3186" spans="1:18" ht="15.75" hidden="1" thickBot="1" x14ac:dyDescent="0.3">
      <c r="A3186" s="199" t="str">
        <f t="shared" si="10"/>
        <v>MAJ ACCT SERV TEAMOTHER CONTRACT WORK</v>
      </c>
      <c r="B3186" s="725" t="s">
        <v>155</v>
      </c>
      <c r="C3186" s="722" t="s">
        <v>101</v>
      </c>
      <c r="D3186" t="s">
        <v>102</v>
      </c>
      <c r="E3186" s="148">
        <v>2.5340000000000001E-2</v>
      </c>
      <c r="F3186" s="728"/>
      <c r="G3186" s="148">
        <v>2.5340000000000001E-2</v>
      </c>
      <c r="H3186" s="148">
        <v>0</v>
      </c>
      <c r="I3186" s="728"/>
      <c r="J3186" s="148">
        <v>2.5340000000000001E-2</v>
      </c>
      <c r="K3186" s="148">
        <v>0</v>
      </c>
      <c r="L3186" s="148">
        <v>0.26495999999999997</v>
      </c>
      <c r="M3186" s="728"/>
      <c r="N3186" s="148">
        <v>0.26495999999999997</v>
      </c>
      <c r="O3186" s="148">
        <v>0</v>
      </c>
      <c r="P3186" s="148">
        <v>7.3260000000000006E-2</v>
      </c>
      <c r="Q3186" s="148">
        <v>0.19170000000000001</v>
      </c>
      <c r="R3186" s="148">
        <v>261.67076167076169</v>
      </c>
    </row>
    <row r="3187" spans="1:18" ht="15.75" hidden="1" thickBot="1" x14ac:dyDescent="0.3">
      <c r="A3187" s="199" t="str">
        <f t="shared" si="10"/>
        <v>MAJ ACCT SERV TEAMMISCELLANEOUS</v>
      </c>
      <c r="B3187" s="725" t="s">
        <v>155</v>
      </c>
      <c r="C3187" s="722" t="s">
        <v>103</v>
      </c>
      <c r="D3187" t="s">
        <v>104</v>
      </c>
      <c r="E3187" s="729"/>
      <c r="F3187" s="729"/>
      <c r="G3187" s="729"/>
      <c r="H3187" s="729"/>
      <c r="I3187" s="729"/>
      <c r="J3187" s="729"/>
      <c r="K3187" s="729"/>
      <c r="L3187" s="147">
        <v>2.5000000000000001E-3</v>
      </c>
      <c r="M3187" s="729"/>
      <c r="N3187" s="147">
        <v>2.5000000000000001E-3</v>
      </c>
      <c r="O3187" s="147">
        <v>0</v>
      </c>
      <c r="P3187" s="729"/>
      <c r="Q3187" s="147">
        <v>2.5000000000000001E-3</v>
      </c>
      <c r="R3187" s="147">
        <v>0</v>
      </c>
    </row>
    <row r="3188" spans="1:18" ht="15.75" hidden="1" thickBot="1" x14ac:dyDescent="0.3">
      <c r="A3188" s="199" t="str">
        <f t="shared" si="10"/>
        <v>MAJ ACCT SERV TEAMOFFICE SUPPLIES</v>
      </c>
      <c r="B3188" s="725" t="s">
        <v>155</v>
      </c>
      <c r="C3188" s="722" t="s">
        <v>73</v>
      </c>
      <c r="D3188" t="s">
        <v>74</v>
      </c>
      <c r="E3188" s="148">
        <v>0.28645999999999999</v>
      </c>
      <c r="F3188" s="148">
        <v>0.25</v>
      </c>
      <c r="G3188" s="148">
        <v>3.6459999999999999E-2</v>
      </c>
      <c r="H3188" s="148">
        <v>14.584</v>
      </c>
      <c r="I3188" s="728"/>
      <c r="J3188" s="148">
        <v>0.28645999999999999</v>
      </c>
      <c r="K3188" s="148">
        <v>0</v>
      </c>
      <c r="L3188" s="148">
        <v>1.3256399999999999</v>
      </c>
      <c r="M3188" s="148">
        <v>3</v>
      </c>
      <c r="N3188" s="148">
        <v>-1.6743600000000001</v>
      </c>
      <c r="O3188" s="148">
        <v>-55.811999999999998</v>
      </c>
      <c r="P3188" s="148">
        <v>0.53468000000000004</v>
      </c>
      <c r="Q3188" s="148">
        <v>0.79096</v>
      </c>
      <c r="R3188" s="148">
        <v>147.93147303059774</v>
      </c>
    </row>
    <row r="3189" spans="1:18" ht="15.75" hidden="1" thickBot="1" x14ac:dyDescent="0.3">
      <c r="A3189" s="199" t="str">
        <f t="shared" si="10"/>
        <v>MAJ ACCT SERV TEAMREFRESHMENTS</v>
      </c>
      <c r="B3189" s="725" t="s">
        <v>155</v>
      </c>
      <c r="C3189" s="722" t="s">
        <v>113</v>
      </c>
      <c r="D3189" t="s">
        <v>114</v>
      </c>
      <c r="E3189" s="147">
        <v>3.1949999999999999E-2</v>
      </c>
      <c r="F3189" s="729"/>
      <c r="G3189" s="147">
        <v>3.1949999999999999E-2</v>
      </c>
      <c r="H3189" s="147">
        <v>0</v>
      </c>
      <c r="I3189" s="729"/>
      <c r="J3189" s="147">
        <v>3.1949999999999999E-2</v>
      </c>
      <c r="K3189" s="147">
        <v>0</v>
      </c>
      <c r="L3189" s="147">
        <v>0.3039</v>
      </c>
      <c r="M3189" s="729"/>
      <c r="N3189" s="147">
        <v>0.3039</v>
      </c>
      <c r="O3189" s="147">
        <v>0</v>
      </c>
      <c r="P3189" s="147">
        <v>0.13236999999999999</v>
      </c>
      <c r="Q3189" s="147">
        <v>0.17152999999999999</v>
      </c>
      <c r="R3189" s="147">
        <v>129.58374253985042</v>
      </c>
    </row>
    <row r="3190" spans="1:18" ht="15.75" hidden="1" thickBot="1" x14ac:dyDescent="0.3">
      <c r="A3190" s="199" t="str">
        <f t="shared" si="10"/>
        <v>MAJ ACCT SERV TEAMPARKING</v>
      </c>
      <c r="B3190" s="725" t="s">
        <v>155</v>
      </c>
      <c r="C3190" s="722" t="s">
        <v>145</v>
      </c>
      <c r="D3190" t="s">
        <v>146</v>
      </c>
      <c r="E3190" s="728"/>
      <c r="F3190" s="728"/>
      <c r="G3190" s="728"/>
      <c r="H3190" s="728"/>
      <c r="I3190" s="728"/>
      <c r="J3190" s="728"/>
      <c r="K3190" s="728"/>
      <c r="L3190" s="148">
        <v>0.01</v>
      </c>
      <c r="M3190" s="728"/>
      <c r="N3190" s="148">
        <v>0.01</v>
      </c>
      <c r="O3190" s="148">
        <v>0</v>
      </c>
      <c r="P3190" s="728"/>
      <c r="Q3190" s="148">
        <v>0.01</v>
      </c>
      <c r="R3190" s="148">
        <v>0</v>
      </c>
    </row>
    <row r="3191" spans="1:18" ht="15.75" hidden="1" thickBot="1" x14ac:dyDescent="0.3">
      <c r="A3191" s="199" t="str">
        <f t="shared" si="10"/>
        <v>MAJ ACCT SERV TEAMMEALS AND ENTERTAIN</v>
      </c>
      <c r="B3191" s="725" t="s">
        <v>155</v>
      </c>
      <c r="C3191" s="722" t="s">
        <v>75</v>
      </c>
      <c r="D3191" t="s">
        <v>76</v>
      </c>
      <c r="E3191" s="729"/>
      <c r="F3191" s="729"/>
      <c r="G3191" s="729"/>
      <c r="H3191" s="729"/>
      <c r="I3191" s="729"/>
      <c r="J3191" s="729"/>
      <c r="K3191" s="729"/>
      <c r="L3191" s="147">
        <v>1.29111</v>
      </c>
      <c r="M3191" s="729"/>
      <c r="N3191" s="147">
        <v>1.29111</v>
      </c>
      <c r="O3191" s="147">
        <v>0</v>
      </c>
      <c r="P3191" s="147">
        <v>0.52907999999999999</v>
      </c>
      <c r="Q3191" s="147">
        <v>0.76202999999999999</v>
      </c>
      <c r="R3191" s="147">
        <v>144.0292583352234</v>
      </c>
    </row>
    <row r="3192" spans="1:18" ht="15.75" hidden="1" thickBot="1" x14ac:dyDescent="0.3">
      <c r="A3192" s="199" t="str">
        <f t="shared" si="10"/>
        <v>MAJ ACCT SERV TEAMCONFERENCE TRAVEL</v>
      </c>
      <c r="B3192" s="725" t="s">
        <v>155</v>
      </c>
      <c r="C3192" s="722" t="s">
        <v>77</v>
      </c>
      <c r="D3192" t="s">
        <v>78</v>
      </c>
      <c r="E3192" s="728"/>
      <c r="F3192" s="728"/>
      <c r="G3192" s="728"/>
      <c r="H3192" s="728"/>
      <c r="I3192" s="728"/>
      <c r="J3192" s="728"/>
      <c r="K3192" s="728"/>
      <c r="L3192" s="148">
        <v>2.1134599999999999</v>
      </c>
      <c r="M3192" s="148">
        <v>5</v>
      </c>
      <c r="N3192" s="148">
        <v>-2.8865400000000001</v>
      </c>
      <c r="O3192" s="148">
        <v>-57.730800000000002</v>
      </c>
      <c r="P3192" s="148">
        <v>1.5370999999999999</v>
      </c>
      <c r="Q3192" s="148">
        <v>0.57635999999999998</v>
      </c>
      <c r="R3192" s="148">
        <v>37.496584477262374</v>
      </c>
    </row>
    <row r="3193" spans="1:18" ht="15.75" hidden="1" thickBot="1" x14ac:dyDescent="0.3">
      <c r="A3193" s="199" t="str">
        <f t="shared" si="10"/>
        <v>MAJ ACCT SERV TEAMEMPLOYEE AWARDS</v>
      </c>
      <c r="B3193" s="725" t="s">
        <v>155</v>
      </c>
      <c r="C3193" s="722" t="s">
        <v>81</v>
      </c>
      <c r="D3193" t="s">
        <v>82</v>
      </c>
      <c r="E3193" s="147">
        <v>0.372</v>
      </c>
      <c r="F3193" s="147">
        <v>0.35</v>
      </c>
      <c r="G3193" s="147">
        <v>2.1999999999999999E-2</v>
      </c>
      <c r="H3193" s="147">
        <v>6.2857142857142856</v>
      </c>
      <c r="I3193" s="729"/>
      <c r="J3193" s="147">
        <v>0.372</v>
      </c>
      <c r="K3193" s="147">
        <v>0</v>
      </c>
      <c r="L3193" s="147">
        <v>0.58199999999999996</v>
      </c>
      <c r="M3193" s="147">
        <v>1.4</v>
      </c>
      <c r="N3193" s="147">
        <v>-0.81799999999999995</v>
      </c>
      <c r="O3193" s="147">
        <v>-58.428571428571431</v>
      </c>
      <c r="P3193" s="729"/>
      <c r="Q3193" s="147">
        <v>0.58199999999999996</v>
      </c>
      <c r="R3193" s="147">
        <v>0</v>
      </c>
    </row>
    <row r="3194" spans="1:18" ht="15.75" hidden="1" thickBot="1" x14ac:dyDescent="0.3">
      <c r="A3194" s="199" t="str">
        <f t="shared" si="10"/>
        <v>MAJ ACCT SERV TEAMEMPLOYEE AWRDS MLS &amp;</v>
      </c>
      <c r="B3194" s="725" t="s">
        <v>155</v>
      </c>
      <c r="C3194" s="722" t="s">
        <v>123</v>
      </c>
      <c r="D3194" t="s">
        <v>124</v>
      </c>
      <c r="E3194" s="148">
        <v>9.9129999999999996E-2</v>
      </c>
      <c r="F3194" s="728"/>
      <c r="G3194" s="148">
        <v>9.9129999999999996E-2</v>
      </c>
      <c r="H3194" s="148">
        <v>0</v>
      </c>
      <c r="I3194" s="728"/>
      <c r="J3194" s="148">
        <v>9.9129999999999996E-2</v>
      </c>
      <c r="K3194" s="148">
        <v>0</v>
      </c>
      <c r="L3194" s="148">
        <v>0.50109999999999999</v>
      </c>
      <c r="M3194" s="728"/>
      <c r="N3194" s="148">
        <v>0.50109999999999999</v>
      </c>
      <c r="O3194" s="148">
        <v>0</v>
      </c>
      <c r="P3194" s="148">
        <v>0.32156000000000001</v>
      </c>
      <c r="Q3194" s="148">
        <v>0.17954000000000001</v>
      </c>
      <c r="R3194" s="148">
        <v>55.834058962557535</v>
      </c>
    </row>
    <row r="3195" spans="1:18" ht="15.75" hidden="1" thickBot="1" x14ac:dyDescent="0.3">
      <c r="A3195" s="199" t="str">
        <f t="shared" si="10"/>
        <v>MAJ ACCT SERV TEAMMISC. EXPENSE BUDGET</v>
      </c>
      <c r="B3195" s="725" t="s">
        <v>155</v>
      </c>
      <c r="C3195" s="722" t="s">
        <v>83</v>
      </c>
      <c r="D3195" t="s">
        <v>84</v>
      </c>
      <c r="E3195" s="729"/>
      <c r="F3195" s="147">
        <v>0.91666999999999998</v>
      </c>
      <c r="G3195" s="147">
        <v>-0.91666999999999998</v>
      </c>
      <c r="H3195" s="147">
        <v>-100</v>
      </c>
      <c r="I3195" s="729"/>
      <c r="J3195" s="729"/>
      <c r="K3195" s="729"/>
      <c r="L3195" s="729"/>
      <c r="M3195" s="147">
        <v>11</v>
      </c>
      <c r="N3195" s="147">
        <v>-11</v>
      </c>
      <c r="O3195" s="147">
        <v>-100</v>
      </c>
      <c r="P3195" s="729"/>
      <c r="Q3195" s="729"/>
      <c r="R3195" s="729"/>
    </row>
    <row r="3196" spans="1:18" ht="18.75" thickBot="1" x14ac:dyDescent="0.3">
      <c r="A3196" s="199" t="str">
        <f t="shared" si="10"/>
        <v>MAJ ACCT SERV TEAMNon-Payroll</v>
      </c>
      <c r="B3196" s="725" t="s">
        <v>155</v>
      </c>
      <c r="C3196" s="149" t="s">
        <v>85</v>
      </c>
      <c r="D3196" t="s">
        <v>86</v>
      </c>
      <c r="E3196" s="148">
        <v>0.88627</v>
      </c>
      <c r="F3196" s="148">
        <v>1.51667</v>
      </c>
      <c r="G3196" s="148">
        <v>-0.63039999999999996</v>
      </c>
      <c r="H3196" s="148">
        <v>-41.564743813749857</v>
      </c>
      <c r="I3196" s="728"/>
      <c r="J3196" s="148">
        <v>0.88627</v>
      </c>
      <c r="K3196" s="148">
        <v>0</v>
      </c>
      <c r="L3196" s="739">
        <v>6.8951000000000002</v>
      </c>
      <c r="M3196" s="148">
        <v>23.4</v>
      </c>
      <c r="N3196" s="148">
        <v>-16.504899999999999</v>
      </c>
      <c r="O3196" s="148">
        <v>-70.53376068376069</v>
      </c>
      <c r="P3196" s="148">
        <v>3.3843999999999999</v>
      </c>
      <c r="Q3196" s="148">
        <v>3.5106999999999999</v>
      </c>
      <c r="R3196" s="148">
        <v>103.73182838907931</v>
      </c>
    </row>
    <row r="3197" spans="1:18" ht="15.75" hidden="1" thickBot="1" x14ac:dyDescent="0.3">
      <c r="A3197" s="199" t="str">
        <f t="shared" si="10"/>
        <v>MAJ ACCT SERV TEAMEXPENSE ACCOUNTS</v>
      </c>
      <c r="B3197" s="725" t="s">
        <v>155</v>
      </c>
      <c r="C3197" s="144" t="s">
        <v>87</v>
      </c>
      <c r="D3197" t="s">
        <v>87</v>
      </c>
      <c r="E3197" s="147">
        <v>31.976299999999998</v>
      </c>
      <c r="F3197" s="147">
        <v>38.902999999999999</v>
      </c>
      <c r="G3197" s="147">
        <v>-6.9267000000000003</v>
      </c>
      <c r="H3197" s="147">
        <v>-17.805053594838444</v>
      </c>
      <c r="I3197" s="729"/>
      <c r="J3197" s="147">
        <v>31.976299999999998</v>
      </c>
      <c r="K3197" s="147">
        <v>0</v>
      </c>
      <c r="L3197" s="147">
        <v>445.71593999999999</v>
      </c>
      <c r="M3197" s="147">
        <v>461.56380999999999</v>
      </c>
      <c r="N3197" s="147">
        <v>-15.84787</v>
      </c>
      <c r="O3197" s="147">
        <v>-3.4335165922128947</v>
      </c>
      <c r="P3197" s="147">
        <v>222.57192000000001</v>
      </c>
      <c r="Q3197" s="147">
        <v>223.14402000000001</v>
      </c>
      <c r="R3197" s="147">
        <v>100.25704051077064</v>
      </c>
    </row>
    <row r="3198" spans="1:18" ht="15.75" hidden="1" thickBot="1" x14ac:dyDescent="0.3">
      <c r="A3198" s="199" t="str">
        <f t="shared" si="10"/>
        <v>CUST SEG SRVCSALARY PAYROLL</v>
      </c>
      <c r="B3198" s="725" t="s">
        <v>133</v>
      </c>
      <c r="C3198" s="722" t="s">
        <v>59</v>
      </c>
      <c r="D3198" t="s">
        <v>60</v>
      </c>
      <c r="E3198" s="148">
        <v>39.808210000000003</v>
      </c>
      <c r="F3198" s="148">
        <v>52.041739999999997</v>
      </c>
      <c r="G3198" s="148">
        <v>-12.23353</v>
      </c>
      <c r="H3198" s="148">
        <v>-23.507150222110177</v>
      </c>
      <c r="I3198" s="728"/>
      <c r="J3198" s="148">
        <v>39.808210000000003</v>
      </c>
      <c r="K3198" s="148">
        <v>0</v>
      </c>
      <c r="L3198" s="148">
        <v>520.15215999999998</v>
      </c>
      <c r="M3198" s="148">
        <v>554.63958000000002</v>
      </c>
      <c r="N3198" s="148">
        <v>-34.48742</v>
      </c>
      <c r="O3198" s="148">
        <v>-6.2179875442715433</v>
      </c>
      <c r="P3198" s="148">
        <v>278.95096999999998</v>
      </c>
      <c r="Q3198" s="148">
        <v>241.20119</v>
      </c>
      <c r="R3198" s="148">
        <v>86.467234725873155</v>
      </c>
    </row>
    <row r="3199" spans="1:18" ht="15.75" hidden="1" thickBot="1" x14ac:dyDescent="0.3">
      <c r="A3199" s="199" t="str">
        <f t="shared" si="10"/>
        <v>CUST SEG SRVCSALARY BONUS PAYROLL</v>
      </c>
      <c r="B3199" s="725" t="s">
        <v>133</v>
      </c>
      <c r="C3199" s="722" t="s">
        <v>134</v>
      </c>
      <c r="D3199" t="s">
        <v>135</v>
      </c>
      <c r="E3199" s="729"/>
      <c r="F3199" s="729"/>
      <c r="G3199" s="729"/>
      <c r="H3199" s="729"/>
      <c r="I3199" s="729"/>
      <c r="J3199" s="729"/>
      <c r="K3199" s="729"/>
      <c r="L3199" s="147">
        <v>2.12242</v>
      </c>
      <c r="M3199" s="729"/>
      <c r="N3199" s="147">
        <v>2.12242</v>
      </c>
      <c r="O3199" s="147">
        <v>0</v>
      </c>
      <c r="P3199" s="729"/>
      <c r="Q3199" s="147">
        <v>2.12242</v>
      </c>
      <c r="R3199" s="147">
        <v>0</v>
      </c>
    </row>
    <row r="3200" spans="1:18" ht="15.75" hidden="1" thickBot="1" x14ac:dyDescent="0.3">
      <c r="A3200" s="199" t="str">
        <f t="shared" si="10"/>
        <v>CUST SEG SRVCVACATION, SICK &amp; HOL</v>
      </c>
      <c r="B3200" s="725" t="s">
        <v>133</v>
      </c>
      <c r="C3200" s="722" t="s">
        <v>61</v>
      </c>
      <c r="D3200" t="s">
        <v>62</v>
      </c>
      <c r="E3200" s="148">
        <v>7.0354000000000001</v>
      </c>
      <c r="F3200" s="148">
        <v>8.0664700000000007</v>
      </c>
      <c r="G3200" s="148">
        <v>-1.0310699999999999</v>
      </c>
      <c r="H3200" s="148">
        <v>-12.782171135577272</v>
      </c>
      <c r="I3200" s="728"/>
      <c r="J3200" s="148">
        <v>7.0354000000000001</v>
      </c>
      <c r="K3200" s="148">
        <v>0</v>
      </c>
      <c r="L3200" s="148">
        <v>80.402969999999996</v>
      </c>
      <c r="M3200" s="148">
        <v>85.969120000000004</v>
      </c>
      <c r="N3200" s="148">
        <v>-5.5661500000000004</v>
      </c>
      <c r="O3200" s="148">
        <v>-6.4745922722019253</v>
      </c>
      <c r="P3200" s="148">
        <v>41.258690000000001</v>
      </c>
      <c r="Q3200" s="148">
        <v>39.144280000000002</v>
      </c>
      <c r="R3200" s="148">
        <v>94.8752371924557</v>
      </c>
    </row>
    <row r="3201" spans="1:18" ht="15.75" hidden="1" thickBot="1" x14ac:dyDescent="0.3">
      <c r="A3201" s="199" t="str">
        <f t="shared" si="10"/>
        <v>CUST SEG SRVCPAYROLL OVERHEAD</v>
      </c>
      <c r="B3201" s="725" t="s">
        <v>133</v>
      </c>
      <c r="C3201" s="722" t="s">
        <v>63</v>
      </c>
      <c r="D3201" t="s">
        <v>64</v>
      </c>
      <c r="E3201" s="147">
        <v>27.332090000000001</v>
      </c>
      <c r="F3201" s="147">
        <v>31.381170000000001</v>
      </c>
      <c r="G3201" s="147">
        <v>-4.04908</v>
      </c>
      <c r="H3201" s="147">
        <v>-12.902896864584717</v>
      </c>
      <c r="I3201" s="729"/>
      <c r="J3201" s="147">
        <v>27.332090000000001</v>
      </c>
      <c r="K3201" s="147">
        <v>0</v>
      </c>
      <c r="L3201" s="147">
        <v>312.36007000000001</v>
      </c>
      <c r="M3201" s="147">
        <v>334.44763999999998</v>
      </c>
      <c r="N3201" s="147">
        <v>-22.087569999999999</v>
      </c>
      <c r="O3201" s="147">
        <v>-6.6041937087670881</v>
      </c>
      <c r="P3201" s="147">
        <v>160.28729999999999</v>
      </c>
      <c r="Q3201" s="147">
        <v>152.07276999999999</v>
      </c>
      <c r="R3201" s="147">
        <v>94.875121110655684</v>
      </c>
    </row>
    <row r="3202" spans="1:18" ht="18.75" thickBot="1" x14ac:dyDescent="0.3">
      <c r="A3202" s="199" t="str">
        <f t="shared" si="10"/>
        <v>CUST SEG SRVCPayroll</v>
      </c>
      <c r="B3202" s="725" t="s">
        <v>133</v>
      </c>
      <c r="C3202" s="149" t="s">
        <v>67</v>
      </c>
      <c r="D3202" t="s">
        <v>68</v>
      </c>
      <c r="E3202" s="148">
        <v>74.175700000000006</v>
      </c>
      <c r="F3202" s="148">
        <v>91.489379999999997</v>
      </c>
      <c r="G3202" s="148">
        <v>-17.313680000000002</v>
      </c>
      <c r="H3202" s="148">
        <v>-18.924251098870709</v>
      </c>
      <c r="I3202" s="728"/>
      <c r="J3202" s="148">
        <v>74.175700000000006</v>
      </c>
      <c r="K3202" s="148">
        <v>0</v>
      </c>
      <c r="L3202" s="739">
        <v>915.03761999999995</v>
      </c>
      <c r="M3202" s="148">
        <v>975.05633999999998</v>
      </c>
      <c r="N3202" s="148">
        <v>-60.018720000000002</v>
      </c>
      <c r="O3202" s="148">
        <v>-6.1554104658198519</v>
      </c>
      <c r="P3202" s="148">
        <v>480.49696</v>
      </c>
      <c r="Q3202" s="148">
        <v>434.54066</v>
      </c>
      <c r="R3202" s="148">
        <v>90.435673099784026</v>
      </c>
    </row>
    <row r="3203" spans="1:18" ht="15.75" hidden="1" thickBot="1" x14ac:dyDescent="0.3">
      <c r="A3203" s="199" t="str">
        <f t="shared" si="10"/>
        <v>CUST SEG SRVCEDUCATION</v>
      </c>
      <c r="B3203" s="725" t="s">
        <v>133</v>
      </c>
      <c r="C3203" s="722" t="s">
        <v>69</v>
      </c>
      <c r="D3203" t="s">
        <v>70</v>
      </c>
      <c r="E3203" s="147">
        <v>1.895</v>
      </c>
      <c r="F3203" s="147">
        <v>0</v>
      </c>
      <c r="G3203" s="147">
        <v>1.895</v>
      </c>
      <c r="H3203" s="147">
        <v>0</v>
      </c>
      <c r="I3203" s="729"/>
      <c r="J3203" s="147">
        <v>1.895</v>
      </c>
      <c r="K3203" s="147">
        <v>0</v>
      </c>
      <c r="L3203" s="147">
        <v>2.964</v>
      </c>
      <c r="M3203" s="147">
        <v>3</v>
      </c>
      <c r="N3203" s="147">
        <v>-3.5999999999999997E-2</v>
      </c>
      <c r="O3203" s="147">
        <v>-1.2</v>
      </c>
      <c r="P3203" s="147">
        <v>1.044</v>
      </c>
      <c r="Q3203" s="147">
        <v>1.92</v>
      </c>
      <c r="R3203" s="147">
        <v>183.90804597701148</v>
      </c>
    </row>
    <row r="3204" spans="1:18" ht="15.75" hidden="1" thickBot="1" x14ac:dyDescent="0.3">
      <c r="A3204" s="199" t="str">
        <f t="shared" si="10"/>
        <v>CUST SEG SRVCMILEAGE REIMBURSE</v>
      </c>
      <c r="B3204" s="725" t="s">
        <v>133</v>
      </c>
      <c r="C3204" s="722" t="s">
        <v>137</v>
      </c>
      <c r="D3204" t="s">
        <v>138</v>
      </c>
      <c r="E3204" s="148">
        <v>1.55871</v>
      </c>
      <c r="F3204" s="148">
        <v>1</v>
      </c>
      <c r="G3204" s="148">
        <v>0.55871000000000004</v>
      </c>
      <c r="H3204" s="148">
        <v>55.871000000000002</v>
      </c>
      <c r="I3204" s="728"/>
      <c r="J3204" s="148">
        <v>1.55871</v>
      </c>
      <c r="K3204" s="148">
        <v>0</v>
      </c>
      <c r="L3204" s="148">
        <v>11.656779999999999</v>
      </c>
      <c r="M3204" s="148">
        <v>12</v>
      </c>
      <c r="N3204" s="148">
        <v>-0.34322000000000003</v>
      </c>
      <c r="O3204" s="148">
        <v>-2.8601666666666667</v>
      </c>
      <c r="P3204" s="148">
        <v>6.2023700000000002</v>
      </c>
      <c r="Q3204" s="148">
        <v>5.4544100000000002</v>
      </c>
      <c r="R3204" s="148">
        <v>87.940738782110714</v>
      </c>
    </row>
    <row r="3205" spans="1:18" ht="15.75" hidden="1" thickBot="1" x14ac:dyDescent="0.3">
      <c r="A3205" s="199" t="str">
        <f t="shared" si="10"/>
        <v>CUST SEG SRVCEQUIPMENT</v>
      </c>
      <c r="B3205" s="725" t="s">
        <v>133</v>
      </c>
      <c r="C3205" s="722" t="s">
        <v>36</v>
      </c>
      <c r="D3205" t="s">
        <v>192</v>
      </c>
      <c r="E3205" s="729"/>
      <c r="F3205" s="729"/>
      <c r="G3205" s="729"/>
      <c r="H3205" s="729"/>
      <c r="I3205" s="729"/>
      <c r="J3205" s="729"/>
      <c r="K3205" s="729"/>
      <c r="L3205" s="147">
        <v>2.1787999999999998</v>
      </c>
      <c r="M3205" s="729"/>
      <c r="N3205" s="147">
        <v>2.1787999999999998</v>
      </c>
      <c r="O3205" s="147">
        <v>0</v>
      </c>
      <c r="P3205" s="147">
        <v>0.19</v>
      </c>
      <c r="Q3205" s="147">
        <v>1.9887999999999999</v>
      </c>
      <c r="R3205" s="147">
        <v>1046.7368421052631</v>
      </c>
    </row>
    <row r="3206" spans="1:18" ht="15.75" hidden="1" thickBot="1" x14ac:dyDescent="0.3">
      <c r="A3206" s="199" t="str">
        <f t="shared" si="10"/>
        <v>CUST SEG SRVCDUES/MEMBERSHIP</v>
      </c>
      <c r="B3206" s="725" t="s">
        <v>133</v>
      </c>
      <c r="C3206" s="722" t="s">
        <v>139</v>
      </c>
      <c r="D3206" t="s">
        <v>140</v>
      </c>
      <c r="E3206" s="148">
        <v>37.42</v>
      </c>
      <c r="F3206" s="148">
        <v>0</v>
      </c>
      <c r="G3206" s="148">
        <v>37.42</v>
      </c>
      <c r="H3206" s="148">
        <v>0</v>
      </c>
      <c r="I3206" s="728"/>
      <c r="J3206" s="148">
        <v>37.42</v>
      </c>
      <c r="K3206" s="148">
        <v>0</v>
      </c>
      <c r="L3206" s="148">
        <v>39.36</v>
      </c>
      <c r="M3206" s="148">
        <v>5.2</v>
      </c>
      <c r="N3206" s="148">
        <v>34.159999999999997</v>
      </c>
      <c r="O3206" s="148">
        <v>656.92307692307691</v>
      </c>
      <c r="P3206" s="148">
        <v>0.9</v>
      </c>
      <c r="Q3206" s="148">
        <v>38.46</v>
      </c>
      <c r="R3206" s="148">
        <v>4273.333333333333</v>
      </c>
    </row>
    <row r="3207" spans="1:18" ht="15.75" hidden="1" thickBot="1" x14ac:dyDescent="0.3">
      <c r="A3207" s="199" t="str">
        <f t="shared" si="10"/>
        <v>CUST SEG SRVCOTHER CONTRACT WORK</v>
      </c>
      <c r="B3207" s="725" t="s">
        <v>133</v>
      </c>
      <c r="C3207" s="722" t="s">
        <v>101</v>
      </c>
      <c r="D3207" t="s">
        <v>102</v>
      </c>
      <c r="E3207" s="729"/>
      <c r="F3207" s="729"/>
      <c r="G3207" s="729"/>
      <c r="H3207" s="729"/>
      <c r="I3207" s="729"/>
      <c r="J3207" s="729"/>
      <c r="K3207" s="729"/>
      <c r="L3207" s="147">
        <v>1.4416</v>
      </c>
      <c r="M3207" s="729"/>
      <c r="N3207" s="147">
        <v>1.4416</v>
      </c>
      <c r="O3207" s="147">
        <v>0</v>
      </c>
      <c r="P3207" s="147">
        <v>1.0780000000000001</v>
      </c>
      <c r="Q3207" s="147">
        <v>0.36359999999999998</v>
      </c>
      <c r="R3207" s="147">
        <v>33.729128014842303</v>
      </c>
    </row>
    <row r="3208" spans="1:18" ht="15.75" hidden="1" thickBot="1" x14ac:dyDescent="0.3">
      <c r="A3208" s="199" t="str">
        <f t="shared" si="10"/>
        <v>CUST SEG SRVCMISCELLANEOUS</v>
      </c>
      <c r="B3208" s="725" t="s">
        <v>133</v>
      </c>
      <c r="C3208" s="722" t="s">
        <v>103</v>
      </c>
      <c r="D3208" t="s">
        <v>104</v>
      </c>
      <c r="E3208" s="728"/>
      <c r="F3208" s="728"/>
      <c r="G3208" s="728"/>
      <c r="H3208" s="728"/>
      <c r="I3208" s="728"/>
      <c r="J3208" s="728"/>
      <c r="K3208" s="728"/>
      <c r="L3208" s="148">
        <v>0</v>
      </c>
      <c r="M3208" s="728"/>
      <c r="N3208" s="148">
        <v>0</v>
      </c>
      <c r="O3208" s="148">
        <v>0</v>
      </c>
      <c r="P3208" s="148">
        <v>0</v>
      </c>
      <c r="Q3208" s="148">
        <v>0</v>
      </c>
      <c r="R3208" s="148">
        <v>0</v>
      </c>
    </row>
    <row r="3209" spans="1:18" ht="15.75" hidden="1" thickBot="1" x14ac:dyDescent="0.3">
      <c r="A3209" s="199" t="str">
        <f t="shared" si="10"/>
        <v>CUST SEG SRVCP CARD UNCODED CHARG</v>
      </c>
      <c r="B3209" s="725" t="s">
        <v>133</v>
      </c>
      <c r="C3209" s="722" t="s">
        <v>71</v>
      </c>
      <c r="D3209" t="s">
        <v>72</v>
      </c>
      <c r="E3209" s="729"/>
      <c r="F3209" s="729"/>
      <c r="G3209" s="729"/>
      <c r="H3209" s="729"/>
      <c r="I3209" s="729"/>
      <c r="J3209" s="729"/>
      <c r="K3209" s="729"/>
      <c r="L3209" s="147">
        <v>0</v>
      </c>
      <c r="M3209" s="729"/>
      <c r="N3209" s="147">
        <v>0</v>
      </c>
      <c r="O3209" s="147">
        <v>0</v>
      </c>
      <c r="P3209" s="147">
        <v>0.03</v>
      </c>
      <c r="Q3209" s="147">
        <v>-0.03</v>
      </c>
      <c r="R3209" s="147">
        <v>-100</v>
      </c>
    </row>
    <row r="3210" spans="1:18" ht="15.75" hidden="1" thickBot="1" x14ac:dyDescent="0.3">
      <c r="A3210" s="199" t="str">
        <f t="shared" si="10"/>
        <v>CUST SEG SRVCOFFICE SUPPLIES</v>
      </c>
      <c r="B3210" s="725" t="s">
        <v>133</v>
      </c>
      <c r="C3210" s="722" t="s">
        <v>73</v>
      </c>
      <c r="D3210" t="s">
        <v>74</v>
      </c>
      <c r="E3210" s="148">
        <v>0.16406000000000001</v>
      </c>
      <c r="F3210" s="728"/>
      <c r="G3210" s="148">
        <v>0.16406000000000001</v>
      </c>
      <c r="H3210" s="148">
        <v>0</v>
      </c>
      <c r="I3210" s="728"/>
      <c r="J3210" s="148">
        <v>0.16406000000000001</v>
      </c>
      <c r="K3210" s="148">
        <v>0</v>
      </c>
      <c r="L3210" s="148">
        <v>1.03708</v>
      </c>
      <c r="M3210" s="728"/>
      <c r="N3210" s="148">
        <v>1.03708</v>
      </c>
      <c r="O3210" s="148">
        <v>0</v>
      </c>
      <c r="P3210" s="148">
        <v>0.49936000000000003</v>
      </c>
      <c r="Q3210" s="148">
        <v>0.53771999999999998</v>
      </c>
      <c r="R3210" s="148">
        <v>107.68183274591478</v>
      </c>
    </row>
    <row r="3211" spans="1:18" ht="15.75" hidden="1" thickBot="1" x14ac:dyDescent="0.3">
      <c r="A3211" s="199" t="str">
        <f t="shared" si="10"/>
        <v>CUST SEG SRVCPRINTING</v>
      </c>
      <c r="B3211" s="725" t="s">
        <v>133</v>
      </c>
      <c r="C3211" s="722" t="s">
        <v>111</v>
      </c>
      <c r="D3211" t="s">
        <v>112</v>
      </c>
      <c r="E3211" s="729"/>
      <c r="F3211" s="729"/>
      <c r="G3211" s="729"/>
      <c r="H3211" s="729"/>
      <c r="I3211" s="729"/>
      <c r="J3211" s="729"/>
      <c r="K3211" s="729"/>
      <c r="L3211" s="147">
        <v>8.5400000000000004E-2</v>
      </c>
      <c r="M3211" s="729"/>
      <c r="N3211" s="147">
        <v>8.5400000000000004E-2</v>
      </c>
      <c r="O3211" s="147">
        <v>0</v>
      </c>
      <c r="P3211" s="729"/>
      <c r="Q3211" s="147">
        <v>8.5400000000000004E-2</v>
      </c>
      <c r="R3211" s="147">
        <v>0</v>
      </c>
    </row>
    <row r="3212" spans="1:18" ht="15.75" hidden="1" thickBot="1" x14ac:dyDescent="0.3">
      <c r="A3212" s="199" t="str">
        <f t="shared" si="10"/>
        <v>CUST SEG SRVCBOOKS AND MAGAZINES</v>
      </c>
      <c r="B3212" s="725" t="s">
        <v>133</v>
      </c>
      <c r="C3212" s="722" t="s">
        <v>141</v>
      </c>
      <c r="D3212" t="s">
        <v>142</v>
      </c>
      <c r="E3212" s="148">
        <v>1</v>
      </c>
      <c r="F3212" s="728"/>
      <c r="G3212" s="148">
        <v>1</v>
      </c>
      <c r="H3212" s="148">
        <v>0</v>
      </c>
      <c r="I3212" s="728"/>
      <c r="J3212" s="148">
        <v>1</v>
      </c>
      <c r="K3212" s="148">
        <v>0</v>
      </c>
      <c r="L3212" s="148">
        <v>2.2599999999999998</v>
      </c>
      <c r="M3212" s="728"/>
      <c r="N3212" s="148">
        <v>2.2599999999999998</v>
      </c>
      <c r="O3212" s="148">
        <v>0</v>
      </c>
      <c r="P3212" s="148">
        <v>0.99750000000000005</v>
      </c>
      <c r="Q3212" s="148">
        <v>1.2625</v>
      </c>
      <c r="R3212" s="148">
        <v>126.56641604010025</v>
      </c>
    </row>
    <row r="3213" spans="1:18" ht="15.75" hidden="1" thickBot="1" x14ac:dyDescent="0.3">
      <c r="A3213" s="199" t="str">
        <f t="shared" si="10"/>
        <v>CUST SEG SRVCREFRESHMENTS</v>
      </c>
      <c r="B3213" s="725" t="s">
        <v>133</v>
      </c>
      <c r="C3213" s="722" t="s">
        <v>113</v>
      </c>
      <c r="D3213" t="s">
        <v>114</v>
      </c>
      <c r="E3213" s="729"/>
      <c r="F3213" s="729"/>
      <c r="G3213" s="729"/>
      <c r="H3213" s="729"/>
      <c r="I3213" s="729"/>
      <c r="J3213" s="729"/>
      <c r="K3213" s="729"/>
      <c r="L3213" s="147">
        <v>8.4799999999999997E-3</v>
      </c>
      <c r="M3213" s="729"/>
      <c r="N3213" s="147">
        <v>8.4799999999999997E-3</v>
      </c>
      <c r="O3213" s="147">
        <v>0</v>
      </c>
      <c r="P3213" s="147">
        <v>8.4799999999999997E-3</v>
      </c>
      <c r="Q3213" s="147">
        <v>0</v>
      </c>
      <c r="R3213" s="147">
        <v>0</v>
      </c>
    </row>
    <row r="3214" spans="1:18" ht="15.75" hidden="1" thickBot="1" x14ac:dyDescent="0.3">
      <c r="A3214" s="199" t="str">
        <f t="shared" si="10"/>
        <v>CUST SEG SRVCDEALER RELATIONS</v>
      </c>
      <c r="B3214" s="725" t="s">
        <v>133</v>
      </c>
      <c r="C3214" s="722" t="s">
        <v>143</v>
      </c>
      <c r="D3214" t="s">
        <v>144</v>
      </c>
      <c r="E3214" s="728"/>
      <c r="F3214" s="148">
        <v>0</v>
      </c>
      <c r="G3214" s="148">
        <v>0</v>
      </c>
      <c r="H3214" s="148">
        <v>0</v>
      </c>
      <c r="I3214" s="728"/>
      <c r="J3214" s="728"/>
      <c r="K3214" s="728"/>
      <c r="L3214" s="148">
        <v>4.6210000000000004</v>
      </c>
      <c r="M3214" s="148">
        <v>7</v>
      </c>
      <c r="N3214" s="148">
        <v>-2.379</v>
      </c>
      <c r="O3214" s="148">
        <v>-33.985714285714288</v>
      </c>
      <c r="P3214" s="728"/>
      <c r="Q3214" s="148">
        <v>4.6210000000000004</v>
      </c>
      <c r="R3214" s="148">
        <v>0</v>
      </c>
    </row>
    <row r="3215" spans="1:18" ht="15.75" hidden="1" thickBot="1" x14ac:dyDescent="0.3">
      <c r="A3215" s="199" t="str">
        <f t="shared" si="10"/>
        <v>CUST SEG SRVCPARKING</v>
      </c>
      <c r="B3215" s="725" t="s">
        <v>133</v>
      </c>
      <c r="C3215" s="722" t="s">
        <v>145</v>
      </c>
      <c r="D3215" t="s">
        <v>146</v>
      </c>
      <c r="E3215" s="147">
        <v>2.1700000000000001E-2</v>
      </c>
      <c r="F3215" s="729"/>
      <c r="G3215" s="147">
        <v>2.1700000000000001E-2</v>
      </c>
      <c r="H3215" s="147">
        <v>0</v>
      </c>
      <c r="I3215" s="729"/>
      <c r="J3215" s="147">
        <v>2.1700000000000001E-2</v>
      </c>
      <c r="K3215" s="147">
        <v>0</v>
      </c>
      <c r="L3215" s="147">
        <v>0.12145</v>
      </c>
      <c r="M3215" s="729"/>
      <c r="N3215" s="147">
        <v>0.12145</v>
      </c>
      <c r="O3215" s="147">
        <v>0</v>
      </c>
      <c r="P3215" s="147">
        <v>9.1550000000000006E-2</v>
      </c>
      <c r="Q3215" s="147">
        <v>2.9899999999999999E-2</v>
      </c>
      <c r="R3215" s="147">
        <v>32.659748771163301</v>
      </c>
    </row>
    <row r="3216" spans="1:18" ht="15.75" hidden="1" thickBot="1" x14ac:dyDescent="0.3">
      <c r="A3216" s="199" t="str">
        <f t="shared" si="10"/>
        <v>CUST SEG SRVCLAUNDRY</v>
      </c>
      <c r="B3216" s="725" t="s">
        <v>133</v>
      </c>
      <c r="C3216" s="722" t="s">
        <v>147</v>
      </c>
      <c r="D3216" t="s">
        <v>148</v>
      </c>
      <c r="E3216" s="728"/>
      <c r="F3216" s="728"/>
      <c r="G3216" s="728"/>
      <c r="H3216" s="728"/>
      <c r="I3216" s="728"/>
      <c r="J3216" s="728"/>
      <c r="K3216" s="728"/>
      <c r="L3216" s="148">
        <v>3.2000000000000001E-2</v>
      </c>
      <c r="M3216" s="728"/>
      <c r="N3216" s="148">
        <v>3.2000000000000001E-2</v>
      </c>
      <c r="O3216" s="148">
        <v>0</v>
      </c>
      <c r="P3216" s="728"/>
      <c r="Q3216" s="148">
        <v>3.2000000000000001E-2</v>
      </c>
      <c r="R3216" s="148">
        <v>0</v>
      </c>
    </row>
    <row r="3217" spans="1:18" ht="15.75" hidden="1" thickBot="1" x14ac:dyDescent="0.3">
      <c r="A3217" s="199" t="str">
        <f t="shared" si="10"/>
        <v>CUST SEG SRVCPROFESSIONAL SERVICE</v>
      </c>
      <c r="B3217" s="725" t="s">
        <v>133</v>
      </c>
      <c r="C3217" s="722" t="s">
        <v>149</v>
      </c>
      <c r="D3217" t="s">
        <v>150</v>
      </c>
      <c r="E3217" s="147">
        <v>71.837999999999994</v>
      </c>
      <c r="F3217" s="147">
        <v>3.625</v>
      </c>
      <c r="G3217" s="147">
        <v>68.212999999999994</v>
      </c>
      <c r="H3217" s="147">
        <v>1881.7379310344827</v>
      </c>
      <c r="I3217" s="729"/>
      <c r="J3217" s="147">
        <v>71.837999999999994</v>
      </c>
      <c r="K3217" s="147">
        <v>0</v>
      </c>
      <c r="L3217" s="147">
        <v>82.13</v>
      </c>
      <c r="M3217" s="147">
        <v>14.5</v>
      </c>
      <c r="N3217" s="147">
        <v>67.63</v>
      </c>
      <c r="O3217" s="147">
        <v>466.41379310344826</v>
      </c>
      <c r="P3217" s="147">
        <v>5.2919999999999998</v>
      </c>
      <c r="Q3217" s="147">
        <v>76.837999999999994</v>
      </c>
      <c r="R3217" s="147">
        <v>1451.9652305366592</v>
      </c>
    </row>
    <row r="3218" spans="1:18" ht="15.75" hidden="1" thickBot="1" x14ac:dyDescent="0.3">
      <c r="A3218" s="199" t="str">
        <f t="shared" si="10"/>
        <v>CUST SEG SRVCPERMITS AND FEES</v>
      </c>
      <c r="B3218" s="725" t="s">
        <v>133</v>
      </c>
      <c r="C3218" s="722" t="s">
        <v>151</v>
      </c>
      <c r="D3218" t="s">
        <v>152</v>
      </c>
      <c r="E3218" s="728"/>
      <c r="F3218" s="728"/>
      <c r="G3218" s="728"/>
      <c r="H3218" s="728"/>
      <c r="I3218" s="728"/>
      <c r="J3218" s="728"/>
      <c r="K3218" s="728"/>
      <c r="L3218" s="148">
        <v>5.1749999999999997E-2</v>
      </c>
      <c r="M3218" s="728"/>
      <c r="N3218" s="148">
        <v>5.1749999999999997E-2</v>
      </c>
      <c r="O3218" s="148">
        <v>0</v>
      </c>
      <c r="P3218" s="728"/>
      <c r="Q3218" s="148">
        <v>5.1749999999999997E-2</v>
      </c>
      <c r="R3218" s="148">
        <v>0</v>
      </c>
    </row>
    <row r="3219" spans="1:18" ht="15.75" hidden="1" thickBot="1" x14ac:dyDescent="0.3">
      <c r="A3219" s="199" t="str">
        <f t="shared" si="10"/>
        <v>CUST SEG SRVCCORPORATE IDENTITY</v>
      </c>
      <c r="B3219" s="725" t="s">
        <v>133</v>
      </c>
      <c r="C3219" s="722" t="s">
        <v>153</v>
      </c>
      <c r="D3219" t="s">
        <v>154</v>
      </c>
      <c r="E3219" s="147">
        <v>8.8571500000000007</v>
      </c>
      <c r="F3219" s="147">
        <v>0.5</v>
      </c>
      <c r="G3219" s="147">
        <v>8.3571500000000007</v>
      </c>
      <c r="H3219" s="147">
        <v>1671.43</v>
      </c>
      <c r="I3219" s="729"/>
      <c r="J3219" s="147">
        <v>8.8571500000000007</v>
      </c>
      <c r="K3219" s="147">
        <v>0</v>
      </c>
      <c r="L3219" s="147">
        <v>11.66713</v>
      </c>
      <c r="M3219" s="147">
        <v>11.5</v>
      </c>
      <c r="N3219" s="147">
        <v>0.16713</v>
      </c>
      <c r="O3219" s="147">
        <v>1.453304347826087</v>
      </c>
      <c r="P3219" s="147">
        <v>2.8099799999999999</v>
      </c>
      <c r="Q3219" s="147">
        <v>8.8571500000000007</v>
      </c>
      <c r="R3219" s="147">
        <v>315.20331105559472</v>
      </c>
    </row>
    <row r="3220" spans="1:18" ht="15.75" hidden="1" thickBot="1" x14ac:dyDescent="0.3">
      <c r="A3220" s="199" t="str">
        <f t="shared" si="10"/>
        <v>CUST SEG SRVCMEALS AND ENTERTAIN</v>
      </c>
      <c r="B3220" s="725" t="s">
        <v>133</v>
      </c>
      <c r="C3220" s="722" t="s">
        <v>75</v>
      </c>
      <c r="D3220" t="s">
        <v>76</v>
      </c>
      <c r="E3220" s="148">
        <v>0.86017999999999994</v>
      </c>
      <c r="F3220" s="148">
        <v>1.55</v>
      </c>
      <c r="G3220" s="148">
        <v>-0.68981999999999999</v>
      </c>
      <c r="H3220" s="148">
        <v>-44.504516129032261</v>
      </c>
      <c r="I3220" s="728"/>
      <c r="J3220" s="148">
        <v>0.86017999999999994</v>
      </c>
      <c r="K3220" s="148">
        <v>0</v>
      </c>
      <c r="L3220" s="148">
        <v>14.23775</v>
      </c>
      <c r="M3220" s="148">
        <v>18.600000000000001</v>
      </c>
      <c r="N3220" s="148">
        <v>-4.3622500000000004</v>
      </c>
      <c r="O3220" s="148">
        <v>-23.452956989247312</v>
      </c>
      <c r="P3220" s="148">
        <v>5.8590999999999998</v>
      </c>
      <c r="Q3220" s="148">
        <v>8.3786500000000004</v>
      </c>
      <c r="R3220" s="148">
        <v>143.00233824307489</v>
      </c>
    </row>
    <row r="3221" spans="1:18" ht="15.75" hidden="1" thickBot="1" x14ac:dyDescent="0.3">
      <c r="A3221" s="199" t="str">
        <f t="shared" si="10"/>
        <v>CUST SEG SRVCTRAVEL IN TERRITORY</v>
      </c>
      <c r="B3221" s="725" t="s">
        <v>133</v>
      </c>
      <c r="C3221" s="722" t="s">
        <v>121</v>
      </c>
      <c r="D3221" t="s">
        <v>122</v>
      </c>
      <c r="E3221" s="729"/>
      <c r="F3221" s="729"/>
      <c r="G3221" s="729"/>
      <c r="H3221" s="729"/>
      <c r="I3221" s="729"/>
      <c r="J3221" s="729"/>
      <c r="K3221" s="729"/>
      <c r="L3221" s="147">
        <v>0.10864</v>
      </c>
      <c r="M3221" s="729"/>
      <c r="N3221" s="147">
        <v>0.10864</v>
      </c>
      <c r="O3221" s="147">
        <v>0</v>
      </c>
      <c r="P3221" s="147">
        <v>1.9140000000000001E-2</v>
      </c>
      <c r="Q3221" s="147">
        <v>8.9499999999999996E-2</v>
      </c>
      <c r="R3221" s="147">
        <v>467.60710553814005</v>
      </c>
    </row>
    <row r="3222" spans="1:18" ht="15.75" hidden="1" thickBot="1" x14ac:dyDescent="0.3">
      <c r="A3222" s="199" t="str">
        <f t="shared" si="10"/>
        <v>CUST SEG SRVCCONFERENCE TRAVEL</v>
      </c>
      <c r="B3222" s="725" t="s">
        <v>133</v>
      </c>
      <c r="C3222" s="722" t="s">
        <v>77</v>
      </c>
      <c r="D3222" t="s">
        <v>78</v>
      </c>
      <c r="E3222" s="148">
        <v>1.4630000000000001</v>
      </c>
      <c r="F3222" s="148">
        <v>0</v>
      </c>
      <c r="G3222" s="148">
        <v>1.4630000000000001</v>
      </c>
      <c r="H3222" s="148">
        <v>0</v>
      </c>
      <c r="I3222" s="728"/>
      <c r="J3222" s="148">
        <v>1.4630000000000001</v>
      </c>
      <c r="K3222" s="148">
        <v>0</v>
      </c>
      <c r="L3222" s="148">
        <v>21.478179999999998</v>
      </c>
      <c r="M3222" s="148">
        <v>17</v>
      </c>
      <c r="N3222" s="148">
        <v>4.47818</v>
      </c>
      <c r="O3222" s="148">
        <v>26.342235294117646</v>
      </c>
      <c r="P3222" s="148">
        <v>15.627179999999999</v>
      </c>
      <c r="Q3222" s="148">
        <v>5.851</v>
      </c>
      <c r="R3222" s="148">
        <v>37.441176207095587</v>
      </c>
    </row>
    <row r="3223" spans="1:18" ht="15.75" hidden="1" thickBot="1" x14ac:dyDescent="0.3">
      <c r="A3223" s="199" t="str">
        <f t="shared" si="10"/>
        <v>CUST SEG SRVCBUSINESS TRAVEL</v>
      </c>
      <c r="B3223" s="725" t="s">
        <v>133</v>
      </c>
      <c r="C3223" s="722" t="s">
        <v>79</v>
      </c>
      <c r="D3223" t="s">
        <v>80</v>
      </c>
      <c r="E3223" s="729"/>
      <c r="F3223" s="729"/>
      <c r="G3223" s="729"/>
      <c r="H3223" s="729"/>
      <c r="I3223" s="729"/>
      <c r="J3223" s="729"/>
      <c r="K3223" s="729"/>
      <c r="L3223" s="147">
        <v>0.47554000000000002</v>
      </c>
      <c r="M3223" s="729"/>
      <c r="N3223" s="147">
        <v>0.47554000000000002</v>
      </c>
      <c r="O3223" s="147">
        <v>0</v>
      </c>
      <c r="P3223" s="147">
        <v>0.20848</v>
      </c>
      <c r="Q3223" s="147">
        <v>0.26706000000000002</v>
      </c>
      <c r="R3223" s="147">
        <v>128.09861857252494</v>
      </c>
    </row>
    <row r="3224" spans="1:18" ht="15.75" hidden="1" thickBot="1" x14ac:dyDescent="0.3">
      <c r="A3224" s="199" t="str">
        <f t="shared" si="10"/>
        <v>CUST SEG SRVCEMPLOYEE AWARDS</v>
      </c>
      <c r="B3224" s="725" t="s">
        <v>133</v>
      </c>
      <c r="C3224" s="722" t="s">
        <v>81</v>
      </c>
      <c r="D3224" t="s">
        <v>82</v>
      </c>
      <c r="E3224" s="148">
        <v>0.3</v>
      </c>
      <c r="F3224" s="728"/>
      <c r="G3224" s="148">
        <v>0.3</v>
      </c>
      <c r="H3224" s="148">
        <v>0</v>
      </c>
      <c r="I3224" s="728"/>
      <c r="J3224" s="148">
        <v>0.3</v>
      </c>
      <c r="K3224" s="148">
        <v>0</v>
      </c>
      <c r="L3224" s="148">
        <v>0.44649</v>
      </c>
      <c r="M3224" s="728"/>
      <c r="N3224" s="148">
        <v>0.44649</v>
      </c>
      <c r="O3224" s="148">
        <v>0</v>
      </c>
      <c r="P3224" s="148">
        <v>0.14649000000000001</v>
      </c>
      <c r="Q3224" s="148">
        <v>0.3</v>
      </c>
      <c r="R3224" s="148">
        <v>204.7921359819783</v>
      </c>
    </row>
    <row r="3225" spans="1:18" ht="15.75" hidden="1" thickBot="1" x14ac:dyDescent="0.3">
      <c r="A3225" s="199" t="str">
        <f t="shared" si="10"/>
        <v>CUST SEG SRVCEMPLOYEE AWRDS MLS &amp;</v>
      </c>
      <c r="B3225" s="725" t="s">
        <v>133</v>
      </c>
      <c r="C3225" s="722" t="s">
        <v>123</v>
      </c>
      <c r="D3225" t="s">
        <v>124</v>
      </c>
      <c r="E3225" s="147">
        <v>0.10213999999999999</v>
      </c>
      <c r="F3225" s="729"/>
      <c r="G3225" s="147">
        <v>0.10213999999999999</v>
      </c>
      <c r="H3225" s="147">
        <v>0</v>
      </c>
      <c r="I3225" s="729"/>
      <c r="J3225" s="147">
        <v>0.10213999999999999</v>
      </c>
      <c r="K3225" s="147">
        <v>0</v>
      </c>
      <c r="L3225" s="147">
        <v>0.40351999999999999</v>
      </c>
      <c r="M3225" s="729"/>
      <c r="N3225" s="147">
        <v>0.40351999999999999</v>
      </c>
      <c r="O3225" s="147">
        <v>0</v>
      </c>
      <c r="P3225" s="147">
        <v>0.22097</v>
      </c>
      <c r="Q3225" s="147">
        <v>0.18254999999999999</v>
      </c>
      <c r="R3225" s="147">
        <v>82.613024392451464</v>
      </c>
    </row>
    <row r="3226" spans="1:18" ht="15.75" hidden="1" thickBot="1" x14ac:dyDescent="0.3">
      <c r="A3226" s="199" t="str">
        <f t="shared" si="10"/>
        <v>CUST SEG SRVCMISC. EXPENSE BUDGET</v>
      </c>
      <c r="B3226" s="725" t="s">
        <v>133</v>
      </c>
      <c r="C3226" s="722" t="s">
        <v>83</v>
      </c>
      <c r="D3226" t="s">
        <v>84</v>
      </c>
      <c r="E3226" s="728"/>
      <c r="F3226" s="148">
        <v>0.5</v>
      </c>
      <c r="G3226" s="148">
        <v>-0.5</v>
      </c>
      <c r="H3226" s="148">
        <v>-100</v>
      </c>
      <c r="I3226" s="728"/>
      <c r="J3226" s="728"/>
      <c r="K3226" s="728"/>
      <c r="L3226" s="728"/>
      <c r="M3226" s="148">
        <v>6</v>
      </c>
      <c r="N3226" s="148">
        <v>-6</v>
      </c>
      <c r="O3226" s="148">
        <v>-100</v>
      </c>
      <c r="P3226" s="728"/>
      <c r="Q3226" s="728"/>
      <c r="R3226" s="728"/>
    </row>
    <row r="3227" spans="1:18" ht="18.75" thickBot="1" x14ac:dyDescent="0.3">
      <c r="A3227" s="199" t="str">
        <f t="shared" si="10"/>
        <v>CUST SEG SRVCNon-Payroll</v>
      </c>
      <c r="B3227" s="725" t="s">
        <v>133</v>
      </c>
      <c r="C3227" s="149" t="s">
        <v>85</v>
      </c>
      <c r="D3227" t="s">
        <v>86</v>
      </c>
      <c r="E3227" s="147">
        <v>125.47994</v>
      </c>
      <c r="F3227" s="147">
        <v>7.1749999999999998</v>
      </c>
      <c r="G3227" s="147">
        <v>118.30494</v>
      </c>
      <c r="H3227" s="147">
        <v>1648.8493379790941</v>
      </c>
      <c r="I3227" s="729"/>
      <c r="J3227" s="147">
        <v>125.47994</v>
      </c>
      <c r="K3227" s="147">
        <v>0</v>
      </c>
      <c r="L3227" s="739">
        <v>196.76559</v>
      </c>
      <c r="M3227" s="147">
        <v>94.8</v>
      </c>
      <c r="N3227" s="147">
        <v>101.96559000000001</v>
      </c>
      <c r="O3227" s="147">
        <v>107.55863924050632</v>
      </c>
      <c r="P3227" s="147">
        <v>41.224600000000002</v>
      </c>
      <c r="Q3227" s="147">
        <v>155.54098999999999</v>
      </c>
      <c r="R3227" s="147">
        <v>377.30139285766268</v>
      </c>
    </row>
    <row r="3228" spans="1:18" ht="15.75" hidden="1" thickBot="1" x14ac:dyDescent="0.3">
      <c r="A3228" s="199" t="str">
        <f t="shared" si="10"/>
        <v>CUST SEG SRVCEXPENSE ACCOUNTS</v>
      </c>
      <c r="B3228" s="725" t="s">
        <v>133</v>
      </c>
      <c r="C3228" s="144" t="s">
        <v>87</v>
      </c>
      <c r="D3228" t="s">
        <v>87</v>
      </c>
      <c r="E3228" s="148">
        <v>199.65564000000001</v>
      </c>
      <c r="F3228" s="148">
        <v>98.664379999999994</v>
      </c>
      <c r="G3228" s="148">
        <v>100.99126</v>
      </c>
      <c r="H3228" s="148">
        <v>102.35837898135071</v>
      </c>
      <c r="I3228" s="728"/>
      <c r="J3228" s="148">
        <v>199.65564000000001</v>
      </c>
      <c r="K3228" s="148">
        <v>0</v>
      </c>
      <c r="L3228" s="148">
        <v>1111.80321</v>
      </c>
      <c r="M3228" s="148">
        <v>1069.85634</v>
      </c>
      <c r="N3228" s="148">
        <v>41.946869999999997</v>
      </c>
      <c r="O3228" s="148">
        <v>3.9207946367827291</v>
      </c>
      <c r="P3228" s="148">
        <v>521.72155999999995</v>
      </c>
      <c r="Q3228" s="148">
        <v>590.08164999999997</v>
      </c>
      <c r="R3228" s="148">
        <v>113.10279184168658</v>
      </c>
    </row>
    <row r="3229" spans="1:18" ht="15.75" hidden="1" thickBot="1" x14ac:dyDescent="0.3">
      <c r="A3229" s="199" t="str">
        <f t="shared" si="10"/>
        <v>FIELD SERVICESSALARY PAYROLL</v>
      </c>
      <c r="B3229" s="725" t="s">
        <v>382</v>
      </c>
      <c r="C3229" s="722" t="s">
        <v>59</v>
      </c>
      <c r="D3229" t="s">
        <v>60</v>
      </c>
      <c r="E3229" s="147">
        <v>6.9996900000000002</v>
      </c>
      <c r="F3229" s="147">
        <v>7.8542300000000003</v>
      </c>
      <c r="G3229" s="147">
        <v>-0.85453999999999997</v>
      </c>
      <c r="H3229" s="147">
        <v>-10.879997148033608</v>
      </c>
      <c r="I3229" s="729"/>
      <c r="J3229" s="147">
        <v>6.9996900000000002</v>
      </c>
      <c r="K3229" s="147">
        <v>0</v>
      </c>
      <c r="L3229" s="147">
        <v>96.626130000000003</v>
      </c>
      <c r="M3229" s="147">
        <v>93.756299999999996</v>
      </c>
      <c r="N3229" s="147">
        <v>2.8698299999999999</v>
      </c>
      <c r="O3229" s="147">
        <v>3.0609463044083438</v>
      </c>
      <c r="P3229" s="147">
        <v>50.970309999999998</v>
      </c>
      <c r="Q3229" s="147">
        <v>45.655819999999999</v>
      </c>
      <c r="R3229" s="147">
        <v>89.573361433352076</v>
      </c>
    </row>
    <row r="3230" spans="1:18" ht="15.75" hidden="1" thickBot="1" x14ac:dyDescent="0.3">
      <c r="A3230" s="199" t="str">
        <f t="shared" si="10"/>
        <v>FIELD SERVICESHOURLY DOUBLE PAY</v>
      </c>
      <c r="B3230" s="725" t="s">
        <v>382</v>
      </c>
      <c r="C3230" s="722" t="s">
        <v>89</v>
      </c>
      <c r="D3230" t="s">
        <v>90</v>
      </c>
      <c r="E3230" s="148">
        <v>0.65107999999999999</v>
      </c>
      <c r="F3230" s="728"/>
      <c r="G3230" s="148">
        <v>0.65107999999999999</v>
      </c>
      <c r="H3230" s="148">
        <v>0</v>
      </c>
      <c r="I3230" s="728"/>
      <c r="J3230" s="148">
        <v>0.65107999999999999</v>
      </c>
      <c r="K3230" s="148">
        <v>0</v>
      </c>
      <c r="L3230" s="148">
        <v>4.1823899999999998</v>
      </c>
      <c r="M3230" s="728"/>
      <c r="N3230" s="148">
        <v>4.1823899999999998</v>
      </c>
      <c r="O3230" s="148">
        <v>0</v>
      </c>
      <c r="P3230" s="148">
        <v>2.5753200000000001</v>
      </c>
      <c r="Q3230" s="148">
        <v>1.60707</v>
      </c>
      <c r="R3230" s="148">
        <v>62.402730534457852</v>
      </c>
    </row>
    <row r="3231" spans="1:18" ht="15.75" hidden="1" thickBot="1" x14ac:dyDescent="0.3">
      <c r="A3231" s="199" t="str">
        <f t="shared" si="10"/>
        <v>FIELD SERVICESHOURLY REGULAR  PAY</v>
      </c>
      <c r="B3231" s="725" t="s">
        <v>382</v>
      </c>
      <c r="C3231" s="722" t="s">
        <v>91</v>
      </c>
      <c r="D3231" t="s">
        <v>92</v>
      </c>
      <c r="E3231" s="147">
        <v>18.129740000000002</v>
      </c>
      <c r="F3231" s="147">
        <v>24.123729999999998</v>
      </c>
      <c r="G3231" s="147">
        <v>-5.9939900000000002</v>
      </c>
      <c r="H3231" s="147">
        <v>-24.846862404777372</v>
      </c>
      <c r="I3231" s="729"/>
      <c r="J3231" s="147">
        <v>18.129740000000002</v>
      </c>
      <c r="K3231" s="147">
        <v>0</v>
      </c>
      <c r="L3231" s="147">
        <v>269.92759999999998</v>
      </c>
      <c r="M3231" s="147">
        <v>281.75583</v>
      </c>
      <c r="N3231" s="147">
        <v>-11.82823</v>
      </c>
      <c r="O3231" s="147">
        <v>-4.1980426811399072</v>
      </c>
      <c r="P3231" s="147">
        <v>140.74589</v>
      </c>
      <c r="Q3231" s="147">
        <v>129.18171000000001</v>
      </c>
      <c r="R3231" s="147">
        <v>91.783646399905535</v>
      </c>
    </row>
    <row r="3232" spans="1:18" ht="15.75" hidden="1" thickBot="1" x14ac:dyDescent="0.3">
      <c r="A3232" s="199" t="str">
        <f t="shared" si="10"/>
        <v>FIELD SERVICESHOURLY OVERTIME PAY</v>
      </c>
      <c r="B3232" s="725" t="s">
        <v>382</v>
      </c>
      <c r="C3232" s="722" t="s">
        <v>93</v>
      </c>
      <c r="D3232" t="s">
        <v>94</v>
      </c>
      <c r="E3232" s="148">
        <v>1.8011600000000001</v>
      </c>
      <c r="F3232" s="148">
        <v>2.7357399999999998</v>
      </c>
      <c r="G3232" s="148">
        <v>-0.93457999999999997</v>
      </c>
      <c r="H3232" s="148">
        <v>-34.161872107729536</v>
      </c>
      <c r="I3232" s="728"/>
      <c r="J3232" s="148">
        <v>1.8011600000000001</v>
      </c>
      <c r="K3232" s="148">
        <v>0</v>
      </c>
      <c r="L3232" s="148">
        <v>20.108619999999998</v>
      </c>
      <c r="M3232" s="148">
        <v>31.952400000000001</v>
      </c>
      <c r="N3232" s="148">
        <v>-11.843780000000001</v>
      </c>
      <c r="O3232" s="148">
        <v>-37.066949587511424</v>
      </c>
      <c r="P3232" s="148">
        <v>7.3728999999999996</v>
      </c>
      <c r="Q3232" s="148">
        <v>12.735720000000001</v>
      </c>
      <c r="R3232" s="148">
        <v>172.7369149181462</v>
      </c>
    </row>
    <row r="3233" spans="1:18" ht="15.75" hidden="1" thickBot="1" x14ac:dyDescent="0.3">
      <c r="A3233" s="199" t="str">
        <f t="shared" si="10"/>
        <v>FIELD SERVICESVACATION, SICK &amp; HOL</v>
      </c>
      <c r="B3233" s="725" t="s">
        <v>382</v>
      </c>
      <c r="C3233" s="722" t="s">
        <v>61</v>
      </c>
      <c r="D3233" t="s">
        <v>62</v>
      </c>
      <c r="E3233" s="147">
        <v>4.8581599999999998</v>
      </c>
      <c r="F3233" s="147">
        <v>4.9565799999999998</v>
      </c>
      <c r="G3233" s="147">
        <v>-9.8419999999999994E-2</v>
      </c>
      <c r="H3233" s="147">
        <v>-1.9856433266486166</v>
      </c>
      <c r="I3233" s="729"/>
      <c r="J3233" s="147">
        <v>4.8581599999999998</v>
      </c>
      <c r="K3233" s="147">
        <v>0</v>
      </c>
      <c r="L3233" s="147">
        <v>58.530790000000003</v>
      </c>
      <c r="M3233" s="147">
        <v>58.204419999999999</v>
      </c>
      <c r="N3233" s="147">
        <v>0.32636999999999999</v>
      </c>
      <c r="O3233" s="147">
        <v>0.56073061118038803</v>
      </c>
      <c r="P3233" s="147">
        <v>29.11262</v>
      </c>
      <c r="Q3233" s="147">
        <v>29.41817</v>
      </c>
      <c r="R3233" s="147">
        <v>101.04954483656915</v>
      </c>
    </row>
    <row r="3234" spans="1:18" ht="15.75" hidden="1" thickBot="1" x14ac:dyDescent="0.3">
      <c r="A3234" s="199" t="str">
        <f t="shared" si="10"/>
        <v>FIELD SERVICESPAYROLL OVERHEAD</v>
      </c>
      <c r="B3234" s="725" t="s">
        <v>382</v>
      </c>
      <c r="C3234" s="722" t="s">
        <v>63</v>
      </c>
      <c r="D3234" t="s">
        <v>64</v>
      </c>
      <c r="E3234" s="148">
        <v>19.277049999999999</v>
      </c>
      <c r="F3234" s="148">
        <v>19.282710000000002</v>
      </c>
      <c r="G3234" s="148">
        <v>-5.6600000000000001E-3</v>
      </c>
      <c r="H3234" s="148">
        <v>-2.9352720649742696E-2</v>
      </c>
      <c r="I3234" s="728"/>
      <c r="J3234" s="148">
        <v>19.277049999999999</v>
      </c>
      <c r="K3234" s="148">
        <v>0</v>
      </c>
      <c r="L3234" s="148">
        <v>231.36613</v>
      </c>
      <c r="M3234" s="148">
        <v>226.43377000000001</v>
      </c>
      <c r="N3234" s="148">
        <v>4.9323600000000001</v>
      </c>
      <c r="O3234" s="148">
        <v>2.1782793264449909</v>
      </c>
      <c r="P3234" s="148">
        <v>114.73439999999999</v>
      </c>
      <c r="Q3234" s="148">
        <v>116.63173</v>
      </c>
      <c r="R3234" s="148">
        <v>101.65367143594248</v>
      </c>
    </row>
    <row r="3235" spans="1:18" ht="15.75" hidden="1" thickBot="1" x14ac:dyDescent="0.3">
      <c r="A3235" s="199" t="str">
        <f t="shared" si="10"/>
        <v>FIELD SERVICESNWN/580301</v>
      </c>
      <c r="B3235" s="725" t="s">
        <v>382</v>
      </c>
      <c r="C3235" s="722" t="s">
        <v>182</v>
      </c>
      <c r="D3235" t="s">
        <v>183</v>
      </c>
      <c r="E3235" s="147">
        <v>0.74887999999999999</v>
      </c>
      <c r="F3235" s="729"/>
      <c r="G3235" s="147">
        <v>0.74887999999999999</v>
      </c>
      <c r="H3235" s="147">
        <v>0</v>
      </c>
      <c r="I3235" s="729"/>
      <c r="J3235" s="147">
        <v>0.74887999999999999</v>
      </c>
      <c r="K3235" s="147">
        <v>0</v>
      </c>
      <c r="L3235" s="147">
        <v>3.9978400000000001</v>
      </c>
      <c r="M3235" s="729"/>
      <c r="N3235" s="147">
        <v>3.9978400000000001</v>
      </c>
      <c r="O3235" s="147">
        <v>0</v>
      </c>
      <c r="P3235" s="147">
        <v>2.9990399999999999</v>
      </c>
      <c r="Q3235" s="147">
        <v>0.99880000000000002</v>
      </c>
      <c r="R3235" s="147">
        <v>33.30399061032864</v>
      </c>
    </row>
    <row r="3236" spans="1:18" ht="15.75" hidden="1" thickBot="1" x14ac:dyDescent="0.3">
      <c r="A3236" s="199" t="str">
        <f t="shared" si="10"/>
        <v>FIELD SERVICESNWN/580305</v>
      </c>
      <c r="B3236" s="725" t="s">
        <v>382</v>
      </c>
      <c r="C3236" s="722" t="s">
        <v>184</v>
      </c>
      <c r="D3236" t="s">
        <v>185</v>
      </c>
      <c r="E3236" s="148">
        <v>35.111289999999997</v>
      </c>
      <c r="F3236" s="728"/>
      <c r="G3236" s="148">
        <v>35.111289999999997</v>
      </c>
      <c r="H3236" s="148">
        <v>0</v>
      </c>
      <c r="I3236" s="728"/>
      <c r="J3236" s="148">
        <v>35.111289999999997</v>
      </c>
      <c r="K3236" s="148">
        <v>0</v>
      </c>
      <c r="L3236" s="148">
        <v>470.67313999999999</v>
      </c>
      <c r="M3236" s="728"/>
      <c r="N3236" s="148">
        <v>470.67313999999999</v>
      </c>
      <c r="O3236" s="148">
        <v>0</v>
      </c>
      <c r="P3236" s="148">
        <v>243.36377999999999</v>
      </c>
      <c r="Q3236" s="148">
        <v>227.30936</v>
      </c>
      <c r="R3236" s="148">
        <v>93.403118574177313</v>
      </c>
    </row>
    <row r="3237" spans="1:18" ht="15.75" hidden="1" thickBot="1" x14ac:dyDescent="0.3">
      <c r="A3237" s="199" t="str">
        <f t="shared" si="10"/>
        <v>FIELD SERVICESNWN/580306</v>
      </c>
      <c r="B3237" s="725" t="s">
        <v>382</v>
      </c>
      <c r="C3237" s="722" t="s">
        <v>161</v>
      </c>
      <c r="D3237" t="s">
        <v>162</v>
      </c>
      <c r="E3237" s="147">
        <v>1.8079499999999999</v>
      </c>
      <c r="F3237" s="729"/>
      <c r="G3237" s="147">
        <v>1.8079499999999999</v>
      </c>
      <c r="H3237" s="147">
        <v>0</v>
      </c>
      <c r="I3237" s="729"/>
      <c r="J3237" s="147">
        <v>1.8079499999999999</v>
      </c>
      <c r="K3237" s="147">
        <v>0</v>
      </c>
      <c r="L3237" s="147">
        <v>22.664909999999999</v>
      </c>
      <c r="M3237" s="729"/>
      <c r="N3237" s="147">
        <v>22.664909999999999</v>
      </c>
      <c r="O3237" s="147">
        <v>0</v>
      </c>
      <c r="P3237" s="147">
        <v>8.5881600000000002</v>
      </c>
      <c r="Q3237" s="147">
        <v>14.076750000000001</v>
      </c>
      <c r="R3237" s="147">
        <v>163.90880002235636</v>
      </c>
    </row>
    <row r="3238" spans="1:18" ht="15.75" hidden="1" thickBot="1" x14ac:dyDescent="0.3">
      <c r="A3238" s="199" t="str">
        <f t="shared" si="10"/>
        <v>FIELD SERVICESHRL - DBL TIME ZTFSO</v>
      </c>
      <c r="B3238" s="725" t="s">
        <v>382</v>
      </c>
      <c r="C3238" s="722" t="s">
        <v>186</v>
      </c>
      <c r="D3238" t="s">
        <v>187</v>
      </c>
      <c r="E3238" s="148">
        <v>-0.74887999999999999</v>
      </c>
      <c r="F3238" s="728"/>
      <c r="G3238" s="148">
        <v>-0.74887999999999999</v>
      </c>
      <c r="H3238" s="148">
        <v>0</v>
      </c>
      <c r="I3238" s="728"/>
      <c r="J3238" s="148">
        <v>-0.74887999999999999</v>
      </c>
      <c r="K3238" s="148">
        <v>0</v>
      </c>
      <c r="L3238" s="148">
        <v>-4.8612000000000002</v>
      </c>
      <c r="M3238" s="728"/>
      <c r="N3238" s="148">
        <v>-4.8612000000000002</v>
      </c>
      <c r="O3238" s="148">
        <v>0</v>
      </c>
      <c r="P3238" s="148">
        <v>-2.9990399999999999</v>
      </c>
      <c r="Q3238" s="148">
        <v>-1.86216</v>
      </c>
      <c r="R3238" s="148">
        <v>-62.091869398207429</v>
      </c>
    </row>
    <row r="3239" spans="1:18" ht="15.75" hidden="1" thickBot="1" x14ac:dyDescent="0.3">
      <c r="A3239" s="199" t="str">
        <f t="shared" si="10"/>
        <v>FIELD SERVICESHRLY - REGULAR ZTFSO</v>
      </c>
      <c r="B3239" s="725" t="s">
        <v>382</v>
      </c>
      <c r="C3239" s="722" t="s">
        <v>163</v>
      </c>
      <c r="D3239" t="s">
        <v>164</v>
      </c>
      <c r="E3239" s="147">
        <v>-35.18215</v>
      </c>
      <c r="F3239" s="729"/>
      <c r="G3239" s="147">
        <v>-35.18215</v>
      </c>
      <c r="H3239" s="147">
        <v>0</v>
      </c>
      <c r="I3239" s="729"/>
      <c r="J3239" s="147">
        <v>-35.18215</v>
      </c>
      <c r="K3239" s="147">
        <v>0</v>
      </c>
      <c r="L3239" s="147">
        <v>-475.52690000000001</v>
      </c>
      <c r="M3239" s="729"/>
      <c r="N3239" s="147">
        <v>-475.52690000000001</v>
      </c>
      <c r="O3239" s="147">
        <v>0</v>
      </c>
      <c r="P3239" s="147">
        <v>-245.99600000000001</v>
      </c>
      <c r="Q3239" s="147">
        <v>-229.5309</v>
      </c>
      <c r="R3239" s="147">
        <v>-93.3067610855461</v>
      </c>
    </row>
    <row r="3240" spans="1:18" ht="15.75" hidden="1" thickBot="1" x14ac:dyDescent="0.3">
      <c r="A3240" s="199" t="str">
        <f t="shared" si="10"/>
        <v>FIELD SERVICESHRLY - OT ZTFSO</v>
      </c>
      <c r="B3240" s="725" t="s">
        <v>382</v>
      </c>
      <c r="C3240" s="722" t="s">
        <v>97</v>
      </c>
      <c r="D3240" t="s">
        <v>98</v>
      </c>
      <c r="E3240" s="148">
        <v>-1.8430599999999999</v>
      </c>
      <c r="F3240" s="728"/>
      <c r="G3240" s="148">
        <v>-1.8430599999999999</v>
      </c>
      <c r="H3240" s="148">
        <v>0</v>
      </c>
      <c r="I3240" s="728"/>
      <c r="J3240" s="148">
        <v>-1.8430599999999999</v>
      </c>
      <c r="K3240" s="148">
        <v>0</v>
      </c>
      <c r="L3240" s="148">
        <v>-23.211220000000001</v>
      </c>
      <c r="M3240" s="728"/>
      <c r="N3240" s="148">
        <v>-23.211220000000001</v>
      </c>
      <c r="O3240" s="148">
        <v>0</v>
      </c>
      <c r="P3240" s="148">
        <v>-8.7074400000000001</v>
      </c>
      <c r="Q3240" s="148">
        <v>-14.503780000000001</v>
      </c>
      <c r="R3240" s="148">
        <v>-166.56767086537491</v>
      </c>
    </row>
    <row r="3241" spans="1:18" ht="18.75" thickBot="1" x14ac:dyDescent="0.3">
      <c r="A3241" s="199" t="str">
        <f t="shared" ref="A3241:A3266" si="11">B3241&amp;C3241</f>
        <v>FIELD SERVICESPayroll</v>
      </c>
      <c r="B3241" s="725" t="s">
        <v>382</v>
      </c>
      <c r="C3241" s="149" t="s">
        <v>67</v>
      </c>
      <c r="D3241" t="s">
        <v>68</v>
      </c>
      <c r="E3241" s="147">
        <v>51.610909999999997</v>
      </c>
      <c r="F3241" s="147">
        <v>58.95299</v>
      </c>
      <c r="G3241" s="147">
        <v>-7.3420800000000002</v>
      </c>
      <c r="H3241" s="147">
        <v>-12.45412658458884</v>
      </c>
      <c r="I3241" s="729"/>
      <c r="J3241" s="147">
        <v>51.610909999999997</v>
      </c>
      <c r="K3241" s="147">
        <v>0</v>
      </c>
      <c r="L3241" s="739">
        <v>674.47823000000005</v>
      </c>
      <c r="M3241" s="147">
        <v>692.10271999999998</v>
      </c>
      <c r="N3241" s="147">
        <v>-17.624490000000002</v>
      </c>
      <c r="O3241" s="147">
        <v>-2.5465136157823509</v>
      </c>
      <c r="P3241" s="147">
        <v>342.75993999999997</v>
      </c>
      <c r="Q3241" s="147">
        <v>331.71829000000002</v>
      </c>
      <c r="R3241" s="147">
        <v>96.778605457802328</v>
      </c>
    </row>
    <row r="3242" spans="1:18" ht="15.75" hidden="1" thickBot="1" x14ac:dyDescent="0.3">
      <c r="A3242" s="199" t="str">
        <f t="shared" si="11"/>
        <v>FIELD SERVICESEDUCATION</v>
      </c>
      <c r="B3242" s="725" t="s">
        <v>382</v>
      </c>
      <c r="C3242" s="722" t="s">
        <v>69</v>
      </c>
      <c r="D3242" t="s">
        <v>70</v>
      </c>
      <c r="E3242" s="728"/>
      <c r="F3242" s="148">
        <v>0.75</v>
      </c>
      <c r="G3242" s="148">
        <v>-0.75</v>
      </c>
      <c r="H3242" s="148">
        <v>-100</v>
      </c>
      <c r="I3242" s="728"/>
      <c r="J3242" s="728"/>
      <c r="K3242" s="728"/>
      <c r="L3242" s="148">
        <v>0.79500000000000004</v>
      </c>
      <c r="M3242" s="148">
        <v>3</v>
      </c>
      <c r="N3242" s="148">
        <v>-2.2050000000000001</v>
      </c>
      <c r="O3242" s="148">
        <v>-73.5</v>
      </c>
      <c r="P3242" s="148">
        <v>0.79500000000000004</v>
      </c>
      <c r="Q3242" s="148">
        <v>0</v>
      </c>
      <c r="R3242" s="148">
        <v>0</v>
      </c>
    </row>
    <row r="3243" spans="1:18" ht="15.75" hidden="1" thickBot="1" x14ac:dyDescent="0.3">
      <c r="A3243" s="199" t="str">
        <f t="shared" si="11"/>
        <v>FIELD SERVICESMATERIALS</v>
      </c>
      <c r="B3243" s="725" t="s">
        <v>382</v>
      </c>
      <c r="C3243" s="722" t="s">
        <v>99</v>
      </c>
      <c r="D3243" t="s">
        <v>100</v>
      </c>
      <c r="E3243" s="147">
        <v>6.3450000000000006E-2</v>
      </c>
      <c r="F3243" s="729"/>
      <c r="G3243" s="147">
        <v>6.3450000000000006E-2</v>
      </c>
      <c r="H3243" s="147">
        <v>0</v>
      </c>
      <c r="I3243" s="729"/>
      <c r="J3243" s="147">
        <v>6.3450000000000006E-2</v>
      </c>
      <c r="K3243" s="147">
        <v>0</v>
      </c>
      <c r="L3243" s="147">
        <v>0.19369</v>
      </c>
      <c r="M3243" s="729"/>
      <c r="N3243" s="147">
        <v>0.19369</v>
      </c>
      <c r="O3243" s="147">
        <v>0</v>
      </c>
      <c r="P3243" s="147">
        <v>4.7969999999999999E-2</v>
      </c>
      <c r="Q3243" s="147">
        <v>0.14571999999999999</v>
      </c>
      <c r="R3243" s="147">
        <v>303.7731915780696</v>
      </c>
    </row>
    <row r="3244" spans="1:18" ht="15.75" hidden="1" thickBot="1" x14ac:dyDescent="0.3">
      <c r="A3244" s="199" t="str">
        <f t="shared" si="11"/>
        <v>FIELD SERVICESTRANSPORTATION</v>
      </c>
      <c r="B3244" s="725" t="s">
        <v>382</v>
      </c>
      <c r="C3244" s="722" t="s">
        <v>190</v>
      </c>
      <c r="D3244" t="s">
        <v>191</v>
      </c>
      <c r="E3244" s="148">
        <v>0.754</v>
      </c>
      <c r="F3244" s="148">
        <v>0.754</v>
      </c>
      <c r="G3244" s="148">
        <v>0</v>
      </c>
      <c r="H3244" s="148">
        <v>0</v>
      </c>
      <c r="I3244" s="728"/>
      <c r="J3244" s="148">
        <v>0.754</v>
      </c>
      <c r="K3244" s="148">
        <v>0</v>
      </c>
      <c r="L3244" s="148">
        <v>9.048</v>
      </c>
      <c r="M3244" s="148">
        <v>9.048</v>
      </c>
      <c r="N3244" s="148">
        <v>0</v>
      </c>
      <c r="O3244" s="148">
        <v>0</v>
      </c>
      <c r="P3244" s="148">
        <v>4.524</v>
      </c>
      <c r="Q3244" s="148">
        <v>4.524</v>
      </c>
      <c r="R3244" s="148">
        <v>100</v>
      </c>
    </row>
    <row r="3245" spans="1:18" ht="15.75" hidden="1" thickBot="1" x14ac:dyDescent="0.3">
      <c r="A3245" s="199" t="str">
        <f t="shared" si="11"/>
        <v>FIELD SERVICESDUES/MEMBERSHIP</v>
      </c>
      <c r="B3245" s="725" t="s">
        <v>382</v>
      </c>
      <c r="C3245" s="722" t="s">
        <v>139</v>
      </c>
      <c r="D3245" t="s">
        <v>140</v>
      </c>
      <c r="E3245" s="729"/>
      <c r="F3245" s="147">
        <v>0</v>
      </c>
      <c r="G3245" s="147">
        <v>0</v>
      </c>
      <c r="H3245" s="147">
        <v>0</v>
      </c>
      <c r="I3245" s="729"/>
      <c r="J3245" s="729"/>
      <c r="K3245" s="729"/>
      <c r="L3245" s="729"/>
      <c r="M3245" s="147">
        <v>1.6</v>
      </c>
      <c r="N3245" s="147">
        <v>-1.6</v>
      </c>
      <c r="O3245" s="147">
        <v>-100</v>
      </c>
      <c r="P3245" s="729"/>
      <c r="Q3245" s="729"/>
      <c r="R3245" s="729"/>
    </row>
    <row r="3246" spans="1:18" ht="15.75" hidden="1" thickBot="1" x14ac:dyDescent="0.3">
      <c r="A3246" s="199" t="str">
        <f t="shared" si="11"/>
        <v>FIELD SERVICESP CARD UNCODED CHARG</v>
      </c>
      <c r="B3246" s="725" t="s">
        <v>382</v>
      </c>
      <c r="C3246" s="722" t="s">
        <v>71</v>
      </c>
      <c r="D3246" t="s">
        <v>72</v>
      </c>
      <c r="E3246" s="728"/>
      <c r="F3246" s="728"/>
      <c r="G3246" s="728"/>
      <c r="H3246" s="728"/>
      <c r="I3246" s="728"/>
      <c r="J3246" s="728"/>
      <c r="K3246" s="728"/>
      <c r="L3246" s="148">
        <v>3.5999999999999999E-3</v>
      </c>
      <c r="M3246" s="728"/>
      <c r="N3246" s="148">
        <v>3.5999999999999999E-3</v>
      </c>
      <c r="O3246" s="148">
        <v>0</v>
      </c>
      <c r="P3246" s="728"/>
      <c r="Q3246" s="148">
        <v>3.5999999999999999E-3</v>
      </c>
      <c r="R3246" s="148">
        <v>0</v>
      </c>
    </row>
    <row r="3247" spans="1:18" ht="15.75" hidden="1" thickBot="1" x14ac:dyDescent="0.3">
      <c r="A3247" s="199" t="str">
        <f t="shared" si="11"/>
        <v>FIELD SERVICESOFFICE SUPPLIES</v>
      </c>
      <c r="B3247" s="725" t="s">
        <v>382</v>
      </c>
      <c r="C3247" s="722" t="s">
        <v>73</v>
      </c>
      <c r="D3247" t="s">
        <v>74</v>
      </c>
      <c r="E3247" s="147">
        <v>8.1739999999999993E-2</v>
      </c>
      <c r="F3247" s="729"/>
      <c r="G3247" s="147">
        <v>8.1739999999999993E-2</v>
      </c>
      <c r="H3247" s="147">
        <v>0</v>
      </c>
      <c r="I3247" s="729"/>
      <c r="J3247" s="147">
        <v>8.1739999999999993E-2</v>
      </c>
      <c r="K3247" s="147">
        <v>0</v>
      </c>
      <c r="L3247" s="147">
        <v>0.27882000000000001</v>
      </c>
      <c r="M3247" s="729"/>
      <c r="N3247" s="147">
        <v>0.27882000000000001</v>
      </c>
      <c r="O3247" s="147">
        <v>0</v>
      </c>
      <c r="P3247" s="147">
        <v>0.10596</v>
      </c>
      <c r="Q3247" s="147">
        <v>0.17286000000000001</v>
      </c>
      <c r="R3247" s="147">
        <v>163.1370328425821</v>
      </c>
    </row>
    <row r="3248" spans="1:18" ht="15.75" hidden="1" thickBot="1" x14ac:dyDescent="0.3">
      <c r="A3248" s="199" t="str">
        <f t="shared" si="11"/>
        <v>FIELD SERVICESREFRESHMENTS</v>
      </c>
      <c r="B3248" s="725" t="s">
        <v>382</v>
      </c>
      <c r="C3248" s="722" t="s">
        <v>113</v>
      </c>
      <c r="D3248" t="s">
        <v>114</v>
      </c>
      <c r="E3248" s="728"/>
      <c r="F3248" s="728"/>
      <c r="G3248" s="728"/>
      <c r="H3248" s="728"/>
      <c r="I3248" s="728"/>
      <c r="J3248" s="728"/>
      <c r="K3248" s="728"/>
      <c r="L3248" s="148">
        <v>0.72216999999999998</v>
      </c>
      <c r="M3248" s="728"/>
      <c r="N3248" s="148">
        <v>0.72216999999999998</v>
      </c>
      <c r="O3248" s="148">
        <v>0</v>
      </c>
      <c r="P3248" s="148">
        <v>0.46811000000000003</v>
      </c>
      <c r="Q3248" s="148">
        <v>0.25406000000000001</v>
      </c>
      <c r="R3248" s="148">
        <v>54.273568178419602</v>
      </c>
    </row>
    <row r="3249" spans="1:18" ht="15.75" hidden="1" thickBot="1" x14ac:dyDescent="0.3">
      <c r="A3249" s="199" t="str">
        <f t="shared" si="11"/>
        <v>FIELD SERVICESTOOL EXPENSE</v>
      </c>
      <c r="B3249" s="725" t="s">
        <v>382</v>
      </c>
      <c r="C3249" s="722" t="s">
        <v>201</v>
      </c>
      <c r="D3249" t="s">
        <v>202</v>
      </c>
      <c r="E3249" s="147">
        <v>3.1969999999999998E-2</v>
      </c>
      <c r="F3249" s="729"/>
      <c r="G3249" s="147">
        <v>3.1969999999999998E-2</v>
      </c>
      <c r="H3249" s="147">
        <v>0</v>
      </c>
      <c r="I3249" s="729"/>
      <c r="J3249" s="147">
        <v>3.1969999999999998E-2</v>
      </c>
      <c r="K3249" s="147">
        <v>0</v>
      </c>
      <c r="L3249" s="147">
        <v>0.29193999999999998</v>
      </c>
      <c r="M3249" s="729"/>
      <c r="N3249" s="147">
        <v>0.29193999999999998</v>
      </c>
      <c r="O3249" s="147">
        <v>0</v>
      </c>
      <c r="P3249" s="729"/>
      <c r="Q3249" s="147">
        <v>0.29193999999999998</v>
      </c>
      <c r="R3249" s="147">
        <v>0</v>
      </c>
    </row>
    <row r="3250" spans="1:18" ht="15.75" hidden="1" thickBot="1" x14ac:dyDescent="0.3">
      <c r="A3250" s="199" t="str">
        <f t="shared" si="11"/>
        <v>FIELD SERVICESPARKING</v>
      </c>
      <c r="B3250" s="725" t="s">
        <v>382</v>
      </c>
      <c r="C3250" s="722" t="s">
        <v>145</v>
      </c>
      <c r="D3250" t="s">
        <v>146</v>
      </c>
      <c r="E3250" s="728"/>
      <c r="F3250" s="728"/>
      <c r="G3250" s="728"/>
      <c r="H3250" s="728"/>
      <c r="I3250" s="728"/>
      <c r="J3250" s="728"/>
      <c r="K3250" s="728"/>
      <c r="L3250" s="148">
        <v>0.4002</v>
      </c>
      <c r="M3250" s="728"/>
      <c r="N3250" s="148">
        <v>0.4002</v>
      </c>
      <c r="O3250" s="148">
        <v>0</v>
      </c>
      <c r="P3250" s="148">
        <v>0.25030000000000002</v>
      </c>
      <c r="Q3250" s="148">
        <v>0.14990000000000001</v>
      </c>
      <c r="R3250" s="148">
        <v>59.888134238913302</v>
      </c>
    </row>
    <row r="3251" spans="1:18" ht="15.75" hidden="1" thickBot="1" x14ac:dyDescent="0.3">
      <c r="A3251" s="199" t="str">
        <f t="shared" si="11"/>
        <v>FIELD SERVICESUNIFORMS</v>
      </c>
      <c r="B3251" s="725" t="s">
        <v>382</v>
      </c>
      <c r="C3251" s="722" t="s">
        <v>203</v>
      </c>
      <c r="D3251" t="s">
        <v>204</v>
      </c>
      <c r="E3251" s="729"/>
      <c r="F3251" s="147">
        <v>0</v>
      </c>
      <c r="G3251" s="147">
        <v>0</v>
      </c>
      <c r="H3251" s="147">
        <v>0</v>
      </c>
      <c r="I3251" s="729"/>
      <c r="J3251" s="729"/>
      <c r="K3251" s="729"/>
      <c r="L3251" s="729"/>
      <c r="M3251" s="147">
        <v>0</v>
      </c>
      <c r="N3251" s="147">
        <v>0</v>
      </c>
      <c r="O3251" s="147">
        <v>0</v>
      </c>
      <c r="P3251" s="729"/>
      <c r="Q3251" s="729"/>
      <c r="R3251" s="729"/>
    </row>
    <row r="3252" spans="1:18" ht="15.75" hidden="1" thickBot="1" x14ac:dyDescent="0.3">
      <c r="A3252" s="199" t="str">
        <f t="shared" si="11"/>
        <v>FIELD SERVICESREPAIRS AND MAINT</v>
      </c>
      <c r="B3252" s="725" t="s">
        <v>382</v>
      </c>
      <c r="C3252" s="722" t="s">
        <v>205</v>
      </c>
      <c r="D3252" t="s">
        <v>206</v>
      </c>
      <c r="E3252" s="728"/>
      <c r="F3252" s="728"/>
      <c r="G3252" s="728"/>
      <c r="H3252" s="728"/>
      <c r="I3252" s="728"/>
      <c r="J3252" s="728"/>
      <c r="K3252" s="728"/>
      <c r="L3252" s="148">
        <v>1.9980000000000001E-2</v>
      </c>
      <c r="M3252" s="728"/>
      <c r="N3252" s="148">
        <v>1.9980000000000001E-2</v>
      </c>
      <c r="O3252" s="148">
        <v>0</v>
      </c>
      <c r="P3252" s="148">
        <v>1.4999999999999999E-2</v>
      </c>
      <c r="Q3252" s="148">
        <v>4.9800000000000001E-3</v>
      </c>
      <c r="R3252" s="148">
        <v>33.200000000000003</v>
      </c>
    </row>
    <row r="3253" spans="1:18" ht="15.75" hidden="1" thickBot="1" x14ac:dyDescent="0.3">
      <c r="A3253" s="199" t="str">
        <f t="shared" si="11"/>
        <v>FIELD SERVICESMEAL TICKETS</v>
      </c>
      <c r="B3253" s="725" t="s">
        <v>382</v>
      </c>
      <c r="C3253" s="722" t="s">
        <v>173</v>
      </c>
      <c r="D3253" t="s">
        <v>174</v>
      </c>
      <c r="E3253" s="147">
        <v>6.7500000000000004E-2</v>
      </c>
      <c r="F3253" s="147">
        <v>8.3330000000000001E-2</v>
      </c>
      <c r="G3253" s="147">
        <v>-1.583E-2</v>
      </c>
      <c r="H3253" s="147">
        <v>-18.996759870394815</v>
      </c>
      <c r="I3253" s="729"/>
      <c r="J3253" s="147">
        <v>6.7500000000000004E-2</v>
      </c>
      <c r="K3253" s="147">
        <v>0</v>
      </c>
      <c r="L3253" s="147">
        <v>0.79823999999999995</v>
      </c>
      <c r="M3253" s="147">
        <v>0.99995999999999996</v>
      </c>
      <c r="N3253" s="147">
        <v>-0.20172000000000001</v>
      </c>
      <c r="O3253" s="147">
        <v>-20.172806912276492</v>
      </c>
      <c r="P3253" s="147">
        <v>0.41572999999999999</v>
      </c>
      <c r="Q3253" s="147">
        <v>0.38251000000000002</v>
      </c>
      <c r="R3253" s="147">
        <v>92.009236764246026</v>
      </c>
    </row>
    <row r="3254" spans="1:18" ht="15.75" hidden="1" thickBot="1" x14ac:dyDescent="0.3">
      <c r="A3254" s="199" t="str">
        <f t="shared" si="11"/>
        <v>FIELD SERVICESCELLULAR PHONES</v>
      </c>
      <c r="B3254" s="725" t="s">
        <v>382</v>
      </c>
      <c r="C3254" s="722" t="s">
        <v>481</v>
      </c>
      <c r="D3254" t="s">
        <v>482</v>
      </c>
      <c r="E3254" s="728"/>
      <c r="F3254" s="728"/>
      <c r="G3254" s="728"/>
      <c r="H3254" s="728"/>
      <c r="I3254" s="728"/>
      <c r="J3254" s="728"/>
      <c r="K3254" s="728"/>
      <c r="L3254" s="148">
        <v>1.9990000000000001E-2</v>
      </c>
      <c r="M3254" s="728"/>
      <c r="N3254" s="148">
        <v>1.9990000000000001E-2</v>
      </c>
      <c r="O3254" s="148">
        <v>0</v>
      </c>
      <c r="P3254" s="728"/>
      <c r="Q3254" s="148">
        <v>1.9990000000000001E-2</v>
      </c>
      <c r="R3254" s="148">
        <v>0</v>
      </c>
    </row>
    <row r="3255" spans="1:18" ht="15.75" hidden="1" thickBot="1" x14ac:dyDescent="0.3">
      <c r="A3255" s="199" t="str">
        <f t="shared" si="11"/>
        <v>FIELD SERVICESCORPORATE IDENTITY</v>
      </c>
      <c r="B3255" s="725" t="s">
        <v>382</v>
      </c>
      <c r="C3255" s="722" t="s">
        <v>153</v>
      </c>
      <c r="D3255" t="s">
        <v>154</v>
      </c>
      <c r="E3255" s="729"/>
      <c r="F3255" s="729"/>
      <c r="G3255" s="729"/>
      <c r="H3255" s="729"/>
      <c r="I3255" s="729"/>
      <c r="J3255" s="729"/>
      <c r="K3255" s="729"/>
      <c r="L3255" s="729"/>
      <c r="M3255" s="147">
        <v>1.5</v>
      </c>
      <c r="N3255" s="147">
        <v>-1.5</v>
      </c>
      <c r="O3255" s="147">
        <v>-100</v>
      </c>
      <c r="P3255" s="729"/>
      <c r="Q3255" s="729"/>
      <c r="R3255" s="729"/>
    </row>
    <row r="3256" spans="1:18" ht="15.75" hidden="1" thickBot="1" x14ac:dyDescent="0.3">
      <c r="A3256" s="199" t="str">
        <f t="shared" si="11"/>
        <v>FIELD SERVICESSMALL TOOLS</v>
      </c>
      <c r="B3256" s="725" t="s">
        <v>382</v>
      </c>
      <c r="C3256" s="722" t="s">
        <v>207</v>
      </c>
      <c r="D3256" t="s">
        <v>208</v>
      </c>
      <c r="E3256" s="148">
        <v>0.26100000000000001</v>
      </c>
      <c r="F3256" s="728"/>
      <c r="G3256" s="148">
        <v>0.26100000000000001</v>
      </c>
      <c r="H3256" s="148">
        <v>0</v>
      </c>
      <c r="I3256" s="728"/>
      <c r="J3256" s="148">
        <v>0.26100000000000001</v>
      </c>
      <c r="K3256" s="148">
        <v>0</v>
      </c>
      <c r="L3256" s="148">
        <v>0.42925999999999997</v>
      </c>
      <c r="M3256" s="728"/>
      <c r="N3256" s="148">
        <v>0.42925999999999997</v>
      </c>
      <c r="O3256" s="148">
        <v>0</v>
      </c>
      <c r="P3256" s="148">
        <v>0.16825999999999999</v>
      </c>
      <c r="Q3256" s="148">
        <v>0.26100000000000001</v>
      </c>
      <c r="R3256" s="148">
        <v>155.11708070842744</v>
      </c>
    </row>
    <row r="3257" spans="1:18" ht="15.75" hidden="1" thickBot="1" x14ac:dyDescent="0.3">
      <c r="A3257" s="199" t="str">
        <f t="shared" si="11"/>
        <v>FIELD SERVICESMEALS AND ENTERTAIN</v>
      </c>
      <c r="B3257" s="725" t="s">
        <v>382</v>
      </c>
      <c r="C3257" s="722" t="s">
        <v>75</v>
      </c>
      <c r="D3257" t="s">
        <v>76</v>
      </c>
      <c r="E3257" s="147">
        <v>2.1049999999999999E-2</v>
      </c>
      <c r="F3257" s="147">
        <v>0.29166999999999998</v>
      </c>
      <c r="G3257" s="147">
        <v>-0.27062000000000003</v>
      </c>
      <c r="H3257" s="147">
        <v>-92.782939623547165</v>
      </c>
      <c r="I3257" s="729"/>
      <c r="J3257" s="147">
        <v>2.1049999999999999E-2</v>
      </c>
      <c r="K3257" s="147">
        <v>0</v>
      </c>
      <c r="L3257" s="147">
        <v>1.2827</v>
      </c>
      <c r="M3257" s="147">
        <v>3.5000399999999998</v>
      </c>
      <c r="N3257" s="147">
        <v>-2.2173400000000001</v>
      </c>
      <c r="O3257" s="147">
        <v>-63.351847407458202</v>
      </c>
      <c r="P3257" s="147">
        <v>0.90693000000000001</v>
      </c>
      <c r="Q3257" s="147">
        <v>0.37576999999999999</v>
      </c>
      <c r="R3257" s="147">
        <v>41.43318668474965</v>
      </c>
    </row>
    <row r="3258" spans="1:18" ht="15.75" hidden="1" thickBot="1" x14ac:dyDescent="0.3">
      <c r="A3258" s="199" t="str">
        <f t="shared" si="11"/>
        <v>FIELD SERVICESTRAVEL IN TERRITORY</v>
      </c>
      <c r="B3258" s="725" t="s">
        <v>382</v>
      </c>
      <c r="C3258" s="722" t="s">
        <v>121</v>
      </c>
      <c r="D3258" t="s">
        <v>122</v>
      </c>
      <c r="E3258" s="728"/>
      <c r="F3258" s="728"/>
      <c r="G3258" s="728"/>
      <c r="H3258" s="728"/>
      <c r="I3258" s="728"/>
      <c r="J3258" s="728"/>
      <c r="K3258" s="728"/>
      <c r="L3258" s="148">
        <v>1.7126999999999999</v>
      </c>
      <c r="M3258" s="728"/>
      <c r="N3258" s="148">
        <v>1.7126999999999999</v>
      </c>
      <c r="O3258" s="148">
        <v>0</v>
      </c>
      <c r="P3258" s="148">
        <v>1.13412</v>
      </c>
      <c r="Q3258" s="148">
        <v>0.57857999999999998</v>
      </c>
      <c r="R3258" s="148">
        <v>51.015765527457411</v>
      </c>
    </row>
    <row r="3259" spans="1:18" ht="15.75" hidden="1" thickBot="1" x14ac:dyDescent="0.3">
      <c r="A3259" s="199" t="str">
        <f t="shared" si="11"/>
        <v>FIELD SERVICESCONFERENCE TRAVEL</v>
      </c>
      <c r="B3259" s="725" t="s">
        <v>382</v>
      </c>
      <c r="C3259" s="722" t="s">
        <v>77</v>
      </c>
      <c r="D3259" t="s">
        <v>78</v>
      </c>
      <c r="E3259" s="729"/>
      <c r="F3259" s="147">
        <v>0.66666999999999998</v>
      </c>
      <c r="G3259" s="147">
        <v>-0.66666999999999998</v>
      </c>
      <c r="H3259" s="147">
        <v>-100</v>
      </c>
      <c r="I3259" s="729"/>
      <c r="J3259" s="729"/>
      <c r="K3259" s="729"/>
      <c r="L3259" s="147">
        <v>1.38872</v>
      </c>
      <c r="M3259" s="147">
        <v>8.0000400000000003</v>
      </c>
      <c r="N3259" s="147">
        <v>-6.6113200000000001</v>
      </c>
      <c r="O3259" s="147">
        <v>-82.641086794566021</v>
      </c>
      <c r="P3259" s="147">
        <v>1.38872</v>
      </c>
      <c r="Q3259" s="147">
        <v>0</v>
      </c>
      <c r="R3259" s="147">
        <v>0</v>
      </c>
    </row>
    <row r="3260" spans="1:18" ht="15.75" hidden="1" thickBot="1" x14ac:dyDescent="0.3">
      <c r="A3260" s="199" t="str">
        <f t="shared" si="11"/>
        <v>FIELD SERVICESEMPLOYEE AWARDS</v>
      </c>
      <c r="B3260" s="725" t="s">
        <v>382</v>
      </c>
      <c r="C3260" s="722" t="s">
        <v>81</v>
      </c>
      <c r="D3260" t="s">
        <v>82</v>
      </c>
      <c r="E3260" s="148">
        <v>0.375</v>
      </c>
      <c r="F3260" s="148">
        <v>0.1</v>
      </c>
      <c r="G3260" s="148">
        <v>0.27500000000000002</v>
      </c>
      <c r="H3260" s="148">
        <v>275</v>
      </c>
      <c r="I3260" s="728"/>
      <c r="J3260" s="148">
        <v>0.375</v>
      </c>
      <c r="K3260" s="148">
        <v>0</v>
      </c>
      <c r="L3260" s="148">
        <v>0.42499999999999999</v>
      </c>
      <c r="M3260" s="148">
        <v>1.2</v>
      </c>
      <c r="N3260" s="148">
        <v>-0.77500000000000002</v>
      </c>
      <c r="O3260" s="148">
        <v>-64.583333333333329</v>
      </c>
      <c r="P3260" s="148">
        <v>0.05</v>
      </c>
      <c r="Q3260" s="148">
        <v>0.375</v>
      </c>
      <c r="R3260" s="148">
        <v>750</v>
      </c>
    </row>
    <row r="3261" spans="1:18" ht="15.75" hidden="1" thickBot="1" x14ac:dyDescent="0.3">
      <c r="A3261" s="199" t="str">
        <f t="shared" si="11"/>
        <v>FIELD SERVICESEMPLOYEE AWRDS MLS &amp;</v>
      </c>
      <c r="B3261" s="725" t="s">
        <v>382</v>
      </c>
      <c r="C3261" s="722" t="s">
        <v>123</v>
      </c>
      <c r="D3261" t="s">
        <v>124</v>
      </c>
      <c r="E3261" s="147">
        <v>9.9129999999999996E-2</v>
      </c>
      <c r="F3261" s="147">
        <v>0.25</v>
      </c>
      <c r="G3261" s="147">
        <v>-0.15087</v>
      </c>
      <c r="H3261" s="147">
        <v>-60.347999999999999</v>
      </c>
      <c r="I3261" s="729"/>
      <c r="J3261" s="147">
        <v>9.9129999999999996E-2</v>
      </c>
      <c r="K3261" s="147">
        <v>0</v>
      </c>
      <c r="L3261" s="147">
        <v>9.9129999999999996E-2</v>
      </c>
      <c r="M3261" s="147">
        <v>1</v>
      </c>
      <c r="N3261" s="147">
        <v>-0.90086999999999995</v>
      </c>
      <c r="O3261" s="147">
        <v>-90.087000000000003</v>
      </c>
      <c r="P3261" s="729"/>
      <c r="Q3261" s="147">
        <v>9.9129999999999996E-2</v>
      </c>
      <c r="R3261" s="147">
        <v>0</v>
      </c>
    </row>
    <row r="3262" spans="1:18" ht="15.75" hidden="1" thickBot="1" x14ac:dyDescent="0.3">
      <c r="A3262" s="199" t="str">
        <f t="shared" si="11"/>
        <v>FIELD SERVICESNWN/585800</v>
      </c>
      <c r="B3262" s="725" t="s">
        <v>382</v>
      </c>
      <c r="C3262" s="722" t="s">
        <v>211</v>
      </c>
      <c r="D3262" t="s">
        <v>212</v>
      </c>
      <c r="E3262" s="148">
        <v>2.1430000000000001E-2</v>
      </c>
      <c r="F3262" s="728"/>
      <c r="G3262" s="148">
        <v>2.1430000000000001E-2</v>
      </c>
      <c r="H3262" s="148">
        <v>0</v>
      </c>
      <c r="I3262" s="728"/>
      <c r="J3262" s="148">
        <v>2.1430000000000001E-2</v>
      </c>
      <c r="K3262" s="148">
        <v>0</v>
      </c>
      <c r="L3262" s="148">
        <v>0.30002000000000001</v>
      </c>
      <c r="M3262" s="728"/>
      <c r="N3262" s="148">
        <v>0.30002000000000001</v>
      </c>
      <c r="O3262" s="148">
        <v>0</v>
      </c>
      <c r="P3262" s="148">
        <v>0.17144000000000001</v>
      </c>
      <c r="Q3262" s="148">
        <v>0.12858</v>
      </c>
      <c r="R3262" s="148">
        <v>75</v>
      </c>
    </row>
    <row r="3263" spans="1:18" ht="15.75" hidden="1" thickBot="1" x14ac:dyDescent="0.3">
      <c r="A3263" s="199" t="str">
        <f t="shared" si="11"/>
        <v>FIELD SERVICESMEAL TICKETS ZTFSO</v>
      </c>
      <c r="B3263" s="725" t="s">
        <v>382</v>
      </c>
      <c r="C3263" s="722" t="s">
        <v>215</v>
      </c>
      <c r="D3263" t="s">
        <v>216</v>
      </c>
      <c r="E3263" s="147">
        <v>-2.1430000000000001E-2</v>
      </c>
      <c r="F3263" s="729"/>
      <c r="G3263" s="147">
        <v>-2.1430000000000001E-2</v>
      </c>
      <c r="H3263" s="147">
        <v>0</v>
      </c>
      <c r="I3263" s="729"/>
      <c r="J3263" s="147">
        <v>-2.1430000000000001E-2</v>
      </c>
      <c r="K3263" s="147">
        <v>0</v>
      </c>
      <c r="L3263" s="147">
        <v>-0.34288000000000002</v>
      </c>
      <c r="M3263" s="729"/>
      <c r="N3263" s="147">
        <v>-0.34288000000000002</v>
      </c>
      <c r="O3263" s="147">
        <v>0</v>
      </c>
      <c r="P3263" s="147">
        <v>-0.17144000000000001</v>
      </c>
      <c r="Q3263" s="147">
        <v>-0.17144000000000001</v>
      </c>
      <c r="R3263" s="147">
        <v>-100</v>
      </c>
    </row>
    <row r="3264" spans="1:18" ht="15.75" hidden="1" thickBot="1" x14ac:dyDescent="0.3">
      <c r="A3264" s="199" t="str">
        <f t="shared" si="11"/>
        <v>FIELD SERVICESMISC. EXPENSE BUDGET</v>
      </c>
      <c r="B3264" s="725" t="s">
        <v>382</v>
      </c>
      <c r="C3264" s="722" t="s">
        <v>83</v>
      </c>
      <c r="D3264" t="s">
        <v>84</v>
      </c>
      <c r="E3264" s="728"/>
      <c r="F3264" s="148">
        <v>0.58337000000000006</v>
      </c>
      <c r="G3264" s="148">
        <v>-0.58337000000000006</v>
      </c>
      <c r="H3264" s="148">
        <v>-100</v>
      </c>
      <c r="I3264" s="728"/>
      <c r="J3264" s="728"/>
      <c r="K3264" s="728"/>
      <c r="L3264" s="728"/>
      <c r="M3264" s="148">
        <v>7</v>
      </c>
      <c r="N3264" s="148">
        <v>-7</v>
      </c>
      <c r="O3264" s="148">
        <v>-100</v>
      </c>
      <c r="P3264" s="728"/>
      <c r="Q3264" s="728"/>
      <c r="R3264" s="728"/>
    </row>
    <row r="3265" spans="1:18" ht="18.75" thickBot="1" x14ac:dyDescent="0.3">
      <c r="A3265" s="199" t="str">
        <f t="shared" si="11"/>
        <v>FIELD SERVICESNon-Payroll</v>
      </c>
      <c r="B3265" s="725" t="s">
        <v>382</v>
      </c>
      <c r="C3265" s="149" t="s">
        <v>85</v>
      </c>
      <c r="D3265" t="s">
        <v>86</v>
      </c>
      <c r="E3265" s="147">
        <v>1.75484</v>
      </c>
      <c r="F3265" s="147">
        <v>3.4790399999999999</v>
      </c>
      <c r="G3265" s="147">
        <v>-1.7242</v>
      </c>
      <c r="H3265" s="147">
        <v>-49.559648638704928</v>
      </c>
      <c r="I3265" s="729"/>
      <c r="J3265" s="147">
        <v>1.75484</v>
      </c>
      <c r="K3265" s="147">
        <v>0</v>
      </c>
      <c r="L3265" s="739">
        <v>17.86628</v>
      </c>
      <c r="M3265" s="147">
        <v>36.848039999999997</v>
      </c>
      <c r="N3265" s="147">
        <v>-18.981760000000001</v>
      </c>
      <c r="O3265" s="147">
        <v>-51.513621891422176</v>
      </c>
      <c r="P3265" s="147">
        <v>10.270099999999999</v>
      </c>
      <c r="Q3265" s="147">
        <v>7.5961800000000004</v>
      </c>
      <c r="R3265" s="147">
        <v>73.964031508943435</v>
      </c>
    </row>
    <row r="3266" spans="1:18" ht="15.75" hidden="1" thickBot="1" x14ac:dyDescent="0.3">
      <c r="A3266" s="199" t="str">
        <f t="shared" si="11"/>
        <v>FIELD SERVICESEXPENSE ACCOUNTS</v>
      </c>
      <c r="B3266" s="725" t="s">
        <v>382</v>
      </c>
      <c r="C3266" s="144" t="s">
        <v>87</v>
      </c>
      <c r="D3266" t="s">
        <v>87</v>
      </c>
      <c r="E3266" s="148">
        <v>53.365749999999998</v>
      </c>
      <c r="F3266" s="148">
        <v>62.432029999999997</v>
      </c>
      <c r="G3266" s="148">
        <v>-9.0662800000000008</v>
      </c>
      <c r="H3266" s="148">
        <v>-14.521840792298441</v>
      </c>
      <c r="I3266" s="728"/>
      <c r="J3266" s="148">
        <v>53.365749999999998</v>
      </c>
      <c r="K3266" s="148">
        <v>0</v>
      </c>
      <c r="L3266" s="148">
        <v>692.34451000000001</v>
      </c>
      <c r="M3266" s="148">
        <v>728.95075999999995</v>
      </c>
      <c r="N3266" s="148">
        <v>-36.606250000000003</v>
      </c>
      <c r="O3266" s="148">
        <v>-5.0217726640411211</v>
      </c>
      <c r="P3266" s="148">
        <v>353.03003999999999</v>
      </c>
      <c r="Q3266" s="148">
        <v>339.31446999999997</v>
      </c>
      <c r="R3266" s="148">
        <v>96.114900023805333</v>
      </c>
    </row>
    <row r="3267" spans="1:18" ht="15.75" hidden="1" thickBot="1" x14ac:dyDescent="0.3">
      <c r="B3267" s="723" t="s">
        <v>785</v>
      </c>
      <c r="C3267" s="722" t="s">
        <v>59</v>
      </c>
      <c r="D3267" t="s">
        <v>60</v>
      </c>
      <c r="E3267" s="147">
        <v>673.11666000000002</v>
      </c>
      <c r="F3267" s="147">
        <v>752.78536999999994</v>
      </c>
      <c r="G3267" s="147">
        <v>-79.668710000000004</v>
      </c>
      <c r="H3267" s="147">
        <v>-10.583190531452544</v>
      </c>
      <c r="I3267" s="729"/>
      <c r="J3267" s="147">
        <v>673.11666000000002</v>
      </c>
      <c r="K3267" s="147">
        <v>0</v>
      </c>
      <c r="L3267" s="147">
        <v>8796.1705600000005</v>
      </c>
      <c r="M3267" s="147">
        <v>8925.4297600000009</v>
      </c>
      <c r="N3267" s="147">
        <v>-129.25919999999999</v>
      </c>
      <c r="O3267" s="147">
        <v>-1.4482126180554917</v>
      </c>
      <c r="P3267" s="147">
        <v>4535.92623</v>
      </c>
      <c r="Q3267" s="147">
        <v>4260.2443300000004</v>
      </c>
      <c r="R3267" s="147">
        <v>93.922257858236819</v>
      </c>
    </row>
    <row r="3268" spans="1:18" ht="15.75" hidden="1" thickBot="1" x14ac:dyDescent="0.3">
      <c r="B3268" s="723" t="s">
        <v>785</v>
      </c>
      <c r="C3268" s="722" t="s">
        <v>566</v>
      </c>
      <c r="D3268" t="s">
        <v>567</v>
      </c>
      <c r="E3268" s="148">
        <v>0.84167999999999998</v>
      </c>
      <c r="F3268" s="728"/>
      <c r="G3268" s="148">
        <v>0.84167999999999998</v>
      </c>
      <c r="H3268" s="148">
        <v>0</v>
      </c>
      <c r="I3268" s="728"/>
      <c r="J3268" s="148">
        <v>0.84167999999999998</v>
      </c>
      <c r="K3268" s="148">
        <v>0</v>
      </c>
      <c r="L3268" s="148">
        <v>3.4207700000000001</v>
      </c>
      <c r="M3268" s="728"/>
      <c r="N3268" s="148">
        <v>3.4207700000000001</v>
      </c>
      <c r="O3268" s="148">
        <v>0</v>
      </c>
      <c r="P3268" s="148">
        <v>0.62421000000000004</v>
      </c>
      <c r="Q3268" s="148">
        <v>2.7965599999999999</v>
      </c>
      <c r="R3268" s="148">
        <v>448.01589208759873</v>
      </c>
    </row>
    <row r="3269" spans="1:18" ht="15.75" hidden="1" thickBot="1" x14ac:dyDescent="0.3">
      <c r="B3269" s="723" t="s">
        <v>785</v>
      </c>
      <c r="C3269" s="722" t="s">
        <v>89</v>
      </c>
      <c r="D3269" t="s">
        <v>90</v>
      </c>
      <c r="E3269" s="147">
        <v>18.156580000000002</v>
      </c>
      <c r="F3269" s="729"/>
      <c r="G3269" s="147">
        <v>18.156580000000002</v>
      </c>
      <c r="H3269" s="147">
        <v>0</v>
      </c>
      <c r="I3269" s="729"/>
      <c r="J3269" s="147">
        <v>18.156580000000002</v>
      </c>
      <c r="K3269" s="147">
        <v>0</v>
      </c>
      <c r="L3269" s="147">
        <v>241.84204</v>
      </c>
      <c r="M3269" s="729"/>
      <c r="N3269" s="147">
        <v>241.84204</v>
      </c>
      <c r="O3269" s="147">
        <v>0</v>
      </c>
      <c r="P3269" s="147">
        <v>115.7765</v>
      </c>
      <c r="Q3269" s="147">
        <v>126.06554</v>
      </c>
      <c r="R3269" s="147">
        <v>108.8869848371647</v>
      </c>
    </row>
    <row r="3270" spans="1:18" ht="15.75" hidden="1" thickBot="1" x14ac:dyDescent="0.3">
      <c r="B3270" s="723" t="s">
        <v>785</v>
      </c>
      <c r="C3270" s="722" t="s">
        <v>91</v>
      </c>
      <c r="D3270" t="s">
        <v>92</v>
      </c>
      <c r="E3270" s="148">
        <v>1028.1640500000001</v>
      </c>
      <c r="F3270" s="148">
        <v>1488.2104899999999</v>
      </c>
      <c r="G3270" s="148">
        <v>-460.04644000000002</v>
      </c>
      <c r="H3270" s="148">
        <v>-30.912726599582026</v>
      </c>
      <c r="I3270" s="728"/>
      <c r="J3270" s="148">
        <v>1028.1640500000001</v>
      </c>
      <c r="K3270" s="148">
        <v>0</v>
      </c>
      <c r="L3270" s="148">
        <v>15161.070009999999</v>
      </c>
      <c r="M3270" s="148">
        <v>17382.795320000001</v>
      </c>
      <c r="N3270" s="148">
        <v>-2221.7253099999998</v>
      </c>
      <c r="O3270" s="148">
        <v>-12.78117396598328</v>
      </c>
      <c r="P3270" s="148">
        <v>7722.0888699999996</v>
      </c>
      <c r="Q3270" s="148">
        <v>7438.9811399999999</v>
      </c>
      <c r="R3270" s="148">
        <v>96.333793423436731</v>
      </c>
    </row>
    <row r="3271" spans="1:18" ht="15.75" hidden="1" thickBot="1" x14ac:dyDescent="0.3">
      <c r="B3271" s="723" t="s">
        <v>785</v>
      </c>
      <c r="C3271" s="722" t="s">
        <v>93</v>
      </c>
      <c r="D3271" t="s">
        <v>94</v>
      </c>
      <c r="E3271" s="147">
        <v>26.090050000000002</v>
      </c>
      <c r="F3271" s="147">
        <v>115.746</v>
      </c>
      <c r="G3271" s="147">
        <v>-89.655950000000004</v>
      </c>
      <c r="H3271" s="147">
        <v>-77.459221052995346</v>
      </c>
      <c r="I3271" s="729"/>
      <c r="J3271" s="147">
        <v>26.090050000000002</v>
      </c>
      <c r="K3271" s="147">
        <v>0</v>
      </c>
      <c r="L3271" s="147">
        <v>958.07698000000005</v>
      </c>
      <c r="M3271" s="147">
        <v>1085.37807</v>
      </c>
      <c r="N3271" s="147">
        <v>-127.30109</v>
      </c>
      <c r="O3271" s="147">
        <v>-11.728732459096028</v>
      </c>
      <c r="P3271" s="147">
        <v>421.62567000000001</v>
      </c>
      <c r="Q3271" s="147">
        <v>536.45131000000003</v>
      </c>
      <c r="R3271" s="147">
        <v>127.23402491124413</v>
      </c>
    </row>
    <row r="3272" spans="1:18" ht="15.75" hidden="1" thickBot="1" x14ac:dyDescent="0.3">
      <c r="B3272" s="723" t="s">
        <v>785</v>
      </c>
      <c r="C3272" s="722" t="s">
        <v>159</v>
      </c>
      <c r="D3272" t="s">
        <v>160</v>
      </c>
      <c r="E3272" s="148">
        <v>2.1881300000000001</v>
      </c>
      <c r="F3272" s="148">
        <v>3.0950700000000002</v>
      </c>
      <c r="G3272" s="148">
        <v>-0.90693999999999997</v>
      </c>
      <c r="H3272" s="148">
        <v>-29.302729825173582</v>
      </c>
      <c r="I3272" s="728"/>
      <c r="J3272" s="148">
        <v>2.1881300000000001</v>
      </c>
      <c r="K3272" s="148">
        <v>0</v>
      </c>
      <c r="L3272" s="148">
        <v>31.13205</v>
      </c>
      <c r="M3272" s="148">
        <v>36.149189999999997</v>
      </c>
      <c r="N3272" s="148">
        <v>-5.0171400000000004</v>
      </c>
      <c r="O3272" s="148">
        <v>-13.878983180535995</v>
      </c>
      <c r="P3272" s="148">
        <v>17.026489999999999</v>
      </c>
      <c r="Q3272" s="148">
        <v>14.105560000000001</v>
      </c>
      <c r="R3272" s="148">
        <v>82.844790676175776</v>
      </c>
    </row>
    <row r="3273" spans="1:18" ht="15.75" hidden="1" thickBot="1" x14ac:dyDescent="0.3">
      <c r="B3273" s="723" t="s">
        <v>785</v>
      </c>
      <c r="C3273" s="722" t="s">
        <v>134</v>
      </c>
      <c r="D3273" t="s">
        <v>135</v>
      </c>
      <c r="E3273" s="147">
        <v>18.194800000000001</v>
      </c>
      <c r="F3273" s="729"/>
      <c r="G3273" s="147">
        <v>18.194800000000001</v>
      </c>
      <c r="H3273" s="147">
        <v>0</v>
      </c>
      <c r="I3273" s="729"/>
      <c r="J3273" s="147">
        <v>18.194800000000001</v>
      </c>
      <c r="K3273" s="147">
        <v>0</v>
      </c>
      <c r="L3273" s="147">
        <v>38.578809999999997</v>
      </c>
      <c r="M3273" s="729"/>
      <c r="N3273" s="147">
        <v>38.578809999999997</v>
      </c>
      <c r="O3273" s="147">
        <v>0</v>
      </c>
      <c r="P3273" s="147">
        <v>-4.86599</v>
      </c>
      <c r="Q3273" s="147">
        <v>43.444800000000001</v>
      </c>
      <c r="R3273" s="147">
        <v>892.82550930026571</v>
      </c>
    </row>
    <row r="3274" spans="1:18" ht="15.75" hidden="1" thickBot="1" x14ac:dyDescent="0.3">
      <c r="B3274" s="723" t="s">
        <v>785</v>
      </c>
      <c r="C3274" s="722" t="s">
        <v>95</v>
      </c>
      <c r="D3274" t="s">
        <v>96</v>
      </c>
      <c r="E3274" s="728"/>
      <c r="F3274" s="728"/>
      <c r="G3274" s="728"/>
      <c r="H3274" s="728"/>
      <c r="I3274" s="728"/>
      <c r="J3274" s="728"/>
      <c r="K3274" s="728"/>
      <c r="L3274" s="148">
        <v>0.37801000000000001</v>
      </c>
      <c r="M3274" s="728"/>
      <c r="N3274" s="148">
        <v>0.37801000000000001</v>
      </c>
      <c r="O3274" s="148">
        <v>0</v>
      </c>
      <c r="P3274" s="148">
        <v>0.37801000000000001</v>
      </c>
      <c r="Q3274" s="148">
        <v>0</v>
      </c>
      <c r="R3274" s="148">
        <v>0</v>
      </c>
    </row>
    <row r="3275" spans="1:18" ht="15.75" hidden="1" thickBot="1" x14ac:dyDescent="0.3">
      <c r="B3275" s="723" t="s">
        <v>785</v>
      </c>
      <c r="C3275" s="722" t="s">
        <v>61</v>
      </c>
      <c r="D3275" t="s">
        <v>62</v>
      </c>
      <c r="E3275" s="147">
        <v>313.61561</v>
      </c>
      <c r="F3275" s="147">
        <v>347.83407999999997</v>
      </c>
      <c r="G3275" s="147">
        <v>-34.218470000000003</v>
      </c>
      <c r="H3275" s="147">
        <v>-9.8375840573183631</v>
      </c>
      <c r="I3275" s="729"/>
      <c r="J3275" s="147">
        <v>313.61561</v>
      </c>
      <c r="K3275" s="147">
        <v>0</v>
      </c>
      <c r="L3275" s="147">
        <v>3791.7889</v>
      </c>
      <c r="M3275" s="147">
        <v>4083.3777500000001</v>
      </c>
      <c r="N3275" s="147">
        <v>-291.58884999999998</v>
      </c>
      <c r="O3275" s="147">
        <v>-7.1408737533528459</v>
      </c>
      <c r="P3275" s="147">
        <v>1871.4575400000001</v>
      </c>
      <c r="Q3275" s="147">
        <v>1920.3313599999999</v>
      </c>
      <c r="R3275" s="147">
        <v>102.6115377429295</v>
      </c>
    </row>
    <row r="3276" spans="1:18" ht="15.75" hidden="1" thickBot="1" x14ac:dyDescent="0.3">
      <c r="B3276" s="723" t="s">
        <v>785</v>
      </c>
      <c r="C3276" s="722" t="s">
        <v>63</v>
      </c>
      <c r="D3276" t="s">
        <v>64</v>
      </c>
      <c r="E3276" s="148">
        <v>1224.3330100000001</v>
      </c>
      <c r="F3276" s="148">
        <v>1353.1867999999999</v>
      </c>
      <c r="G3276" s="148">
        <v>-128.85379</v>
      </c>
      <c r="H3276" s="148">
        <v>-9.5222470393592378</v>
      </c>
      <c r="I3276" s="728"/>
      <c r="J3276" s="148">
        <v>1224.3330100000001</v>
      </c>
      <c r="K3276" s="148">
        <v>0</v>
      </c>
      <c r="L3276" s="148">
        <v>14940.050639999999</v>
      </c>
      <c r="M3276" s="148">
        <v>15885.657509999999</v>
      </c>
      <c r="N3276" s="148">
        <v>-945.60686999999996</v>
      </c>
      <c r="O3276" s="148">
        <v>-5.9525825066085032</v>
      </c>
      <c r="P3276" s="148">
        <v>7351.5100499999999</v>
      </c>
      <c r="Q3276" s="148">
        <v>7588.5405899999996</v>
      </c>
      <c r="R3276" s="148">
        <v>103.224242888711</v>
      </c>
    </row>
    <row r="3277" spans="1:18" ht="15.75" hidden="1" thickBot="1" x14ac:dyDescent="0.3">
      <c r="B3277" s="723" t="s">
        <v>785</v>
      </c>
      <c r="C3277" s="722" t="s">
        <v>156</v>
      </c>
      <c r="D3277" t="s">
        <v>157</v>
      </c>
      <c r="E3277" s="147">
        <v>150.2413</v>
      </c>
      <c r="F3277" s="729"/>
      <c r="G3277" s="147">
        <v>150.2413</v>
      </c>
      <c r="H3277" s="147">
        <v>0</v>
      </c>
      <c r="I3277" s="729"/>
      <c r="J3277" s="147">
        <v>150.2413</v>
      </c>
      <c r="K3277" s="147">
        <v>0</v>
      </c>
      <c r="L3277" s="147">
        <v>2064.8299099999999</v>
      </c>
      <c r="M3277" s="729"/>
      <c r="N3277" s="147">
        <v>2064.8299099999999</v>
      </c>
      <c r="O3277" s="147">
        <v>0</v>
      </c>
      <c r="P3277" s="147">
        <v>1027.81017</v>
      </c>
      <c r="Q3277" s="147">
        <v>1037.01974</v>
      </c>
      <c r="R3277" s="147">
        <v>100.89603803005764</v>
      </c>
    </row>
    <row r="3278" spans="1:18" ht="15.75" hidden="1" thickBot="1" x14ac:dyDescent="0.3">
      <c r="B3278" s="723" t="s">
        <v>785</v>
      </c>
      <c r="C3278" s="722" t="s">
        <v>572</v>
      </c>
      <c r="D3278" t="s">
        <v>573</v>
      </c>
      <c r="E3278" s="728"/>
      <c r="F3278" s="728"/>
      <c r="G3278" s="728"/>
      <c r="H3278" s="728"/>
      <c r="I3278" s="728"/>
      <c r="J3278" s="728"/>
      <c r="K3278" s="728"/>
      <c r="L3278" s="148">
        <v>0.52937999999999996</v>
      </c>
      <c r="M3278" s="728"/>
      <c r="N3278" s="148">
        <v>0.52937999999999996</v>
      </c>
      <c r="O3278" s="148">
        <v>0</v>
      </c>
      <c r="P3278" s="728"/>
      <c r="Q3278" s="148">
        <v>0.52937999999999996</v>
      </c>
      <c r="R3278" s="148">
        <v>0</v>
      </c>
    </row>
    <row r="3279" spans="1:18" ht="15.75" hidden="1" thickBot="1" x14ac:dyDescent="0.3">
      <c r="B3279" s="723" t="s">
        <v>785</v>
      </c>
      <c r="C3279" s="722" t="s">
        <v>182</v>
      </c>
      <c r="D3279" t="s">
        <v>183</v>
      </c>
      <c r="E3279" s="147">
        <v>36.974440000000001</v>
      </c>
      <c r="F3279" s="729"/>
      <c r="G3279" s="147">
        <v>36.974440000000001</v>
      </c>
      <c r="H3279" s="147">
        <v>0</v>
      </c>
      <c r="I3279" s="729"/>
      <c r="J3279" s="147">
        <v>36.974440000000001</v>
      </c>
      <c r="K3279" s="147">
        <v>0</v>
      </c>
      <c r="L3279" s="147">
        <v>428.31448999999998</v>
      </c>
      <c r="M3279" s="729"/>
      <c r="N3279" s="147">
        <v>428.31448999999998</v>
      </c>
      <c r="O3279" s="147">
        <v>0</v>
      </c>
      <c r="P3279" s="147">
        <v>154.58661000000001</v>
      </c>
      <c r="Q3279" s="147">
        <v>273.72788000000003</v>
      </c>
      <c r="R3279" s="147">
        <v>177.07088602305205</v>
      </c>
    </row>
    <row r="3280" spans="1:18" ht="15.75" hidden="1" thickBot="1" x14ac:dyDescent="0.3">
      <c r="B3280" s="723" t="s">
        <v>785</v>
      </c>
      <c r="C3280" s="722" t="s">
        <v>184</v>
      </c>
      <c r="D3280" t="s">
        <v>185</v>
      </c>
      <c r="E3280" s="148">
        <v>1159.3298600000001</v>
      </c>
      <c r="F3280" s="728"/>
      <c r="G3280" s="148">
        <v>1159.3298600000001</v>
      </c>
      <c r="H3280" s="148">
        <v>0</v>
      </c>
      <c r="I3280" s="728"/>
      <c r="J3280" s="148">
        <v>1159.3298600000001</v>
      </c>
      <c r="K3280" s="148">
        <v>0</v>
      </c>
      <c r="L3280" s="148">
        <v>15173.04449</v>
      </c>
      <c r="M3280" s="728"/>
      <c r="N3280" s="148">
        <v>15173.04449</v>
      </c>
      <c r="O3280" s="148">
        <v>0</v>
      </c>
      <c r="P3280" s="148">
        <v>7670.9448199999997</v>
      </c>
      <c r="Q3280" s="148">
        <v>7502.0996699999996</v>
      </c>
      <c r="R3280" s="148">
        <v>97.798900214224204</v>
      </c>
    </row>
    <row r="3281" spans="2:18" ht="15.75" hidden="1" thickBot="1" x14ac:dyDescent="0.3">
      <c r="B3281" s="723" t="s">
        <v>785</v>
      </c>
      <c r="C3281" s="722" t="s">
        <v>161</v>
      </c>
      <c r="D3281" t="s">
        <v>162</v>
      </c>
      <c r="E3281" s="147">
        <v>38.067300000000003</v>
      </c>
      <c r="F3281" s="729"/>
      <c r="G3281" s="147">
        <v>38.067300000000003</v>
      </c>
      <c r="H3281" s="147">
        <v>0</v>
      </c>
      <c r="I3281" s="729"/>
      <c r="J3281" s="147">
        <v>38.067300000000003</v>
      </c>
      <c r="K3281" s="147">
        <v>0</v>
      </c>
      <c r="L3281" s="147">
        <v>696.46891000000005</v>
      </c>
      <c r="M3281" s="729"/>
      <c r="N3281" s="147">
        <v>696.46891000000005</v>
      </c>
      <c r="O3281" s="147">
        <v>0</v>
      </c>
      <c r="P3281" s="147">
        <v>289.20465999999999</v>
      </c>
      <c r="Q3281" s="147">
        <v>407.26425</v>
      </c>
      <c r="R3281" s="147">
        <v>140.82216033448424</v>
      </c>
    </row>
    <row r="3282" spans="2:18" ht="15.75" hidden="1" thickBot="1" x14ac:dyDescent="0.3">
      <c r="B3282" s="723" t="s">
        <v>785</v>
      </c>
      <c r="C3282" s="722" t="s">
        <v>65</v>
      </c>
      <c r="D3282" t="s">
        <v>66</v>
      </c>
      <c r="E3282" s="148">
        <v>-592.77104999999995</v>
      </c>
      <c r="F3282" s="148">
        <v>-519.02283999999997</v>
      </c>
      <c r="G3282" s="148">
        <v>-73.74821</v>
      </c>
      <c r="H3282" s="148">
        <v>-14.209049066125877</v>
      </c>
      <c r="I3282" s="728"/>
      <c r="J3282" s="148">
        <v>-592.77104999999995</v>
      </c>
      <c r="K3282" s="148">
        <v>0</v>
      </c>
      <c r="L3282" s="148">
        <v>-8165.7180600000002</v>
      </c>
      <c r="M3282" s="148">
        <v>-6121.0205999999998</v>
      </c>
      <c r="N3282" s="148">
        <v>-2044.6974600000001</v>
      </c>
      <c r="O3282" s="148">
        <v>-33.404518520979984</v>
      </c>
      <c r="P3282" s="148">
        <v>-4135.9036599999999</v>
      </c>
      <c r="Q3282" s="148">
        <v>-4029.8144000000002</v>
      </c>
      <c r="R3282" s="148">
        <v>-97.434919458447922</v>
      </c>
    </row>
    <row r="3283" spans="2:18" ht="15.75" hidden="1" thickBot="1" x14ac:dyDescent="0.3">
      <c r="B3283" s="723" t="s">
        <v>785</v>
      </c>
      <c r="C3283" s="722" t="s">
        <v>576</v>
      </c>
      <c r="D3283" t="s">
        <v>577</v>
      </c>
      <c r="E3283" s="147">
        <v>-0.93420000000000003</v>
      </c>
      <c r="F3283" s="729"/>
      <c r="G3283" s="147">
        <v>-0.93420000000000003</v>
      </c>
      <c r="H3283" s="147">
        <v>0</v>
      </c>
      <c r="I3283" s="729"/>
      <c r="J3283" s="147">
        <v>-0.93420000000000003</v>
      </c>
      <c r="K3283" s="147">
        <v>0</v>
      </c>
      <c r="L3283" s="147">
        <v>-3.9256500000000001</v>
      </c>
      <c r="M3283" s="729"/>
      <c r="N3283" s="147">
        <v>-3.9256500000000001</v>
      </c>
      <c r="O3283" s="147">
        <v>0</v>
      </c>
      <c r="P3283" s="147">
        <v>-1.1230500000000001</v>
      </c>
      <c r="Q3283" s="147">
        <v>-2.8026</v>
      </c>
      <c r="R3283" s="147">
        <v>-249.55255776679579</v>
      </c>
    </row>
    <row r="3284" spans="2:18" ht="15.75" hidden="1" thickBot="1" x14ac:dyDescent="0.3">
      <c r="B3284" s="723" t="s">
        <v>785</v>
      </c>
      <c r="C3284" s="722" t="s">
        <v>186</v>
      </c>
      <c r="D3284" t="s">
        <v>187</v>
      </c>
      <c r="E3284" s="148">
        <v>-21.481190000000002</v>
      </c>
      <c r="F3284" s="728"/>
      <c r="G3284" s="148">
        <v>-21.481190000000002</v>
      </c>
      <c r="H3284" s="148">
        <v>0</v>
      </c>
      <c r="I3284" s="728"/>
      <c r="J3284" s="148">
        <v>-21.481190000000002</v>
      </c>
      <c r="K3284" s="148">
        <v>0</v>
      </c>
      <c r="L3284" s="148">
        <v>-335.76951000000003</v>
      </c>
      <c r="M3284" s="728"/>
      <c r="N3284" s="148">
        <v>-335.76951000000003</v>
      </c>
      <c r="O3284" s="148">
        <v>0</v>
      </c>
      <c r="P3284" s="148">
        <v>-106.3775</v>
      </c>
      <c r="Q3284" s="148">
        <v>-229.39201</v>
      </c>
      <c r="R3284" s="148">
        <v>-215.63959483913422</v>
      </c>
    </row>
    <row r="3285" spans="2:18" ht="15.75" hidden="1" thickBot="1" x14ac:dyDescent="0.3">
      <c r="B3285" s="723" t="s">
        <v>785</v>
      </c>
      <c r="C3285" s="722" t="s">
        <v>163</v>
      </c>
      <c r="D3285" t="s">
        <v>164</v>
      </c>
      <c r="E3285" s="147">
        <v>-1335.19118</v>
      </c>
      <c r="F3285" s="147">
        <v>-354.22246000000001</v>
      </c>
      <c r="G3285" s="147">
        <v>-980.96871999999996</v>
      </c>
      <c r="H3285" s="147">
        <v>-276.93577646092797</v>
      </c>
      <c r="I3285" s="729"/>
      <c r="J3285" s="147">
        <v>-1335.19118</v>
      </c>
      <c r="K3285" s="147">
        <v>0</v>
      </c>
      <c r="L3285" s="147">
        <v>-17337.669699999999</v>
      </c>
      <c r="M3285" s="147">
        <v>-4149.0889500000003</v>
      </c>
      <c r="N3285" s="147">
        <v>-13188.580749999999</v>
      </c>
      <c r="O3285" s="147">
        <v>-317.86690786660529</v>
      </c>
      <c r="P3285" s="147">
        <v>-8734.9556499999999</v>
      </c>
      <c r="Q3285" s="147">
        <v>-8602.7140500000005</v>
      </c>
      <c r="R3285" s="147">
        <v>-98.486064436972839</v>
      </c>
    </row>
    <row r="3286" spans="2:18" ht="15.75" hidden="1" thickBot="1" x14ac:dyDescent="0.3">
      <c r="B3286" s="723" t="s">
        <v>785</v>
      </c>
      <c r="C3286" s="722" t="s">
        <v>97</v>
      </c>
      <c r="D3286" t="s">
        <v>98</v>
      </c>
      <c r="E3286" s="148">
        <v>-45.992060000000002</v>
      </c>
      <c r="F3286" s="728"/>
      <c r="G3286" s="148">
        <v>-45.992060000000002</v>
      </c>
      <c r="H3286" s="148">
        <v>0</v>
      </c>
      <c r="I3286" s="728"/>
      <c r="J3286" s="148">
        <v>-45.992060000000002</v>
      </c>
      <c r="K3286" s="148">
        <v>0</v>
      </c>
      <c r="L3286" s="148">
        <v>-782.54294000000004</v>
      </c>
      <c r="M3286" s="728"/>
      <c r="N3286" s="148">
        <v>-782.54294000000004</v>
      </c>
      <c r="O3286" s="148">
        <v>0</v>
      </c>
      <c r="P3286" s="148">
        <v>-319.98568999999998</v>
      </c>
      <c r="Q3286" s="148">
        <v>-462.55725000000001</v>
      </c>
      <c r="R3286" s="148">
        <v>-144.55560497095979</v>
      </c>
    </row>
    <row r="3287" spans="2:18" ht="15.75" hidden="1" thickBot="1" x14ac:dyDescent="0.3">
      <c r="B3287" s="723" t="s">
        <v>785</v>
      </c>
      <c r="C3287" s="149" t="s">
        <v>67</v>
      </c>
      <c r="D3287" t="s">
        <v>68</v>
      </c>
      <c r="E3287" s="147">
        <v>2692.9437899999998</v>
      </c>
      <c r="F3287" s="147">
        <v>3187.6125099999999</v>
      </c>
      <c r="G3287" s="147">
        <v>-494.66872000000001</v>
      </c>
      <c r="H3287" s="147">
        <v>-15.518470907243366</v>
      </c>
      <c r="I3287" s="729"/>
      <c r="J3287" s="147">
        <v>2692.9437899999998</v>
      </c>
      <c r="K3287" s="147">
        <v>0</v>
      </c>
      <c r="L3287" s="147">
        <v>35700.070090000001</v>
      </c>
      <c r="M3287" s="147">
        <v>37128.678050000002</v>
      </c>
      <c r="N3287" s="147">
        <v>-1428.60796</v>
      </c>
      <c r="O3287" s="147">
        <v>-3.8477210475313437</v>
      </c>
      <c r="P3287" s="147">
        <v>17875.74829</v>
      </c>
      <c r="Q3287" s="147">
        <v>17824.321800000002</v>
      </c>
      <c r="R3287" s="147">
        <v>99.712311399972165</v>
      </c>
    </row>
    <row r="3288" spans="2:18" ht="15.75" hidden="1" thickBot="1" x14ac:dyDescent="0.3">
      <c r="B3288" s="723" t="s">
        <v>785</v>
      </c>
      <c r="C3288" s="722" t="s">
        <v>69</v>
      </c>
      <c r="D3288" t="s">
        <v>70</v>
      </c>
      <c r="E3288" s="728"/>
      <c r="F3288" s="148">
        <v>0.50832999999999995</v>
      </c>
      <c r="G3288" s="148">
        <v>-0.50832999999999995</v>
      </c>
      <c r="H3288" s="148">
        <v>-100</v>
      </c>
      <c r="I3288" s="728"/>
      <c r="J3288" s="728"/>
      <c r="K3288" s="728"/>
      <c r="L3288" s="148">
        <v>11.573510000000001</v>
      </c>
      <c r="M3288" s="148">
        <v>6.0999600000000003</v>
      </c>
      <c r="N3288" s="148">
        <v>5.4735500000000004</v>
      </c>
      <c r="O3288" s="148">
        <v>89.730916268303403</v>
      </c>
      <c r="P3288" s="148">
        <v>6.50284</v>
      </c>
      <c r="Q3288" s="148">
        <v>5.0706699999999998</v>
      </c>
      <c r="R3288" s="148">
        <v>77.976238074441326</v>
      </c>
    </row>
    <row r="3289" spans="2:18" ht="15.75" hidden="1" thickBot="1" x14ac:dyDescent="0.3">
      <c r="B3289" s="723" t="s">
        <v>785</v>
      </c>
      <c r="C3289" s="722" t="s">
        <v>582</v>
      </c>
      <c r="D3289" t="s">
        <v>583</v>
      </c>
      <c r="E3289" s="729"/>
      <c r="F3289" s="147">
        <v>0</v>
      </c>
      <c r="G3289" s="147">
        <v>0</v>
      </c>
      <c r="H3289" s="147">
        <v>0</v>
      </c>
      <c r="I3289" s="729"/>
      <c r="J3289" s="729"/>
      <c r="K3289" s="729"/>
      <c r="L3289" s="729"/>
      <c r="M3289" s="147">
        <v>0</v>
      </c>
      <c r="N3289" s="147">
        <v>0</v>
      </c>
      <c r="O3289" s="147">
        <v>0</v>
      </c>
      <c r="P3289" s="729"/>
      <c r="Q3289" s="729"/>
      <c r="R3289" s="729"/>
    </row>
    <row r="3290" spans="2:18" ht="15.75" hidden="1" thickBot="1" x14ac:dyDescent="0.3">
      <c r="B3290" s="723" t="s">
        <v>785</v>
      </c>
      <c r="C3290" s="722" t="s">
        <v>99</v>
      </c>
      <c r="D3290" t="s">
        <v>100</v>
      </c>
      <c r="E3290" s="148">
        <v>2.56366</v>
      </c>
      <c r="F3290" s="148">
        <v>21.966670000000001</v>
      </c>
      <c r="G3290" s="148">
        <v>-19.403009999999998</v>
      </c>
      <c r="H3290" s="148">
        <v>-88.329318918161007</v>
      </c>
      <c r="I3290" s="728"/>
      <c r="J3290" s="148">
        <v>2.56366</v>
      </c>
      <c r="K3290" s="148">
        <v>0</v>
      </c>
      <c r="L3290" s="148">
        <v>39.810859999999998</v>
      </c>
      <c r="M3290" s="148">
        <v>263.60003999999998</v>
      </c>
      <c r="N3290" s="148">
        <v>-223.78917999999999</v>
      </c>
      <c r="O3290" s="148">
        <v>-84.897248118778734</v>
      </c>
      <c r="P3290" s="148">
        <v>15.60642</v>
      </c>
      <c r="Q3290" s="148">
        <v>24.204440000000002</v>
      </c>
      <c r="R3290" s="148">
        <v>155.0928399978983</v>
      </c>
    </row>
    <row r="3291" spans="2:18" ht="15.75" hidden="1" thickBot="1" x14ac:dyDescent="0.3">
      <c r="B3291" s="723" t="s">
        <v>785</v>
      </c>
      <c r="C3291" s="722" t="s">
        <v>165</v>
      </c>
      <c r="D3291" t="s">
        <v>166</v>
      </c>
      <c r="E3291" s="147">
        <v>82.120220000000003</v>
      </c>
      <c r="F3291" s="729"/>
      <c r="G3291" s="147">
        <v>82.120220000000003</v>
      </c>
      <c r="H3291" s="147">
        <v>0</v>
      </c>
      <c r="I3291" s="729"/>
      <c r="J3291" s="147">
        <v>82.120220000000003</v>
      </c>
      <c r="K3291" s="147">
        <v>0</v>
      </c>
      <c r="L3291" s="147">
        <v>237.34199000000001</v>
      </c>
      <c r="M3291" s="729"/>
      <c r="N3291" s="147">
        <v>237.34199000000001</v>
      </c>
      <c r="O3291" s="147">
        <v>0</v>
      </c>
      <c r="P3291" s="147">
        <v>69.18544</v>
      </c>
      <c r="Q3291" s="147">
        <v>168.15655000000001</v>
      </c>
      <c r="R3291" s="147">
        <v>243.05193404855126</v>
      </c>
    </row>
    <row r="3292" spans="2:18" ht="15.75" hidden="1" thickBot="1" x14ac:dyDescent="0.3">
      <c r="B3292" s="723" t="s">
        <v>785</v>
      </c>
      <c r="C3292" s="722" t="s">
        <v>188</v>
      </c>
      <c r="D3292" t="s">
        <v>189</v>
      </c>
      <c r="E3292" s="728"/>
      <c r="F3292" s="728"/>
      <c r="G3292" s="728"/>
      <c r="H3292" s="728"/>
      <c r="I3292" s="728"/>
      <c r="J3292" s="728"/>
      <c r="K3292" s="728"/>
      <c r="L3292" s="148">
        <v>1.758</v>
      </c>
      <c r="M3292" s="728"/>
      <c r="N3292" s="148">
        <v>1.758</v>
      </c>
      <c r="O3292" s="148">
        <v>0</v>
      </c>
      <c r="P3292" s="148">
        <v>0.27177000000000001</v>
      </c>
      <c r="Q3292" s="148">
        <v>1.4862299999999999</v>
      </c>
      <c r="R3292" s="148">
        <v>546.87051550943818</v>
      </c>
    </row>
    <row r="3293" spans="2:18" ht="15.75" hidden="1" thickBot="1" x14ac:dyDescent="0.3">
      <c r="B3293" s="723" t="s">
        <v>785</v>
      </c>
      <c r="C3293" s="722" t="s">
        <v>592</v>
      </c>
      <c r="D3293" t="s">
        <v>593</v>
      </c>
      <c r="E3293" s="147">
        <v>0.12881000000000001</v>
      </c>
      <c r="F3293" s="729"/>
      <c r="G3293" s="147">
        <v>0.12881000000000001</v>
      </c>
      <c r="H3293" s="147">
        <v>0</v>
      </c>
      <c r="I3293" s="729"/>
      <c r="J3293" s="147">
        <v>0.12881000000000001</v>
      </c>
      <c r="K3293" s="147">
        <v>0</v>
      </c>
      <c r="L3293" s="147">
        <v>0.90288000000000002</v>
      </c>
      <c r="M3293" s="729"/>
      <c r="N3293" s="147">
        <v>0.90288000000000002</v>
      </c>
      <c r="O3293" s="147">
        <v>0</v>
      </c>
      <c r="P3293" s="147">
        <v>0.35322999999999999</v>
      </c>
      <c r="Q3293" s="147">
        <v>0.54964999999999997</v>
      </c>
      <c r="R3293" s="147">
        <v>155.60682841208279</v>
      </c>
    </row>
    <row r="3294" spans="2:18" ht="15.75" hidden="1" thickBot="1" x14ac:dyDescent="0.3">
      <c r="B3294" s="723" t="s">
        <v>785</v>
      </c>
      <c r="C3294" s="722" t="s">
        <v>594</v>
      </c>
      <c r="D3294" t="s">
        <v>595</v>
      </c>
      <c r="E3294" s="728"/>
      <c r="F3294" s="728"/>
      <c r="G3294" s="728"/>
      <c r="H3294" s="728"/>
      <c r="I3294" s="728"/>
      <c r="J3294" s="728"/>
      <c r="K3294" s="728"/>
      <c r="L3294" s="148">
        <v>0.25</v>
      </c>
      <c r="M3294" s="728"/>
      <c r="N3294" s="148">
        <v>0.25</v>
      </c>
      <c r="O3294" s="148">
        <v>0</v>
      </c>
      <c r="P3294" s="148">
        <v>0.25</v>
      </c>
      <c r="Q3294" s="148">
        <v>0</v>
      </c>
      <c r="R3294" s="148">
        <v>0</v>
      </c>
    </row>
    <row r="3295" spans="2:18" ht="15.75" hidden="1" thickBot="1" x14ac:dyDescent="0.3">
      <c r="B3295" s="723" t="s">
        <v>785</v>
      </c>
      <c r="C3295" s="722" t="s">
        <v>137</v>
      </c>
      <c r="D3295" t="s">
        <v>138</v>
      </c>
      <c r="E3295" s="147">
        <v>2.6825899999999998</v>
      </c>
      <c r="F3295" s="147">
        <v>5.7407500000000002</v>
      </c>
      <c r="G3295" s="147">
        <v>-3.05816</v>
      </c>
      <c r="H3295" s="147">
        <v>-53.27108827243827</v>
      </c>
      <c r="I3295" s="729"/>
      <c r="J3295" s="147">
        <v>2.6825899999999998</v>
      </c>
      <c r="K3295" s="147">
        <v>0</v>
      </c>
      <c r="L3295" s="147">
        <v>60.305019999999999</v>
      </c>
      <c r="M3295" s="147">
        <v>65.888999999999996</v>
      </c>
      <c r="N3295" s="147">
        <v>-5.5839800000000004</v>
      </c>
      <c r="O3295" s="147">
        <v>-8.4748288788720423</v>
      </c>
      <c r="P3295" s="147">
        <v>30.201709999999999</v>
      </c>
      <c r="Q3295" s="147">
        <v>30.10331</v>
      </c>
      <c r="R3295" s="147">
        <v>99.674190633576714</v>
      </c>
    </row>
    <row r="3296" spans="2:18" ht="15.75" hidden="1" thickBot="1" x14ac:dyDescent="0.3">
      <c r="B3296" s="723" t="s">
        <v>785</v>
      </c>
      <c r="C3296" s="722" t="s">
        <v>190</v>
      </c>
      <c r="D3296" t="s">
        <v>191</v>
      </c>
      <c r="E3296" s="148">
        <v>17.582920000000001</v>
      </c>
      <c r="F3296" s="148">
        <v>17.341999999999999</v>
      </c>
      <c r="G3296" s="148">
        <v>0.24092</v>
      </c>
      <c r="H3296" s="148">
        <v>1.3892284626917311</v>
      </c>
      <c r="I3296" s="728"/>
      <c r="J3296" s="148">
        <v>17.582920000000001</v>
      </c>
      <c r="K3296" s="148">
        <v>0</v>
      </c>
      <c r="L3296" s="148">
        <v>209.68458000000001</v>
      </c>
      <c r="M3296" s="148">
        <v>208.10400000000001</v>
      </c>
      <c r="N3296" s="148">
        <v>1.5805800000000001</v>
      </c>
      <c r="O3296" s="148">
        <v>0.75951447353246448</v>
      </c>
      <c r="P3296" s="148">
        <v>105.00821000000001</v>
      </c>
      <c r="Q3296" s="148">
        <v>104.67637000000001</v>
      </c>
      <c r="R3296" s="148">
        <v>99.683986613999039</v>
      </c>
    </row>
    <row r="3297" spans="2:18" ht="15.75" hidden="1" thickBot="1" x14ac:dyDescent="0.3">
      <c r="B3297" s="723" t="s">
        <v>785</v>
      </c>
      <c r="C3297" s="722" t="s">
        <v>36</v>
      </c>
      <c r="D3297" t="s">
        <v>192</v>
      </c>
      <c r="E3297" s="147">
        <v>130.14915999999999</v>
      </c>
      <c r="F3297" s="147">
        <v>151.90834000000001</v>
      </c>
      <c r="G3297" s="147">
        <v>-21.759180000000001</v>
      </c>
      <c r="H3297" s="147">
        <v>-14.323887681216187</v>
      </c>
      <c r="I3297" s="729"/>
      <c r="J3297" s="147">
        <v>130.14915999999999</v>
      </c>
      <c r="K3297" s="147">
        <v>0</v>
      </c>
      <c r="L3297" s="147">
        <v>1986.5981200000001</v>
      </c>
      <c r="M3297" s="147">
        <v>1834.9000799999999</v>
      </c>
      <c r="N3297" s="147">
        <v>151.69803999999999</v>
      </c>
      <c r="O3297" s="147">
        <v>8.2673733383890848</v>
      </c>
      <c r="P3297" s="147">
        <v>1003.87571</v>
      </c>
      <c r="Q3297" s="147">
        <v>982.72240999999997</v>
      </c>
      <c r="R3297" s="147">
        <v>97.892836753665449</v>
      </c>
    </row>
    <row r="3298" spans="2:18" ht="15.75" hidden="1" thickBot="1" x14ac:dyDescent="0.3">
      <c r="B3298" s="723" t="s">
        <v>785</v>
      </c>
      <c r="C3298" s="722" t="s">
        <v>598</v>
      </c>
      <c r="D3298" t="s">
        <v>168</v>
      </c>
      <c r="E3298" s="728"/>
      <c r="F3298" s="728"/>
      <c r="G3298" s="728"/>
      <c r="H3298" s="728"/>
      <c r="I3298" s="728"/>
      <c r="J3298" s="728"/>
      <c r="K3298" s="728"/>
      <c r="L3298" s="148">
        <v>0.01</v>
      </c>
      <c r="M3298" s="728"/>
      <c r="N3298" s="148">
        <v>0.01</v>
      </c>
      <c r="O3298" s="148">
        <v>0</v>
      </c>
      <c r="P3298" s="728"/>
      <c r="Q3298" s="148">
        <v>0.01</v>
      </c>
      <c r="R3298" s="148">
        <v>0</v>
      </c>
    </row>
    <row r="3299" spans="2:18" ht="15.75" hidden="1" thickBot="1" x14ac:dyDescent="0.3">
      <c r="B3299" s="723" t="s">
        <v>785</v>
      </c>
      <c r="C3299" s="722" t="s">
        <v>139</v>
      </c>
      <c r="D3299" t="s">
        <v>140</v>
      </c>
      <c r="E3299" s="147">
        <v>0.45244000000000001</v>
      </c>
      <c r="F3299" s="147">
        <v>8.3330000000000001E-2</v>
      </c>
      <c r="G3299" s="147">
        <v>0.36910999999999999</v>
      </c>
      <c r="H3299" s="147">
        <v>442.94971798871956</v>
      </c>
      <c r="I3299" s="729"/>
      <c r="J3299" s="147">
        <v>0.45244000000000001</v>
      </c>
      <c r="K3299" s="147">
        <v>0</v>
      </c>
      <c r="L3299" s="147">
        <v>47.06709</v>
      </c>
      <c r="M3299" s="147">
        <v>0.99995999999999996</v>
      </c>
      <c r="N3299" s="147">
        <v>46.067129999999999</v>
      </c>
      <c r="O3299" s="147">
        <v>4606.8972758910359</v>
      </c>
      <c r="P3299" s="147">
        <v>46.294649999999997</v>
      </c>
      <c r="Q3299" s="147">
        <v>0.77244000000000002</v>
      </c>
      <c r="R3299" s="147">
        <v>1.6685297329173026</v>
      </c>
    </row>
    <row r="3300" spans="2:18" ht="15.75" hidden="1" thickBot="1" x14ac:dyDescent="0.3">
      <c r="B3300" s="723" t="s">
        <v>785</v>
      </c>
      <c r="C3300" s="722" t="s">
        <v>169</v>
      </c>
      <c r="D3300" t="s">
        <v>170</v>
      </c>
      <c r="E3300" s="148">
        <v>0.32257999999999998</v>
      </c>
      <c r="F3300" s="148">
        <v>3.9166599999999998</v>
      </c>
      <c r="G3300" s="148">
        <v>-3.5940799999999999</v>
      </c>
      <c r="H3300" s="148">
        <v>-91.763900874724897</v>
      </c>
      <c r="I3300" s="728"/>
      <c r="J3300" s="148">
        <v>0.32257999999999998</v>
      </c>
      <c r="K3300" s="148">
        <v>0</v>
      </c>
      <c r="L3300" s="148">
        <v>43.423830000000002</v>
      </c>
      <c r="M3300" s="148">
        <v>46.999920000000003</v>
      </c>
      <c r="N3300" s="148">
        <v>-3.5760900000000002</v>
      </c>
      <c r="O3300" s="148">
        <v>-7.6087150786639635</v>
      </c>
      <c r="P3300" s="148">
        <v>43.10125</v>
      </c>
      <c r="Q3300" s="148">
        <v>0.32257999999999998</v>
      </c>
      <c r="R3300" s="148">
        <v>0.74842376961225021</v>
      </c>
    </row>
    <row r="3301" spans="2:18" ht="15.75" hidden="1" thickBot="1" x14ac:dyDescent="0.3">
      <c r="B3301" s="723" t="s">
        <v>785</v>
      </c>
      <c r="C3301" s="722" t="s">
        <v>101</v>
      </c>
      <c r="D3301" t="s">
        <v>102</v>
      </c>
      <c r="E3301" s="147">
        <v>192.75512000000001</v>
      </c>
      <c r="F3301" s="147">
        <v>183.345</v>
      </c>
      <c r="G3301" s="147">
        <v>9.4101199999999992</v>
      </c>
      <c r="H3301" s="147">
        <v>5.1324661157926315</v>
      </c>
      <c r="I3301" s="729"/>
      <c r="J3301" s="147">
        <v>192.75512000000001</v>
      </c>
      <c r="K3301" s="147">
        <v>0</v>
      </c>
      <c r="L3301" s="147">
        <v>1991.1954800000001</v>
      </c>
      <c r="M3301" s="147">
        <v>1958.2380000000001</v>
      </c>
      <c r="N3301" s="147">
        <v>32.957479999999997</v>
      </c>
      <c r="O3301" s="147">
        <v>1.6830170796399619</v>
      </c>
      <c r="P3301" s="147">
        <v>1005.32865</v>
      </c>
      <c r="Q3301" s="147">
        <v>985.86683000000005</v>
      </c>
      <c r="R3301" s="147">
        <v>98.064133554733573</v>
      </c>
    </row>
    <row r="3302" spans="2:18" ht="15.75" hidden="1" thickBot="1" x14ac:dyDescent="0.3">
      <c r="B3302" s="723" t="s">
        <v>785</v>
      </c>
      <c r="C3302" s="722" t="s">
        <v>599</v>
      </c>
      <c r="D3302" t="s">
        <v>600</v>
      </c>
      <c r="E3302" s="728"/>
      <c r="F3302" s="728"/>
      <c r="G3302" s="728"/>
      <c r="H3302" s="728"/>
      <c r="I3302" s="728"/>
      <c r="J3302" s="728"/>
      <c r="K3302" s="728"/>
      <c r="L3302" s="148">
        <v>2.1974999999999998</v>
      </c>
      <c r="M3302" s="728"/>
      <c r="N3302" s="148">
        <v>2.1974999999999998</v>
      </c>
      <c r="O3302" s="148">
        <v>0</v>
      </c>
      <c r="P3302" s="148">
        <v>2.1974999999999998</v>
      </c>
      <c r="Q3302" s="148">
        <v>0</v>
      </c>
      <c r="R3302" s="148">
        <v>0</v>
      </c>
    </row>
    <row r="3303" spans="2:18" ht="15.75" hidden="1" thickBot="1" x14ac:dyDescent="0.3">
      <c r="B3303" s="723" t="s">
        <v>785</v>
      </c>
      <c r="C3303" s="722" t="s">
        <v>603</v>
      </c>
      <c r="D3303" t="s">
        <v>604</v>
      </c>
      <c r="E3303" s="729"/>
      <c r="F3303" s="729"/>
      <c r="G3303" s="729"/>
      <c r="H3303" s="729"/>
      <c r="I3303" s="729"/>
      <c r="J3303" s="729"/>
      <c r="K3303" s="729"/>
      <c r="L3303" s="147">
        <v>0.66</v>
      </c>
      <c r="M3303" s="729"/>
      <c r="N3303" s="147">
        <v>0.66</v>
      </c>
      <c r="O3303" s="147">
        <v>0</v>
      </c>
      <c r="P3303" s="729"/>
      <c r="Q3303" s="147">
        <v>0.66</v>
      </c>
      <c r="R3303" s="147">
        <v>0</v>
      </c>
    </row>
    <row r="3304" spans="2:18" ht="15.75" hidden="1" thickBot="1" x14ac:dyDescent="0.3">
      <c r="B3304" s="723" t="s">
        <v>785</v>
      </c>
      <c r="C3304" s="722" t="s">
        <v>218</v>
      </c>
      <c r="D3304" t="s">
        <v>219</v>
      </c>
      <c r="E3304" s="728"/>
      <c r="F3304" s="728"/>
      <c r="G3304" s="728"/>
      <c r="H3304" s="728"/>
      <c r="I3304" s="728"/>
      <c r="J3304" s="728"/>
      <c r="K3304" s="728"/>
      <c r="L3304" s="148">
        <v>0.16</v>
      </c>
      <c r="M3304" s="728"/>
      <c r="N3304" s="148">
        <v>0.16</v>
      </c>
      <c r="O3304" s="148">
        <v>0</v>
      </c>
      <c r="P3304" s="148">
        <v>0.16</v>
      </c>
      <c r="Q3304" s="148">
        <v>0</v>
      </c>
      <c r="R3304" s="148">
        <v>0</v>
      </c>
    </row>
    <row r="3305" spans="2:18" ht="15.75" hidden="1" thickBot="1" x14ac:dyDescent="0.3">
      <c r="B3305" s="723" t="s">
        <v>785</v>
      </c>
      <c r="C3305" s="722" t="s">
        <v>607</v>
      </c>
      <c r="D3305" t="s">
        <v>608</v>
      </c>
      <c r="E3305" s="729"/>
      <c r="F3305" s="729"/>
      <c r="G3305" s="729"/>
      <c r="H3305" s="729"/>
      <c r="I3305" s="729"/>
      <c r="J3305" s="729"/>
      <c r="K3305" s="729"/>
      <c r="L3305" s="147">
        <v>26.564620000000001</v>
      </c>
      <c r="M3305" s="729"/>
      <c r="N3305" s="147">
        <v>26.564620000000001</v>
      </c>
      <c r="O3305" s="147">
        <v>0</v>
      </c>
      <c r="P3305" s="147">
        <v>4.0235599999999998</v>
      </c>
      <c r="Q3305" s="147">
        <v>22.541060000000002</v>
      </c>
      <c r="R3305" s="147">
        <v>560.22676435793176</v>
      </c>
    </row>
    <row r="3306" spans="2:18" ht="15.75" hidden="1" thickBot="1" x14ac:dyDescent="0.3">
      <c r="B3306" s="723" t="s">
        <v>785</v>
      </c>
      <c r="C3306" s="722" t="s">
        <v>462</v>
      </c>
      <c r="D3306" t="s">
        <v>463</v>
      </c>
      <c r="E3306" s="148">
        <v>5.6437499999999998</v>
      </c>
      <c r="F3306" s="728"/>
      <c r="G3306" s="148">
        <v>5.6437499999999998</v>
      </c>
      <c r="H3306" s="148">
        <v>0</v>
      </c>
      <c r="I3306" s="728"/>
      <c r="J3306" s="148">
        <v>5.6437499999999998</v>
      </c>
      <c r="K3306" s="148">
        <v>0</v>
      </c>
      <c r="L3306" s="148">
        <v>6.9372299999999996</v>
      </c>
      <c r="M3306" s="728"/>
      <c r="N3306" s="148">
        <v>6.9372299999999996</v>
      </c>
      <c r="O3306" s="148">
        <v>0</v>
      </c>
      <c r="P3306" s="148">
        <v>0.77410000000000001</v>
      </c>
      <c r="Q3306" s="148">
        <v>6.1631299999999998</v>
      </c>
      <c r="R3306" s="148">
        <v>796.16716186539202</v>
      </c>
    </row>
    <row r="3307" spans="2:18" ht="15.75" hidden="1" thickBot="1" x14ac:dyDescent="0.3">
      <c r="B3307" s="723" t="s">
        <v>785</v>
      </c>
      <c r="C3307" s="722" t="s">
        <v>613</v>
      </c>
      <c r="D3307" t="s">
        <v>614</v>
      </c>
      <c r="E3307" s="729"/>
      <c r="F3307" s="729"/>
      <c r="G3307" s="729"/>
      <c r="H3307" s="729"/>
      <c r="I3307" s="729"/>
      <c r="J3307" s="729"/>
      <c r="K3307" s="729"/>
      <c r="L3307" s="147">
        <v>3.0637500000000002</v>
      </c>
      <c r="M3307" s="729"/>
      <c r="N3307" s="147">
        <v>3.0637500000000002</v>
      </c>
      <c r="O3307" s="147">
        <v>0</v>
      </c>
      <c r="P3307" s="147">
        <v>2.1480000000000001</v>
      </c>
      <c r="Q3307" s="147">
        <v>0.91574999999999995</v>
      </c>
      <c r="R3307" s="147">
        <v>42.632681564245807</v>
      </c>
    </row>
    <row r="3308" spans="2:18" ht="15.75" hidden="1" thickBot="1" x14ac:dyDescent="0.3">
      <c r="B3308" s="723" t="s">
        <v>785</v>
      </c>
      <c r="C3308" s="722" t="s">
        <v>615</v>
      </c>
      <c r="D3308" t="s">
        <v>616</v>
      </c>
      <c r="E3308" s="728"/>
      <c r="F3308" s="728"/>
      <c r="G3308" s="728"/>
      <c r="H3308" s="728"/>
      <c r="I3308" s="728"/>
      <c r="J3308" s="728"/>
      <c r="K3308" s="728"/>
      <c r="L3308" s="148">
        <v>3.3975399999999998</v>
      </c>
      <c r="M3308" s="728"/>
      <c r="N3308" s="148">
        <v>3.3975399999999998</v>
      </c>
      <c r="O3308" s="148">
        <v>0</v>
      </c>
      <c r="P3308" s="148">
        <v>4.2949999999999999</v>
      </c>
      <c r="Q3308" s="148">
        <v>-0.89746000000000004</v>
      </c>
      <c r="R3308" s="148">
        <v>-20.895459837019789</v>
      </c>
    </row>
    <row r="3309" spans="2:18" ht="15.75" hidden="1" thickBot="1" x14ac:dyDescent="0.3">
      <c r="B3309" s="723" t="s">
        <v>785</v>
      </c>
      <c r="C3309" s="722" t="s">
        <v>193</v>
      </c>
      <c r="D3309" t="s">
        <v>194</v>
      </c>
      <c r="E3309" s="147">
        <v>1.4719</v>
      </c>
      <c r="F3309" s="147">
        <v>1</v>
      </c>
      <c r="G3309" s="147">
        <v>0.47189999999999999</v>
      </c>
      <c r="H3309" s="147">
        <v>47.19</v>
      </c>
      <c r="I3309" s="729"/>
      <c r="J3309" s="147">
        <v>1.4719</v>
      </c>
      <c r="K3309" s="147">
        <v>0</v>
      </c>
      <c r="L3309" s="147">
        <v>36.973140000000001</v>
      </c>
      <c r="M3309" s="147">
        <v>12</v>
      </c>
      <c r="N3309" s="147">
        <v>24.973140000000001</v>
      </c>
      <c r="O3309" s="147">
        <v>208.1095</v>
      </c>
      <c r="P3309" s="147">
        <v>15.3155</v>
      </c>
      <c r="Q3309" s="147">
        <v>21.657640000000001</v>
      </c>
      <c r="R3309" s="147">
        <v>141.40994417420259</v>
      </c>
    </row>
    <row r="3310" spans="2:18" ht="15.75" hidden="1" thickBot="1" x14ac:dyDescent="0.3">
      <c r="B3310" s="723" t="s">
        <v>785</v>
      </c>
      <c r="C3310" s="722" t="s">
        <v>195</v>
      </c>
      <c r="D3310" t="s">
        <v>196</v>
      </c>
      <c r="E3310" s="148">
        <v>0.89207999999999998</v>
      </c>
      <c r="F3310" s="728"/>
      <c r="G3310" s="148">
        <v>0.89207999999999998</v>
      </c>
      <c r="H3310" s="148">
        <v>0</v>
      </c>
      <c r="I3310" s="728"/>
      <c r="J3310" s="148">
        <v>0.89207999999999998</v>
      </c>
      <c r="K3310" s="148">
        <v>0</v>
      </c>
      <c r="L3310" s="148">
        <v>11.008699999999999</v>
      </c>
      <c r="M3310" s="728"/>
      <c r="N3310" s="148">
        <v>11.008699999999999</v>
      </c>
      <c r="O3310" s="148">
        <v>0</v>
      </c>
      <c r="P3310" s="148">
        <v>3.6242399999999999</v>
      </c>
      <c r="Q3310" s="148">
        <v>7.3844599999999998</v>
      </c>
      <c r="R3310" s="148">
        <v>203.75195903141073</v>
      </c>
    </row>
    <row r="3311" spans="2:18" ht="15.75" hidden="1" thickBot="1" x14ac:dyDescent="0.3">
      <c r="B3311" s="723" t="s">
        <v>785</v>
      </c>
      <c r="C3311" s="722" t="s">
        <v>197</v>
      </c>
      <c r="D3311" t="s">
        <v>198</v>
      </c>
      <c r="E3311" s="147">
        <v>1.0649999999999999</v>
      </c>
      <c r="F3311" s="729"/>
      <c r="G3311" s="147">
        <v>1.0649999999999999</v>
      </c>
      <c r="H3311" s="147">
        <v>0</v>
      </c>
      <c r="I3311" s="729"/>
      <c r="J3311" s="147">
        <v>1.0649999999999999</v>
      </c>
      <c r="K3311" s="147">
        <v>0</v>
      </c>
      <c r="L3311" s="147">
        <v>5.5312999999999999</v>
      </c>
      <c r="M3311" s="729"/>
      <c r="N3311" s="147">
        <v>5.5312999999999999</v>
      </c>
      <c r="O3311" s="147">
        <v>0</v>
      </c>
      <c r="P3311" s="147">
        <v>2.3504999999999998</v>
      </c>
      <c r="Q3311" s="147">
        <v>3.1808000000000001</v>
      </c>
      <c r="R3311" s="147">
        <v>135.32439906402894</v>
      </c>
    </row>
    <row r="3312" spans="2:18" ht="15.75" hidden="1" thickBot="1" x14ac:dyDescent="0.3">
      <c r="B3312" s="723" t="s">
        <v>785</v>
      </c>
      <c r="C3312" s="722" t="s">
        <v>485</v>
      </c>
      <c r="D3312" t="s">
        <v>486</v>
      </c>
      <c r="E3312" s="148">
        <v>0.28499999999999998</v>
      </c>
      <c r="F3312" s="728"/>
      <c r="G3312" s="148">
        <v>0.28499999999999998</v>
      </c>
      <c r="H3312" s="148">
        <v>0</v>
      </c>
      <c r="I3312" s="728"/>
      <c r="J3312" s="148">
        <v>0.28499999999999998</v>
      </c>
      <c r="K3312" s="148">
        <v>0</v>
      </c>
      <c r="L3312" s="148">
        <v>0.28499999999999998</v>
      </c>
      <c r="M3312" s="728"/>
      <c r="N3312" s="148">
        <v>0.28499999999999998</v>
      </c>
      <c r="O3312" s="148">
        <v>0</v>
      </c>
      <c r="P3312" s="728"/>
      <c r="Q3312" s="148">
        <v>0.28499999999999998</v>
      </c>
      <c r="R3312" s="148">
        <v>0</v>
      </c>
    </row>
    <row r="3313" spans="2:18" ht="15.75" hidden="1" thickBot="1" x14ac:dyDescent="0.3">
      <c r="B3313" s="723" t="s">
        <v>785</v>
      </c>
      <c r="C3313" s="722" t="s">
        <v>464</v>
      </c>
      <c r="D3313" t="s">
        <v>465</v>
      </c>
      <c r="E3313" s="729"/>
      <c r="F3313" s="729"/>
      <c r="G3313" s="729"/>
      <c r="H3313" s="729"/>
      <c r="I3313" s="729"/>
      <c r="J3313" s="729"/>
      <c r="K3313" s="729"/>
      <c r="L3313" s="147">
        <v>10.69481</v>
      </c>
      <c r="M3313" s="729"/>
      <c r="N3313" s="147">
        <v>10.69481</v>
      </c>
      <c r="O3313" s="147">
        <v>0</v>
      </c>
      <c r="P3313" s="147">
        <v>10.69481</v>
      </c>
      <c r="Q3313" s="147">
        <v>0</v>
      </c>
      <c r="R3313" s="147">
        <v>0</v>
      </c>
    </row>
    <row r="3314" spans="2:18" ht="15.75" hidden="1" thickBot="1" x14ac:dyDescent="0.3">
      <c r="B3314" s="723" t="s">
        <v>785</v>
      </c>
      <c r="C3314" s="722" t="s">
        <v>619</v>
      </c>
      <c r="D3314" t="s">
        <v>620</v>
      </c>
      <c r="E3314" s="728"/>
      <c r="F3314" s="728"/>
      <c r="G3314" s="728"/>
      <c r="H3314" s="728"/>
      <c r="I3314" s="728"/>
      <c r="J3314" s="728"/>
      <c r="K3314" s="728"/>
      <c r="L3314" s="148">
        <v>5.5237299999999996</v>
      </c>
      <c r="M3314" s="728"/>
      <c r="N3314" s="148">
        <v>5.5237299999999996</v>
      </c>
      <c r="O3314" s="148">
        <v>0</v>
      </c>
      <c r="P3314" s="148">
        <v>7.6999999999999996E-4</v>
      </c>
      <c r="Q3314" s="148">
        <v>5.5229600000000003</v>
      </c>
      <c r="R3314" s="148">
        <v>717267.53246753244</v>
      </c>
    </row>
    <row r="3315" spans="2:18" ht="15.75" hidden="1" thickBot="1" x14ac:dyDescent="0.3">
      <c r="B3315" s="723" t="s">
        <v>785</v>
      </c>
      <c r="C3315" s="722" t="s">
        <v>103</v>
      </c>
      <c r="D3315" t="s">
        <v>104</v>
      </c>
      <c r="E3315" s="147">
        <v>0.19868</v>
      </c>
      <c r="F3315" s="729"/>
      <c r="G3315" s="147">
        <v>0.19868</v>
      </c>
      <c r="H3315" s="147">
        <v>0</v>
      </c>
      <c r="I3315" s="729"/>
      <c r="J3315" s="147">
        <v>0.19868</v>
      </c>
      <c r="K3315" s="147">
        <v>0</v>
      </c>
      <c r="L3315" s="147">
        <v>3.6186199999999999</v>
      </c>
      <c r="M3315" s="729"/>
      <c r="N3315" s="147">
        <v>3.6186199999999999</v>
      </c>
      <c r="O3315" s="147">
        <v>0</v>
      </c>
      <c r="P3315" s="147">
        <v>0.78749999999999998</v>
      </c>
      <c r="Q3315" s="147">
        <v>2.8311199999999999</v>
      </c>
      <c r="R3315" s="147">
        <v>359.50730158730158</v>
      </c>
    </row>
    <row r="3316" spans="2:18" ht="15.75" hidden="1" thickBot="1" x14ac:dyDescent="0.3">
      <c r="B3316" s="723" t="s">
        <v>785</v>
      </c>
      <c r="C3316" s="722" t="s">
        <v>71</v>
      </c>
      <c r="D3316" t="s">
        <v>72</v>
      </c>
      <c r="E3316" s="148">
        <v>-1.4037900000000001</v>
      </c>
      <c r="F3316" s="728"/>
      <c r="G3316" s="148">
        <v>-1.4037900000000001</v>
      </c>
      <c r="H3316" s="148">
        <v>0</v>
      </c>
      <c r="I3316" s="728"/>
      <c r="J3316" s="148">
        <v>-1.4037900000000001</v>
      </c>
      <c r="K3316" s="148">
        <v>0</v>
      </c>
      <c r="L3316" s="148">
        <v>0.53752</v>
      </c>
      <c r="M3316" s="728"/>
      <c r="N3316" s="148">
        <v>0.53752</v>
      </c>
      <c r="O3316" s="148">
        <v>0</v>
      </c>
      <c r="P3316" s="148">
        <v>0.50136999999999998</v>
      </c>
      <c r="Q3316" s="148">
        <v>3.6150000000000002E-2</v>
      </c>
      <c r="R3316" s="148">
        <v>7.2102439316273408</v>
      </c>
    </row>
    <row r="3317" spans="2:18" ht="15.75" hidden="1" thickBot="1" x14ac:dyDescent="0.3">
      <c r="B3317" s="723" t="s">
        <v>785</v>
      </c>
      <c r="C3317" s="722" t="s">
        <v>105</v>
      </c>
      <c r="D3317" t="s">
        <v>106</v>
      </c>
      <c r="E3317" s="147">
        <v>0.05</v>
      </c>
      <c r="F3317" s="729"/>
      <c r="G3317" s="147">
        <v>0.05</v>
      </c>
      <c r="H3317" s="147">
        <v>0</v>
      </c>
      <c r="I3317" s="729"/>
      <c r="J3317" s="147">
        <v>0.05</v>
      </c>
      <c r="K3317" s="147">
        <v>0</v>
      </c>
      <c r="L3317" s="147">
        <v>1.36</v>
      </c>
      <c r="M3317" s="729"/>
      <c r="N3317" s="147">
        <v>1.36</v>
      </c>
      <c r="O3317" s="147">
        <v>0</v>
      </c>
      <c r="P3317" s="147">
        <v>1.26</v>
      </c>
      <c r="Q3317" s="147">
        <v>0.1</v>
      </c>
      <c r="R3317" s="147">
        <v>7.9365079365079367</v>
      </c>
    </row>
    <row r="3318" spans="2:18" ht="15.75" hidden="1" thickBot="1" x14ac:dyDescent="0.3">
      <c r="B3318" s="723" t="s">
        <v>785</v>
      </c>
      <c r="C3318" s="722" t="s">
        <v>627</v>
      </c>
      <c r="D3318" t="s">
        <v>628</v>
      </c>
      <c r="E3318" s="148">
        <v>8.2949999999999996E-2</v>
      </c>
      <c r="F3318" s="728"/>
      <c r="G3318" s="148">
        <v>8.2949999999999996E-2</v>
      </c>
      <c r="H3318" s="148">
        <v>0</v>
      </c>
      <c r="I3318" s="728"/>
      <c r="J3318" s="148">
        <v>8.2949999999999996E-2</v>
      </c>
      <c r="K3318" s="148">
        <v>0</v>
      </c>
      <c r="L3318" s="148">
        <v>0.85053000000000001</v>
      </c>
      <c r="M3318" s="728"/>
      <c r="N3318" s="148">
        <v>0.85053000000000001</v>
      </c>
      <c r="O3318" s="148">
        <v>0</v>
      </c>
      <c r="P3318" s="148">
        <v>0.45882000000000001</v>
      </c>
      <c r="Q3318" s="148">
        <v>0.39171</v>
      </c>
      <c r="R3318" s="148">
        <v>85.37334902576174</v>
      </c>
    </row>
    <row r="3319" spans="2:18" ht="15.75" hidden="1" thickBot="1" x14ac:dyDescent="0.3">
      <c r="B3319" s="723" t="s">
        <v>785</v>
      </c>
      <c r="C3319" s="722" t="s">
        <v>107</v>
      </c>
      <c r="D3319" t="s">
        <v>108</v>
      </c>
      <c r="E3319" s="147">
        <v>1.7524</v>
      </c>
      <c r="F3319" s="147">
        <v>0.74199999999999999</v>
      </c>
      <c r="G3319" s="147">
        <v>1.0104</v>
      </c>
      <c r="H3319" s="147">
        <v>136.17250673854448</v>
      </c>
      <c r="I3319" s="729"/>
      <c r="J3319" s="147">
        <v>1.7524</v>
      </c>
      <c r="K3319" s="147">
        <v>0</v>
      </c>
      <c r="L3319" s="147">
        <v>49.091099999999997</v>
      </c>
      <c r="M3319" s="147">
        <v>67.09</v>
      </c>
      <c r="N3319" s="147">
        <v>-17.998899999999999</v>
      </c>
      <c r="O3319" s="147">
        <v>-26.82799224921747</v>
      </c>
      <c r="P3319" s="147">
        <v>28.1098</v>
      </c>
      <c r="Q3319" s="147">
        <v>20.981300000000001</v>
      </c>
      <c r="R3319" s="147">
        <v>74.640516830429249</v>
      </c>
    </row>
    <row r="3320" spans="2:18" ht="15.75" hidden="1" thickBot="1" x14ac:dyDescent="0.3">
      <c r="B3320" s="723" t="s">
        <v>785</v>
      </c>
      <c r="C3320" s="722" t="s">
        <v>109</v>
      </c>
      <c r="D3320" t="s">
        <v>110</v>
      </c>
      <c r="E3320" s="148">
        <v>235.24197000000001</v>
      </c>
      <c r="F3320" s="148">
        <v>244.899</v>
      </c>
      <c r="G3320" s="148">
        <v>-9.6570300000000007</v>
      </c>
      <c r="H3320" s="148">
        <v>-3.9432704911004128</v>
      </c>
      <c r="I3320" s="728"/>
      <c r="J3320" s="148">
        <v>235.24197000000001</v>
      </c>
      <c r="K3320" s="148">
        <v>0</v>
      </c>
      <c r="L3320" s="148">
        <v>2842.2730999999999</v>
      </c>
      <c r="M3320" s="148">
        <v>2937.9189999999999</v>
      </c>
      <c r="N3320" s="148">
        <v>-95.645899999999997</v>
      </c>
      <c r="O3320" s="148">
        <v>-3.2555662698665282</v>
      </c>
      <c r="P3320" s="148">
        <v>1463.9179999999999</v>
      </c>
      <c r="Q3320" s="148">
        <v>1378.3551</v>
      </c>
      <c r="R3320" s="148">
        <v>94.155212245494624</v>
      </c>
    </row>
    <row r="3321" spans="2:18" ht="15.75" hidden="1" thickBot="1" x14ac:dyDescent="0.3">
      <c r="B3321" s="723" t="s">
        <v>785</v>
      </c>
      <c r="C3321" s="722" t="s">
        <v>199</v>
      </c>
      <c r="D3321" t="s">
        <v>200</v>
      </c>
      <c r="E3321" s="147">
        <v>0</v>
      </c>
      <c r="F3321" s="729"/>
      <c r="G3321" s="147">
        <v>0</v>
      </c>
      <c r="H3321" s="147">
        <v>0</v>
      </c>
      <c r="I3321" s="729"/>
      <c r="J3321" s="147">
        <v>0</v>
      </c>
      <c r="K3321" s="147">
        <v>0</v>
      </c>
      <c r="L3321" s="147">
        <v>97.443780000000004</v>
      </c>
      <c r="M3321" s="147">
        <v>100</v>
      </c>
      <c r="N3321" s="147">
        <v>-2.5562200000000002</v>
      </c>
      <c r="O3321" s="147">
        <v>-2.5562200000000002</v>
      </c>
      <c r="P3321" s="147">
        <v>0</v>
      </c>
      <c r="Q3321" s="147">
        <v>97.443780000000004</v>
      </c>
      <c r="R3321" s="147">
        <v>0</v>
      </c>
    </row>
    <row r="3322" spans="2:18" ht="15.75" hidden="1" thickBot="1" x14ac:dyDescent="0.3">
      <c r="B3322" s="723" t="s">
        <v>785</v>
      </c>
      <c r="C3322" s="722" t="s">
        <v>73</v>
      </c>
      <c r="D3322" t="s">
        <v>74</v>
      </c>
      <c r="E3322" s="148">
        <v>7.66988</v>
      </c>
      <c r="F3322" s="148">
        <v>3.9470000000000001</v>
      </c>
      <c r="G3322" s="148">
        <v>3.72288</v>
      </c>
      <c r="H3322" s="148">
        <v>94.32176336458069</v>
      </c>
      <c r="I3322" s="728"/>
      <c r="J3322" s="148">
        <v>7.66988</v>
      </c>
      <c r="K3322" s="148">
        <v>0</v>
      </c>
      <c r="L3322" s="148">
        <v>56.896880000000003</v>
      </c>
      <c r="M3322" s="148">
        <v>44.32</v>
      </c>
      <c r="N3322" s="148">
        <v>12.576879999999999</v>
      </c>
      <c r="O3322" s="148">
        <v>28.377436823104691</v>
      </c>
      <c r="P3322" s="148">
        <v>28.265630000000002</v>
      </c>
      <c r="Q3322" s="148">
        <v>28.631250000000001</v>
      </c>
      <c r="R3322" s="148">
        <v>101.29351442016329</v>
      </c>
    </row>
    <row r="3323" spans="2:18" ht="15.75" hidden="1" thickBot="1" x14ac:dyDescent="0.3">
      <c r="B3323" s="723" t="s">
        <v>785</v>
      </c>
      <c r="C3323" s="722" t="s">
        <v>111</v>
      </c>
      <c r="D3323" t="s">
        <v>112</v>
      </c>
      <c r="E3323" s="147">
        <v>31.522780000000001</v>
      </c>
      <c r="F3323" s="147">
        <v>29.10942</v>
      </c>
      <c r="G3323" s="147">
        <v>2.4133599999999999</v>
      </c>
      <c r="H3323" s="147">
        <v>8.2906495560543636</v>
      </c>
      <c r="I3323" s="729"/>
      <c r="J3323" s="147">
        <v>31.522780000000001</v>
      </c>
      <c r="K3323" s="147">
        <v>0</v>
      </c>
      <c r="L3323" s="147">
        <v>345.12473</v>
      </c>
      <c r="M3323" s="147">
        <v>349.31304</v>
      </c>
      <c r="N3323" s="147">
        <v>-4.1883100000000004</v>
      </c>
      <c r="O3323" s="147">
        <v>-1.1990133548979449</v>
      </c>
      <c r="P3323" s="147">
        <v>181.52911</v>
      </c>
      <c r="Q3323" s="147">
        <v>163.59562</v>
      </c>
      <c r="R3323" s="147">
        <v>90.120873726533446</v>
      </c>
    </row>
    <row r="3324" spans="2:18" ht="15.75" hidden="1" thickBot="1" x14ac:dyDescent="0.3">
      <c r="B3324" s="723" t="s">
        <v>785</v>
      </c>
      <c r="C3324" s="722" t="s">
        <v>141</v>
      </c>
      <c r="D3324" t="s">
        <v>142</v>
      </c>
      <c r="E3324" s="148">
        <v>0.10425</v>
      </c>
      <c r="F3324" s="728"/>
      <c r="G3324" s="148">
        <v>0.10425</v>
      </c>
      <c r="H3324" s="148">
        <v>0</v>
      </c>
      <c r="I3324" s="728"/>
      <c r="J3324" s="148">
        <v>0.10425</v>
      </c>
      <c r="K3324" s="148">
        <v>0</v>
      </c>
      <c r="L3324" s="148">
        <v>1.1937899999999999</v>
      </c>
      <c r="M3324" s="728"/>
      <c r="N3324" s="148">
        <v>1.1937899999999999</v>
      </c>
      <c r="O3324" s="148">
        <v>0</v>
      </c>
      <c r="P3324" s="148">
        <v>1.03634</v>
      </c>
      <c r="Q3324" s="148">
        <v>0.15745000000000001</v>
      </c>
      <c r="R3324" s="148">
        <v>15.1928903641662</v>
      </c>
    </row>
    <row r="3325" spans="2:18" ht="15.75" hidden="1" thickBot="1" x14ac:dyDescent="0.3">
      <c r="B3325" s="723" t="s">
        <v>785</v>
      </c>
      <c r="C3325" s="722" t="s">
        <v>113</v>
      </c>
      <c r="D3325" t="s">
        <v>114</v>
      </c>
      <c r="E3325" s="147">
        <v>6.3677200000000003</v>
      </c>
      <c r="F3325" s="147">
        <v>3.88184</v>
      </c>
      <c r="G3325" s="147">
        <v>2.4858799999999999</v>
      </c>
      <c r="H3325" s="147">
        <v>64.038703295344476</v>
      </c>
      <c r="I3325" s="729"/>
      <c r="J3325" s="147">
        <v>6.3677200000000003</v>
      </c>
      <c r="K3325" s="147">
        <v>0</v>
      </c>
      <c r="L3325" s="147">
        <v>67.487129999999993</v>
      </c>
      <c r="M3325" s="147">
        <v>45.782080000000001</v>
      </c>
      <c r="N3325" s="147">
        <v>21.70505</v>
      </c>
      <c r="O3325" s="147">
        <v>47.409488603401158</v>
      </c>
      <c r="P3325" s="147">
        <v>31.432210000000001</v>
      </c>
      <c r="Q3325" s="147">
        <v>36.054920000000003</v>
      </c>
      <c r="R3325" s="147">
        <v>114.70692006702679</v>
      </c>
    </row>
    <row r="3326" spans="2:18" ht="15.75" hidden="1" thickBot="1" x14ac:dyDescent="0.3">
      <c r="B3326" s="723" t="s">
        <v>785</v>
      </c>
      <c r="C3326" s="722" t="s">
        <v>201</v>
      </c>
      <c r="D3326" t="s">
        <v>202</v>
      </c>
      <c r="E3326" s="148">
        <v>0.15239</v>
      </c>
      <c r="F3326" s="148">
        <v>1.3</v>
      </c>
      <c r="G3326" s="148">
        <v>-1.14761</v>
      </c>
      <c r="H3326" s="148">
        <v>-88.277692307692305</v>
      </c>
      <c r="I3326" s="728"/>
      <c r="J3326" s="148">
        <v>0.15239</v>
      </c>
      <c r="K3326" s="148">
        <v>0</v>
      </c>
      <c r="L3326" s="148">
        <v>9.1811199999999999</v>
      </c>
      <c r="M3326" s="148">
        <v>21.6</v>
      </c>
      <c r="N3326" s="148">
        <v>-12.41888</v>
      </c>
      <c r="O3326" s="148">
        <v>-57.494814814814816</v>
      </c>
      <c r="P3326" s="148">
        <v>3.3608600000000002</v>
      </c>
      <c r="Q3326" s="148">
        <v>5.8202600000000002</v>
      </c>
      <c r="R3326" s="148">
        <v>173.17769856524819</v>
      </c>
    </row>
    <row r="3327" spans="2:18" ht="15.75" hidden="1" thickBot="1" x14ac:dyDescent="0.3">
      <c r="B3327" s="723" t="s">
        <v>785</v>
      </c>
      <c r="C3327" s="722" t="s">
        <v>115</v>
      </c>
      <c r="D3327" t="s">
        <v>116</v>
      </c>
      <c r="E3327" s="147">
        <v>2.4685999999999999</v>
      </c>
      <c r="F3327" s="147">
        <v>3.7833299999999999</v>
      </c>
      <c r="G3327" s="147">
        <v>-1.31473</v>
      </c>
      <c r="H3327" s="147">
        <v>-34.750603304496302</v>
      </c>
      <c r="I3327" s="729"/>
      <c r="J3327" s="147">
        <v>2.4685999999999999</v>
      </c>
      <c r="K3327" s="147">
        <v>0</v>
      </c>
      <c r="L3327" s="147">
        <v>33.26305</v>
      </c>
      <c r="M3327" s="147">
        <v>45.39996</v>
      </c>
      <c r="N3327" s="147">
        <v>-12.13691</v>
      </c>
      <c r="O3327" s="147">
        <v>-26.733305491899113</v>
      </c>
      <c r="P3327" s="147">
        <v>18.336349999999999</v>
      </c>
      <c r="Q3327" s="147">
        <v>14.9267</v>
      </c>
      <c r="R3327" s="147">
        <v>81.404968818767088</v>
      </c>
    </row>
    <row r="3328" spans="2:18" ht="15.75" hidden="1" thickBot="1" x14ac:dyDescent="0.3">
      <c r="B3328" s="723" t="s">
        <v>785</v>
      </c>
      <c r="C3328" s="722" t="s">
        <v>117</v>
      </c>
      <c r="D3328" t="s">
        <v>118</v>
      </c>
      <c r="E3328" s="148">
        <v>-3.6526900000000002</v>
      </c>
      <c r="F3328" s="148">
        <v>-3.75</v>
      </c>
      <c r="G3328" s="148">
        <v>9.7309999999999994E-2</v>
      </c>
      <c r="H3328" s="148">
        <v>2.5949333333333335</v>
      </c>
      <c r="I3328" s="728"/>
      <c r="J3328" s="148">
        <v>-3.6526900000000002</v>
      </c>
      <c r="K3328" s="148">
        <v>0</v>
      </c>
      <c r="L3328" s="148">
        <v>-41.415140000000001</v>
      </c>
      <c r="M3328" s="148">
        <v>-45</v>
      </c>
      <c r="N3328" s="148">
        <v>3.5848599999999999</v>
      </c>
      <c r="O3328" s="148">
        <v>7.9663555555555554</v>
      </c>
      <c r="P3328" s="148">
        <v>-20.4651</v>
      </c>
      <c r="Q3328" s="148">
        <v>-20.950040000000001</v>
      </c>
      <c r="R3328" s="148">
        <v>-102.36959506672335</v>
      </c>
    </row>
    <row r="3329" spans="2:18" ht="15.75" hidden="1" thickBot="1" x14ac:dyDescent="0.3">
      <c r="B3329" s="723" t="s">
        <v>785</v>
      </c>
      <c r="C3329" s="722" t="s">
        <v>145</v>
      </c>
      <c r="D3329" t="s">
        <v>146</v>
      </c>
      <c r="E3329" s="147">
        <v>2.1093999999999999</v>
      </c>
      <c r="F3329" s="147">
        <v>1.09318</v>
      </c>
      <c r="G3329" s="147">
        <v>1.0162199999999999</v>
      </c>
      <c r="H3329" s="147">
        <v>92.959988291040816</v>
      </c>
      <c r="I3329" s="729"/>
      <c r="J3329" s="147">
        <v>2.1093999999999999</v>
      </c>
      <c r="K3329" s="147">
        <v>0</v>
      </c>
      <c r="L3329" s="147">
        <v>38.308190000000003</v>
      </c>
      <c r="M3329" s="147">
        <v>18.499980000000001</v>
      </c>
      <c r="N3329" s="147">
        <v>19.808209999999999</v>
      </c>
      <c r="O3329" s="147">
        <v>107.07152115840125</v>
      </c>
      <c r="P3329" s="147">
        <v>26.616990000000001</v>
      </c>
      <c r="Q3329" s="147">
        <v>11.6912</v>
      </c>
      <c r="R3329" s="147">
        <v>43.92382459474193</v>
      </c>
    </row>
    <row r="3330" spans="2:18" ht="15.75" hidden="1" thickBot="1" x14ac:dyDescent="0.3">
      <c r="B3330" s="723" t="s">
        <v>785</v>
      </c>
      <c r="C3330" s="722" t="s">
        <v>147</v>
      </c>
      <c r="D3330" t="s">
        <v>148</v>
      </c>
      <c r="E3330" s="148">
        <v>0.11178</v>
      </c>
      <c r="F3330" s="728"/>
      <c r="G3330" s="148">
        <v>0.11178</v>
      </c>
      <c r="H3330" s="148">
        <v>0</v>
      </c>
      <c r="I3330" s="728"/>
      <c r="J3330" s="148">
        <v>0.11178</v>
      </c>
      <c r="K3330" s="148">
        <v>0</v>
      </c>
      <c r="L3330" s="148">
        <v>0.92537999999999998</v>
      </c>
      <c r="M3330" s="728"/>
      <c r="N3330" s="148">
        <v>0.92537999999999998</v>
      </c>
      <c r="O3330" s="148">
        <v>0</v>
      </c>
      <c r="P3330" s="148">
        <v>0.32989000000000002</v>
      </c>
      <c r="Q3330" s="148">
        <v>0.59548999999999996</v>
      </c>
      <c r="R3330" s="148">
        <v>180.51168571341964</v>
      </c>
    </row>
    <row r="3331" spans="2:18" ht="15.75" hidden="1" thickBot="1" x14ac:dyDescent="0.3">
      <c r="B3331" s="723" t="s">
        <v>785</v>
      </c>
      <c r="C3331" s="722" t="s">
        <v>203</v>
      </c>
      <c r="D3331" t="s">
        <v>204</v>
      </c>
      <c r="E3331" s="147">
        <v>1.11053</v>
      </c>
      <c r="F3331" s="729"/>
      <c r="G3331" s="147">
        <v>1.11053</v>
      </c>
      <c r="H3331" s="147">
        <v>0</v>
      </c>
      <c r="I3331" s="729"/>
      <c r="J3331" s="147">
        <v>1.11053</v>
      </c>
      <c r="K3331" s="147">
        <v>0</v>
      </c>
      <c r="L3331" s="147">
        <v>9.0980799999999995</v>
      </c>
      <c r="M3331" s="729"/>
      <c r="N3331" s="147">
        <v>9.0980799999999995</v>
      </c>
      <c r="O3331" s="147">
        <v>0</v>
      </c>
      <c r="P3331" s="147">
        <v>4.4822600000000001</v>
      </c>
      <c r="Q3331" s="147">
        <v>4.6158200000000003</v>
      </c>
      <c r="R3331" s="147">
        <v>102.97974682414674</v>
      </c>
    </row>
    <row r="3332" spans="2:18" ht="15.75" hidden="1" thickBot="1" x14ac:dyDescent="0.3">
      <c r="B3332" s="723" t="s">
        <v>785</v>
      </c>
      <c r="C3332" s="722" t="s">
        <v>641</v>
      </c>
      <c r="D3332" t="s">
        <v>642</v>
      </c>
      <c r="E3332" s="728"/>
      <c r="F3332" s="728"/>
      <c r="G3332" s="728"/>
      <c r="H3332" s="728"/>
      <c r="I3332" s="728"/>
      <c r="J3332" s="728"/>
      <c r="K3332" s="728"/>
      <c r="L3332" s="148">
        <v>7.2789999999999994E-2</v>
      </c>
      <c r="M3332" s="728"/>
      <c r="N3332" s="148">
        <v>7.2789999999999994E-2</v>
      </c>
      <c r="O3332" s="148">
        <v>0</v>
      </c>
      <c r="P3332" s="148">
        <v>0.16274</v>
      </c>
      <c r="Q3332" s="148">
        <v>-8.9950000000000002E-2</v>
      </c>
      <c r="R3332" s="148">
        <v>-55.272213346442179</v>
      </c>
    </row>
    <row r="3333" spans="2:18" ht="15.75" hidden="1" thickBot="1" x14ac:dyDescent="0.3">
      <c r="B3333" s="723" t="s">
        <v>785</v>
      </c>
      <c r="C3333" s="722" t="s">
        <v>149</v>
      </c>
      <c r="D3333" t="s">
        <v>150</v>
      </c>
      <c r="E3333" s="729"/>
      <c r="F3333" s="147">
        <v>1.667</v>
      </c>
      <c r="G3333" s="147">
        <v>-1.667</v>
      </c>
      <c r="H3333" s="147">
        <v>-100</v>
      </c>
      <c r="I3333" s="729"/>
      <c r="J3333" s="729"/>
      <c r="K3333" s="729"/>
      <c r="L3333" s="147">
        <v>21.898019999999999</v>
      </c>
      <c r="M3333" s="147">
        <v>20.004000000000001</v>
      </c>
      <c r="N3333" s="147">
        <v>1.89402</v>
      </c>
      <c r="O3333" s="147">
        <v>9.4682063587282546</v>
      </c>
      <c r="P3333" s="147">
        <v>3.10243</v>
      </c>
      <c r="Q3333" s="147">
        <v>18.795590000000001</v>
      </c>
      <c r="R3333" s="147">
        <v>605.83445879520252</v>
      </c>
    </row>
    <row r="3334" spans="2:18" ht="15.75" hidden="1" thickBot="1" x14ac:dyDescent="0.3">
      <c r="B3334" s="723" t="s">
        <v>785</v>
      </c>
      <c r="C3334" s="722" t="s">
        <v>171</v>
      </c>
      <c r="D3334" t="s">
        <v>172</v>
      </c>
      <c r="E3334" s="148">
        <v>0.16311</v>
      </c>
      <c r="F3334" s="148">
        <v>1.9079999999999999</v>
      </c>
      <c r="G3334" s="148">
        <v>-1.7448900000000001</v>
      </c>
      <c r="H3334" s="148">
        <v>-91.451257861635227</v>
      </c>
      <c r="I3334" s="728"/>
      <c r="J3334" s="148">
        <v>0.16311</v>
      </c>
      <c r="K3334" s="148">
        <v>0</v>
      </c>
      <c r="L3334" s="148">
        <v>3.8856000000000002</v>
      </c>
      <c r="M3334" s="148">
        <v>18.550999999999998</v>
      </c>
      <c r="N3334" s="148">
        <v>-14.6654</v>
      </c>
      <c r="O3334" s="148">
        <v>-79.054498409789232</v>
      </c>
      <c r="P3334" s="148">
        <v>2.62181</v>
      </c>
      <c r="Q3334" s="148">
        <v>1.26379</v>
      </c>
      <c r="R3334" s="148">
        <v>48.202959024490717</v>
      </c>
    </row>
    <row r="3335" spans="2:18" ht="15.75" hidden="1" thickBot="1" x14ac:dyDescent="0.3">
      <c r="B3335" s="723" t="s">
        <v>785</v>
      </c>
      <c r="C3335" s="722" t="s">
        <v>205</v>
      </c>
      <c r="D3335" t="s">
        <v>206</v>
      </c>
      <c r="E3335" s="729"/>
      <c r="F3335" s="729"/>
      <c r="G3335" s="729"/>
      <c r="H3335" s="729"/>
      <c r="I3335" s="729"/>
      <c r="J3335" s="729"/>
      <c r="K3335" s="729"/>
      <c r="L3335" s="147">
        <v>0.62934999999999997</v>
      </c>
      <c r="M3335" s="729"/>
      <c r="N3335" s="147">
        <v>0.62934999999999997</v>
      </c>
      <c r="O3335" s="147">
        <v>0</v>
      </c>
      <c r="P3335" s="147">
        <v>0.45286999999999999</v>
      </c>
      <c r="Q3335" s="147">
        <v>0.17648</v>
      </c>
      <c r="R3335" s="147">
        <v>38.969240620928744</v>
      </c>
    </row>
    <row r="3336" spans="2:18" ht="15.75" hidden="1" thickBot="1" x14ac:dyDescent="0.3">
      <c r="B3336" s="723" t="s">
        <v>785</v>
      </c>
      <c r="C3336" s="722" t="s">
        <v>649</v>
      </c>
      <c r="D3336" t="s">
        <v>650</v>
      </c>
      <c r="E3336" s="148">
        <v>0.32883000000000001</v>
      </c>
      <c r="F3336" s="728"/>
      <c r="G3336" s="148">
        <v>0.32883000000000001</v>
      </c>
      <c r="H3336" s="148">
        <v>0</v>
      </c>
      <c r="I3336" s="728"/>
      <c r="J3336" s="148">
        <v>0.32883000000000001</v>
      </c>
      <c r="K3336" s="148">
        <v>0</v>
      </c>
      <c r="L3336" s="148">
        <v>0.79859000000000002</v>
      </c>
      <c r="M3336" s="728"/>
      <c r="N3336" s="148">
        <v>0.79859000000000002</v>
      </c>
      <c r="O3336" s="148">
        <v>0</v>
      </c>
      <c r="P3336" s="148">
        <v>0.32181999999999999</v>
      </c>
      <c r="Q3336" s="148">
        <v>0.47677000000000003</v>
      </c>
      <c r="R3336" s="148">
        <v>148.14803306196009</v>
      </c>
    </row>
    <row r="3337" spans="2:18" ht="15.75" hidden="1" thickBot="1" x14ac:dyDescent="0.3">
      <c r="B3337" s="723" t="s">
        <v>785</v>
      </c>
      <c r="C3337" s="722" t="s">
        <v>119</v>
      </c>
      <c r="D3337" t="s">
        <v>120</v>
      </c>
      <c r="E3337" s="147">
        <v>9.5372599999999998</v>
      </c>
      <c r="F3337" s="147">
        <v>12.125</v>
      </c>
      <c r="G3337" s="147">
        <v>-2.5877400000000002</v>
      </c>
      <c r="H3337" s="147">
        <v>-21.342185567010308</v>
      </c>
      <c r="I3337" s="729"/>
      <c r="J3337" s="147">
        <v>9.5372599999999998</v>
      </c>
      <c r="K3337" s="147">
        <v>0</v>
      </c>
      <c r="L3337" s="147">
        <v>159.29671999999999</v>
      </c>
      <c r="M3337" s="147">
        <v>145.5</v>
      </c>
      <c r="N3337" s="147">
        <v>13.796720000000001</v>
      </c>
      <c r="O3337" s="147">
        <v>9.4822817869415807</v>
      </c>
      <c r="P3337" s="147">
        <v>83.38373</v>
      </c>
      <c r="Q3337" s="147">
        <v>75.912989999999994</v>
      </c>
      <c r="R3337" s="147">
        <v>91.040530328878305</v>
      </c>
    </row>
    <row r="3338" spans="2:18" ht="15.75" hidden="1" thickBot="1" x14ac:dyDescent="0.3">
      <c r="B3338" s="723" t="s">
        <v>785</v>
      </c>
      <c r="C3338" s="722" t="s">
        <v>173</v>
      </c>
      <c r="D3338" t="s">
        <v>174</v>
      </c>
      <c r="E3338" s="148">
        <v>3</v>
      </c>
      <c r="F3338" s="148">
        <v>5.1379400000000004</v>
      </c>
      <c r="G3338" s="148">
        <v>-2.13794</v>
      </c>
      <c r="H3338" s="148">
        <v>-41.610840142158139</v>
      </c>
      <c r="I3338" s="728"/>
      <c r="J3338" s="148">
        <v>3</v>
      </c>
      <c r="K3338" s="148">
        <v>0</v>
      </c>
      <c r="L3338" s="148">
        <v>35.234220000000001</v>
      </c>
      <c r="M3338" s="148">
        <v>46.251019999999997</v>
      </c>
      <c r="N3338" s="148">
        <v>-11.0168</v>
      </c>
      <c r="O3338" s="148">
        <v>-23.81958278974172</v>
      </c>
      <c r="P3338" s="148">
        <v>16.929120000000001</v>
      </c>
      <c r="Q3338" s="148">
        <v>18.305099999999999</v>
      </c>
      <c r="R3338" s="148">
        <v>108.12788851399246</v>
      </c>
    </row>
    <row r="3339" spans="2:18" ht="15.75" hidden="1" thickBot="1" x14ac:dyDescent="0.3">
      <c r="B3339" s="723" t="s">
        <v>785</v>
      </c>
      <c r="C3339" s="722" t="s">
        <v>481</v>
      </c>
      <c r="D3339" t="s">
        <v>482</v>
      </c>
      <c r="E3339" s="147">
        <v>1.6E-2</v>
      </c>
      <c r="F3339" s="729"/>
      <c r="G3339" s="147">
        <v>1.6E-2</v>
      </c>
      <c r="H3339" s="147">
        <v>0</v>
      </c>
      <c r="I3339" s="729"/>
      <c r="J3339" s="147">
        <v>1.6E-2</v>
      </c>
      <c r="K3339" s="147">
        <v>0</v>
      </c>
      <c r="L3339" s="147">
        <v>1.3590500000000001</v>
      </c>
      <c r="M3339" s="729"/>
      <c r="N3339" s="147">
        <v>1.3590500000000001</v>
      </c>
      <c r="O3339" s="147">
        <v>0</v>
      </c>
      <c r="P3339" s="147">
        <v>7.8240000000000004E-2</v>
      </c>
      <c r="Q3339" s="147">
        <v>1.28081</v>
      </c>
      <c r="R3339" s="147">
        <v>1637.0270961145195</v>
      </c>
    </row>
    <row r="3340" spans="2:18" ht="15.75" hidden="1" thickBot="1" x14ac:dyDescent="0.3">
      <c r="B3340" s="723" t="s">
        <v>785</v>
      </c>
      <c r="C3340" s="722" t="s">
        <v>175</v>
      </c>
      <c r="D3340" t="s">
        <v>176</v>
      </c>
      <c r="E3340" s="148">
        <v>0.96357000000000004</v>
      </c>
      <c r="F3340" s="728"/>
      <c r="G3340" s="148">
        <v>0.96357000000000004</v>
      </c>
      <c r="H3340" s="148">
        <v>0</v>
      </c>
      <c r="I3340" s="728"/>
      <c r="J3340" s="148">
        <v>0.96357000000000004</v>
      </c>
      <c r="K3340" s="148">
        <v>0</v>
      </c>
      <c r="L3340" s="148">
        <v>0.96357000000000004</v>
      </c>
      <c r="M3340" s="728"/>
      <c r="N3340" s="148">
        <v>0.96357000000000004</v>
      </c>
      <c r="O3340" s="148">
        <v>0</v>
      </c>
      <c r="P3340" s="728"/>
      <c r="Q3340" s="148">
        <v>0.96357000000000004</v>
      </c>
      <c r="R3340" s="148">
        <v>0</v>
      </c>
    </row>
    <row r="3341" spans="2:18" ht="15.75" hidden="1" thickBot="1" x14ac:dyDescent="0.3">
      <c r="B3341" s="723" t="s">
        <v>785</v>
      </c>
      <c r="C3341" s="722" t="s">
        <v>661</v>
      </c>
      <c r="D3341" t="s">
        <v>662</v>
      </c>
      <c r="E3341" s="729"/>
      <c r="F3341" s="729"/>
      <c r="G3341" s="729"/>
      <c r="H3341" s="729"/>
      <c r="I3341" s="729"/>
      <c r="J3341" s="729"/>
      <c r="K3341" s="729"/>
      <c r="L3341" s="147">
        <v>16.262250000000002</v>
      </c>
      <c r="M3341" s="729"/>
      <c r="N3341" s="147">
        <v>16.262250000000002</v>
      </c>
      <c r="O3341" s="147">
        <v>0</v>
      </c>
      <c r="P3341" s="147">
        <v>16.262250000000002</v>
      </c>
      <c r="Q3341" s="147">
        <v>0</v>
      </c>
      <c r="R3341" s="147">
        <v>0</v>
      </c>
    </row>
    <row r="3342" spans="2:18" ht="15.75" hidden="1" thickBot="1" x14ac:dyDescent="0.3">
      <c r="B3342" s="723" t="s">
        <v>785</v>
      </c>
      <c r="C3342" s="722" t="s">
        <v>663</v>
      </c>
      <c r="D3342" t="s">
        <v>664</v>
      </c>
      <c r="E3342" s="148">
        <v>-34.99785</v>
      </c>
      <c r="F3342" s="728"/>
      <c r="G3342" s="148">
        <v>-34.99785</v>
      </c>
      <c r="H3342" s="148">
        <v>0</v>
      </c>
      <c r="I3342" s="728"/>
      <c r="J3342" s="148">
        <v>-34.99785</v>
      </c>
      <c r="K3342" s="148">
        <v>0</v>
      </c>
      <c r="L3342" s="148">
        <v>-35.763840000000002</v>
      </c>
      <c r="M3342" s="728"/>
      <c r="N3342" s="148">
        <v>-35.763840000000002</v>
      </c>
      <c r="O3342" s="148">
        <v>0</v>
      </c>
      <c r="P3342" s="728"/>
      <c r="Q3342" s="148">
        <v>-35.763840000000002</v>
      </c>
      <c r="R3342" s="148">
        <v>0</v>
      </c>
    </row>
    <row r="3343" spans="2:18" ht="15.75" hidden="1" thickBot="1" x14ac:dyDescent="0.3">
      <c r="B3343" s="723" t="s">
        <v>785</v>
      </c>
      <c r="C3343" s="722" t="s">
        <v>153</v>
      </c>
      <c r="D3343" t="s">
        <v>154</v>
      </c>
      <c r="E3343" s="729"/>
      <c r="F3343" s="729"/>
      <c r="G3343" s="729"/>
      <c r="H3343" s="729"/>
      <c r="I3343" s="729"/>
      <c r="J3343" s="729"/>
      <c r="K3343" s="729"/>
      <c r="L3343" s="147">
        <v>1.3204400000000001</v>
      </c>
      <c r="M3343" s="729"/>
      <c r="N3343" s="147">
        <v>1.3204400000000001</v>
      </c>
      <c r="O3343" s="147">
        <v>0</v>
      </c>
      <c r="P3343" s="147">
        <v>1.26044</v>
      </c>
      <c r="Q3343" s="147">
        <v>0.06</v>
      </c>
      <c r="R3343" s="147">
        <v>4.7602424550157085</v>
      </c>
    </row>
    <row r="3344" spans="2:18" ht="15.75" hidden="1" thickBot="1" x14ac:dyDescent="0.3">
      <c r="B3344" s="723" t="s">
        <v>785</v>
      </c>
      <c r="C3344" s="722" t="s">
        <v>207</v>
      </c>
      <c r="D3344" t="s">
        <v>208</v>
      </c>
      <c r="E3344" s="148">
        <v>4.4659999999999998E-2</v>
      </c>
      <c r="F3344" s="728"/>
      <c r="G3344" s="148">
        <v>4.4659999999999998E-2</v>
      </c>
      <c r="H3344" s="148">
        <v>0</v>
      </c>
      <c r="I3344" s="728"/>
      <c r="J3344" s="148">
        <v>4.4659999999999998E-2</v>
      </c>
      <c r="K3344" s="148">
        <v>0</v>
      </c>
      <c r="L3344" s="148">
        <v>6.6935700000000002</v>
      </c>
      <c r="M3344" s="728"/>
      <c r="N3344" s="148">
        <v>6.6935700000000002</v>
      </c>
      <c r="O3344" s="148">
        <v>0</v>
      </c>
      <c r="P3344" s="148">
        <v>4.2974699999999997</v>
      </c>
      <c r="Q3344" s="148">
        <v>2.3961000000000001</v>
      </c>
      <c r="R3344" s="148">
        <v>55.756061124335943</v>
      </c>
    </row>
    <row r="3345" spans="2:18" ht="15.75" hidden="1" thickBot="1" x14ac:dyDescent="0.3">
      <c r="B3345" s="723" t="s">
        <v>785</v>
      </c>
      <c r="C3345" s="722" t="s">
        <v>75</v>
      </c>
      <c r="D3345" t="s">
        <v>76</v>
      </c>
      <c r="E3345" s="147">
        <v>8.4387600000000003</v>
      </c>
      <c r="F3345" s="147">
        <v>9.1378299999999992</v>
      </c>
      <c r="G3345" s="147">
        <v>-0.69906999999999997</v>
      </c>
      <c r="H3345" s="147">
        <v>-7.6502845861654247</v>
      </c>
      <c r="I3345" s="729"/>
      <c r="J3345" s="147">
        <v>8.4387600000000003</v>
      </c>
      <c r="K3345" s="147">
        <v>0</v>
      </c>
      <c r="L3345" s="147">
        <v>103.86869</v>
      </c>
      <c r="M3345" s="147">
        <v>88.94999</v>
      </c>
      <c r="N3345" s="147">
        <v>14.918699999999999</v>
      </c>
      <c r="O3345" s="147">
        <v>16.772008630917217</v>
      </c>
      <c r="P3345" s="147">
        <v>50.529800000000002</v>
      </c>
      <c r="Q3345" s="147">
        <v>53.338889999999999</v>
      </c>
      <c r="R3345" s="147">
        <v>105.55927393340167</v>
      </c>
    </row>
    <row r="3346" spans="2:18" ht="15.75" hidden="1" thickBot="1" x14ac:dyDescent="0.3">
      <c r="B3346" s="723" t="s">
        <v>785</v>
      </c>
      <c r="C3346" s="722" t="s">
        <v>121</v>
      </c>
      <c r="D3346" t="s">
        <v>122</v>
      </c>
      <c r="E3346" s="148">
        <v>1.5381800000000001</v>
      </c>
      <c r="F3346" s="148">
        <v>3.3704999999999998</v>
      </c>
      <c r="G3346" s="148">
        <v>-1.8323199999999999</v>
      </c>
      <c r="H3346" s="148">
        <v>-54.363447559709243</v>
      </c>
      <c r="I3346" s="728"/>
      <c r="J3346" s="148">
        <v>1.5381800000000001</v>
      </c>
      <c r="K3346" s="148">
        <v>0</v>
      </c>
      <c r="L3346" s="148">
        <v>52.987580000000001</v>
      </c>
      <c r="M3346" s="148">
        <v>40.445999999999998</v>
      </c>
      <c r="N3346" s="148">
        <v>12.54158</v>
      </c>
      <c r="O3346" s="148">
        <v>31.008208475498193</v>
      </c>
      <c r="P3346" s="148">
        <v>34.835909999999998</v>
      </c>
      <c r="Q3346" s="148">
        <v>18.151669999999999</v>
      </c>
      <c r="R3346" s="148">
        <v>52.106203053113873</v>
      </c>
    </row>
    <row r="3347" spans="2:18" ht="15.75" hidden="1" thickBot="1" x14ac:dyDescent="0.3">
      <c r="B3347" s="723" t="s">
        <v>785</v>
      </c>
      <c r="C3347" s="722" t="s">
        <v>77</v>
      </c>
      <c r="D3347" t="s">
        <v>78</v>
      </c>
      <c r="E3347" s="147">
        <v>3.1225399999999999</v>
      </c>
      <c r="F3347" s="147">
        <v>15.208</v>
      </c>
      <c r="G3347" s="147">
        <v>-12.085459999999999</v>
      </c>
      <c r="H3347" s="147">
        <v>-79.467780115728559</v>
      </c>
      <c r="I3347" s="729"/>
      <c r="J3347" s="147">
        <v>3.1225399999999999</v>
      </c>
      <c r="K3347" s="147">
        <v>0</v>
      </c>
      <c r="L3347" s="147">
        <v>110.74309</v>
      </c>
      <c r="M3347" s="147">
        <v>152.096</v>
      </c>
      <c r="N3347" s="147">
        <v>-41.352910000000001</v>
      </c>
      <c r="O3347" s="147">
        <v>-27.188690037870817</v>
      </c>
      <c r="P3347" s="147">
        <v>68.962199999999996</v>
      </c>
      <c r="Q3347" s="147">
        <v>41.780889999999999</v>
      </c>
      <c r="R3347" s="147">
        <v>60.585204648343584</v>
      </c>
    </row>
    <row r="3348" spans="2:18" ht="15.75" hidden="1" thickBot="1" x14ac:dyDescent="0.3">
      <c r="B3348" s="723" t="s">
        <v>785</v>
      </c>
      <c r="C3348" s="722" t="s">
        <v>79</v>
      </c>
      <c r="D3348" t="s">
        <v>80</v>
      </c>
      <c r="E3348" s="148">
        <v>16.006620000000002</v>
      </c>
      <c r="F3348" s="148">
        <v>0.4</v>
      </c>
      <c r="G3348" s="148">
        <v>15.606619999999999</v>
      </c>
      <c r="H3348" s="148">
        <v>3901.6550000000002</v>
      </c>
      <c r="I3348" s="728"/>
      <c r="J3348" s="148">
        <v>16.006620000000002</v>
      </c>
      <c r="K3348" s="148">
        <v>0</v>
      </c>
      <c r="L3348" s="148">
        <v>51.319209999999998</v>
      </c>
      <c r="M3348" s="148">
        <v>5.9</v>
      </c>
      <c r="N3348" s="148">
        <v>45.41921</v>
      </c>
      <c r="O3348" s="148">
        <v>769.81711864406782</v>
      </c>
      <c r="P3348" s="148">
        <v>16.81495</v>
      </c>
      <c r="Q3348" s="148">
        <v>34.504260000000002</v>
      </c>
      <c r="R3348" s="148">
        <v>205.19989652065573</v>
      </c>
    </row>
    <row r="3349" spans="2:18" ht="15.75" hidden="1" thickBot="1" x14ac:dyDescent="0.3">
      <c r="B3349" s="723" t="s">
        <v>785</v>
      </c>
      <c r="C3349" s="722" t="s">
        <v>81</v>
      </c>
      <c r="D3349" t="s">
        <v>82</v>
      </c>
      <c r="E3349" s="147">
        <v>24.506599999999999</v>
      </c>
      <c r="F3349" s="147">
        <v>45.604999999999997</v>
      </c>
      <c r="G3349" s="147">
        <v>-21.098400000000002</v>
      </c>
      <c r="H3349" s="147">
        <v>-46.263348317070495</v>
      </c>
      <c r="I3349" s="729"/>
      <c r="J3349" s="147">
        <v>24.506599999999999</v>
      </c>
      <c r="K3349" s="147">
        <v>0</v>
      </c>
      <c r="L3349" s="147">
        <v>54.788539999999998</v>
      </c>
      <c r="M3349" s="147">
        <v>77.791979999999995</v>
      </c>
      <c r="N3349" s="147">
        <v>-23.003440000000001</v>
      </c>
      <c r="O3349" s="147">
        <v>-29.570451864061052</v>
      </c>
      <c r="P3349" s="147">
        <v>14.916829999999999</v>
      </c>
      <c r="Q3349" s="147">
        <v>39.87171</v>
      </c>
      <c r="R3349" s="147">
        <v>267.29345309961968</v>
      </c>
    </row>
    <row r="3350" spans="2:18" ht="15.75" hidden="1" thickBot="1" x14ac:dyDescent="0.3">
      <c r="B3350" s="723" t="s">
        <v>785</v>
      </c>
      <c r="C3350" s="722" t="s">
        <v>123</v>
      </c>
      <c r="D3350" t="s">
        <v>124</v>
      </c>
      <c r="E3350" s="148">
        <v>5.1179399999999999</v>
      </c>
      <c r="F3350" s="148">
        <v>0.65</v>
      </c>
      <c r="G3350" s="148">
        <v>4.4679399999999996</v>
      </c>
      <c r="H3350" s="148">
        <v>687.37538461538463</v>
      </c>
      <c r="I3350" s="728"/>
      <c r="J3350" s="148">
        <v>5.1179399999999999</v>
      </c>
      <c r="K3350" s="148">
        <v>0</v>
      </c>
      <c r="L3350" s="148">
        <v>14.593920000000001</v>
      </c>
      <c r="M3350" s="148">
        <v>4</v>
      </c>
      <c r="N3350" s="148">
        <v>10.593920000000001</v>
      </c>
      <c r="O3350" s="148">
        <v>264.84800000000001</v>
      </c>
      <c r="P3350" s="148">
        <v>4.0890199999999997</v>
      </c>
      <c r="Q3350" s="148">
        <v>10.504899999999999</v>
      </c>
      <c r="R3350" s="148">
        <v>256.90507750023232</v>
      </c>
    </row>
    <row r="3351" spans="2:18" ht="15.75" hidden="1" thickBot="1" x14ac:dyDescent="0.3">
      <c r="B3351" s="723" t="s">
        <v>785</v>
      </c>
      <c r="C3351" s="722" t="s">
        <v>125</v>
      </c>
      <c r="D3351" t="s">
        <v>126</v>
      </c>
      <c r="E3351" s="147">
        <v>0.22500000000000001</v>
      </c>
      <c r="F3351" s="729"/>
      <c r="G3351" s="147">
        <v>0.22500000000000001</v>
      </c>
      <c r="H3351" s="147">
        <v>0</v>
      </c>
      <c r="I3351" s="729"/>
      <c r="J3351" s="147">
        <v>0.22500000000000001</v>
      </c>
      <c r="K3351" s="147">
        <v>0</v>
      </c>
      <c r="L3351" s="147">
        <v>0.22500000000000001</v>
      </c>
      <c r="M3351" s="729"/>
      <c r="N3351" s="147">
        <v>0.22500000000000001</v>
      </c>
      <c r="O3351" s="147">
        <v>0</v>
      </c>
      <c r="P3351" s="729"/>
      <c r="Q3351" s="147">
        <v>0.22500000000000001</v>
      </c>
      <c r="R3351" s="147">
        <v>0</v>
      </c>
    </row>
    <row r="3352" spans="2:18" ht="15.75" hidden="1" thickBot="1" x14ac:dyDescent="0.3">
      <c r="B3352" s="723" t="s">
        <v>785</v>
      </c>
      <c r="C3352" s="722" t="s">
        <v>209</v>
      </c>
      <c r="D3352" t="s">
        <v>210</v>
      </c>
      <c r="E3352" s="148">
        <v>4.1759999999999999E-2</v>
      </c>
      <c r="F3352" s="728"/>
      <c r="G3352" s="148">
        <v>4.1759999999999999E-2</v>
      </c>
      <c r="H3352" s="148">
        <v>0</v>
      </c>
      <c r="I3352" s="728"/>
      <c r="J3352" s="148">
        <v>4.1759999999999999E-2</v>
      </c>
      <c r="K3352" s="148">
        <v>0</v>
      </c>
      <c r="L3352" s="148">
        <v>10.315049999999999</v>
      </c>
      <c r="M3352" s="728"/>
      <c r="N3352" s="148">
        <v>10.315049999999999</v>
      </c>
      <c r="O3352" s="148">
        <v>0</v>
      </c>
      <c r="P3352" s="148">
        <v>6.8072400000000002</v>
      </c>
      <c r="Q3352" s="148">
        <v>3.5078100000000001</v>
      </c>
      <c r="R3352" s="148">
        <v>51.530576268796167</v>
      </c>
    </row>
    <row r="3353" spans="2:18" ht="15.75" hidden="1" thickBot="1" x14ac:dyDescent="0.3">
      <c r="B3353" s="723" t="s">
        <v>785</v>
      </c>
      <c r="C3353" s="722" t="s">
        <v>211</v>
      </c>
      <c r="D3353" t="s">
        <v>212</v>
      </c>
      <c r="E3353" s="147">
        <v>0.57860999999999996</v>
      </c>
      <c r="F3353" s="729"/>
      <c r="G3353" s="147">
        <v>0.57860999999999996</v>
      </c>
      <c r="H3353" s="147">
        <v>0</v>
      </c>
      <c r="I3353" s="729"/>
      <c r="J3353" s="147">
        <v>0.57860999999999996</v>
      </c>
      <c r="K3353" s="147">
        <v>0</v>
      </c>
      <c r="L3353" s="147">
        <v>7.9076700000000004</v>
      </c>
      <c r="M3353" s="729"/>
      <c r="N3353" s="147">
        <v>7.9076700000000004</v>
      </c>
      <c r="O3353" s="147">
        <v>0</v>
      </c>
      <c r="P3353" s="147">
        <v>3.9859800000000001</v>
      </c>
      <c r="Q3353" s="147">
        <v>3.9216899999999999</v>
      </c>
      <c r="R3353" s="147">
        <v>98.387096774193552</v>
      </c>
    </row>
    <row r="3354" spans="2:18" ht="15.75" hidden="1" thickBot="1" x14ac:dyDescent="0.3">
      <c r="B3354" s="723" t="s">
        <v>785</v>
      </c>
      <c r="C3354" s="722" t="s">
        <v>213</v>
      </c>
      <c r="D3354" t="s">
        <v>214</v>
      </c>
      <c r="E3354" s="148">
        <v>-0.21923999999999999</v>
      </c>
      <c r="F3354" s="728"/>
      <c r="G3354" s="148">
        <v>-0.21923999999999999</v>
      </c>
      <c r="H3354" s="148">
        <v>0</v>
      </c>
      <c r="I3354" s="728"/>
      <c r="J3354" s="148">
        <v>-0.21923999999999999</v>
      </c>
      <c r="K3354" s="148">
        <v>0</v>
      </c>
      <c r="L3354" s="148">
        <v>-10.654529999999999</v>
      </c>
      <c r="M3354" s="728"/>
      <c r="N3354" s="148">
        <v>-10.654529999999999</v>
      </c>
      <c r="O3354" s="148">
        <v>0</v>
      </c>
      <c r="P3354" s="148">
        <v>-6.9465599999999998</v>
      </c>
      <c r="Q3354" s="148">
        <v>-3.70797</v>
      </c>
      <c r="R3354" s="148">
        <v>-53.378506771697069</v>
      </c>
    </row>
    <row r="3355" spans="2:18" ht="15.75" hidden="1" thickBot="1" x14ac:dyDescent="0.3">
      <c r="B3355" s="723" t="s">
        <v>785</v>
      </c>
      <c r="C3355" s="722" t="s">
        <v>215</v>
      </c>
      <c r="D3355" t="s">
        <v>216</v>
      </c>
      <c r="E3355" s="147">
        <v>-0.49288999999999999</v>
      </c>
      <c r="F3355" s="729"/>
      <c r="G3355" s="147">
        <v>-0.49288999999999999</v>
      </c>
      <c r="H3355" s="147">
        <v>0</v>
      </c>
      <c r="I3355" s="729"/>
      <c r="J3355" s="147">
        <v>-0.49288999999999999</v>
      </c>
      <c r="K3355" s="147">
        <v>0</v>
      </c>
      <c r="L3355" s="147">
        <v>-7.4576399999999996</v>
      </c>
      <c r="M3355" s="729"/>
      <c r="N3355" s="147">
        <v>-7.4576399999999996</v>
      </c>
      <c r="O3355" s="147">
        <v>0</v>
      </c>
      <c r="P3355" s="147">
        <v>-3.5145200000000001</v>
      </c>
      <c r="Q3355" s="147">
        <v>-3.94312</v>
      </c>
      <c r="R3355" s="147">
        <v>-112.19512195121951</v>
      </c>
    </row>
    <row r="3356" spans="2:18" ht="15.75" hidden="1" thickBot="1" x14ac:dyDescent="0.3">
      <c r="B3356" s="723" t="s">
        <v>785</v>
      </c>
      <c r="C3356" s="722" t="s">
        <v>83</v>
      </c>
      <c r="D3356" t="s">
        <v>84</v>
      </c>
      <c r="E3356" s="728"/>
      <c r="F3356" s="148">
        <v>9.5163200000000003</v>
      </c>
      <c r="G3356" s="148">
        <v>-9.5163200000000003</v>
      </c>
      <c r="H3356" s="148">
        <v>-100</v>
      </c>
      <c r="I3356" s="728"/>
      <c r="J3356" s="728"/>
      <c r="K3356" s="728"/>
      <c r="L3356" s="728"/>
      <c r="M3356" s="148">
        <v>114.19584</v>
      </c>
      <c r="N3356" s="148">
        <v>-114.19584</v>
      </c>
      <c r="O3356" s="148">
        <v>-100</v>
      </c>
      <c r="P3356" s="728"/>
      <c r="Q3356" s="728"/>
      <c r="R3356" s="728"/>
    </row>
    <row r="3357" spans="2:18" ht="15.75" hidden="1" thickBot="1" x14ac:dyDescent="0.3">
      <c r="B3357" s="723" t="s">
        <v>785</v>
      </c>
      <c r="C3357" s="149" t="s">
        <v>85</v>
      </c>
      <c r="D3357" t="s">
        <v>86</v>
      </c>
      <c r="E3357" s="147">
        <v>759.92154000000005</v>
      </c>
      <c r="F3357" s="147">
        <v>775.54244000000006</v>
      </c>
      <c r="G3357" s="147">
        <v>-15.620900000000001</v>
      </c>
      <c r="H3357" s="147">
        <v>-2.0141902227813606</v>
      </c>
      <c r="I3357" s="729"/>
      <c r="J3357" s="147">
        <v>759.92154000000005</v>
      </c>
      <c r="K3357" s="147">
        <v>0</v>
      </c>
      <c r="L3357" s="147">
        <v>8859.4434500000007</v>
      </c>
      <c r="M3357" s="147">
        <v>8695.4408500000009</v>
      </c>
      <c r="N3357" s="147">
        <v>164.0026</v>
      </c>
      <c r="O3357" s="147">
        <v>1.8860757358840523</v>
      </c>
      <c r="P3357" s="147">
        <v>4460.8776600000001</v>
      </c>
      <c r="Q3357" s="147">
        <v>4398.5657899999997</v>
      </c>
      <c r="R3357" s="147">
        <v>98.60314774918082</v>
      </c>
    </row>
    <row r="3358" spans="2:18" ht="15.75" hidden="1" thickBot="1" x14ac:dyDescent="0.3">
      <c r="B3358" s="723" t="s">
        <v>785</v>
      </c>
      <c r="C3358" s="144" t="s">
        <v>87</v>
      </c>
      <c r="D3358" t="s">
        <v>87</v>
      </c>
      <c r="E3358" s="148">
        <v>3452.8653300000001</v>
      </c>
      <c r="F3358" s="148">
        <v>3963.1549500000001</v>
      </c>
      <c r="G3358" s="148">
        <v>-510.28962000000001</v>
      </c>
      <c r="H3358" s="148">
        <v>-12.875843272289922</v>
      </c>
      <c r="I3358" s="728"/>
      <c r="J3358" s="148">
        <v>3452.8653300000001</v>
      </c>
      <c r="K3358" s="148">
        <v>0</v>
      </c>
      <c r="L3358" s="148">
        <v>44559.51354</v>
      </c>
      <c r="M3358" s="148">
        <v>45824.118900000001</v>
      </c>
      <c r="N3358" s="148">
        <v>-1264.60536</v>
      </c>
      <c r="O3358" s="148">
        <v>-2.759693782131837</v>
      </c>
      <c r="P3358" s="148">
        <v>22336.625950000001</v>
      </c>
      <c r="Q3358" s="148">
        <v>22222.887589999998</v>
      </c>
      <c r="R3358" s="148">
        <v>99.490798833026076</v>
      </c>
    </row>
    <row r="3359" spans="2:18" ht="15.75" hidden="1" thickBot="1" x14ac:dyDescent="0.3">
      <c r="B3359" s="724" t="s">
        <v>786</v>
      </c>
      <c r="C3359" s="722" t="s">
        <v>59</v>
      </c>
      <c r="D3359" t="s">
        <v>60</v>
      </c>
      <c r="E3359" s="147">
        <v>67.177480000000003</v>
      </c>
      <c r="F3359" s="147">
        <v>75.127070000000003</v>
      </c>
      <c r="G3359" s="147">
        <v>-7.9495899999999997</v>
      </c>
      <c r="H3359" s="147">
        <v>-10.58152540755283</v>
      </c>
      <c r="I3359" s="729"/>
      <c r="J3359" s="147">
        <v>67.177480000000003</v>
      </c>
      <c r="K3359" s="147">
        <v>0</v>
      </c>
      <c r="L3359" s="147">
        <v>843.46523999999999</v>
      </c>
      <c r="M3359" s="147">
        <v>896.79531999999995</v>
      </c>
      <c r="N3359" s="147">
        <v>-53.330080000000002</v>
      </c>
      <c r="O3359" s="147">
        <v>-5.9467393295495787</v>
      </c>
      <c r="P3359" s="147">
        <v>439.04154</v>
      </c>
      <c r="Q3359" s="147">
        <v>404.4237</v>
      </c>
      <c r="R3359" s="147">
        <v>92.11513334250786</v>
      </c>
    </row>
    <row r="3360" spans="2:18" ht="15.75" hidden="1" thickBot="1" x14ac:dyDescent="0.3">
      <c r="B3360" s="724" t="s">
        <v>786</v>
      </c>
      <c r="C3360" s="722" t="s">
        <v>61</v>
      </c>
      <c r="D3360" t="s">
        <v>62</v>
      </c>
      <c r="E3360" s="148">
        <v>11.4689</v>
      </c>
      <c r="F3360" s="148">
        <v>11.644679999999999</v>
      </c>
      <c r="G3360" s="148">
        <v>-0.17577999999999999</v>
      </c>
      <c r="H3360" s="148">
        <v>-1.5095305323976271</v>
      </c>
      <c r="I3360" s="728"/>
      <c r="J3360" s="148">
        <v>11.4689</v>
      </c>
      <c r="K3360" s="148">
        <v>0</v>
      </c>
      <c r="L3360" s="148">
        <v>134.15279000000001</v>
      </c>
      <c r="M3360" s="148">
        <v>139.00312</v>
      </c>
      <c r="N3360" s="148">
        <v>-4.8503299999999996</v>
      </c>
      <c r="O3360" s="148">
        <v>-3.4893677206669893</v>
      </c>
      <c r="P3360" s="148">
        <v>68.950069999999997</v>
      </c>
      <c r="Q3360" s="148">
        <v>65.202719999999999</v>
      </c>
      <c r="R3360" s="148">
        <v>94.565125169561099</v>
      </c>
    </row>
    <row r="3361" spans="2:18" ht="15.75" hidden="1" thickBot="1" x14ac:dyDescent="0.3">
      <c r="B3361" s="724" t="s">
        <v>786</v>
      </c>
      <c r="C3361" s="722" t="s">
        <v>63</v>
      </c>
      <c r="D3361" t="s">
        <v>64</v>
      </c>
      <c r="E3361" s="147">
        <v>44.555900000000001</v>
      </c>
      <c r="F3361" s="147">
        <v>45.301630000000003</v>
      </c>
      <c r="G3361" s="147">
        <v>-0.74573</v>
      </c>
      <c r="H3361" s="147">
        <v>-1.6461438583997972</v>
      </c>
      <c r="I3361" s="729"/>
      <c r="J3361" s="147">
        <v>44.555900000000001</v>
      </c>
      <c r="K3361" s="147">
        <v>0</v>
      </c>
      <c r="L3361" s="147">
        <v>521.17480999999998</v>
      </c>
      <c r="M3361" s="147">
        <v>540.76764000000003</v>
      </c>
      <c r="N3361" s="147">
        <v>-19.592829999999999</v>
      </c>
      <c r="O3361" s="147">
        <v>-3.6231513409345277</v>
      </c>
      <c r="P3361" s="147">
        <v>267.86624999999998</v>
      </c>
      <c r="Q3361" s="147">
        <v>253.30856</v>
      </c>
      <c r="R3361" s="147">
        <v>94.565313845995902</v>
      </c>
    </row>
    <row r="3362" spans="2:18" ht="15.75" hidden="1" thickBot="1" x14ac:dyDescent="0.3">
      <c r="B3362" s="724" t="s">
        <v>786</v>
      </c>
      <c r="C3362" s="722" t="s">
        <v>65</v>
      </c>
      <c r="D3362" t="s">
        <v>66</v>
      </c>
      <c r="E3362" s="148">
        <v>-67.946439999999996</v>
      </c>
      <c r="F3362" s="148">
        <v>-63.348680000000002</v>
      </c>
      <c r="G3362" s="148">
        <v>-4.5977600000000001</v>
      </c>
      <c r="H3362" s="148">
        <v>-7.257862357984413</v>
      </c>
      <c r="I3362" s="728"/>
      <c r="J3362" s="148">
        <v>-67.946439999999996</v>
      </c>
      <c r="K3362" s="148">
        <v>0</v>
      </c>
      <c r="L3362" s="148">
        <v>-948.89837</v>
      </c>
      <c r="M3362" s="148">
        <v>-756.19608000000005</v>
      </c>
      <c r="N3362" s="148">
        <v>-192.70229</v>
      </c>
      <c r="O3362" s="148">
        <v>-25.483111470241951</v>
      </c>
      <c r="P3362" s="148">
        <v>-484.95353999999998</v>
      </c>
      <c r="Q3362" s="148">
        <v>-463.94483000000002</v>
      </c>
      <c r="R3362" s="148">
        <v>-95.667892227366764</v>
      </c>
    </row>
    <row r="3363" spans="2:18" ht="15.75" hidden="1" thickBot="1" x14ac:dyDescent="0.3">
      <c r="B3363" s="724" t="s">
        <v>786</v>
      </c>
      <c r="C3363" s="149" t="s">
        <v>67</v>
      </c>
      <c r="D3363" t="s">
        <v>68</v>
      </c>
      <c r="E3363" s="147">
        <v>55.255839999999999</v>
      </c>
      <c r="F3363" s="147">
        <v>68.724699999999999</v>
      </c>
      <c r="G3363" s="147">
        <v>-13.468859999999999</v>
      </c>
      <c r="H3363" s="147">
        <v>-19.598281258412186</v>
      </c>
      <c r="I3363" s="729"/>
      <c r="J3363" s="147">
        <v>55.255839999999999</v>
      </c>
      <c r="K3363" s="147">
        <v>0</v>
      </c>
      <c r="L3363" s="147">
        <v>549.89446999999996</v>
      </c>
      <c r="M3363" s="147">
        <v>820.37</v>
      </c>
      <c r="N3363" s="147">
        <v>-270.47552999999999</v>
      </c>
      <c r="O3363" s="147">
        <v>-32.96994404963614</v>
      </c>
      <c r="P3363" s="147">
        <v>290.90431999999998</v>
      </c>
      <c r="Q3363" s="147">
        <v>258.99015000000003</v>
      </c>
      <c r="R3363" s="147">
        <v>89.029324143415948</v>
      </c>
    </row>
    <row r="3364" spans="2:18" ht="15.75" hidden="1" thickBot="1" x14ac:dyDescent="0.3">
      <c r="B3364" s="724" t="s">
        <v>786</v>
      </c>
      <c r="C3364" s="722" t="s">
        <v>69</v>
      </c>
      <c r="D3364" t="s">
        <v>70</v>
      </c>
      <c r="E3364" s="728"/>
      <c r="F3364" s="148">
        <v>0.3</v>
      </c>
      <c r="G3364" s="148">
        <v>-0.3</v>
      </c>
      <c r="H3364" s="148">
        <v>-100</v>
      </c>
      <c r="I3364" s="728"/>
      <c r="J3364" s="728"/>
      <c r="K3364" s="728"/>
      <c r="L3364" s="148">
        <v>0.7</v>
      </c>
      <c r="M3364" s="148">
        <v>3.6</v>
      </c>
      <c r="N3364" s="148">
        <v>-2.9</v>
      </c>
      <c r="O3364" s="148">
        <v>-80.555555555555557</v>
      </c>
      <c r="P3364" s="148">
        <v>0.7</v>
      </c>
      <c r="Q3364" s="148">
        <v>0</v>
      </c>
      <c r="R3364" s="148">
        <v>0</v>
      </c>
    </row>
    <row r="3365" spans="2:18" ht="15.75" hidden="1" thickBot="1" x14ac:dyDescent="0.3">
      <c r="B3365" s="724" t="s">
        <v>786</v>
      </c>
      <c r="C3365" s="722" t="s">
        <v>165</v>
      </c>
      <c r="D3365" t="s">
        <v>166</v>
      </c>
      <c r="E3365" s="729"/>
      <c r="F3365" s="729"/>
      <c r="G3365" s="729"/>
      <c r="H3365" s="729"/>
      <c r="I3365" s="729"/>
      <c r="J3365" s="729"/>
      <c r="K3365" s="729"/>
      <c r="L3365" s="147">
        <v>0.26980999999999999</v>
      </c>
      <c r="M3365" s="729"/>
      <c r="N3365" s="147">
        <v>0.26980999999999999</v>
      </c>
      <c r="O3365" s="147">
        <v>0</v>
      </c>
      <c r="P3365" s="147">
        <v>0.26980999999999999</v>
      </c>
      <c r="Q3365" s="147">
        <v>0</v>
      </c>
      <c r="R3365" s="147">
        <v>0</v>
      </c>
    </row>
    <row r="3366" spans="2:18" ht="15.75" hidden="1" thickBot="1" x14ac:dyDescent="0.3">
      <c r="B3366" s="724" t="s">
        <v>786</v>
      </c>
      <c r="C3366" s="722" t="s">
        <v>137</v>
      </c>
      <c r="D3366" t="s">
        <v>138</v>
      </c>
      <c r="E3366" s="148">
        <v>0.94286000000000003</v>
      </c>
      <c r="F3366" s="148">
        <v>0.5</v>
      </c>
      <c r="G3366" s="148">
        <v>0.44285999999999998</v>
      </c>
      <c r="H3366" s="148">
        <v>88.572000000000003</v>
      </c>
      <c r="I3366" s="728"/>
      <c r="J3366" s="148">
        <v>0.94286000000000003</v>
      </c>
      <c r="K3366" s="148">
        <v>0</v>
      </c>
      <c r="L3366" s="148">
        <v>2.7690700000000001</v>
      </c>
      <c r="M3366" s="148">
        <v>6.6</v>
      </c>
      <c r="N3366" s="148">
        <v>-3.8309299999999999</v>
      </c>
      <c r="O3366" s="148">
        <v>-58.044393939393942</v>
      </c>
      <c r="P3366" s="148">
        <v>1.12643</v>
      </c>
      <c r="Q3366" s="148">
        <v>1.6426400000000001</v>
      </c>
      <c r="R3366" s="148">
        <v>145.82708202018767</v>
      </c>
    </row>
    <row r="3367" spans="2:18" ht="15.75" hidden="1" thickBot="1" x14ac:dyDescent="0.3">
      <c r="B3367" s="724" t="s">
        <v>786</v>
      </c>
      <c r="C3367" s="722" t="s">
        <v>193</v>
      </c>
      <c r="D3367" t="s">
        <v>194</v>
      </c>
      <c r="E3367" s="729"/>
      <c r="F3367" s="729"/>
      <c r="G3367" s="729"/>
      <c r="H3367" s="729"/>
      <c r="I3367" s="729"/>
      <c r="J3367" s="729"/>
      <c r="K3367" s="729"/>
      <c r="L3367" s="147">
        <v>0</v>
      </c>
      <c r="M3367" s="729"/>
      <c r="N3367" s="147">
        <v>0</v>
      </c>
      <c r="O3367" s="147">
        <v>0</v>
      </c>
      <c r="P3367" s="147">
        <v>0</v>
      </c>
      <c r="Q3367" s="147">
        <v>0</v>
      </c>
      <c r="R3367" s="147">
        <v>0</v>
      </c>
    </row>
    <row r="3368" spans="2:18" ht="15.75" hidden="1" thickBot="1" x14ac:dyDescent="0.3">
      <c r="B3368" s="724" t="s">
        <v>786</v>
      </c>
      <c r="C3368" s="722" t="s">
        <v>103</v>
      </c>
      <c r="D3368" t="s">
        <v>104</v>
      </c>
      <c r="E3368" s="728"/>
      <c r="F3368" s="728"/>
      <c r="G3368" s="728"/>
      <c r="H3368" s="728"/>
      <c r="I3368" s="728"/>
      <c r="J3368" s="728"/>
      <c r="K3368" s="728"/>
      <c r="L3368" s="148">
        <v>1.53</v>
      </c>
      <c r="M3368" s="728"/>
      <c r="N3368" s="148">
        <v>1.53</v>
      </c>
      <c r="O3368" s="148">
        <v>0</v>
      </c>
      <c r="P3368" s="148">
        <v>0.1</v>
      </c>
      <c r="Q3368" s="148">
        <v>1.43</v>
      </c>
      <c r="R3368" s="148">
        <v>1430</v>
      </c>
    </row>
    <row r="3369" spans="2:18" ht="15.75" hidden="1" thickBot="1" x14ac:dyDescent="0.3">
      <c r="B3369" s="724" t="s">
        <v>786</v>
      </c>
      <c r="C3369" s="722" t="s">
        <v>71</v>
      </c>
      <c r="D3369" t="s">
        <v>72</v>
      </c>
      <c r="E3369" s="729"/>
      <c r="F3369" s="729"/>
      <c r="G3369" s="729"/>
      <c r="H3369" s="729"/>
      <c r="I3369" s="729"/>
      <c r="J3369" s="729"/>
      <c r="K3369" s="729"/>
      <c r="L3369" s="147">
        <v>0.30913000000000002</v>
      </c>
      <c r="M3369" s="729"/>
      <c r="N3369" s="147">
        <v>0.30913000000000002</v>
      </c>
      <c r="O3369" s="147">
        <v>0</v>
      </c>
      <c r="P3369" s="729"/>
      <c r="Q3369" s="147">
        <v>0.30913000000000002</v>
      </c>
      <c r="R3369" s="147">
        <v>0</v>
      </c>
    </row>
    <row r="3370" spans="2:18" ht="15.75" hidden="1" thickBot="1" x14ac:dyDescent="0.3">
      <c r="B3370" s="724" t="s">
        <v>786</v>
      </c>
      <c r="C3370" s="722" t="s">
        <v>73</v>
      </c>
      <c r="D3370" t="s">
        <v>74</v>
      </c>
      <c r="E3370" s="148">
        <v>0.49224000000000001</v>
      </c>
      <c r="F3370" s="728"/>
      <c r="G3370" s="148">
        <v>0.49224000000000001</v>
      </c>
      <c r="H3370" s="148">
        <v>0</v>
      </c>
      <c r="I3370" s="728"/>
      <c r="J3370" s="148">
        <v>0.49224000000000001</v>
      </c>
      <c r="K3370" s="148">
        <v>0</v>
      </c>
      <c r="L3370" s="148">
        <v>3.02318</v>
      </c>
      <c r="M3370" s="728"/>
      <c r="N3370" s="148">
        <v>3.02318</v>
      </c>
      <c r="O3370" s="148">
        <v>0</v>
      </c>
      <c r="P3370" s="148">
        <v>1.64499</v>
      </c>
      <c r="Q3370" s="148">
        <v>1.37819</v>
      </c>
      <c r="R3370" s="148">
        <v>83.78105641979586</v>
      </c>
    </row>
    <row r="3371" spans="2:18" ht="15.75" hidden="1" thickBot="1" x14ac:dyDescent="0.3">
      <c r="B3371" s="724" t="s">
        <v>786</v>
      </c>
      <c r="C3371" s="722" t="s">
        <v>111</v>
      </c>
      <c r="D3371" t="s">
        <v>112</v>
      </c>
      <c r="E3371" s="729"/>
      <c r="F3371" s="729"/>
      <c r="G3371" s="729"/>
      <c r="H3371" s="729"/>
      <c r="I3371" s="729"/>
      <c r="J3371" s="729"/>
      <c r="K3371" s="729"/>
      <c r="L3371" s="147">
        <v>5.8999999999999997E-2</v>
      </c>
      <c r="M3371" s="729"/>
      <c r="N3371" s="147">
        <v>5.8999999999999997E-2</v>
      </c>
      <c r="O3371" s="147">
        <v>0</v>
      </c>
      <c r="P3371" s="147">
        <v>5.8999999999999997E-2</v>
      </c>
      <c r="Q3371" s="147">
        <v>0</v>
      </c>
      <c r="R3371" s="147">
        <v>0</v>
      </c>
    </row>
    <row r="3372" spans="2:18" ht="15.75" hidden="1" thickBot="1" x14ac:dyDescent="0.3">
      <c r="B3372" s="724" t="s">
        <v>786</v>
      </c>
      <c r="C3372" s="722" t="s">
        <v>113</v>
      </c>
      <c r="D3372" t="s">
        <v>114</v>
      </c>
      <c r="E3372" s="148">
        <v>0.20816000000000001</v>
      </c>
      <c r="F3372" s="148">
        <v>0.1</v>
      </c>
      <c r="G3372" s="148">
        <v>0.10816000000000001</v>
      </c>
      <c r="H3372" s="148">
        <v>108.16</v>
      </c>
      <c r="I3372" s="728"/>
      <c r="J3372" s="148">
        <v>0.20816000000000001</v>
      </c>
      <c r="K3372" s="148">
        <v>0</v>
      </c>
      <c r="L3372" s="148">
        <v>2.1939199999999999</v>
      </c>
      <c r="M3372" s="148">
        <v>0.4</v>
      </c>
      <c r="N3372" s="148">
        <v>1.79392</v>
      </c>
      <c r="O3372" s="148">
        <v>448.48</v>
      </c>
      <c r="P3372" s="148">
        <v>0.82574000000000003</v>
      </c>
      <c r="Q3372" s="148">
        <v>1.36818</v>
      </c>
      <c r="R3372" s="148">
        <v>165.69137985322257</v>
      </c>
    </row>
    <row r="3373" spans="2:18" ht="15.75" hidden="1" thickBot="1" x14ac:dyDescent="0.3">
      <c r="B3373" s="724" t="s">
        <v>786</v>
      </c>
      <c r="C3373" s="722" t="s">
        <v>145</v>
      </c>
      <c r="D3373" t="s">
        <v>146</v>
      </c>
      <c r="E3373" s="147">
        <v>8.0000000000000002E-3</v>
      </c>
      <c r="F3373" s="729"/>
      <c r="G3373" s="147">
        <v>8.0000000000000002E-3</v>
      </c>
      <c r="H3373" s="147">
        <v>0</v>
      </c>
      <c r="I3373" s="729"/>
      <c r="J3373" s="147">
        <v>8.0000000000000002E-3</v>
      </c>
      <c r="K3373" s="147">
        <v>0</v>
      </c>
      <c r="L3373" s="147">
        <v>0.15359999999999999</v>
      </c>
      <c r="M3373" s="729"/>
      <c r="N3373" s="147">
        <v>0.15359999999999999</v>
      </c>
      <c r="O3373" s="147">
        <v>0</v>
      </c>
      <c r="P3373" s="147">
        <v>9.4E-2</v>
      </c>
      <c r="Q3373" s="147">
        <v>5.96E-2</v>
      </c>
      <c r="R3373" s="147">
        <v>63.404255319148938</v>
      </c>
    </row>
    <row r="3374" spans="2:18" ht="15.75" hidden="1" thickBot="1" x14ac:dyDescent="0.3">
      <c r="B3374" s="724" t="s">
        <v>786</v>
      </c>
      <c r="C3374" s="722" t="s">
        <v>75</v>
      </c>
      <c r="D3374" t="s">
        <v>76</v>
      </c>
      <c r="E3374" s="148">
        <v>1.74214</v>
      </c>
      <c r="F3374" s="148">
        <v>0.5</v>
      </c>
      <c r="G3374" s="148">
        <v>1.24214</v>
      </c>
      <c r="H3374" s="148">
        <v>248.428</v>
      </c>
      <c r="I3374" s="728"/>
      <c r="J3374" s="148">
        <v>1.74214</v>
      </c>
      <c r="K3374" s="148">
        <v>0</v>
      </c>
      <c r="L3374" s="148">
        <v>11.58578</v>
      </c>
      <c r="M3374" s="148">
        <v>4.75</v>
      </c>
      <c r="N3374" s="148">
        <v>6.8357799999999997</v>
      </c>
      <c r="O3374" s="148">
        <v>143.91115789473685</v>
      </c>
      <c r="P3374" s="148">
        <v>6.3677700000000002</v>
      </c>
      <c r="Q3374" s="148">
        <v>5.2180099999999996</v>
      </c>
      <c r="R3374" s="148">
        <v>81.944071472430693</v>
      </c>
    </row>
    <row r="3375" spans="2:18" ht="15.75" hidden="1" thickBot="1" x14ac:dyDescent="0.3">
      <c r="B3375" s="724" t="s">
        <v>786</v>
      </c>
      <c r="C3375" s="722" t="s">
        <v>121</v>
      </c>
      <c r="D3375" t="s">
        <v>122</v>
      </c>
      <c r="E3375" s="729"/>
      <c r="F3375" s="147">
        <v>0.4</v>
      </c>
      <c r="G3375" s="147">
        <v>-0.4</v>
      </c>
      <c r="H3375" s="147">
        <v>-100</v>
      </c>
      <c r="I3375" s="729"/>
      <c r="J3375" s="729"/>
      <c r="K3375" s="729"/>
      <c r="L3375" s="147">
        <v>0.17132</v>
      </c>
      <c r="M3375" s="147">
        <v>4.8</v>
      </c>
      <c r="N3375" s="147">
        <v>-4.6286800000000001</v>
      </c>
      <c r="O3375" s="147">
        <v>-96.430833333333339</v>
      </c>
      <c r="P3375" s="147">
        <v>0.05</v>
      </c>
      <c r="Q3375" s="147">
        <v>0.12132</v>
      </c>
      <c r="R3375" s="147">
        <v>242.64</v>
      </c>
    </row>
    <row r="3376" spans="2:18" ht="15.75" hidden="1" thickBot="1" x14ac:dyDescent="0.3">
      <c r="B3376" s="724" t="s">
        <v>786</v>
      </c>
      <c r="C3376" s="722" t="s">
        <v>77</v>
      </c>
      <c r="D3376" t="s">
        <v>78</v>
      </c>
      <c r="E3376" s="148">
        <v>0.06</v>
      </c>
      <c r="F3376" s="148">
        <v>6</v>
      </c>
      <c r="G3376" s="148">
        <v>-5.94</v>
      </c>
      <c r="H3376" s="148">
        <v>-99</v>
      </c>
      <c r="I3376" s="728"/>
      <c r="J3376" s="148">
        <v>0.06</v>
      </c>
      <c r="K3376" s="148">
        <v>0</v>
      </c>
      <c r="L3376" s="148">
        <v>22.19407</v>
      </c>
      <c r="M3376" s="148">
        <v>24</v>
      </c>
      <c r="N3376" s="148">
        <v>-1.80593</v>
      </c>
      <c r="O3376" s="148">
        <v>-7.5247083333333338</v>
      </c>
      <c r="P3376" s="148">
        <v>13.31114</v>
      </c>
      <c r="Q3376" s="148">
        <v>8.88293</v>
      </c>
      <c r="R3376" s="148">
        <v>66.733052165329184</v>
      </c>
    </row>
    <row r="3377" spans="1:18" ht="15.75" hidden="1" thickBot="1" x14ac:dyDescent="0.3">
      <c r="B3377" s="724" t="s">
        <v>786</v>
      </c>
      <c r="C3377" s="722" t="s">
        <v>79</v>
      </c>
      <c r="D3377" t="s">
        <v>80</v>
      </c>
      <c r="E3377" s="729"/>
      <c r="F3377" s="729"/>
      <c r="G3377" s="729"/>
      <c r="H3377" s="729"/>
      <c r="I3377" s="729"/>
      <c r="J3377" s="729"/>
      <c r="K3377" s="729"/>
      <c r="L3377" s="729"/>
      <c r="M3377" s="147">
        <v>1.1000000000000001</v>
      </c>
      <c r="N3377" s="147">
        <v>-1.1000000000000001</v>
      </c>
      <c r="O3377" s="147">
        <v>-100</v>
      </c>
      <c r="P3377" s="729"/>
      <c r="Q3377" s="729"/>
      <c r="R3377" s="729"/>
    </row>
    <row r="3378" spans="1:18" ht="15.75" hidden="1" thickBot="1" x14ac:dyDescent="0.3">
      <c r="B3378" s="724" t="s">
        <v>786</v>
      </c>
      <c r="C3378" s="722" t="s">
        <v>81</v>
      </c>
      <c r="D3378" t="s">
        <v>82</v>
      </c>
      <c r="E3378" s="148">
        <v>2.3439999999999999E-2</v>
      </c>
      <c r="F3378" s="148">
        <v>1</v>
      </c>
      <c r="G3378" s="148">
        <v>-0.97655999999999998</v>
      </c>
      <c r="H3378" s="148">
        <v>-97.656000000000006</v>
      </c>
      <c r="I3378" s="728"/>
      <c r="J3378" s="148">
        <v>2.3439999999999999E-2</v>
      </c>
      <c r="K3378" s="148">
        <v>0</v>
      </c>
      <c r="L3378" s="148">
        <v>0.64534000000000002</v>
      </c>
      <c r="M3378" s="148">
        <v>1</v>
      </c>
      <c r="N3378" s="148">
        <v>-0.35465999999999998</v>
      </c>
      <c r="O3378" s="148">
        <v>-35.466000000000001</v>
      </c>
      <c r="P3378" s="148">
        <v>0.4219</v>
      </c>
      <c r="Q3378" s="148">
        <v>0.22344</v>
      </c>
      <c r="R3378" s="148">
        <v>52.960417160464566</v>
      </c>
    </row>
    <row r="3379" spans="1:18" ht="15.75" hidden="1" thickBot="1" x14ac:dyDescent="0.3">
      <c r="B3379" s="724" t="s">
        <v>786</v>
      </c>
      <c r="C3379" s="722" t="s">
        <v>123</v>
      </c>
      <c r="D3379" t="s">
        <v>124</v>
      </c>
      <c r="E3379" s="147">
        <v>1.0887500000000001</v>
      </c>
      <c r="F3379" s="147">
        <v>0.4</v>
      </c>
      <c r="G3379" s="147">
        <v>0.68874999999999997</v>
      </c>
      <c r="H3379" s="147">
        <v>172.1875</v>
      </c>
      <c r="I3379" s="729"/>
      <c r="J3379" s="147">
        <v>1.0887500000000001</v>
      </c>
      <c r="K3379" s="147">
        <v>0</v>
      </c>
      <c r="L3379" s="147">
        <v>1.86391</v>
      </c>
      <c r="M3379" s="147">
        <v>1</v>
      </c>
      <c r="N3379" s="147">
        <v>0.86390999999999996</v>
      </c>
      <c r="O3379" s="147">
        <v>86.391000000000005</v>
      </c>
      <c r="P3379" s="147">
        <v>0.33543000000000001</v>
      </c>
      <c r="Q3379" s="147">
        <v>1.5284800000000001</v>
      </c>
      <c r="R3379" s="147">
        <v>455.67778672152161</v>
      </c>
    </row>
    <row r="3380" spans="1:18" ht="15.75" hidden="1" thickBot="1" x14ac:dyDescent="0.3">
      <c r="B3380" s="724" t="s">
        <v>786</v>
      </c>
      <c r="C3380" s="149" t="s">
        <v>85</v>
      </c>
      <c r="D3380" t="s">
        <v>86</v>
      </c>
      <c r="E3380" s="148">
        <v>4.5655900000000003</v>
      </c>
      <c r="F3380" s="148">
        <v>9.1999999999999993</v>
      </c>
      <c r="G3380" s="148">
        <v>-4.6344099999999999</v>
      </c>
      <c r="H3380" s="148">
        <v>-50.374021739130434</v>
      </c>
      <c r="I3380" s="728"/>
      <c r="J3380" s="148">
        <v>4.5655900000000003</v>
      </c>
      <c r="K3380" s="148">
        <v>0</v>
      </c>
      <c r="L3380" s="148">
        <v>47.468130000000002</v>
      </c>
      <c r="M3380" s="148">
        <v>47.25</v>
      </c>
      <c r="N3380" s="148">
        <v>0.21812999999999999</v>
      </c>
      <c r="O3380" s="148">
        <v>0.46165079365079364</v>
      </c>
      <c r="P3380" s="148">
        <v>25.30621</v>
      </c>
      <c r="Q3380" s="148">
        <v>22.161919999999999</v>
      </c>
      <c r="R3380" s="148">
        <v>87.575026050917941</v>
      </c>
    </row>
    <row r="3381" spans="1:18" ht="15.75" hidden="1" thickBot="1" x14ac:dyDescent="0.3">
      <c r="B3381" s="724" t="s">
        <v>786</v>
      </c>
      <c r="C3381" s="144" t="s">
        <v>87</v>
      </c>
      <c r="D3381" t="s">
        <v>87</v>
      </c>
      <c r="E3381" s="147">
        <v>59.821429999999999</v>
      </c>
      <c r="F3381" s="147">
        <v>77.924700000000001</v>
      </c>
      <c r="G3381" s="147">
        <v>-18.103269999999998</v>
      </c>
      <c r="H3381" s="147">
        <v>-23.231748085010274</v>
      </c>
      <c r="I3381" s="729"/>
      <c r="J3381" s="147">
        <v>59.821429999999999</v>
      </c>
      <c r="K3381" s="147">
        <v>0</v>
      </c>
      <c r="L3381" s="147">
        <v>597.36260000000004</v>
      </c>
      <c r="M3381" s="147">
        <v>867.62</v>
      </c>
      <c r="N3381" s="147">
        <v>-270.25740000000002</v>
      </c>
      <c r="O3381" s="147">
        <v>-31.149281943708075</v>
      </c>
      <c r="P3381" s="147">
        <v>316.21053000000001</v>
      </c>
      <c r="Q3381" s="147">
        <v>281.15206999999998</v>
      </c>
      <c r="R3381" s="147">
        <v>88.912937213064978</v>
      </c>
    </row>
    <row r="3382" spans="1:18" ht="15.75" hidden="1" thickBot="1" x14ac:dyDescent="0.3">
      <c r="A3382" s="199" t="str">
        <f t="shared" ref="A3382:A3445" si="12">B3382&amp;C3382</f>
        <v>CUST CONTACT CENTERSALARY PAYROLL</v>
      </c>
      <c r="B3382" s="724" t="s">
        <v>158</v>
      </c>
      <c r="C3382" s="722" t="s">
        <v>59</v>
      </c>
      <c r="D3382" t="s">
        <v>60</v>
      </c>
      <c r="E3382" s="148">
        <v>82.609809999999996</v>
      </c>
      <c r="F3382" s="148">
        <v>80.806089999999998</v>
      </c>
      <c r="G3382" s="148">
        <v>1.80372</v>
      </c>
      <c r="H3382" s="148">
        <v>2.2321584920146491</v>
      </c>
      <c r="I3382" s="728"/>
      <c r="J3382" s="148">
        <v>82.609809999999996</v>
      </c>
      <c r="K3382" s="148">
        <v>0</v>
      </c>
      <c r="L3382" s="148">
        <v>983.67286000000001</v>
      </c>
      <c r="M3382" s="148">
        <v>964.58601999999996</v>
      </c>
      <c r="N3382" s="148">
        <v>19.086839999999999</v>
      </c>
      <c r="O3382" s="148">
        <v>1.9787597585127763</v>
      </c>
      <c r="P3382" s="148">
        <v>484.54097000000002</v>
      </c>
      <c r="Q3382" s="148">
        <v>499.13189</v>
      </c>
      <c r="R3382" s="148">
        <v>103.01128715699727</v>
      </c>
    </row>
    <row r="3383" spans="1:18" ht="15.75" hidden="1" thickBot="1" x14ac:dyDescent="0.3">
      <c r="A3383" s="199" t="str">
        <f t="shared" si="12"/>
        <v>CUST CONTACT CENTERHOURLY DOUBLE PAY</v>
      </c>
      <c r="B3383" s="724" t="s">
        <v>158</v>
      </c>
      <c r="C3383" s="722" t="s">
        <v>89</v>
      </c>
      <c r="D3383" t="s">
        <v>90</v>
      </c>
      <c r="E3383" s="147">
        <v>15.25808</v>
      </c>
      <c r="F3383" s="729"/>
      <c r="G3383" s="147">
        <v>15.25808</v>
      </c>
      <c r="H3383" s="147">
        <v>0</v>
      </c>
      <c r="I3383" s="729"/>
      <c r="J3383" s="147">
        <v>15.25808</v>
      </c>
      <c r="K3383" s="147">
        <v>0</v>
      </c>
      <c r="L3383" s="147">
        <v>48.72775</v>
      </c>
      <c r="M3383" s="729"/>
      <c r="N3383" s="147">
        <v>48.72775</v>
      </c>
      <c r="O3383" s="147">
        <v>0</v>
      </c>
      <c r="P3383" s="147">
        <v>12.868399999999999</v>
      </c>
      <c r="Q3383" s="147">
        <v>35.859349999999999</v>
      </c>
      <c r="R3383" s="147">
        <v>278.66207143079168</v>
      </c>
    </row>
    <row r="3384" spans="1:18" ht="15.75" hidden="1" thickBot="1" x14ac:dyDescent="0.3">
      <c r="A3384" s="199" t="str">
        <f t="shared" si="12"/>
        <v>CUST CONTACT CENTERHOURLY REGULAR  PAY</v>
      </c>
      <c r="B3384" s="724" t="s">
        <v>158</v>
      </c>
      <c r="C3384" s="722" t="s">
        <v>91</v>
      </c>
      <c r="D3384" t="s">
        <v>92</v>
      </c>
      <c r="E3384" s="148">
        <v>311.12786</v>
      </c>
      <c r="F3384" s="148">
        <v>444.15235999999999</v>
      </c>
      <c r="G3384" s="148">
        <v>-133.02449999999999</v>
      </c>
      <c r="H3384" s="148">
        <v>-29.950195468960246</v>
      </c>
      <c r="I3384" s="728"/>
      <c r="J3384" s="148">
        <v>311.12786</v>
      </c>
      <c r="K3384" s="148">
        <v>0</v>
      </c>
      <c r="L3384" s="148">
        <v>4618.5598200000004</v>
      </c>
      <c r="M3384" s="148">
        <v>5120.8623100000004</v>
      </c>
      <c r="N3384" s="148">
        <v>-502.30248999999998</v>
      </c>
      <c r="O3384" s="148">
        <v>-9.8089434863168581</v>
      </c>
      <c r="P3384" s="148">
        <v>2316.78134</v>
      </c>
      <c r="Q3384" s="148">
        <v>2301.7784799999999</v>
      </c>
      <c r="R3384" s="148">
        <v>99.352426586792177</v>
      </c>
    </row>
    <row r="3385" spans="1:18" ht="15.75" hidden="1" thickBot="1" x14ac:dyDescent="0.3">
      <c r="A3385" s="199" t="str">
        <f t="shared" si="12"/>
        <v>CUST CONTACT CENTERHOURLY OVERTIME PAY</v>
      </c>
      <c r="B3385" s="724" t="s">
        <v>158</v>
      </c>
      <c r="C3385" s="722" t="s">
        <v>93</v>
      </c>
      <c r="D3385" t="s">
        <v>94</v>
      </c>
      <c r="E3385" s="147">
        <v>13.35308</v>
      </c>
      <c r="F3385" s="147">
        <v>22.299060000000001</v>
      </c>
      <c r="G3385" s="147">
        <v>-8.9459800000000005</v>
      </c>
      <c r="H3385" s="147">
        <v>-40.118193322947242</v>
      </c>
      <c r="I3385" s="729"/>
      <c r="J3385" s="147">
        <v>13.35308</v>
      </c>
      <c r="K3385" s="147">
        <v>0</v>
      </c>
      <c r="L3385" s="147">
        <v>267.70375999999999</v>
      </c>
      <c r="M3385" s="147">
        <v>260.44432999999998</v>
      </c>
      <c r="N3385" s="147">
        <v>7.25943</v>
      </c>
      <c r="O3385" s="147">
        <v>2.7873250302665449</v>
      </c>
      <c r="P3385" s="147">
        <v>107.24748</v>
      </c>
      <c r="Q3385" s="147">
        <v>160.45627999999999</v>
      </c>
      <c r="R3385" s="147">
        <v>149.61310046632332</v>
      </c>
    </row>
    <row r="3386" spans="1:18" ht="15.75" hidden="1" thickBot="1" x14ac:dyDescent="0.3">
      <c r="A3386" s="199" t="str">
        <f t="shared" si="12"/>
        <v>CUST CONTACT CENTERP/T HOURLY PAYROLL</v>
      </c>
      <c r="B3386" s="724" t="s">
        <v>158</v>
      </c>
      <c r="C3386" s="722" t="s">
        <v>159</v>
      </c>
      <c r="D3386" t="s">
        <v>160</v>
      </c>
      <c r="E3386" s="148">
        <v>2.1881300000000001</v>
      </c>
      <c r="F3386" s="148">
        <v>3.0950700000000002</v>
      </c>
      <c r="G3386" s="148">
        <v>-0.90693999999999997</v>
      </c>
      <c r="H3386" s="148">
        <v>-29.302729825173582</v>
      </c>
      <c r="I3386" s="728"/>
      <c r="J3386" s="148">
        <v>2.1881300000000001</v>
      </c>
      <c r="K3386" s="148">
        <v>0</v>
      </c>
      <c r="L3386" s="148">
        <v>31.13205</v>
      </c>
      <c r="M3386" s="148">
        <v>36.149189999999997</v>
      </c>
      <c r="N3386" s="148">
        <v>-5.0171400000000004</v>
      </c>
      <c r="O3386" s="148">
        <v>-13.878983180535995</v>
      </c>
      <c r="P3386" s="148">
        <v>17.026489999999999</v>
      </c>
      <c r="Q3386" s="148">
        <v>14.105560000000001</v>
      </c>
      <c r="R3386" s="148">
        <v>82.844790676175776</v>
      </c>
    </row>
    <row r="3387" spans="1:18" ht="15.75" hidden="1" thickBot="1" x14ac:dyDescent="0.3">
      <c r="A3387" s="199" t="str">
        <f t="shared" si="12"/>
        <v>CUST CONTACT CENTERSALARY BONUS PAYROLL</v>
      </c>
      <c r="B3387" s="724" t="s">
        <v>158</v>
      </c>
      <c r="C3387" s="722" t="s">
        <v>134</v>
      </c>
      <c r="D3387" t="s">
        <v>135</v>
      </c>
      <c r="E3387" s="729"/>
      <c r="F3387" s="729"/>
      <c r="G3387" s="729"/>
      <c r="H3387" s="729"/>
      <c r="I3387" s="729"/>
      <c r="J3387" s="729"/>
      <c r="K3387" s="729"/>
      <c r="L3387" s="147">
        <v>0.252</v>
      </c>
      <c r="M3387" s="729"/>
      <c r="N3387" s="147">
        <v>0.252</v>
      </c>
      <c r="O3387" s="147">
        <v>0</v>
      </c>
      <c r="P3387" s="147">
        <v>0.252</v>
      </c>
      <c r="Q3387" s="147">
        <v>0</v>
      </c>
      <c r="R3387" s="147">
        <v>0</v>
      </c>
    </row>
    <row r="3388" spans="1:18" ht="15.75" hidden="1" thickBot="1" x14ac:dyDescent="0.3">
      <c r="A3388" s="199" t="str">
        <f t="shared" si="12"/>
        <v>CUST CONTACT CENTERVACATION, SICK &amp; HOL</v>
      </c>
      <c r="B3388" s="724" t="s">
        <v>158</v>
      </c>
      <c r="C3388" s="722" t="s">
        <v>61</v>
      </c>
      <c r="D3388" t="s">
        <v>62</v>
      </c>
      <c r="E3388" s="148">
        <v>73.966470000000001</v>
      </c>
      <c r="F3388" s="148">
        <v>81.848290000000006</v>
      </c>
      <c r="G3388" s="148">
        <v>-7.8818200000000003</v>
      </c>
      <c r="H3388" s="148">
        <v>-9.6297918991343625</v>
      </c>
      <c r="I3388" s="728"/>
      <c r="J3388" s="148">
        <v>73.966470000000001</v>
      </c>
      <c r="K3388" s="148">
        <v>0</v>
      </c>
      <c r="L3388" s="148">
        <v>902.07254999999998</v>
      </c>
      <c r="M3388" s="148">
        <v>948.84758999999997</v>
      </c>
      <c r="N3388" s="148">
        <v>-46.775039999999997</v>
      </c>
      <c r="O3388" s="148">
        <v>-4.9296684201938055</v>
      </c>
      <c r="P3388" s="148">
        <v>444.16469999999998</v>
      </c>
      <c r="Q3388" s="148">
        <v>457.90785</v>
      </c>
      <c r="R3388" s="148">
        <v>103.09415628932241</v>
      </c>
    </row>
    <row r="3389" spans="1:18" ht="15.75" hidden="1" thickBot="1" x14ac:dyDescent="0.3">
      <c r="A3389" s="199" t="str">
        <f t="shared" si="12"/>
        <v>CUST CONTACT CENTERPAYROLL OVERHEAD</v>
      </c>
      <c r="B3389" s="724" t="s">
        <v>158</v>
      </c>
      <c r="C3389" s="722" t="s">
        <v>63</v>
      </c>
      <c r="D3389" t="s">
        <v>64</v>
      </c>
      <c r="E3389" s="147">
        <v>291.46875999999997</v>
      </c>
      <c r="F3389" s="147">
        <v>318.41627</v>
      </c>
      <c r="G3389" s="147">
        <v>-26.947510000000001</v>
      </c>
      <c r="H3389" s="147">
        <v>-8.4629814927484706</v>
      </c>
      <c r="I3389" s="729"/>
      <c r="J3389" s="147">
        <v>291.46875999999997</v>
      </c>
      <c r="K3389" s="147">
        <v>0</v>
      </c>
      <c r="L3389" s="147">
        <v>3551.9629399999999</v>
      </c>
      <c r="M3389" s="147">
        <v>3691.3232600000001</v>
      </c>
      <c r="N3389" s="147">
        <v>-139.36032</v>
      </c>
      <c r="O3389" s="147">
        <v>-3.7753485724249467</v>
      </c>
      <c r="P3389" s="147">
        <v>1743.3853300000001</v>
      </c>
      <c r="Q3389" s="147">
        <v>1808.57761</v>
      </c>
      <c r="R3389" s="147">
        <v>103.73940739767495</v>
      </c>
    </row>
    <row r="3390" spans="1:18" ht="15.75" hidden="1" thickBot="1" x14ac:dyDescent="0.3">
      <c r="A3390" s="199" t="str">
        <f t="shared" si="12"/>
        <v>CUST CONTACT CENTERHRLY - REGULAR ZTFSO</v>
      </c>
      <c r="B3390" s="724" t="s">
        <v>158</v>
      </c>
      <c r="C3390" s="722" t="s">
        <v>163</v>
      </c>
      <c r="D3390" t="s">
        <v>164</v>
      </c>
      <c r="E3390" s="148">
        <v>-8.4253599999999995</v>
      </c>
      <c r="F3390" s="728"/>
      <c r="G3390" s="148">
        <v>-8.4253599999999995</v>
      </c>
      <c r="H3390" s="148">
        <v>0</v>
      </c>
      <c r="I3390" s="728"/>
      <c r="J3390" s="148">
        <v>-8.4253599999999995</v>
      </c>
      <c r="K3390" s="148">
        <v>0</v>
      </c>
      <c r="L3390" s="148">
        <v>-63.031440000000003</v>
      </c>
      <c r="M3390" s="728"/>
      <c r="N3390" s="148">
        <v>-63.031440000000003</v>
      </c>
      <c r="O3390" s="148">
        <v>0</v>
      </c>
      <c r="P3390" s="148">
        <v>-39.12032</v>
      </c>
      <c r="Q3390" s="148">
        <v>-23.91112</v>
      </c>
      <c r="R3390" s="148">
        <v>-61.121994912107056</v>
      </c>
    </row>
    <row r="3391" spans="1:18" ht="15.75" hidden="1" thickBot="1" x14ac:dyDescent="0.3">
      <c r="A3391" s="199" t="str">
        <f t="shared" si="12"/>
        <v>CUST CONTACT CENTERHRLY - OT ZTFSO</v>
      </c>
      <c r="B3391" s="724" t="s">
        <v>158</v>
      </c>
      <c r="C3391" s="722" t="s">
        <v>97</v>
      </c>
      <c r="D3391" t="s">
        <v>98</v>
      </c>
      <c r="E3391" s="147">
        <v>-2.2679999999999999E-2</v>
      </c>
      <c r="F3391" s="729"/>
      <c r="G3391" s="147">
        <v>-2.2679999999999999E-2</v>
      </c>
      <c r="H3391" s="147">
        <v>0</v>
      </c>
      <c r="I3391" s="729"/>
      <c r="J3391" s="147">
        <v>-2.2679999999999999E-2</v>
      </c>
      <c r="K3391" s="147">
        <v>0</v>
      </c>
      <c r="L3391" s="147">
        <v>-2.2679999999999999E-2</v>
      </c>
      <c r="M3391" s="729"/>
      <c r="N3391" s="147">
        <v>-2.2679999999999999E-2</v>
      </c>
      <c r="O3391" s="147">
        <v>0</v>
      </c>
      <c r="P3391" s="729"/>
      <c r="Q3391" s="147">
        <v>-2.2679999999999999E-2</v>
      </c>
      <c r="R3391" s="147">
        <v>0</v>
      </c>
    </row>
    <row r="3392" spans="1:18" ht="18.75" thickBot="1" x14ac:dyDescent="0.3">
      <c r="A3392" s="199" t="str">
        <f t="shared" si="12"/>
        <v>CUST CONTACT CENTERPayroll</v>
      </c>
      <c r="B3392" s="724" t="s">
        <v>158</v>
      </c>
      <c r="C3392" s="149" t="s">
        <v>67</v>
      </c>
      <c r="D3392" t="s">
        <v>68</v>
      </c>
      <c r="E3392" s="148">
        <v>781.52414999999996</v>
      </c>
      <c r="F3392" s="148">
        <v>950.61713999999995</v>
      </c>
      <c r="G3392" s="148">
        <v>-169.09298999999999</v>
      </c>
      <c r="H3392" s="148">
        <v>-17.787706836424178</v>
      </c>
      <c r="I3392" s="728"/>
      <c r="J3392" s="148">
        <v>781.52414999999996</v>
      </c>
      <c r="K3392" s="148">
        <v>0</v>
      </c>
      <c r="L3392" s="739">
        <v>10341.02961</v>
      </c>
      <c r="M3392" s="148">
        <v>11022.2127</v>
      </c>
      <c r="N3392" s="148">
        <v>-681.18308999999999</v>
      </c>
      <c r="O3392" s="148">
        <v>-6.1800938571980195</v>
      </c>
      <c r="P3392" s="148">
        <v>5087.1463899999999</v>
      </c>
      <c r="Q3392" s="148">
        <v>5253.8832199999997</v>
      </c>
      <c r="R3392" s="148">
        <v>103.27761022029485</v>
      </c>
    </row>
    <row r="3393" spans="1:18" ht="15.75" hidden="1" thickBot="1" x14ac:dyDescent="0.3">
      <c r="A3393" s="199" t="str">
        <f t="shared" si="12"/>
        <v>CUST CONTACT CENTEREDUCATION</v>
      </c>
      <c r="B3393" s="724" t="s">
        <v>158</v>
      </c>
      <c r="C3393" s="722" t="s">
        <v>69</v>
      </c>
      <c r="D3393" t="s">
        <v>70</v>
      </c>
      <c r="E3393" s="729"/>
      <c r="F3393" s="147">
        <v>0.20832999999999999</v>
      </c>
      <c r="G3393" s="147">
        <v>-0.20832999999999999</v>
      </c>
      <c r="H3393" s="147">
        <v>-100</v>
      </c>
      <c r="I3393" s="729"/>
      <c r="J3393" s="729"/>
      <c r="K3393" s="729"/>
      <c r="L3393" s="147">
        <v>3.363</v>
      </c>
      <c r="M3393" s="147">
        <v>2.4999600000000002</v>
      </c>
      <c r="N3393" s="147">
        <v>0.86304000000000003</v>
      </c>
      <c r="O3393" s="147">
        <v>34.522152354437672</v>
      </c>
      <c r="P3393" s="147">
        <v>2.9129999999999998</v>
      </c>
      <c r="Q3393" s="147">
        <v>0.45</v>
      </c>
      <c r="R3393" s="147">
        <v>15.44799176107106</v>
      </c>
    </row>
    <row r="3394" spans="1:18" ht="15.75" hidden="1" thickBot="1" x14ac:dyDescent="0.3">
      <c r="A3394" s="199" t="str">
        <f t="shared" si="12"/>
        <v>CUST CONTACT CENTERMATERIALS - CONS INV</v>
      </c>
      <c r="B3394" s="724" t="s">
        <v>158</v>
      </c>
      <c r="C3394" s="722" t="s">
        <v>165</v>
      </c>
      <c r="D3394" t="s">
        <v>166</v>
      </c>
      <c r="E3394" s="728"/>
      <c r="F3394" s="728"/>
      <c r="G3394" s="728"/>
      <c r="H3394" s="728"/>
      <c r="I3394" s="728"/>
      <c r="J3394" s="728"/>
      <c r="K3394" s="728"/>
      <c r="L3394" s="148">
        <v>0.30166999999999999</v>
      </c>
      <c r="M3394" s="728"/>
      <c r="N3394" s="148">
        <v>0.30166999999999999</v>
      </c>
      <c r="O3394" s="148">
        <v>0</v>
      </c>
      <c r="P3394" s="148">
        <v>6.8760000000000002E-2</v>
      </c>
      <c r="Q3394" s="148">
        <v>0.23291000000000001</v>
      </c>
      <c r="R3394" s="148">
        <v>338.72891215823154</v>
      </c>
    </row>
    <row r="3395" spans="1:18" ht="15.75" hidden="1" thickBot="1" x14ac:dyDescent="0.3">
      <c r="A3395" s="199" t="str">
        <f t="shared" si="12"/>
        <v>CUST CONTACT CENTERMILEAGE REIMBURSE</v>
      </c>
      <c r="B3395" s="724" t="s">
        <v>158</v>
      </c>
      <c r="C3395" s="722" t="s">
        <v>137</v>
      </c>
      <c r="D3395" t="s">
        <v>138</v>
      </c>
      <c r="E3395" s="147">
        <v>0.69027000000000005</v>
      </c>
      <c r="F3395" s="147">
        <v>1.2907500000000001</v>
      </c>
      <c r="G3395" s="147">
        <v>-0.60048000000000001</v>
      </c>
      <c r="H3395" s="147">
        <v>-46.521789657176058</v>
      </c>
      <c r="I3395" s="729"/>
      <c r="J3395" s="147">
        <v>0.69027000000000005</v>
      </c>
      <c r="K3395" s="147">
        <v>0</v>
      </c>
      <c r="L3395" s="147">
        <v>16.076440000000002</v>
      </c>
      <c r="M3395" s="147">
        <v>15.489000000000001</v>
      </c>
      <c r="N3395" s="147">
        <v>0.58743999999999996</v>
      </c>
      <c r="O3395" s="147">
        <v>3.7926270256310932</v>
      </c>
      <c r="P3395" s="147">
        <v>5.59755</v>
      </c>
      <c r="Q3395" s="147">
        <v>10.47889</v>
      </c>
      <c r="R3395" s="147">
        <v>187.20493787460586</v>
      </c>
    </row>
    <row r="3396" spans="1:18" ht="15.75" hidden="1" thickBot="1" x14ac:dyDescent="0.3">
      <c r="A3396" s="199" t="str">
        <f t="shared" si="12"/>
        <v>CUST CONTACT CENTERTRANSPORTATION</v>
      </c>
      <c r="B3396" s="724" t="s">
        <v>158</v>
      </c>
      <c r="C3396" s="722" t="s">
        <v>190</v>
      </c>
      <c r="D3396" t="s">
        <v>191</v>
      </c>
      <c r="E3396" s="728"/>
      <c r="F3396" s="728"/>
      <c r="G3396" s="728"/>
      <c r="H3396" s="728"/>
      <c r="I3396" s="728"/>
      <c r="J3396" s="728"/>
      <c r="K3396" s="728"/>
      <c r="L3396" s="148">
        <v>2.0820000000000002E-2</v>
      </c>
      <c r="M3396" s="728"/>
      <c r="N3396" s="148">
        <v>2.0820000000000002E-2</v>
      </c>
      <c r="O3396" s="148">
        <v>0</v>
      </c>
      <c r="P3396" s="728"/>
      <c r="Q3396" s="148">
        <v>2.0820000000000002E-2</v>
      </c>
      <c r="R3396" s="148">
        <v>0</v>
      </c>
    </row>
    <row r="3397" spans="1:18" ht="15.75" hidden="1" thickBot="1" x14ac:dyDescent="0.3">
      <c r="A3397" s="199" t="str">
        <f t="shared" si="12"/>
        <v>CUST CONTACT CENTERDUES/MEMBERSHIP</v>
      </c>
      <c r="B3397" s="724" t="s">
        <v>158</v>
      </c>
      <c r="C3397" s="722" t="s">
        <v>139</v>
      </c>
      <c r="D3397" t="s">
        <v>140</v>
      </c>
      <c r="E3397" s="147">
        <v>0.4</v>
      </c>
      <c r="F3397" s="147">
        <v>8.3330000000000001E-2</v>
      </c>
      <c r="G3397" s="147">
        <v>0.31667000000000001</v>
      </c>
      <c r="H3397" s="147">
        <v>380.01920076803071</v>
      </c>
      <c r="I3397" s="729"/>
      <c r="J3397" s="147">
        <v>0.4</v>
      </c>
      <c r="K3397" s="147">
        <v>0</v>
      </c>
      <c r="L3397" s="147">
        <v>43.994999999999997</v>
      </c>
      <c r="M3397" s="147">
        <v>0.99995999999999996</v>
      </c>
      <c r="N3397" s="147">
        <v>42.995040000000003</v>
      </c>
      <c r="O3397" s="147">
        <v>4299.6759870394817</v>
      </c>
      <c r="P3397" s="147">
        <v>43.594999999999999</v>
      </c>
      <c r="Q3397" s="147">
        <v>0.4</v>
      </c>
      <c r="R3397" s="147">
        <v>0.91753641472645942</v>
      </c>
    </row>
    <row r="3398" spans="1:18" ht="15.75" hidden="1" thickBot="1" x14ac:dyDescent="0.3">
      <c r="A3398" s="199" t="str">
        <f t="shared" si="12"/>
        <v>CUST CONTACT CENTEROTHER CONTRACT WORK</v>
      </c>
      <c r="B3398" s="724" t="s">
        <v>158</v>
      </c>
      <c r="C3398" s="722" t="s">
        <v>101</v>
      </c>
      <c r="D3398" t="s">
        <v>102</v>
      </c>
      <c r="E3398" s="148">
        <v>142.14034000000001</v>
      </c>
      <c r="F3398" s="148">
        <v>157.345</v>
      </c>
      <c r="G3398" s="148">
        <v>-15.204660000000001</v>
      </c>
      <c r="H3398" s="148">
        <v>-9.6632622580952692</v>
      </c>
      <c r="I3398" s="728"/>
      <c r="J3398" s="148">
        <v>142.14034000000001</v>
      </c>
      <c r="K3398" s="148">
        <v>0</v>
      </c>
      <c r="L3398" s="148">
        <v>1559.9438399999999</v>
      </c>
      <c r="M3398" s="148">
        <v>1564.7380000000001</v>
      </c>
      <c r="N3398" s="148">
        <v>-4.7941599999999998</v>
      </c>
      <c r="O3398" s="148">
        <v>-0.30638739520609842</v>
      </c>
      <c r="P3398" s="148">
        <v>811.90015000000005</v>
      </c>
      <c r="Q3398" s="148">
        <v>748.04368999999997</v>
      </c>
      <c r="R3398" s="148">
        <v>92.134936789948867</v>
      </c>
    </row>
    <row r="3399" spans="1:18" ht="15.75" hidden="1" thickBot="1" x14ac:dyDescent="0.3">
      <c r="A3399" s="199" t="str">
        <f t="shared" si="12"/>
        <v>CUST CONTACT CENTERBENEFITS</v>
      </c>
      <c r="B3399" s="724" t="s">
        <v>158</v>
      </c>
      <c r="C3399" s="722" t="s">
        <v>485</v>
      </c>
      <c r="D3399" t="s">
        <v>486</v>
      </c>
      <c r="E3399" s="147">
        <v>0.28499999999999998</v>
      </c>
      <c r="F3399" s="729"/>
      <c r="G3399" s="147">
        <v>0.28499999999999998</v>
      </c>
      <c r="H3399" s="147">
        <v>0</v>
      </c>
      <c r="I3399" s="729"/>
      <c r="J3399" s="147">
        <v>0.28499999999999998</v>
      </c>
      <c r="K3399" s="147">
        <v>0</v>
      </c>
      <c r="L3399" s="147">
        <v>0.28499999999999998</v>
      </c>
      <c r="M3399" s="729"/>
      <c r="N3399" s="147">
        <v>0.28499999999999998</v>
      </c>
      <c r="O3399" s="147">
        <v>0</v>
      </c>
      <c r="P3399" s="729"/>
      <c r="Q3399" s="147">
        <v>0.28499999999999998</v>
      </c>
      <c r="R3399" s="147">
        <v>0</v>
      </c>
    </row>
    <row r="3400" spans="1:18" ht="15.75" hidden="1" thickBot="1" x14ac:dyDescent="0.3">
      <c r="A3400" s="199" t="str">
        <f t="shared" si="12"/>
        <v>CUST CONTACT CENTERP CARD UNCODED CHARG</v>
      </c>
      <c r="B3400" s="724" t="s">
        <v>158</v>
      </c>
      <c r="C3400" s="722" t="s">
        <v>71</v>
      </c>
      <c r="D3400" t="s">
        <v>72</v>
      </c>
      <c r="E3400" s="728"/>
      <c r="F3400" s="728"/>
      <c r="G3400" s="728"/>
      <c r="H3400" s="728"/>
      <c r="I3400" s="728"/>
      <c r="J3400" s="728"/>
      <c r="K3400" s="728"/>
      <c r="L3400" s="148">
        <v>0</v>
      </c>
      <c r="M3400" s="728"/>
      <c r="N3400" s="148">
        <v>0</v>
      </c>
      <c r="O3400" s="148">
        <v>0</v>
      </c>
      <c r="P3400" s="148">
        <v>0.54332999999999998</v>
      </c>
      <c r="Q3400" s="148">
        <v>-0.54332999999999998</v>
      </c>
      <c r="R3400" s="148">
        <v>-100</v>
      </c>
    </row>
    <row r="3401" spans="1:18" ht="15.75" hidden="1" thickBot="1" x14ac:dyDescent="0.3">
      <c r="A3401" s="199" t="str">
        <f t="shared" si="12"/>
        <v>CUST CONTACT CENTERTELEPHONE</v>
      </c>
      <c r="B3401" s="724" t="s">
        <v>158</v>
      </c>
      <c r="C3401" s="722" t="s">
        <v>107</v>
      </c>
      <c r="D3401" t="s">
        <v>108</v>
      </c>
      <c r="E3401" s="147">
        <v>1.7334099999999999</v>
      </c>
      <c r="F3401" s="147">
        <v>0.74199999999999999</v>
      </c>
      <c r="G3401" s="147">
        <v>0.99141000000000001</v>
      </c>
      <c r="H3401" s="147">
        <v>133.61320754716982</v>
      </c>
      <c r="I3401" s="729"/>
      <c r="J3401" s="147">
        <v>1.7334099999999999</v>
      </c>
      <c r="K3401" s="147">
        <v>0</v>
      </c>
      <c r="L3401" s="147">
        <v>48.914650000000002</v>
      </c>
      <c r="M3401" s="147">
        <v>67.09</v>
      </c>
      <c r="N3401" s="147">
        <v>-18.175350000000002</v>
      </c>
      <c r="O3401" s="147">
        <v>-27.090997167983307</v>
      </c>
      <c r="P3401" s="147">
        <v>28.04233</v>
      </c>
      <c r="Q3401" s="147">
        <v>20.872319999999998</v>
      </c>
      <c r="R3401" s="147">
        <v>74.431475558557366</v>
      </c>
    </row>
    <row r="3402" spans="1:18" ht="15.75" hidden="1" thickBot="1" x14ac:dyDescent="0.3">
      <c r="A3402" s="199" t="str">
        <f t="shared" si="12"/>
        <v>CUST CONTACT CENTERPOSTAGE</v>
      </c>
      <c r="B3402" s="724" t="s">
        <v>158</v>
      </c>
      <c r="C3402" s="722" t="s">
        <v>109</v>
      </c>
      <c r="D3402" t="s">
        <v>110</v>
      </c>
      <c r="E3402" s="148">
        <v>19.916650000000001</v>
      </c>
      <c r="F3402" s="148">
        <v>29.274000000000001</v>
      </c>
      <c r="G3402" s="148">
        <v>-9.3573500000000003</v>
      </c>
      <c r="H3402" s="148">
        <v>-31.964712714354036</v>
      </c>
      <c r="I3402" s="728"/>
      <c r="J3402" s="148">
        <v>19.916650000000001</v>
      </c>
      <c r="K3402" s="148">
        <v>0</v>
      </c>
      <c r="L3402" s="148">
        <v>276.52704999999997</v>
      </c>
      <c r="M3402" s="148">
        <v>350.41899999999998</v>
      </c>
      <c r="N3402" s="148">
        <v>-73.891949999999994</v>
      </c>
      <c r="O3402" s="148">
        <v>-21.086741871873386</v>
      </c>
      <c r="P3402" s="148">
        <v>182.63614999999999</v>
      </c>
      <c r="Q3402" s="148">
        <v>93.890900000000002</v>
      </c>
      <c r="R3402" s="148">
        <v>51.408716182420619</v>
      </c>
    </row>
    <row r="3403" spans="1:18" ht="15.75" hidden="1" thickBot="1" x14ac:dyDescent="0.3">
      <c r="A3403" s="199" t="str">
        <f t="shared" si="12"/>
        <v>CUST CONTACT CENTEROFFICE SUPPLIES</v>
      </c>
      <c r="B3403" s="724" t="s">
        <v>158</v>
      </c>
      <c r="C3403" s="722" t="s">
        <v>73</v>
      </c>
      <c r="D3403" t="s">
        <v>74</v>
      </c>
      <c r="E3403" s="147">
        <v>2.9879600000000002</v>
      </c>
      <c r="F3403" s="147">
        <v>2.31</v>
      </c>
      <c r="G3403" s="147">
        <v>0.67796000000000001</v>
      </c>
      <c r="H3403" s="147">
        <v>29.348917748917749</v>
      </c>
      <c r="I3403" s="729"/>
      <c r="J3403" s="147">
        <v>2.9879600000000002</v>
      </c>
      <c r="K3403" s="147">
        <v>0</v>
      </c>
      <c r="L3403" s="147">
        <v>23.293610000000001</v>
      </c>
      <c r="M3403" s="147">
        <v>24.72</v>
      </c>
      <c r="N3403" s="147">
        <v>-1.42639</v>
      </c>
      <c r="O3403" s="147">
        <v>-5.7701860841423951</v>
      </c>
      <c r="P3403" s="147">
        <v>10.081659999999999</v>
      </c>
      <c r="Q3403" s="147">
        <v>13.21195</v>
      </c>
      <c r="R3403" s="147">
        <v>131.04935099973616</v>
      </c>
    </row>
    <row r="3404" spans="1:18" ht="15.75" hidden="1" thickBot="1" x14ac:dyDescent="0.3">
      <c r="A3404" s="199" t="str">
        <f t="shared" si="12"/>
        <v>CUST CONTACT CENTERPRINTING</v>
      </c>
      <c r="B3404" s="724" t="s">
        <v>158</v>
      </c>
      <c r="C3404" s="722" t="s">
        <v>111</v>
      </c>
      <c r="D3404" t="s">
        <v>112</v>
      </c>
      <c r="E3404" s="148">
        <v>5.8056799999999997</v>
      </c>
      <c r="F3404" s="148">
        <v>3.2344200000000001</v>
      </c>
      <c r="G3404" s="148">
        <v>2.5712600000000001</v>
      </c>
      <c r="H3404" s="148">
        <v>79.496787677543423</v>
      </c>
      <c r="I3404" s="728"/>
      <c r="J3404" s="148">
        <v>5.8056799999999997</v>
      </c>
      <c r="K3404" s="148">
        <v>0</v>
      </c>
      <c r="L3404" s="148">
        <v>22.82086</v>
      </c>
      <c r="M3404" s="148">
        <v>38.813040000000001</v>
      </c>
      <c r="N3404" s="148">
        <v>-15.992179999999999</v>
      </c>
      <c r="O3404" s="148">
        <v>-41.203111119355761</v>
      </c>
      <c r="P3404" s="148">
        <v>7.5960299999999998</v>
      </c>
      <c r="Q3404" s="148">
        <v>15.224830000000001</v>
      </c>
      <c r="R3404" s="148">
        <v>200.43140956525974</v>
      </c>
    </row>
    <row r="3405" spans="1:18" ht="15.75" hidden="1" thickBot="1" x14ac:dyDescent="0.3">
      <c r="A3405" s="199" t="str">
        <f t="shared" si="12"/>
        <v>CUST CONTACT CENTERBOOKS AND MAGAZINES</v>
      </c>
      <c r="B3405" s="724" t="s">
        <v>158</v>
      </c>
      <c r="C3405" s="722" t="s">
        <v>141</v>
      </c>
      <c r="D3405" t="s">
        <v>142</v>
      </c>
      <c r="E3405" s="147">
        <v>8.7500000000000008E-3</v>
      </c>
      <c r="F3405" s="729"/>
      <c r="G3405" s="147">
        <v>8.7500000000000008E-3</v>
      </c>
      <c r="H3405" s="147">
        <v>0</v>
      </c>
      <c r="I3405" s="729"/>
      <c r="J3405" s="147">
        <v>8.7500000000000008E-3</v>
      </c>
      <c r="K3405" s="147">
        <v>0</v>
      </c>
      <c r="L3405" s="147">
        <v>3.6089999999999997E-2</v>
      </c>
      <c r="M3405" s="729"/>
      <c r="N3405" s="147">
        <v>3.6089999999999997E-2</v>
      </c>
      <c r="O3405" s="147">
        <v>0</v>
      </c>
      <c r="P3405" s="147">
        <v>9.3299999999999998E-3</v>
      </c>
      <c r="Q3405" s="147">
        <v>2.6759999999999999E-2</v>
      </c>
      <c r="R3405" s="147">
        <v>286.81672025723475</v>
      </c>
    </row>
    <row r="3406" spans="1:18" ht="15.75" hidden="1" thickBot="1" x14ac:dyDescent="0.3">
      <c r="A3406" s="199" t="str">
        <f t="shared" si="12"/>
        <v>CUST CONTACT CENTERREFRESHMENTS</v>
      </c>
      <c r="B3406" s="724" t="s">
        <v>158</v>
      </c>
      <c r="C3406" s="722" t="s">
        <v>113</v>
      </c>
      <c r="D3406" t="s">
        <v>114</v>
      </c>
      <c r="E3406" s="148">
        <v>3.7905500000000001</v>
      </c>
      <c r="F3406" s="148">
        <v>1.66517</v>
      </c>
      <c r="G3406" s="148">
        <v>2.1253799999999998</v>
      </c>
      <c r="H3406" s="148">
        <v>127.63741840172474</v>
      </c>
      <c r="I3406" s="728"/>
      <c r="J3406" s="148">
        <v>3.7905500000000001</v>
      </c>
      <c r="K3406" s="148">
        <v>0</v>
      </c>
      <c r="L3406" s="148">
        <v>29.806629999999998</v>
      </c>
      <c r="M3406" s="148">
        <v>19.982040000000001</v>
      </c>
      <c r="N3406" s="148">
        <v>9.8245900000000006</v>
      </c>
      <c r="O3406" s="148">
        <v>49.167102057647767</v>
      </c>
      <c r="P3406" s="148">
        <v>11.77962</v>
      </c>
      <c r="Q3406" s="148">
        <v>18.027010000000001</v>
      </c>
      <c r="R3406" s="148">
        <v>153.03558179296107</v>
      </c>
    </row>
    <row r="3407" spans="1:18" ht="15.75" hidden="1" thickBot="1" x14ac:dyDescent="0.3">
      <c r="A3407" s="199" t="str">
        <f t="shared" si="12"/>
        <v>CUST CONTACT CENTERPARKING</v>
      </c>
      <c r="B3407" s="724" t="s">
        <v>158</v>
      </c>
      <c r="C3407" s="722" t="s">
        <v>145</v>
      </c>
      <c r="D3407" t="s">
        <v>146</v>
      </c>
      <c r="E3407" s="147">
        <v>1.0043500000000001</v>
      </c>
      <c r="F3407" s="147">
        <v>0.375</v>
      </c>
      <c r="G3407" s="147">
        <v>0.62934999999999997</v>
      </c>
      <c r="H3407" s="147">
        <v>167.82666666666665</v>
      </c>
      <c r="I3407" s="729"/>
      <c r="J3407" s="147">
        <v>1.0043500000000001</v>
      </c>
      <c r="K3407" s="147">
        <v>0</v>
      </c>
      <c r="L3407" s="147">
        <v>10.13355</v>
      </c>
      <c r="M3407" s="147">
        <v>4.5</v>
      </c>
      <c r="N3407" s="147">
        <v>5.6335499999999996</v>
      </c>
      <c r="O3407" s="147">
        <v>125.19</v>
      </c>
      <c r="P3407" s="147">
        <v>4.3952999999999998</v>
      </c>
      <c r="Q3407" s="147">
        <v>5.7382499999999999</v>
      </c>
      <c r="R3407" s="147">
        <v>130.55422838031535</v>
      </c>
    </row>
    <row r="3408" spans="1:18" ht="15.75" hidden="1" thickBot="1" x14ac:dyDescent="0.3">
      <c r="A3408" s="199" t="str">
        <f t="shared" si="12"/>
        <v>CUST CONTACT CENTERLAUNDRY</v>
      </c>
      <c r="B3408" s="724" t="s">
        <v>158</v>
      </c>
      <c r="C3408" s="722" t="s">
        <v>147</v>
      </c>
      <c r="D3408" t="s">
        <v>148</v>
      </c>
      <c r="E3408" s="728"/>
      <c r="F3408" s="728"/>
      <c r="G3408" s="728"/>
      <c r="H3408" s="728"/>
      <c r="I3408" s="728"/>
      <c r="J3408" s="728"/>
      <c r="K3408" s="728"/>
      <c r="L3408" s="148">
        <v>0.23849999999999999</v>
      </c>
      <c r="M3408" s="728"/>
      <c r="N3408" s="148">
        <v>0.23849999999999999</v>
      </c>
      <c r="O3408" s="148">
        <v>0</v>
      </c>
      <c r="P3408" s="148">
        <v>6.3810000000000006E-2</v>
      </c>
      <c r="Q3408" s="148">
        <v>0.17469000000000001</v>
      </c>
      <c r="R3408" s="148">
        <v>273.76586741889986</v>
      </c>
    </row>
    <row r="3409" spans="1:18" ht="15.75" hidden="1" thickBot="1" x14ac:dyDescent="0.3">
      <c r="A3409" s="199" t="str">
        <f t="shared" si="12"/>
        <v>CUST CONTACT CENTERCUSTOMER RECOVERY</v>
      </c>
      <c r="B3409" s="724" t="s">
        <v>158</v>
      </c>
      <c r="C3409" s="722" t="s">
        <v>171</v>
      </c>
      <c r="D3409" t="s">
        <v>172</v>
      </c>
      <c r="E3409" s="147">
        <v>0.16311</v>
      </c>
      <c r="F3409" s="147">
        <v>1.9079999999999999</v>
      </c>
      <c r="G3409" s="147">
        <v>-1.7448900000000001</v>
      </c>
      <c r="H3409" s="147">
        <v>-91.451257861635227</v>
      </c>
      <c r="I3409" s="729"/>
      <c r="J3409" s="147">
        <v>0.16311</v>
      </c>
      <c r="K3409" s="147">
        <v>0</v>
      </c>
      <c r="L3409" s="147">
        <v>3.90341</v>
      </c>
      <c r="M3409" s="147">
        <v>18.550999999999998</v>
      </c>
      <c r="N3409" s="147">
        <v>-14.647589999999999</v>
      </c>
      <c r="O3409" s="147">
        <v>-78.958492803622448</v>
      </c>
      <c r="P3409" s="147">
        <v>2.65781</v>
      </c>
      <c r="Q3409" s="147">
        <v>1.2456</v>
      </c>
      <c r="R3409" s="147">
        <v>46.865652548526796</v>
      </c>
    </row>
    <row r="3410" spans="1:18" ht="15.75" hidden="1" thickBot="1" x14ac:dyDescent="0.3">
      <c r="A3410" s="199" t="str">
        <f t="shared" si="12"/>
        <v>CUST CONTACT CENTERMEAL TICKETS</v>
      </c>
      <c r="B3410" s="724" t="s">
        <v>158</v>
      </c>
      <c r="C3410" s="722" t="s">
        <v>173</v>
      </c>
      <c r="D3410" t="s">
        <v>174</v>
      </c>
      <c r="E3410" s="148">
        <v>0.5625</v>
      </c>
      <c r="F3410" s="148">
        <v>0.12925</v>
      </c>
      <c r="G3410" s="148">
        <v>0.43325000000000002</v>
      </c>
      <c r="H3410" s="148">
        <v>335.20309477756285</v>
      </c>
      <c r="I3410" s="728"/>
      <c r="J3410" s="148">
        <v>0.5625</v>
      </c>
      <c r="K3410" s="148">
        <v>0</v>
      </c>
      <c r="L3410" s="148">
        <v>4.8323900000000002</v>
      </c>
      <c r="M3410" s="148">
        <v>1.5509999999999999</v>
      </c>
      <c r="N3410" s="148">
        <v>3.28139</v>
      </c>
      <c r="O3410" s="148">
        <v>211.56608639587364</v>
      </c>
      <c r="P3410" s="148">
        <v>1.2858000000000001</v>
      </c>
      <c r="Q3410" s="148">
        <v>3.5465900000000001</v>
      </c>
      <c r="R3410" s="148">
        <v>275.82750038886297</v>
      </c>
    </row>
    <row r="3411" spans="1:18" ht="15.75" hidden="1" thickBot="1" x14ac:dyDescent="0.3">
      <c r="A3411" s="199" t="str">
        <f t="shared" si="12"/>
        <v>CUST CONTACT CENTERMEALS AND ENTERTAIN</v>
      </c>
      <c r="B3411" s="724" t="s">
        <v>158</v>
      </c>
      <c r="C3411" s="722" t="s">
        <v>75</v>
      </c>
      <c r="D3411" t="s">
        <v>76</v>
      </c>
      <c r="E3411" s="147">
        <v>1.8384100000000001</v>
      </c>
      <c r="F3411" s="147">
        <v>1.25</v>
      </c>
      <c r="G3411" s="147">
        <v>0.58840999999999999</v>
      </c>
      <c r="H3411" s="147">
        <v>47.072800000000001</v>
      </c>
      <c r="I3411" s="729"/>
      <c r="J3411" s="147">
        <v>1.8384100000000001</v>
      </c>
      <c r="K3411" s="147">
        <v>0</v>
      </c>
      <c r="L3411" s="147">
        <v>21.767060000000001</v>
      </c>
      <c r="M3411" s="147">
        <v>15</v>
      </c>
      <c r="N3411" s="147">
        <v>6.7670599999999999</v>
      </c>
      <c r="O3411" s="147">
        <v>45.113733333333336</v>
      </c>
      <c r="P3411" s="147">
        <v>8.1758799999999994</v>
      </c>
      <c r="Q3411" s="147">
        <v>13.59118</v>
      </c>
      <c r="R3411" s="147">
        <v>166.23507194332598</v>
      </c>
    </row>
    <row r="3412" spans="1:18" ht="15.75" hidden="1" thickBot="1" x14ac:dyDescent="0.3">
      <c r="A3412" s="199" t="str">
        <f t="shared" si="12"/>
        <v>CUST CONTACT CENTERTRAVEL IN TERRITORY</v>
      </c>
      <c r="B3412" s="724" t="s">
        <v>158</v>
      </c>
      <c r="C3412" s="722" t="s">
        <v>121</v>
      </c>
      <c r="D3412" t="s">
        <v>122</v>
      </c>
      <c r="E3412" s="728"/>
      <c r="F3412" s="148">
        <v>0</v>
      </c>
      <c r="G3412" s="148">
        <v>0</v>
      </c>
      <c r="H3412" s="148">
        <v>0</v>
      </c>
      <c r="I3412" s="728"/>
      <c r="J3412" s="728"/>
      <c r="K3412" s="728"/>
      <c r="L3412" s="148">
        <v>15.436680000000001</v>
      </c>
      <c r="M3412" s="148">
        <v>0</v>
      </c>
      <c r="N3412" s="148">
        <v>15.436680000000001</v>
      </c>
      <c r="O3412" s="148">
        <v>0</v>
      </c>
      <c r="P3412" s="148">
        <v>15.436680000000001</v>
      </c>
      <c r="Q3412" s="148">
        <v>0</v>
      </c>
      <c r="R3412" s="148">
        <v>0</v>
      </c>
    </row>
    <row r="3413" spans="1:18" ht="15.75" hidden="1" thickBot="1" x14ac:dyDescent="0.3">
      <c r="A3413" s="199" t="str">
        <f t="shared" si="12"/>
        <v>CUST CONTACT CENTERCONFERENCE TRAVEL</v>
      </c>
      <c r="B3413" s="724" t="s">
        <v>158</v>
      </c>
      <c r="C3413" s="722" t="s">
        <v>77</v>
      </c>
      <c r="D3413" t="s">
        <v>78</v>
      </c>
      <c r="E3413" s="147">
        <v>0.39900000000000002</v>
      </c>
      <c r="F3413" s="147">
        <v>4.75</v>
      </c>
      <c r="G3413" s="147">
        <v>-4.351</v>
      </c>
      <c r="H3413" s="147">
        <v>-91.6</v>
      </c>
      <c r="I3413" s="729"/>
      <c r="J3413" s="147">
        <v>0.39900000000000002</v>
      </c>
      <c r="K3413" s="147">
        <v>0</v>
      </c>
      <c r="L3413" s="147">
        <v>35.57246</v>
      </c>
      <c r="M3413" s="147">
        <v>57</v>
      </c>
      <c r="N3413" s="147">
        <v>-21.42754</v>
      </c>
      <c r="O3413" s="147">
        <v>-37.592175438596492</v>
      </c>
      <c r="P3413" s="147">
        <v>28.489850000000001</v>
      </c>
      <c r="Q3413" s="147">
        <v>7.0826099999999999</v>
      </c>
      <c r="R3413" s="147">
        <v>24.860116848632057</v>
      </c>
    </row>
    <row r="3414" spans="1:18" ht="15.75" hidden="1" thickBot="1" x14ac:dyDescent="0.3">
      <c r="A3414" s="199" t="str">
        <f t="shared" si="12"/>
        <v>CUST CONTACT CENTERBUSINESS TRAVEL</v>
      </c>
      <c r="B3414" s="724" t="s">
        <v>158</v>
      </c>
      <c r="C3414" s="722" t="s">
        <v>79</v>
      </c>
      <c r="D3414" t="s">
        <v>80</v>
      </c>
      <c r="E3414" s="728"/>
      <c r="F3414" s="728"/>
      <c r="G3414" s="728"/>
      <c r="H3414" s="728"/>
      <c r="I3414" s="728"/>
      <c r="J3414" s="728"/>
      <c r="K3414" s="728"/>
      <c r="L3414" s="148">
        <v>5.1499999999999997E-2</v>
      </c>
      <c r="M3414" s="728"/>
      <c r="N3414" s="148">
        <v>5.1499999999999997E-2</v>
      </c>
      <c r="O3414" s="148">
        <v>0</v>
      </c>
      <c r="P3414" s="148">
        <v>5.1499999999999997E-2</v>
      </c>
      <c r="Q3414" s="148">
        <v>0</v>
      </c>
      <c r="R3414" s="148">
        <v>0</v>
      </c>
    </row>
    <row r="3415" spans="1:18" ht="15.75" hidden="1" thickBot="1" x14ac:dyDescent="0.3">
      <c r="A3415" s="199" t="str">
        <f t="shared" si="12"/>
        <v>CUST CONTACT CENTEREMPLOYEE AWARDS</v>
      </c>
      <c r="B3415" s="724" t="s">
        <v>158</v>
      </c>
      <c r="C3415" s="722" t="s">
        <v>81</v>
      </c>
      <c r="D3415" t="s">
        <v>82</v>
      </c>
      <c r="E3415" s="147">
        <v>8.6425800000000006</v>
      </c>
      <c r="F3415" s="147">
        <v>12.605</v>
      </c>
      <c r="G3415" s="147">
        <v>-3.9624199999999998</v>
      </c>
      <c r="H3415" s="147">
        <v>-31.435303451011503</v>
      </c>
      <c r="I3415" s="729"/>
      <c r="J3415" s="147">
        <v>8.6425800000000006</v>
      </c>
      <c r="K3415" s="147">
        <v>0</v>
      </c>
      <c r="L3415" s="147">
        <v>25.267949999999999</v>
      </c>
      <c r="M3415" s="147">
        <v>34.142000000000003</v>
      </c>
      <c r="N3415" s="147">
        <v>-8.8740500000000004</v>
      </c>
      <c r="O3415" s="147">
        <v>-25.991593931228397</v>
      </c>
      <c r="P3415" s="147">
        <v>10.65868</v>
      </c>
      <c r="Q3415" s="147">
        <v>14.60927</v>
      </c>
      <c r="R3415" s="147">
        <v>137.06453331932283</v>
      </c>
    </row>
    <row r="3416" spans="1:18" ht="15.75" hidden="1" thickBot="1" x14ac:dyDescent="0.3">
      <c r="A3416" s="199" t="str">
        <f t="shared" si="12"/>
        <v>CUST CONTACT CENTEREMPLOYEE AWRDS MLS &amp;</v>
      </c>
      <c r="B3416" s="724" t="s">
        <v>158</v>
      </c>
      <c r="C3416" s="722" t="s">
        <v>123</v>
      </c>
      <c r="D3416" t="s">
        <v>124</v>
      </c>
      <c r="E3416" s="728"/>
      <c r="F3416" s="728"/>
      <c r="G3416" s="728"/>
      <c r="H3416" s="728"/>
      <c r="I3416" s="728"/>
      <c r="J3416" s="728"/>
      <c r="K3416" s="728"/>
      <c r="L3416" s="148">
        <v>0.20824999999999999</v>
      </c>
      <c r="M3416" s="728"/>
      <c r="N3416" s="148">
        <v>0.20824999999999999</v>
      </c>
      <c r="O3416" s="148">
        <v>0</v>
      </c>
      <c r="P3416" s="148">
        <v>0.13120999999999999</v>
      </c>
      <c r="Q3416" s="148">
        <v>7.7039999999999997E-2</v>
      </c>
      <c r="R3416" s="148">
        <v>58.715036963646064</v>
      </c>
    </row>
    <row r="3417" spans="1:18" ht="15.75" hidden="1" thickBot="1" x14ac:dyDescent="0.3">
      <c r="A3417" s="199" t="str">
        <f t="shared" si="12"/>
        <v>CUST CONTACT CENTERMISC. EXPENSE BUDGET</v>
      </c>
      <c r="B3417" s="724" t="s">
        <v>158</v>
      </c>
      <c r="C3417" s="722" t="s">
        <v>83</v>
      </c>
      <c r="D3417" t="s">
        <v>84</v>
      </c>
      <c r="E3417" s="729"/>
      <c r="F3417" s="147">
        <v>0.99965999999999999</v>
      </c>
      <c r="G3417" s="147">
        <v>-0.99965999999999999</v>
      </c>
      <c r="H3417" s="147">
        <v>-100</v>
      </c>
      <c r="I3417" s="729"/>
      <c r="J3417" s="729"/>
      <c r="K3417" s="729"/>
      <c r="L3417" s="729"/>
      <c r="M3417" s="147">
        <v>11.99592</v>
      </c>
      <c r="N3417" s="147">
        <v>-11.99592</v>
      </c>
      <c r="O3417" s="147">
        <v>-100</v>
      </c>
      <c r="P3417" s="729"/>
      <c r="Q3417" s="729"/>
      <c r="R3417" s="729"/>
    </row>
    <row r="3418" spans="1:18" ht="18.75" thickBot="1" x14ac:dyDescent="0.3">
      <c r="A3418" s="199" t="str">
        <f t="shared" si="12"/>
        <v>CUST CONTACT CENTERNon-Payroll</v>
      </c>
      <c r="B3418" s="724" t="s">
        <v>158</v>
      </c>
      <c r="C3418" s="149" t="s">
        <v>85</v>
      </c>
      <c r="D3418" t="s">
        <v>86</v>
      </c>
      <c r="E3418" s="148">
        <v>190.36856</v>
      </c>
      <c r="F3418" s="148">
        <v>218.16990999999999</v>
      </c>
      <c r="G3418" s="148">
        <v>-27.801349999999999</v>
      </c>
      <c r="H3418" s="148">
        <v>-12.742980917946017</v>
      </c>
      <c r="I3418" s="728"/>
      <c r="J3418" s="148">
        <v>190.36856</v>
      </c>
      <c r="K3418" s="148">
        <v>0</v>
      </c>
      <c r="L3418" s="739">
        <v>2142.7964099999999</v>
      </c>
      <c r="M3418" s="148">
        <v>2227.4909200000002</v>
      </c>
      <c r="N3418" s="148">
        <v>-84.694509999999994</v>
      </c>
      <c r="O3418" s="148">
        <v>-3.8022381702907233</v>
      </c>
      <c r="P3418" s="148">
        <v>1176.10943</v>
      </c>
      <c r="Q3418" s="148">
        <v>966.68697999999995</v>
      </c>
      <c r="R3418" s="148">
        <v>82.193625469017789</v>
      </c>
    </row>
    <row r="3419" spans="1:18" ht="15.75" hidden="1" thickBot="1" x14ac:dyDescent="0.3">
      <c r="A3419" s="199" t="str">
        <f t="shared" si="12"/>
        <v>CUST CONTACT CENTEREXPENSE ACCOUNTS</v>
      </c>
      <c r="B3419" s="724" t="s">
        <v>158</v>
      </c>
      <c r="C3419" s="144" t="s">
        <v>87</v>
      </c>
      <c r="D3419" t="s">
        <v>87</v>
      </c>
      <c r="E3419" s="147">
        <v>971.89270999999997</v>
      </c>
      <c r="F3419" s="147">
        <v>1168.7870499999999</v>
      </c>
      <c r="G3419" s="147">
        <v>-196.89434</v>
      </c>
      <c r="H3419" s="147">
        <v>-16.84604051696158</v>
      </c>
      <c r="I3419" s="729"/>
      <c r="J3419" s="147">
        <v>971.89270999999997</v>
      </c>
      <c r="K3419" s="147">
        <v>0</v>
      </c>
      <c r="L3419" s="147">
        <v>12483.82602</v>
      </c>
      <c r="M3419" s="147">
        <v>13249.70362</v>
      </c>
      <c r="N3419" s="147">
        <v>-765.87760000000003</v>
      </c>
      <c r="O3419" s="147">
        <v>-5.7803375982231975</v>
      </c>
      <c r="P3419" s="147">
        <v>6263.2558200000003</v>
      </c>
      <c r="Q3419" s="147">
        <v>6220.5702000000001</v>
      </c>
      <c r="R3419" s="147">
        <v>99.318475546477046</v>
      </c>
    </row>
    <row r="3420" spans="1:18" ht="15.75" hidden="1" thickBot="1" x14ac:dyDescent="0.3">
      <c r="A3420" s="199" t="str">
        <f t="shared" si="12"/>
        <v>ACCOUNT SERVICESSALARY PAYROLL</v>
      </c>
      <c r="B3420" s="724" t="s">
        <v>88</v>
      </c>
      <c r="C3420" s="722" t="s">
        <v>59</v>
      </c>
      <c r="D3420" t="s">
        <v>60</v>
      </c>
      <c r="E3420" s="148">
        <v>19.359660000000002</v>
      </c>
      <c r="F3420" s="148">
        <v>22.658380000000001</v>
      </c>
      <c r="G3420" s="148">
        <v>-3.2987199999999999</v>
      </c>
      <c r="H3420" s="148">
        <v>-14.558498886504683</v>
      </c>
      <c r="I3420" s="728"/>
      <c r="J3420" s="148">
        <v>19.359660000000002</v>
      </c>
      <c r="K3420" s="148">
        <v>0</v>
      </c>
      <c r="L3420" s="148">
        <v>269.06716999999998</v>
      </c>
      <c r="M3420" s="148">
        <v>270.47412000000003</v>
      </c>
      <c r="N3420" s="148">
        <v>-1.4069499999999999</v>
      </c>
      <c r="O3420" s="148">
        <v>-0.5201791579911601</v>
      </c>
      <c r="P3420" s="148">
        <v>137.71967000000001</v>
      </c>
      <c r="Q3420" s="148">
        <v>131.3475</v>
      </c>
      <c r="R3420" s="148">
        <v>95.373086502458222</v>
      </c>
    </row>
    <row r="3421" spans="1:18" ht="15.75" hidden="1" thickBot="1" x14ac:dyDescent="0.3">
      <c r="A3421" s="199" t="str">
        <f t="shared" si="12"/>
        <v>ACCOUNT SERVICESHOURLY DOUBLE PAY</v>
      </c>
      <c r="B3421" s="724" t="s">
        <v>88</v>
      </c>
      <c r="C3421" s="722" t="s">
        <v>89</v>
      </c>
      <c r="D3421" t="s">
        <v>90</v>
      </c>
      <c r="E3421" s="147">
        <v>0.43184</v>
      </c>
      <c r="F3421" s="729"/>
      <c r="G3421" s="147">
        <v>0.43184</v>
      </c>
      <c r="H3421" s="147">
        <v>0</v>
      </c>
      <c r="I3421" s="729"/>
      <c r="J3421" s="147">
        <v>0.43184</v>
      </c>
      <c r="K3421" s="147">
        <v>0</v>
      </c>
      <c r="L3421" s="147">
        <v>0.43184</v>
      </c>
      <c r="M3421" s="729"/>
      <c r="N3421" s="147">
        <v>0.43184</v>
      </c>
      <c r="O3421" s="147">
        <v>0</v>
      </c>
      <c r="P3421" s="729"/>
      <c r="Q3421" s="147">
        <v>0.43184</v>
      </c>
      <c r="R3421" s="147">
        <v>0</v>
      </c>
    </row>
    <row r="3422" spans="1:18" ht="15.75" hidden="1" thickBot="1" x14ac:dyDescent="0.3">
      <c r="A3422" s="199" t="str">
        <f t="shared" si="12"/>
        <v>ACCOUNT SERVICESHOURLY REGULAR  PAY</v>
      </c>
      <c r="B3422" s="724" t="s">
        <v>88</v>
      </c>
      <c r="C3422" s="722" t="s">
        <v>91</v>
      </c>
      <c r="D3422" t="s">
        <v>92</v>
      </c>
      <c r="E3422" s="148">
        <v>35.848289999999999</v>
      </c>
      <c r="F3422" s="148">
        <v>50.473230000000001</v>
      </c>
      <c r="G3422" s="148">
        <v>-14.62494</v>
      </c>
      <c r="H3422" s="148">
        <v>-28.975637184305423</v>
      </c>
      <c r="I3422" s="728"/>
      <c r="J3422" s="148">
        <v>35.848289999999999</v>
      </c>
      <c r="K3422" s="148">
        <v>0</v>
      </c>
      <c r="L3422" s="148">
        <v>593.11442</v>
      </c>
      <c r="M3422" s="148">
        <v>589.50777000000005</v>
      </c>
      <c r="N3422" s="148">
        <v>3.6066500000000001</v>
      </c>
      <c r="O3422" s="148">
        <v>0.61180703351882881</v>
      </c>
      <c r="P3422" s="148">
        <v>297.77510999999998</v>
      </c>
      <c r="Q3422" s="148">
        <v>295.33931000000001</v>
      </c>
      <c r="R3422" s="148">
        <v>99.182000134262395</v>
      </c>
    </row>
    <row r="3423" spans="1:18" ht="15.75" hidden="1" thickBot="1" x14ac:dyDescent="0.3">
      <c r="A3423" s="199" t="str">
        <f t="shared" si="12"/>
        <v>ACCOUNT SERVICESHOURLY OVERTIME PAY</v>
      </c>
      <c r="B3423" s="724" t="s">
        <v>88</v>
      </c>
      <c r="C3423" s="722" t="s">
        <v>93</v>
      </c>
      <c r="D3423" t="s">
        <v>94</v>
      </c>
      <c r="E3423" s="147">
        <v>0.99670000000000003</v>
      </c>
      <c r="F3423" s="147">
        <v>0.70655999999999997</v>
      </c>
      <c r="G3423" s="147">
        <v>0.29014000000000001</v>
      </c>
      <c r="H3423" s="147">
        <v>41.063745471014492</v>
      </c>
      <c r="I3423" s="729"/>
      <c r="J3423" s="147">
        <v>0.99670000000000003</v>
      </c>
      <c r="K3423" s="147">
        <v>0</v>
      </c>
      <c r="L3423" s="147">
        <v>6.4200299999999997</v>
      </c>
      <c r="M3423" s="147">
        <v>8.2523400000000002</v>
      </c>
      <c r="N3423" s="147">
        <v>-1.8323100000000001</v>
      </c>
      <c r="O3423" s="147">
        <v>-22.203520456016111</v>
      </c>
      <c r="P3423" s="147">
        <v>2.5403199999999999</v>
      </c>
      <c r="Q3423" s="147">
        <v>3.8797100000000002</v>
      </c>
      <c r="R3423" s="147">
        <v>152.72524721294954</v>
      </c>
    </row>
    <row r="3424" spans="1:18" ht="15.75" hidden="1" thickBot="1" x14ac:dyDescent="0.3">
      <c r="A3424" s="199" t="str">
        <f t="shared" si="12"/>
        <v>ACCOUNT SERVICESVACATION, SICK &amp; HOL</v>
      </c>
      <c r="B3424" s="724" t="s">
        <v>88</v>
      </c>
      <c r="C3424" s="722" t="s">
        <v>61</v>
      </c>
      <c r="D3424" t="s">
        <v>62</v>
      </c>
      <c r="E3424" s="148">
        <v>11.237880000000001</v>
      </c>
      <c r="F3424" s="148">
        <v>11.3354</v>
      </c>
      <c r="G3424" s="148">
        <v>-9.7519999999999996E-2</v>
      </c>
      <c r="H3424" s="148">
        <v>-0.86031370750039704</v>
      </c>
      <c r="I3424" s="728"/>
      <c r="J3424" s="148">
        <v>11.237880000000001</v>
      </c>
      <c r="K3424" s="148">
        <v>0</v>
      </c>
      <c r="L3424" s="148">
        <v>134.81657999999999</v>
      </c>
      <c r="M3424" s="148">
        <v>133.29723999999999</v>
      </c>
      <c r="N3424" s="148">
        <v>1.5193399999999999</v>
      </c>
      <c r="O3424" s="148">
        <v>1.1398135475273157</v>
      </c>
      <c r="P3424" s="148">
        <v>66.892219999999995</v>
      </c>
      <c r="Q3424" s="148">
        <v>67.924359999999993</v>
      </c>
      <c r="R3424" s="148">
        <v>101.54298960327525</v>
      </c>
    </row>
    <row r="3425" spans="1:18" ht="15.75" hidden="1" thickBot="1" x14ac:dyDescent="0.3">
      <c r="A3425" s="199" t="str">
        <f t="shared" si="12"/>
        <v>ACCOUNT SERVICESPAYROLL OVERHEAD</v>
      </c>
      <c r="B3425" s="724" t="s">
        <v>88</v>
      </c>
      <c r="C3425" s="722" t="s">
        <v>63</v>
      </c>
      <c r="D3425" t="s">
        <v>64</v>
      </c>
      <c r="E3425" s="147">
        <v>43.890880000000003</v>
      </c>
      <c r="F3425" s="147">
        <v>44.09836</v>
      </c>
      <c r="G3425" s="147">
        <v>-0.20748</v>
      </c>
      <c r="H3425" s="147">
        <v>-0.47049368729358643</v>
      </c>
      <c r="I3425" s="729"/>
      <c r="J3425" s="147">
        <v>43.890880000000003</v>
      </c>
      <c r="K3425" s="147">
        <v>0</v>
      </c>
      <c r="L3425" s="147">
        <v>524.89295000000004</v>
      </c>
      <c r="M3425" s="147">
        <v>518.56910000000005</v>
      </c>
      <c r="N3425" s="147">
        <v>6.3238500000000002</v>
      </c>
      <c r="O3425" s="147">
        <v>1.2194806825165634</v>
      </c>
      <c r="P3425" s="147">
        <v>260.29784999999998</v>
      </c>
      <c r="Q3425" s="147">
        <v>264.5951</v>
      </c>
      <c r="R3425" s="147">
        <v>101.65089723176737</v>
      </c>
    </row>
    <row r="3426" spans="1:18" ht="15.75" hidden="1" thickBot="1" x14ac:dyDescent="0.3">
      <c r="A3426" s="199" t="str">
        <f t="shared" si="12"/>
        <v>ACCOUNT SERVICESSALARY PAYROLL ZTFSO</v>
      </c>
      <c r="B3426" s="724" t="s">
        <v>88</v>
      </c>
      <c r="C3426" s="722" t="s">
        <v>65</v>
      </c>
      <c r="D3426" t="s">
        <v>66</v>
      </c>
      <c r="E3426" s="148">
        <v>-4.6626000000000003</v>
      </c>
      <c r="F3426" s="148">
        <v>-5.85067</v>
      </c>
      <c r="G3426" s="148">
        <v>1.18807</v>
      </c>
      <c r="H3426" s="148">
        <v>20.306563179943495</v>
      </c>
      <c r="I3426" s="728"/>
      <c r="J3426" s="148">
        <v>-4.6626000000000003</v>
      </c>
      <c r="K3426" s="148">
        <v>0</v>
      </c>
      <c r="L3426" s="148">
        <v>-67.730279999999993</v>
      </c>
      <c r="M3426" s="148">
        <v>-69.83972</v>
      </c>
      <c r="N3426" s="148">
        <v>2.1094400000000002</v>
      </c>
      <c r="O3426" s="148">
        <v>3.0204015709112237</v>
      </c>
      <c r="P3426" s="148">
        <v>-35.402920000000002</v>
      </c>
      <c r="Q3426" s="148">
        <v>-32.327359999999999</v>
      </c>
      <c r="R3426" s="148">
        <v>-91.312693981174434</v>
      </c>
    </row>
    <row r="3427" spans="1:18" ht="18.75" thickBot="1" x14ac:dyDescent="0.3">
      <c r="A3427" s="199" t="str">
        <f t="shared" si="12"/>
        <v>ACCOUNT SERVICESPayroll</v>
      </c>
      <c r="B3427" s="724" t="s">
        <v>88</v>
      </c>
      <c r="C3427" s="149" t="s">
        <v>67</v>
      </c>
      <c r="D3427" t="s">
        <v>68</v>
      </c>
      <c r="E3427" s="147">
        <v>107.10265</v>
      </c>
      <c r="F3427" s="147">
        <v>123.42126</v>
      </c>
      <c r="G3427" s="147">
        <v>-16.31861</v>
      </c>
      <c r="H3427" s="147">
        <v>-13.221879277524796</v>
      </c>
      <c r="I3427" s="729"/>
      <c r="J3427" s="147">
        <v>107.10265</v>
      </c>
      <c r="K3427" s="147">
        <v>0</v>
      </c>
      <c r="L3427" s="739">
        <v>1461.01271</v>
      </c>
      <c r="M3427" s="147">
        <v>1450.2608499999999</v>
      </c>
      <c r="N3427" s="147">
        <v>10.751860000000001</v>
      </c>
      <c r="O3427" s="147">
        <v>0.74137421554198335</v>
      </c>
      <c r="P3427" s="147">
        <v>729.82225000000005</v>
      </c>
      <c r="Q3427" s="147">
        <v>731.19046000000003</v>
      </c>
      <c r="R3427" s="147">
        <v>100.18747167546618</v>
      </c>
    </row>
    <row r="3428" spans="1:18" ht="15.75" hidden="1" thickBot="1" x14ac:dyDescent="0.3">
      <c r="A3428" s="199" t="str">
        <f t="shared" si="12"/>
        <v>ACCOUNT SERVICESEDUCATION</v>
      </c>
      <c r="B3428" s="724" t="s">
        <v>88</v>
      </c>
      <c r="C3428" s="722" t="s">
        <v>69</v>
      </c>
      <c r="D3428" t="s">
        <v>70</v>
      </c>
      <c r="E3428" s="728"/>
      <c r="F3428" s="728"/>
      <c r="G3428" s="728"/>
      <c r="H3428" s="728"/>
      <c r="I3428" s="728"/>
      <c r="J3428" s="728"/>
      <c r="K3428" s="728"/>
      <c r="L3428" s="148">
        <v>2.6141399999999999</v>
      </c>
      <c r="M3428" s="728"/>
      <c r="N3428" s="148">
        <v>2.6141399999999999</v>
      </c>
      <c r="O3428" s="148">
        <v>0</v>
      </c>
      <c r="P3428" s="148">
        <v>0.29899999999999999</v>
      </c>
      <c r="Q3428" s="148">
        <v>2.31514</v>
      </c>
      <c r="R3428" s="148">
        <v>774.29431438127085</v>
      </c>
    </row>
    <row r="3429" spans="1:18" ht="15.75" hidden="1" thickBot="1" x14ac:dyDescent="0.3">
      <c r="A3429" s="199" t="str">
        <f t="shared" si="12"/>
        <v>ACCOUNT SERVICESMILEAGE REIMBURSE</v>
      </c>
      <c r="B3429" s="724" t="s">
        <v>88</v>
      </c>
      <c r="C3429" s="722" t="s">
        <v>137</v>
      </c>
      <c r="D3429" t="s">
        <v>138</v>
      </c>
      <c r="E3429" s="729"/>
      <c r="F3429" s="729"/>
      <c r="G3429" s="729"/>
      <c r="H3429" s="729"/>
      <c r="I3429" s="729"/>
      <c r="J3429" s="729"/>
      <c r="K3429" s="729"/>
      <c r="L3429" s="147">
        <v>0.20394000000000001</v>
      </c>
      <c r="M3429" s="729"/>
      <c r="N3429" s="147">
        <v>0.20394000000000001</v>
      </c>
      <c r="O3429" s="147">
        <v>0</v>
      </c>
      <c r="P3429" s="147">
        <v>0.20394000000000001</v>
      </c>
      <c r="Q3429" s="147">
        <v>0</v>
      </c>
      <c r="R3429" s="147">
        <v>0</v>
      </c>
    </row>
    <row r="3430" spans="1:18" ht="15.75" hidden="1" thickBot="1" x14ac:dyDescent="0.3">
      <c r="A3430" s="199" t="str">
        <f t="shared" si="12"/>
        <v>ACCOUNT SERVICESEQUIPMENT</v>
      </c>
      <c r="B3430" s="724" t="s">
        <v>88</v>
      </c>
      <c r="C3430" s="722" t="s">
        <v>36</v>
      </c>
      <c r="D3430" t="s">
        <v>192</v>
      </c>
      <c r="E3430" s="728"/>
      <c r="F3430" s="728"/>
      <c r="G3430" s="728"/>
      <c r="H3430" s="728"/>
      <c r="I3430" s="728"/>
      <c r="J3430" s="728"/>
      <c r="K3430" s="728"/>
      <c r="L3430" s="148">
        <v>1.31945</v>
      </c>
      <c r="M3430" s="728"/>
      <c r="N3430" s="148">
        <v>1.31945</v>
      </c>
      <c r="O3430" s="148">
        <v>0</v>
      </c>
      <c r="P3430" s="728"/>
      <c r="Q3430" s="148">
        <v>1.31945</v>
      </c>
      <c r="R3430" s="148">
        <v>0</v>
      </c>
    </row>
    <row r="3431" spans="1:18" ht="15.75" hidden="1" thickBot="1" x14ac:dyDescent="0.3">
      <c r="A3431" s="199" t="str">
        <f t="shared" si="12"/>
        <v>ACCOUNT SERVICESDUES/MEMBERSHIP</v>
      </c>
      <c r="B3431" s="724" t="s">
        <v>88</v>
      </c>
      <c r="C3431" s="722" t="s">
        <v>139</v>
      </c>
      <c r="D3431" t="s">
        <v>140</v>
      </c>
      <c r="E3431" s="729"/>
      <c r="F3431" s="729"/>
      <c r="G3431" s="729"/>
      <c r="H3431" s="729"/>
      <c r="I3431" s="729"/>
      <c r="J3431" s="729"/>
      <c r="K3431" s="729"/>
      <c r="L3431" s="147">
        <v>1.875</v>
      </c>
      <c r="M3431" s="729"/>
      <c r="N3431" s="147">
        <v>1.875</v>
      </c>
      <c r="O3431" s="147">
        <v>0</v>
      </c>
      <c r="P3431" s="147">
        <v>1.875</v>
      </c>
      <c r="Q3431" s="147">
        <v>0</v>
      </c>
      <c r="R3431" s="147">
        <v>0</v>
      </c>
    </row>
    <row r="3432" spans="1:18" ht="15.75" hidden="1" thickBot="1" x14ac:dyDescent="0.3">
      <c r="A3432" s="199" t="str">
        <f t="shared" si="12"/>
        <v>ACCOUNT SERVICESOTHER CONTRACT WORK</v>
      </c>
      <c r="B3432" s="724" t="s">
        <v>88</v>
      </c>
      <c r="C3432" s="722" t="s">
        <v>101</v>
      </c>
      <c r="D3432" t="s">
        <v>102</v>
      </c>
      <c r="E3432" s="148">
        <v>25.330880000000001</v>
      </c>
      <c r="F3432" s="148">
        <v>25.85</v>
      </c>
      <c r="G3432" s="148">
        <v>-0.51912000000000003</v>
      </c>
      <c r="H3432" s="148">
        <v>-2.0082011605415859</v>
      </c>
      <c r="I3432" s="728"/>
      <c r="J3432" s="148">
        <v>25.330880000000001</v>
      </c>
      <c r="K3432" s="148">
        <v>0</v>
      </c>
      <c r="L3432" s="148">
        <v>311.37301000000002</v>
      </c>
      <c r="M3432" s="148">
        <v>310.2</v>
      </c>
      <c r="N3432" s="148">
        <v>1.1730100000000001</v>
      </c>
      <c r="O3432" s="148">
        <v>0.37814635718891038</v>
      </c>
      <c r="P3432" s="148">
        <v>160.05577</v>
      </c>
      <c r="Q3432" s="148">
        <v>151.31724</v>
      </c>
      <c r="R3432" s="148">
        <v>94.540321789086391</v>
      </c>
    </row>
    <row r="3433" spans="1:18" ht="15.75" hidden="1" thickBot="1" x14ac:dyDescent="0.3">
      <c r="A3433" s="199" t="str">
        <f t="shared" si="12"/>
        <v>ACCOUNT SERVICESMISCELLANEOUS</v>
      </c>
      <c r="B3433" s="724" t="s">
        <v>88</v>
      </c>
      <c r="C3433" s="722" t="s">
        <v>103</v>
      </c>
      <c r="D3433" t="s">
        <v>104</v>
      </c>
      <c r="E3433" s="147">
        <v>0.10399</v>
      </c>
      <c r="F3433" s="729"/>
      <c r="G3433" s="147">
        <v>0.10399</v>
      </c>
      <c r="H3433" s="147">
        <v>0</v>
      </c>
      <c r="I3433" s="729"/>
      <c r="J3433" s="147">
        <v>0.10399</v>
      </c>
      <c r="K3433" s="147">
        <v>0</v>
      </c>
      <c r="L3433" s="147">
        <v>0.55059999999999998</v>
      </c>
      <c r="M3433" s="729"/>
      <c r="N3433" s="147">
        <v>0.55059999999999998</v>
      </c>
      <c r="O3433" s="147">
        <v>0</v>
      </c>
      <c r="P3433" s="147">
        <v>0.44661000000000001</v>
      </c>
      <c r="Q3433" s="147">
        <v>0.10399</v>
      </c>
      <c r="R3433" s="147">
        <v>23.28429726159289</v>
      </c>
    </row>
    <row r="3434" spans="1:18" ht="15.75" hidden="1" thickBot="1" x14ac:dyDescent="0.3">
      <c r="A3434" s="199" t="str">
        <f t="shared" si="12"/>
        <v>ACCOUNT SERVICESP CARD UNCODED CHARG</v>
      </c>
      <c r="B3434" s="724" t="s">
        <v>88</v>
      </c>
      <c r="C3434" s="722" t="s">
        <v>71</v>
      </c>
      <c r="D3434" t="s">
        <v>72</v>
      </c>
      <c r="E3434" s="728"/>
      <c r="F3434" s="728"/>
      <c r="G3434" s="728"/>
      <c r="H3434" s="728"/>
      <c r="I3434" s="728"/>
      <c r="J3434" s="728"/>
      <c r="K3434" s="728"/>
      <c r="L3434" s="148">
        <v>4.385E-2</v>
      </c>
      <c r="M3434" s="728"/>
      <c r="N3434" s="148">
        <v>4.385E-2</v>
      </c>
      <c r="O3434" s="148">
        <v>0</v>
      </c>
      <c r="P3434" s="728"/>
      <c r="Q3434" s="148">
        <v>4.385E-2</v>
      </c>
      <c r="R3434" s="148">
        <v>0</v>
      </c>
    </row>
    <row r="3435" spans="1:18" ht="15.75" hidden="1" thickBot="1" x14ac:dyDescent="0.3">
      <c r="A3435" s="199" t="str">
        <f t="shared" si="12"/>
        <v>ACCOUNT SERVICESBANK CHARGES</v>
      </c>
      <c r="B3435" s="724" t="s">
        <v>88</v>
      </c>
      <c r="C3435" s="722" t="s">
        <v>105</v>
      </c>
      <c r="D3435" t="s">
        <v>106</v>
      </c>
      <c r="E3435" s="147">
        <v>0.05</v>
      </c>
      <c r="F3435" s="729"/>
      <c r="G3435" s="147">
        <v>0.05</v>
      </c>
      <c r="H3435" s="147">
        <v>0</v>
      </c>
      <c r="I3435" s="729"/>
      <c r="J3435" s="147">
        <v>0.05</v>
      </c>
      <c r="K3435" s="147">
        <v>0</v>
      </c>
      <c r="L3435" s="147">
        <v>1.36</v>
      </c>
      <c r="M3435" s="729"/>
      <c r="N3435" s="147">
        <v>1.36</v>
      </c>
      <c r="O3435" s="147">
        <v>0</v>
      </c>
      <c r="P3435" s="147">
        <v>1.26</v>
      </c>
      <c r="Q3435" s="147">
        <v>0.1</v>
      </c>
      <c r="R3435" s="147">
        <v>7.9365079365079367</v>
      </c>
    </row>
    <row r="3436" spans="1:18" ht="15.75" hidden="1" thickBot="1" x14ac:dyDescent="0.3">
      <c r="A3436" s="199" t="str">
        <f t="shared" si="12"/>
        <v>ACCOUNT SERVICESPOSTAGE</v>
      </c>
      <c r="B3436" s="724" t="s">
        <v>88</v>
      </c>
      <c r="C3436" s="722" t="s">
        <v>109</v>
      </c>
      <c r="D3436" t="s">
        <v>110</v>
      </c>
      <c r="E3436" s="148">
        <v>215.32532</v>
      </c>
      <c r="F3436" s="148">
        <v>215.625</v>
      </c>
      <c r="G3436" s="148">
        <v>-0.29968</v>
      </c>
      <c r="H3436" s="148">
        <v>-0.13898202898550724</v>
      </c>
      <c r="I3436" s="728"/>
      <c r="J3436" s="148">
        <v>215.32532</v>
      </c>
      <c r="K3436" s="148">
        <v>0</v>
      </c>
      <c r="L3436" s="148">
        <v>2562.74197</v>
      </c>
      <c r="M3436" s="148">
        <v>2587.5</v>
      </c>
      <c r="N3436" s="148">
        <v>-24.758030000000002</v>
      </c>
      <c r="O3436" s="148">
        <v>-0.956832077294686</v>
      </c>
      <c r="P3436" s="148">
        <v>1280.08107</v>
      </c>
      <c r="Q3436" s="148">
        <v>1282.6609000000001</v>
      </c>
      <c r="R3436" s="148">
        <v>100.20153645424973</v>
      </c>
    </row>
    <row r="3437" spans="1:18" ht="15.75" hidden="1" thickBot="1" x14ac:dyDescent="0.3">
      <c r="A3437" s="199" t="str">
        <f t="shared" si="12"/>
        <v>ACCOUNT SERVICESOFFICE SUPPLIES</v>
      </c>
      <c r="B3437" s="724" t="s">
        <v>88</v>
      </c>
      <c r="C3437" s="722" t="s">
        <v>73</v>
      </c>
      <c r="D3437" t="s">
        <v>74</v>
      </c>
      <c r="E3437" s="147">
        <v>0.33144000000000001</v>
      </c>
      <c r="F3437" s="729"/>
      <c r="G3437" s="147">
        <v>0.33144000000000001</v>
      </c>
      <c r="H3437" s="147">
        <v>0</v>
      </c>
      <c r="I3437" s="729"/>
      <c r="J3437" s="147">
        <v>0.33144000000000001</v>
      </c>
      <c r="K3437" s="147">
        <v>0</v>
      </c>
      <c r="L3437" s="147">
        <v>3.3910999999999998</v>
      </c>
      <c r="M3437" s="729"/>
      <c r="N3437" s="147">
        <v>3.3910999999999998</v>
      </c>
      <c r="O3437" s="147">
        <v>0</v>
      </c>
      <c r="P3437" s="147">
        <v>1.7696499999999999</v>
      </c>
      <c r="Q3437" s="147">
        <v>1.6214500000000001</v>
      </c>
      <c r="R3437" s="147">
        <v>91.625462662108333</v>
      </c>
    </row>
    <row r="3438" spans="1:18" ht="15.75" hidden="1" thickBot="1" x14ac:dyDescent="0.3">
      <c r="A3438" s="199" t="str">
        <f t="shared" si="12"/>
        <v>ACCOUNT SERVICESPRINTING</v>
      </c>
      <c r="B3438" s="724" t="s">
        <v>88</v>
      </c>
      <c r="C3438" s="722" t="s">
        <v>111</v>
      </c>
      <c r="D3438" t="s">
        <v>112</v>
      </c>
      <c r="E3438" s="148">
        <v>25.717099999999999</v>
      </c>
      <c r="F3438" s="148">
        <v>23.274999999999999</v>
      </c>
      <c r="G3438" s="148">
        <v>2.4420999999999999</v>
      </c>
      <c r="H3438" s="148">
        <v>10.492373791621912</v>
      </c>
      <c r="I3438" s="728"/>
      <c r="J3438" s="148">
        <v>25.717099999999999</v>
      </c>
      <c r="K3438" s="148">
        <v>0</v>
      </c>
      <c r="L3438" s="148">
        <v>300.01715999999999</v>
      </c>
      <c r="M3438" s="148">
        <v>279.3</v>
      </c>
      <c r="N3438" s="148">
        <v>20.71716</v>
      </c>
      <c r="O3438" s="148">
        <v>7.417529538131042</v>
      </c>
      <c r="P3438" s="148">
        <v>162.28357</v>
      </c>
      <c r="Q3438" s="148">
        <v>137.73358999999999</v>
      </c>
      <c r="R3438" s="148">
        <v>84.872171594450379</v>
      </c>
    </row>
    <row r="3439" spans="1:18" ht="15.75" hidden="1" thickBot="1" x14ac:dyDescent="0.3">
      <c r="A3439" s="199" t="str">
        <f t="shared" si="12"/>
        <v>ACCOUNT SERVICESREFRESHMENTS</v>
      </c>
      <c r="B3439" s="724" t="s">
        <v>88</v>
      </c>
      <c r="C3439" s="722" t="s">
        <v>113</v>
      </c>
      <c r="D3439" t="s">
        <v>114</v>
      </c>
      <c r="E3439" s="147">
        <v>7.0790000000000006E-2</v>
      </c>
      <c r="F3439" s="729"/>
      <c r="G3439" s="147">
        <v>7.0790000000000006E-2</v>
      </c>
      <c r="H3439" s="147">
        <v>0</v>
      </c>
      <c r="I3439" s="729"/>
      <c r="J3439" s="147">
        <v>7.0790000000000006E-2</v>
      </c>
      <c r="K3439" s="147">
        <v>0</v>
      </c>
      <c r="L3439" s="147">
        <v>0.22350999999999999</v>
      </c>
      <c r="M3439" s="729"/>
      <c r="N3439" s="147">
        <v>0.22350999999999999</v>
      </c>
      <c r="O3439" s="147">
        <v>0</v>
      </c>
      <c r="P3439" s="147">
        <v>0.10473</v>
      </c>
      <c r="Q3439" s="147">
        <v>0.11878</v>
      </c>
      <c r="R3439" s="147">
        <v>113.41544925045355</v>
      </c>
    </row>
    <row r="3440" spans="1:18" ht="15.75" hidden="1" thickBot="1" x14ac:dyDescent="0.3">
      <c r="A3440" s="199" t="str">
        <f t="shared" si="12"/>
        <v>ACCOUNT SERVICESPAYSTATION COMMISSIO</v>
      </c>
      <c r="B3440" s="724" t="s">
        <v>88</v>
      </c>
      <c r="C3440" s="722" t="s">
        <v>115</v>
      </c>
      <c r="D3440" t="s">
        <v>116</v>
      </c>
      <c r="E3440" s="148">
        <v>2.4685999999999999</v>
      </c>
      <c r="F3440" s="148">
        <v>3.7833299999999999</v>
      </c>
      <c r="G3440" s="148">
        <v>-1.31473</v>
      </c>
      <c r="H3440" s="148">
        <v>-34.750603304496302</v>
      </c>
      <c r="I3440" s="728"/>
      <c r="J3440" s="148">
        <v>2.4685999999999999</v>
      </c>
      <c r="K3440" s="148">
        <v>0</v>
      </c>
      <c r="L3440" s="148">
        <v>33.26305</v>
      </c>
      <c r="M3440" s="148">
        <v>45.39996</v>
      </c>
      <c r="N3440" s="148">
        <v>-12.13691</v>
      </c>
      <c r="O3440" s="148">
        <v>-26.733305491899113</v>
      </c>
      <c r="P3440" s="148">
        <v>18.336349999999999</v>
      </c>
      <c r="Q3440" s="148">
        <v>14.9267</v>
      </c>
      <c r="R3440" s="148">
        <v>81.404968818767088</v>
      </c>
    </row>
    <row r="3441" spans="1:18" ht="15.75" hidden="1" thickBot="1" x14ac:dyDescent="0.3">
      <c r="A3441" s="199" t="str">
        <f t="shared" si="12"/>
        <v>ACCOUNT SERVICESCASH RECEIPTS</v>
      </c>
      <c r="B3441" s="724" t="s">
        <v>88</v>
      </c>
      <c r="C3441" s="722" t="s">
        <v>117</v>
      </c>
      <c r="D3441" t="s">
        <v>118</v>
      </c>
      <c r="E3441" s="147">
        <v>-3.6526900000000002</v>
      </c>
      <c r="F3441" s="147">
        <v>-3.75</v>
      </c>
      <c r="G3441" s="147">
        <v>9.7309999999999994E-2</v>
      </c>
      <c r="H3441" s="147">
        <v>2.5949333333333335</v>
      </c>
      <c r="I3441" s="729"/>
      <c r="J3441" s="147">
        <v>-3.6526900000000002</v>
      </c>
      <c r="K3441" s="147">
        <v>0</v>
      </c>
      <c r="L3441" s="147">
        <v>-41.435139999999997</v>
      </c>
      <c r="M3441" s="147">
        <v>-45</v>
      </c>
      <c r="N3441" s="147">
        <v>3.5648599999999999</v>
      </c>
      <c r="O3441" s="147">
        <v>7.9219111111111111</v>
      </c>
      <c r="P3441" s="147">
        <v>-20.485099999999999</v>
      </c>
      <c r="Q3441" s="147">
        <v>-20.950040000000001</v>
      </c>
      <c r="R3441" s="147">
        <v>-102.26964964779279</v>
      </c>
    </row>
    <row r="3442" spans="1:18" ht="15.75" hidden="1" thickBot="1" x14ac:dyDescent="0.3">
      <c r="A3442" s="199" t="str">
        <f t="shared" si="12"/>
        <v>ACCOUNT SERVICESPROFESSIONAL SERVICE</v>
      </c>
      <c r="B3442" s="724" t="s">
        <v>88</v>
      </c>
      <c r="C3442" s="722" t="s">
        <v>149</v>
      </c>
      <c r="D3442" t="s">
        <v>150</v>
      </c>
      <c r="E3442" s="728"/>
      <c r="F3442" s="728"/>
      <c r="G3442" s="728"/>
      <c r="H3442" s="728"/>
      <c r="I3442" s="728"/>
      <c r="J3442" s="728"/>
      <c r="K3442" s="728"/>
      <c r="L3442" s="148">
        <v>0.48</v>
      </c>
      <c r="M3442" s="728"/>
      <c r="N3442" s="148">
        <v>0.48</v>
      </c>
      <c r="O3442" s="148">
        <v>0</v>
      </c>
      <c r="P3442" s="148">
        <v>0.48</v>
      </c>
      <c r="Q3442" s="148">
        <v>0</v>
      </c>
      <c r="R3442" s="148">
        <v>0</v>
      </c>
    </row>
    <row r="3443" spans="1:18" ht="15.75" hidden="1" thickBot="1" x14ac:dyDescent="0.3">
      <c r="A3443" s="199" t="str">
        <f t="shared" si="12"/>
        <v>ACCOUNT SERVICESCUSTOMER RECOVERY</v>
      </c>
      <c r="B3443" s="724" t="s">
        <v>88</v>
      </c>
      <c r="C3443" s="722" t="s">
        <v>171</v>
      </c>
      <c r="D3443" t="s">
        <v>172</v>
      </c>
      <c r="E3443" s="729"/>
      <c r="F3443" s="729"/>
      <c r="G3443" s="729"/>
      <c r="H3443" s="729"/>
      <c r="I3443" s="729"/>
      <c r="J3443" s="729"/>
      <c r="K3443" s="729"/>
      <c r="L3443" s="147">
        <v>-3.5999999999999997E-2</v>
      </c>
      <c r="M3443" s="729"/>
      <c r="N3443" s="147">
        <v>-3.5999999999999997E-2</v>
      </c>
      <c r="O3443" s="147">
        <v>0</v>
      </c>
      <c r="P3443" s="147">
        <v>-3.5999999999999997E-2</v>
      </c>
      <c r="Q3443" s="147">
        <v>0</v>
      </c>
      <c r="R3443" s="147">
        <v>0</v>
      </c>
    </row>
    <row r="3444" spans="1:18" ht="15.75" hidden="1" thickBot="1" x14ac:dyDescent="0.3">
      <c r="A3444" s="199" t="str">
        <f t="shared" si="12"/>
        <v>ACCOUNT SERVICESCOLLECTION FEES</v>
      </c>
      <c r="B3444" s="724" t="s">
        <v>88</v>
      </c>
      <c r="C3444" s="722" t="s">
        <v>119</v>
      </c>
      <c r="D3444" t="s">
        <v>120</v>
      </c>
      <c r="E3444" s="148">
        <v>9.5372599999999998</v>
      </c>
      <c r="F3444" s="148">
        <v>12.125</v>
      </c>
      <c r="G3444" s="148">
        <v>-2.5877400000000002</v>
      </c>
      <c r="H3444" s="148">
        <v>-21.342185567010308</v>
      </c>
      <c r="I3444" s="728"/>
      <c r="J3444" s="148">
        <v>9.5372599999999998</v>
      </c>
      <c r="K3444" s="148">
        <v>0</v>
      </c>
      <c r="L3444" s="148">
        <v>159.29671999999999</v>
      </c>
      <c r="M3444" s="148">
        <v>145.5</v>
      </c>
      <c r="N3444" s="148">
        <v>13.796720000000001</v>
      </c>
      <c r="O3444" s="148">
        <v>9.4822817869415807</v>
      </c>
      <c r="P3444" s="148">
        <v>83.38373</v>
      </c>
      <c r="Q3444" s="148">
        <v>75.912989999999994</v>
      </c>
      <c r="R3444" s="148">
        <v>91.040530328878305</v>
      </c>
    </row>
    <row r="3445" spans="1:18" ht="15.75" hidden="1" thickBot="1" x14ac:dyDescent="0.3">
      <c r="A3445" s="199" t="str">
        <f t="shared" si="12"/>
        <v>ACCOUNT SERVICESCORPORATE IDENTITY</v>
      </c>
      <c r="B3445" s="724" t="s">
        <v>88</v>
      </c>
      <c r="C3445" s="722" t="s">
        <v>153</v>
      </c>
      <c r="D3445" t="s">
        <v>154</v>
      </c>
      <c r="E3445" s="729"/>
      <c r="F3445" s="729"/>
      <c r="G3445" s="729"/>
      <c r="H3445" s="729"/>
      <c r="I3445" s="729"/>
      <c r="J3445" s="729"/>
      <c r="K3445" s="729"/>
      <c r="L3445" s="147">
        <v>1.26044</v>
      </c>
      <c r="M3445" s="729"/>
      <c r="N3445" s="147">
        <v>1.26044</v>
      </c>
      <c r="O3445" s="147">
        <v>0</v>
      </c>
      <c r="P3445" s="147">
        <v>1.26044</v>
      </c>
      <c r="Q3445" s="147">
        <v>0</v>
      </c>
      <c r="R3445" s="147">
        <v>0</v>
      </c>
    </row>
    <row r="3446" spans="1:18" ht="15.75" hidden="1" thickBot="1" x14ac:dyDescent="0.3">
      <c r="A3446" s="199" t="str">
        <f t="shared" ref="A3446:A3453" si="13">B3446&amp;C3446</f>
        <v>ACCOUNT SERVICESMEALS AND ENTERTAIN</v>
      </c>
      <c r="B3446" s="724" t="s">
        <v>88</v>
      </c>
      <c r="C3446" s="722" t="s">
        <v>75</v>
      </c>
      <c r="D3446" t="s">
        <v>76</v>
      </c>
      <c r="E3446" s="728"/>
      <c r="F3446" s="728"/>
      <c r="G3446" s="728"/>
      <c r="H3446" s="728"/>
      <c r="I3446" s="728"/>
      <c r="J3446" s="728"/>
      <c r="K3446" s="728"/>
      <c r="L3446" s="148">
        <v>3.12201</v>
      </c>
      <c r="M3446" s="728"/>
      <c r="N3446" s="148">
        <v>3.12201</v>
      </c>
      <c r="O3446" s="148">
        <v>0</v>
      </c>
      <c r="P3446" s="148">
        <v>2.6414900000000001</v>
      </c>
      <c r="Q3446" s="148">
        <v>0.48052</v>
      </c>
      <c r="R3446" s="148">
        <v>18.191248121325465</v>
      </c>
    </row>
    <row r="3447" spans="1:18" ht="15.75" hidden="1" thickBot="1" x14ac:dyDescent="0.3">
      <c r="A3447" s="199" t="str">
        <f t="shared" si="13"/>
        <v>ACCOUNT SERVICESCONFERENCE TRAVEL</v>
      </c>
      <c r="B3447" s="724" t="s">
        <v>88</v>
      </c>
      <c r="C3447" s="722" t="s">
        <v>77</v>
      </c>
      <c r="D3447" t="s">
        <v>78</v>
      </c>
      <c r="E3447" s="729"/>
      <c r="F3447" s="147">
        <v>0.58299999999999996</v>
      </c>
      <c r="G3447" s="147">
        <v>-0.58299999999999996</v>
      </c>
      <c r="H3447" s="147">
        <v>-100</v>
      </c>
      <c r="I3447" s="729"/>
      <c r="J3447" s="729"/>
      <c r="K3447" s="729"/>
      <c r="L3447" s="147">
        <v>7.16751</v>
      </c>
      <c r="M3447" s="147">
        <v>6.9960000000000004</v>
      </c>
      <c r="N3447" s="147">
        <v>0.17151</v>
      </c>
      <c r="O3447" s="147">
        <v>2.4515437392795882</v>
      </c>
      <c r="P3447" s="147">
        <v>5.7351299999999998</v>
      </c>
      <c r="Q3447" s="147">
        <v>1.43238</v>
      </c>
      <c r="R3447" s="147">
        <v>24.975545454069916</v>
      </c>
    </row>
    <row r="3448" spans="1:18" ht="15.75" hidden="1" thickBot="1" x14ac:dyDescent="0.3">
      <c r="A3448" s="199" t="str">
        <f t="shared" si="13"/>
        <v>ACCOUNT SERVICESBUSINESS TRAVEL</v>
      </c>
      <c r="B3448" s="724" t="s">
        <v>88</v>
      </c>
      <c r="C3448" s="722" t="s">
        <v>79</v>
      </c>
      <c r="D3448" t="s">
        <v>80</v>
      </c>
      <c r="E3448" s="728"/>
      <c r="F3448" s="728"/>
      <c r="G3448" s="728"/>
      <c r="H3448" s="728"/>
      <c r="I3448" s="728"/>
      <c r="J3448" s="728"/>
      <c r="K3448" s="728"/>
      <c r="L3448" s="148">
        <v>0.35383999999999999</v>
      </c>
      <c r="M3448" s="728"/>
      <c r="N3448" s="148">
        <v>0.35383999999999999</v>
      </c>
      <c r="O3448" s="148">
        <v>0</v>
      </c>
      <c r="P3448" s="148">
        <v>0.35383999999999999</v>
      </c>
      <c r="Q3448" s="148">
        <v>0</v>
      </c>
      <c r="R3448" s="148">
        <v>0</v>
      </c>
    </row>
    <row r="3449" spans="1:18" ht="15.75" hidden="1" thickBot="1" x14ac:dyDescent="0.3">
      <c r="A3449" s="199" t="str">
        <f t="shared" si="13"/>
        <v>ACCOUNT SERVICESEMPLOYEE AWARDS</v>
      </c>
      <c r="B3449" s="724" t="s">
        <v>88</v>
      </c>
      <c r="C3449" s="722" t="s">
        <v>81</v>
      </c>
      <c r="D3449" t="s">
        <v>82</v>
      </c>
      <c r="E3449" s="147">
        <v>0.253</v>
      </c>
      <c r="F3449" s="729"/>
      <c r="G3449" s="147">
        <v>0.253</v>
      </c>
      <c r="H3449" s="147">
        <v>0</v>
      </c>
      <c r="I3449" s="729"/>
      <c r="J3449" s="147">
        <v>0.253</v>
      </c>
      <c r="K3449" s="147">
        <v>0</v>
      </c>
      <c r="L3449" s="147">
        <v>0.33789999999999998</v>
      </c>
      <c r="M3449" s="729"/>
      <c r="N3449" s="147">
        <v>0.33789999999999998</v>
      </c>
      <c r="O3449" s="147">
        <v>0</v>
      </c>
      <c r="P3449" s="147">
        <v>8.4900000000000003E-2</v>
      </c>
      <c r="Q3449" s="147">
        <v>0.253</v>
      </c>
      <c r="R3449" s="147">
        <v>297.99764428739695</v>
      </c>
    </row>
    <row r="3450" spans="1:18" ht="15.75" hidden="1" thickBot="1" x14ac:dyDescent="0.3">
      <c r="A3450" s="199" t="str">
        <f t="shared" si="13"/>
        <v>ACCOUNT SERVICESEMPLOYEE AWRDS MLS &amp;</v>
      </c>
      <c r="B3450" s="724" t="s">
        <v>88</v>
      </c>
      <c r="C3450" s="722" t="s">
        <v>123</v>
      </c>
      <c r="D3450" t="s">
        <v>124</v>
      </c>
      <c r="E3450" s="148">
        <v>0.76502999999999999</v>
      </c>
      <c r="F3450" s="728"/>
      <c r="G3450" s="148">
        <v>0.76502999999999999</v>
      </c>
      <c r="H3450" s="148">
        <v>0</v>
      </c>
      <c r="I3450" s="728"/>
      <c r="J3450" s="148">
        <v>0.76502999999999999</v>
      </c>
      <c r="K3450" s="148">
        <v>0</v>
      </c>
      <c r="L3450" s="148">
        <v>1.8161799999999999</v>
      </c>
      <c r="M3450" s="728"/>
      <c r="N3450" s="148">
        <v>1.8161799999999999</v>
      </c>
      <c r="O3450" s="148">
        <v>0</v>
      </c>
      <c r="P3450" s="148">
        <v>0.44114999999999999</v>
      </c>
      <c r="Q3450" s="148">
        <v>1.37503</v>
      </c>
      <c r="R3450" s="148">
        <v>311.69216819675847</v>
      </c>
    </row>
    <row r="3451" spans="1:18" ht="15.75" hidden="1" thickBot="1" x14ac:dyDescent="0.3">
      <c r="A3451" s="199" t="str">
        <f t="shared" si="13"/>
        <v>ACCOUNT SERVICESMISC. EXPENSE BUDGET</v>
      </c>
      <c r="B3451" s="724" t="s">
        <v>88</v>
      </c>
      <c r="C3451" s="722" t="s">
        <v>83</v>
      </c>
      <c r="D3451" t="s">
        <v>84</v>
      </c>
      <c r="E3451" s="729"/>
      <c r="F3451" s="147">
        <v>0.83333000000000002</v>
      </c>
      <c r="G3451" s="147">
        <v>-0.83333000000000002</v>
      </c>
      <c r="H3451" s="147">
        <v>-100</v>
      </c>
      <c r="I3451" s="729"/>
      <c r="J3451" s="729"/>
      <c r="K3451" s="729"/>
      <c r="L3451" s="729"/>
      <c r="M3451" s="147">
        <v>9.9999599999999997</v>
      </c>
      <c r="N3451" s="147">
        <v>-9.9999599999999997</v>
      </c>
      <c r="O3451" s="147">
        <v>-100</v>
      </c>
      <c r="P3451" s="729"/>
      <c r="Q3451" s="729"/>
      <c r="R3451" s="729"/>
    </row>
    <row r="3452" spans="1:18" ht="18.75" thickBot="1" x14ac:dyDescent="0.3">
      <c r="A3452" s="199" t="str">
        <f t="shared" si="13"/>
        <v>ACCOUNT SERVICESNon-Payroll</v>
      </c>
      <c r="B3452" s="724" t="s">
        <v>88</v>
      </c>
      <c r="C3452" s="149" t="s">
        <v>85</v>
      </c>
      <c r="D3452" t="s">
        <v>86</v>
      </c>
      <c r="E3452" s="148">
        <v>276.30072000000001</v>
      </c>
      <c r="F3452" s="148">
        <v>278.32465999999999</v>
      </c>
      <c r="G3452" s="148">
        <v>-2.0239400000000001</v>
      </c>
      <c r="H3452" s="148">
        <v>-0.72718673221409846</v>
      </c>
      <c r="I3452" s="728"/>
      <c r="J3452" s="148">
        <v>276.30072000000001</v>
      </c>
      <c r="K3452" s="148">
        <v>0</v>
      </c>
      <c r="L3452" s="739">
        <v>3351.34024</v>
      </c>
      <c r="M3452" s="148">
        <v>3339.8959199999999</v>
      </c>
      <c r="N3452" s="148">
        <v>11.444319999999999</v>
      </c>
      <c r="O3452" s="148">
        <v>0.34265498908121667</v>
      </c>
      <c r="P3452" s="148">
        <v>1700.57527</v>
      </c>
      <c r="Q3452" s="148">
        <v>1650.7649699999999</v>
      </c>
      <c r="R3452" s="148">
        <v>97.070973518273021</v>
      </c>
    </row>
    <row r="3453" spans="1:18" ht="15.75" hidden="1" thickBot="1" x14ac:dyDescent="0.3">
      <c r="A3453" s="199" t="str">
        <f t="shared" si="13"/>
        <v>ACCOUNT SERVICESEXPENSE ACCOUNTS</v>
      </c>
      <c r="B3453" s="724" t="s">
        <v>88</v>
      </c>
      <c r="C3453" s="144" t="s">
        <v>87</v>
      </c>
      <c r="D3453" t="s">
        <v>87</v>
      </c>
      <c r="E3453" s="147">
        <v>383.40337</v>
      </c>
      <c r="F3453" s="147">
        <v>401.74592000000001</v>
      </c>
      <c r="G3453" s="147">
        <v>-18.342549999999999</v>
      </c>
      <c r="H3453" s="147">
        <v>-4.5657090929510868</v>
      </c>
      <c r="I3453" s="729"/>
      <c r="J3453" s="147">
        <v>383.40337</v>
      </c>
      <c r="K3453" s="147">
        <v>0</v>
      </c>
      <c r="L3453" s="147">
        <v>4812.3529500000004</v>
      </c>
      <c r="M3453" s="147">
        <v>4790.1567699999996</v>
      </c>
      <c r="N3453" s="147">
        <v>22.196179999999998</v>
      </c>
      <c r="O3453" s="147">
        <v>0.46337063828497621</v>
      </c>
      <c r="P3453" s="147">
        <v>2430.39752</v>
      </c>
      <c r="Q3453" s="147">
        <v>2381.95543</v>
      </c>
      <c r="R3453" s="147">
        <v>98.006824414468625</v>
      </c>
    </row>
    <row r="3454" spans="1:18" ht="15.75" hidden="1" thickBot="1" x14ac:dyDescent="0.3">
      <c r="B3454" s="724" t="s">
        <v>787</v>
      </c>
      <c r="C3454" s="722" t="s">
        <v>59</v>
      </c>
      <c r="D3454" t="s">
        <v>60</v>
      </c>
      <c r="E3454" s="148">
        <v>8.7372099999999993</v>
      </c>
      <c r="F3454" s="148">
        <v>10.46692</v>
      </c>
      <c r="G3454" s="148">
        <v>-1.7297100000000001</v>
      </c>
      <c r="H3454" s="148">
        <v>-16.525491739690377</v>
      </c>
      <c r="I3454" s="728"/>
      <c r="J3454" s="148">
        <v>8.7372099999999993</v>
      </c>
      <c r="K3454" s="148">
        <v>0</v>
      </c>
      <c r="L3454" s="148">
        <v>127.25036</v>
      </c>
      <c r="M3454" s="148">
        <v>124.94410000000001</v>
      </c>
      <c r="N3454" s="148">
        <v>2.30626</v>
      </c>
      <c r="O3454" s="148">
        <v>1.845833456721846</v>
      </c>
      <c r="P3454" s="148">
        <v>67.281270000000006</v>
      </c>
      <c r="Q3454" s="148">
        <v>59.969090000000001</v>
      </c>
      <c r="R3454" s="148">
        <v>89.131923342112898</v>
      </c>
    </row>
    <row r="3455" spans="1:18" ht="15.75" hidden="1" thickBot="1" x14ac:dyDescent="0.3">
      <c r="B3455" s="724" t="s">
        <v>787</v>
      </c>
      <c r="C3455" s="722" t="s">
        <v>61</v>
      </c>
      <c r="D3455" t="s">
        <v>62</v>
      </c>
      <c r="E3455" s="147">
        <v>1.7261200000000001</v>
      </c>
      <c r="F3455" s="147">
        <v>1.6223700000000001</v>
      </c>
      <c r="G3455" s="147">
        <v>0.10375</v>
      </c>
      <c r="H3455" s="147">
        <v>6.3949653901391175</v>
      </c>
      <c r="I3455" s="729"/>
      <c r="J3455" s="147">
        <v>1.7261200000000001</v>
      </c>
      <c r="K3455" s="147">
        <v>0</v>
      </c>
      <c r="L3455" s="147">
        <v>19.63392</v>
      </c>
      <c r="M3455" s="147">
        <v>19.366299999999999</v>
      </c>
      <c r="N3455" s="147">
        <v>0.26762000000000002</v>
      </c>
      <c r="O3455" s="147">
        <v>1.3818850270831289</v>
      </c>
      <c r="P3455" s="147">
        <v>9.6679999999999993</v>
      </c>
      <c r="Q3455" s="147">
        <v>9.9659200000000006</v>
      </c>
      <c r="R3455" s="147">
        <v>103.08150599917253</v>
      </c>
    </row>
    <row r="3456" spans="1:18" ht="15.75" hidden="1" thickBot="1" x14ac:dyDescent="0.3">
      <c r="B3456" s="724" t="s">
        <v>787</v>
      </c>
      <c r="C3456" s="722" t="s">
        <v>63</v>
      </c>
      <c r="D3456" t="s">
        <v>64</v>
      </c>
      <c r="E3456" s="148">
        <v>6.7058600000000004</v>
      </c>
      <c r="F3456" s="148">
        <v>6.3115500000000004</v>
      </c>
      <c r="G3456" s="148">
        <v>0.39430999999999999</v>
      </c>
      <c r="H3456" s="148">
        <v>6.2474352575833194</v>
      </c>
      <c r="I3456" s="728"/>
      <c r="J3456" s="148">
        <v>6.7058600000000004</v>
      </c>
      <c r="K3456" s="148">
        <v>0</v>
      </c>
      <c r="L3456" s="148">
        <v>76.276570000000007</v>
      </c>
      <c r="M3456" s="148">
        <v>75.341260000000005</v>
      </c>
      <c r="N3456" s="148">
        <v>0.93530999999999997</v>
      </c>
      <c r="O3456" s="148">
        <v>1.2414313219609017</v>
      </c>
      <c r="P3456" s="148">
        <v>37.559579999999997</v>
      </c>
      <c r="Q3456" s="148">
        <v>38.716990000000003</v>
      </c>
      <c r="R3456" s="148">
        <v>103.08153073064182</v>
      </c>
    </row>
    <row r="3457" spans="2:18" ht="15.75" hidden="1" thickBot="1" x14ac:dyDescent="0.3">
      <c r="B3457" s="724" t="s">
        <v>787</v>
      </c>
      <c r="C3457" s="722" t="s">
        <v>65</v>
      </c>
      <c r="D3457" t="s">
        <v>66</v>
      </c>
      <c r="E3457" s="147">
        <v>-5.8769200000000001</v>
      </c>
      <c r="F3457" s="147">
        <v>-7.3603300000000003</v>
      </c>
      <c r="G3457" s="147">
        <v>1.4834099999999999</v>
      </c>
      <c r="H3457" s="147">
        <v>20.154123524352848</v>
      </c>
      <c r="I3457" s="729"/>
      <c r="J3457" s="147">
        <v>-5.8769200000000001</v>
      </c>
      <c r="K3457" s="147">
        <v>0</v>
      </c>
      <c r="L3457" s="147">
        <v>-91.126819999999995</v>
      </c>
      <c r="M3457" s="147">
        <v>-87.860600000000005</v>
      </c>
      <c r="N3457" s="147">
        <v>-3.2662200000000001</v>
      </c>
      <c r="O3457" s="147">
        <v>-3.7175024982756777</v>
      </c>
      <c r="P3457" s="147">
        <v>-46.367780000000003</v>
      </c>
      <c r="Q3457" s="147">
        <v>-44.759039999999999</v>
      </c>
      <c r="R3457" s="147">
        <v>-96.530478707412783</v>
      </c>
    </row>
    <row r="3458" spans="2:18" ht="15.75" hidden="1" thickBot="1" x14ac:dyDescent="0.3">
      <c r="B3458" s="724" t="s">
        <v>787</v>
      </c>
      <c r="C3458" s="149" t="s">
        <v>67</v>
      </c>
      <c r="D3458" t="s">
        <v>68</v>
      </c>
      <c r="E3458" s="148">
        <v>11.29227</v>
      </c>
      <c r="F3458" s="148">
        <v>11.040509999999999</v>
      </c>
      <c r="G3458" s="148">
        <v>0.25175999999999998</v>
      </c>
      <c r="H3458" s="148">
        <v>2.2803294413029831</v>
      </c>
      <c r="I3458" s="728"/>
      <c r="J3458" s="148">
        <v>11.29227</v>
      </c>
      <c r="K3458" s="148">
        <v>0</v>
      </c>
      <c r="L3458" s="148">
        <v>132.03403</v>
      </c>
      <c r="M3458" s="148">
        <v>131.79105999999999</v>
      </c>
      <c r="N3458" s="148">
        <v>0.24296999999999999</v>
      </c>
      <c r="O3458" s="148">
        <v>0.18436000135365782</v>
      </c>
      <c r="P3458" s="148">
        <v>68.141069999999999</v>
      </c>
      <c r="Q3458" s="148">
        <v>63.892960000000002</v>
      </c>
      <c r="R3458" s="148">
        <v>93.765712807268798</v>
      </c>
    </row>
    <row r="3459" spans="2:18" ht="15.75" hidden="1" thickBot="1" x14ac:dyDescent="0.3">
      <c r="B3459" s="724" t="s">
        <v>787</v>
      </c>
      <c r="C3459" s="722" t="s">
        <v>69</v>
      </c>
      <c r="D3459" t="s">
        <v>70</v>
      </c>
      <c r="E3459" s="729"/>
      <c r="F3459" s="729"/>
      <c r="G3459" s="729"/>
      <c r="H3459" s="729"/>
      <c r="I3459" s="729"/>
      <c r="J3459" s="729"/>
      <c r="K3459" s="729"/>
      <c r="L3459" s="147">
        <v>0.45</v>
      </c>
      <c r="M3459" s="729"/>
      <c r="N3459" s="147">
        <v>0.45</v>
      </c>
      <c r="O3459" s="147">
        <v>0</v>
      </c>
      <c r="P3459" s="729"/>
      <c r="Q3459" s="147">
        <v>0.45</v>
      </c>
      <c r="R3459" s="147">
        <v>0</v>
      </c>
    </row>
    <row r="3460" spans="2:18" ht="15.75" hidden="1" thickBot="1" x14ac:dyDescent="0.3">
      <c r="B3460" s="724" t="s">
        <v>787</v>
      </c>
      <c r="C3460" s="722" t="s">
        <v>582</v>
      </c>
      <c r="D3460" t="s">
        <v>583</v>
      </c>
      <c r="E3460" s="728"/>
      <c r="F3460" s="148">
        <v>0</v>
      </c>
      <c r="G3460" s="148">
        <v>0</v>
      </c>
      <c r="H3460" s="148">
        <v>0</v>
      </c>
      <c r="I3460" s="728"/>
      <c r="J3460" s="728"/>
      <c r="K3460" s="728"/>
      <c r="L3460" s="728"/>
      <c r="M3460" s="148">
        <v>0</v>
      </c>
      <c r="N3460" s="148">
        <v>0</v>
      </c>
      <c r="O3460" s="148">
        <v>0</v>
      </c>
      <c r="P3460" s="728"/>
      <c r="Q3460" s="728"/>
      <c r="R3460" s="728"/>
    </row>
    <row r="3461" spans="2:18" ht="15.75" hidden="1" thickBot="1" x14ac:dyDescent="0.3">
      <c r="B3461" s="724" t="s">
        <v>787</v>
      </c>
      <c r="C3461" s="722" t="s">
        <v>137</v>
      </c>
      <c r="D3461" t="s">
        <v>138</v>
      </c>
      <c r="E3461" s="729"/>
      <c r="F3461" s="147">
        <v>0.45</v>
      </c>
      <c r="G3461" s="147">
        <v>-0.45</v>
      </c>
      <c r="H3461" s="147">
        <v>-100</v>
      </c>
      <c r="I3461" s="729"/>
      <c r="J3461" s="729"/>
      <c r="K3461" s="729"/>
      <c r="L3461" s="147">
        <v>0.35256999999999999</v>
      </c>
      <c r="M3461" s="147">
        <v>1.8</v>
      </c>
      <c r="N3461" s="147">
        <v>-1.44743</v>
      </c>
      <c r="O3461" s="147">
        <v>-80.412777777777777</v>
      </c>
      <c r="P3461" s="147">
        <v>0.35256999999999999</v>
      </c>
      <c r="Q3461" s="147">
        <v>0</v>
      </c>
      <c r="R3461" s="147">
        <v>0</v>
      </c>
    </row>
    <row r="3462" spans="2:18" ht="15.75" hidden="1" thickBot="1" x14ac:dyDescent="0.3">
      <c r="B3462" s="724" t="s">
        <v>787</v>
      </c>
      <c r="C3462" s="722" t="s">
        <v>190</v>
      </c>
      <c r="D3462" t="s">
        <v>191</v>
      </c>
      <c r="E3462" s="148">
        <v>2.2689999999999998E-2</v>
      </c>
      <c r="F3462" s="728"/>
      <c r="G3462" s="148">
        <v>2.2689999999999998E-2</v>
      </c>
      <c r="H3462" s="148">
        <v>0</v>
      </c>
      <c r="I3462" s="728"/>
      <c r="J3462" s="148">
        <v>2.2689999999999998E-2</v>
      </c>
      <c r="K3462" s="148">
        <v>0</v>
      </c>
      <c r="L3462" s="148">
        <v>2.2689999999999998E-2</v>
      </c>
      <c r="M3462" s="728"/>
      <c r="N3462" s="148">
        <v>2.2689999999999998E-2</v>
      </c>
      <c r="O3462" s="148">
        <v>0</v>
      </c>
      <c r="P3462" s="728"/>
      <c r="Q3462" s="148">
        <v>2.2689999999999998E-2</v>
      </c>
      <c r="R3462" s="148">
        <v>0</v>
      </c>
    </row>
    <row r="3463" spans="2:18" ht="15.75" hidden="1" thickBot="1" x14ac:dyDescent="0.3">
      <c r="B3463" s="724" t="s">
        <v>787</v>
      </c>
      <c r="C3463" s="722" t="s">
        <v>139</v>
      </c>
      <c r="D3463" t="s">
        <v>140</v>
      </c>
      <c r="E3463" s="729"/>
      <c r="F3463" s="729"/>
      <c r="G3463" s="729"/>
      <c r="H3463" s="729"/>
      <c r="I3463" s="729"/>
      <c r="J3463" s="729"/>
      <c r="K3463" s="729"/>
      <c r="L3463" s="147">
        <v>0.11</v>
      </c>
      <c r="M3463" s="729"/>
      <c r="N3463" s="147">
        <v>0.11</v>
      </c>
      <c r="O3463" s="147">
        <v>0</v>
      </c>
      <c r="P3463" s="729"/>
      <c r="Q3463" s="147">
        <v>0.11</v>
      </c>
      <c r="R3463" s="147">
        <v>0</v>
      </c>
    </row>
    <row r="3464" spans="2:18" ht="15.75" hidden="1" thickBot="1" x14ac:dyDescent="0.3">
      <c r="B3464" s="724" t="s">
        <v>787</v>
      </c>
      <c r="C3464" s="722" t="s">
        <v>71</v>
      </c>
      <c r="D3464" t="s">
        <v>72</v>
      </c>
      <c r="E3464" s="148">
        <v>-1.5579700000000001</v>
      </c>
      <c r="F3464" s="728"/>
      <c r="G3464" s="148">
        <v>-1.5579700000000001</v>
      </c>
      <c r="H3464" s="148">
        <v>0</v>
      </c>
      <c r="I3464" s="728"/>
      <c r="J3464" s="148">
        <v>-1.5579700000000001</v>
      </c>
      <c r="K3464" s="148">
        <v>0</v>
      </c>
      <c r="L3464" s="148">
        <v>0</v>
      </c>
      <c r="M3464" s="728"/>
      <c r="N3464" s="148">
        <v>0</v>
      </c>
      <c r="O3464" s="148">
        <v>0</v>
      </c>
      <c r="P3464" s="728"/>
      <c r="Q3464" s="148">
        <v>0</v>
      </c>
      <c r="R3464" s="148">
        <v>0</v>
      </c>
    </row>
    <row r="3465" spans="2:18" ht="15.75" hidden="1" thickBot="1" x14ac:dyDescent="0.3">
      <c r="B3465" s="724" t="s">
        <v>787</v>
      </c>
      <c r="C3465" s="722" t="s">
        <v>73</v>
      </c>
      <c r="D3465" t="s">
        <v>74</v>
      </c>
      <c r="E3465" s="729"/>
      <c r="F3465" s="729"/>
      <c r="G3465" s="729"/>
      <c r="H3465" s="729"/>
      <c r="I3465" s="729"/>
      <c r="J3465" s="729"/>
      <c r="K3465" s="729"/>
      <c r="L3465" s="147">
        <v>6.1999999999999998E-3</v>
      </c>
      <c r="M3465" s="729"/>
      <c r="N3465" s="147">
        <v>6.1999999999999998E-3</v>
      </c>
      <c r="O3465" s="147">
        <v>0</v>
      </c>
      <c r="P3465" s="147">
        <v>2.6099999999999999E-3</v>
      </c>
      <c r="Q3465" s="147">
        <v>3.5899999999999999E-3</v>
      </c>
      <c r="R3465" s="147">
        <v>137.54789272030652</v>
      </c>
    </row>
    <row r="3466" spans="2:18" ht="15.75" hidden="1" thickBot="1" x14ac:dyDescent="0.3">
      <c r="B3466" s="724" t="s">
        <v>787</v>
      </c>
      <c r="C3466" s="722" t="s">
        <v>141</v>
      </c>
      <c r="D3466" t="s">
        <v>142</v>
      </c>
      <c r="E3466" s="728"/>
      <c r="F3466" s="728"/>
      <c r="G3466" s="728"/>
      <c r="H3466" s="728"/>
      <c r="I3466" s="728"/>
      <c r="J3466" s="728"/>
      <c r="K3466" s="728"/>
      <c r="L3466" s="148">
        <v>4.5269999999999998E-2</v>
      </c>
      <c r="M3466" s="728"/>
      <c r="N3466" s="148">
        <v>4.5269999999999998E-2</v>
      </c>
      <c r="O3466" s="148">
        <v>0</v>
      </c>
      <c r="P3466" s="148">
        <v>2.334E-2</v>
      </c>
      <c r="Q3466" s="148">
        <v>2.1930000000000002E-2</v>
      </c>
      <c r="R3466" s="148">
        <v>93.958868894601537</v>
      </c>
    </row>
    <row r="3467" spans="2:18" ht="15.75" hidden="1" thickBot="1" x14ac:dyDescent="0.3">
      <c r="B3467" s="724" t="s">
        <v>787</v>
      </c>
      <c r="C3467" s="722" t="s">
        <v>113</v>
      </c>
      <c r="D3467" t="s">
        <v>114</v>
      </c>
      <c r="E3467" s="147">
        <v>6.4999999999999997E-3</v>
      </c>
      <c r="F3467" s="729"/>
      <c r="G3467" s="147">
        <v>6.4999999999999997E-3</v>
      </c>
      <c r="H3467" s="147">
        <v>0</v>
      </c>
      <c r="I3467" s="729"/>
      <c r="J3467" s="147">
        <v>6.4999999999999997E-3</v>
      </c>
      <c r="K3467" s="147">
        <v>0</v>
      </c>
      <c r="L3467" s="147">
        <v>0.75333000000000006</v>
      </c>
      <c r="M3467" s="729"/>
      <c r="N3467" s="147">
        <v>0.75333000000000006</v>
      </c>
      <c r="O3467" s="147">
        <v>0</v>
      </c>
      <c r="P3467" s="147">
        <v>0.55220999999999998</v>
      </c>
      <c r="Q3467" s="147">
        <v>0.20111999999999999</v>
      </c>
      <c r="R3467" s="147">
        <v>36.420926821317977</v>
      </c>
    </row>
    <row r="3468" spans="2:18" ht="15.75" hidden="1" thickBot="1" x14ac:dyDescent="0.3">
      <c r="B3468" s="724" t="s">
        <v>787</v>
      </c>
      <c r="C3468" s="722" t="s">
        <v>145</v>
      </c>
      <c r="D3468" t="s">
        <v>146</v>
      </c>
      <c r="E3468" s="148">
        <v>1.0999999999999999E-2</v>
      </c>
      <c r="F3468" s="728"/>
      <c r="G3468" s="148">
        <v>1.0999999999999999E-2</v>
      </c>
      <c r="H3468" s="148">
        <v>0</v>
      </c>
      <c r="I3468" s="728"/>
      <c r="J3468" s="148">
        <v>1.0999999999999999E-2</v>
      </c>
      <c r="K3468" s="148">
        <v>0</v>
      </c>
      <c r="L3468" s="148">
        <v>4.7500000000000001E-2</v>
      </c>
      <c r="M3468" s="728"/>
      <c r="N3468" s="148">
        <v>4.7500000000000001E-2</v>
      </c>
      <c r="O3468" s="148">
        <v>0</v>
      </c>
      <c r="P3468" s="148">
        <v>2.3099999999999999E-2</v>
      </c>
      <c r="Q3468" s="148">
        <v>2.4400000000000002E-2</v>
      </c>
      <c r="R3468" s="148">
        <v>105.62770562770562</v>
      </c>
    </row>
    <row r="3469" spans="2:18" ht="15.75" hidden="1" thickBot="1" x14ac:dyDescent="0.3">
      <c r="B3469" s="724" t="s">
        <v>787</v>
      </c>
      <c r="C3469" s="722" t="s">
        <v>481</v>
      </c>
      <c r="D3469" t="s">
        <v>482</v>
      </c>
      <c r="E3469" s="147">
        <v>1.6E-2</v>
      </c>
      <c r="F3469" s="729"/>
      <c r="G3469" s="147">
        <v>1.6E-2</v>
      </c>
      <c r="H3469" s="147">
        <v>0</v>
      </c>
      <c r="I3469" s="729"/>
      <c r="J3469" s="147">
        <v>1.6E-2</v>
      </c>
      <c r="K3469" s="147">
        <v>0</v>
      </c>
      <c r="L3469" s="147">
        <v>1.6E-2</v>
      </c>
      <c r="M3469" s="729"/>
      <c r="N3469" s="147">
        <v>1.6E-2</v>
      </c>
      <c r="O3469" s="147">
        <v>0</v>
      </c>
      <c r="P3469" s="729"/>
      <c r="Q3469" s="147">
        <v>1.6E-2</v>
      </c>
      <c r="R3469" s="147">
        <v>0</v>
      </c>
    </row>
    <row r="3470" spans="2:18" ht="15.75" hidden="1" thickBot="1" x14ac:dyDescent="0.3">
      <c r="B3470" s="724" t="s">
        <v>787</v>
      </c>
      <c r="C3470" s="722" t="s">
        <v>75</v>
      </c>
      <c r="D3470" t="s">
        <v>76</v>
      </c>
      <c r="E3470" s="148">
        <v>0.38203999999999999</v>
      </c>
      <c r="F3470" s="148">
        <v>0.5</v>
      </c>
      <c r="G3470" s="148">
        <v>-0.11796</v>
      </c>
      <c r="H3470" s="148">
        <v>-23.591999999999999</v>
      </c>
      <c r="I3470" s="728"/>
      <c r="J3470" s="148">
        <v>0.38203999999999999</v>
      </c>
      <c r="K3470" s="148">
        <v>0</v>
      </c>
      <c r="L3470" s="148">
        <v>3.76694</v>
      </c>
      <c r="M3470" s="148">
        <v>6</v>
      </c>
      <c r="N3470" s="148">
        <v>-2.23306</v>
      </c>
      <c r="O3470" s="148">
        <v>-37.217666666666666</v>
      </c>
      <c r="P3470" s="148">
        <v>1.92841</v>
      </c>
      <c r="Q3470" s="148">
        <v>1.83853</v>
      </c>
      <c r="R3470" s="148">
        <v>95.339165426439394</v>
      </c>
    </row>
    <row r="3471" spans="2:18" ht="15.75" hidden="1" thickBot="1" x14ac:dyDescent="0.3">
      <c r="B3471" s="724" t="s">
        <v>787</v>
      </c>
      <c r="C3471" s="722" t="s">
        <v>77</v>
      </c>
      <c r="D3471" t="s">
        <v>78</v>
      </c>
      <c r="E3471" s="147">
        <v>1.4302900000000001</v>
      </c>
      <c r="F3471" s="147">
        <v>0</v>
      </c>
      <c r="G3471" s="147">
        <v>1.4302900000000001</v>
      </c>
      <c r="H3471" s="147">
        <v>0</v>
      </c>
      <c r="I3471" s="729"/>
      <c r="J3471" s="147">
        <v>1.4302900000000001</v>
      </c>
      <c r="K3471" s="147">
        <v>0</v>
      </c>
      <c r="L3471" s="147">
        <v>5.8174599999999996</v>
      </c>
      <c r="M3471" s="147">
        <v>8</v>
      </c>
      <c r="N3471" s="147">
        <v>-2.1825399999999999</v>
      </c>
      <c r="O3471" s="147">
        <v>-27.281749999999999</v>
      </c>
      <c r="P3471" s="147">
        <v>2.1164700000000001</v>
      </c>
      <c r="Q3471" s="147">
        <v>3.70099</v>
      </c>
      <c r="R3471" s="147">
        <v>174.86616866763998</v>
      </c>
    </row>
    <row r="3472" spans="2:18" ht="15.75" hidden="1" thickBot="1" x14ac:dyDescent="0.3">
      <c r="B3472" s="724" t="s">
        <v>787</v>
      </c>
      <c r="C3472" s="722" t="s">
        <v>79</v>
      </c>
      <c r="D3472" t="s">
        <v>80</v>
      </c>
      <c r="E3472" s="728"/>
      <c r="F3472" s="728"/>
      <c r="G3472" s="728"/>
      <c r="H3472" s="728"/>
      <c r="I3472" s="728"/>
      <c r="J3472" s="728"/>
      <c r="K3472" s="728"/>
      <c r="L3472" s="148">
        <v>8.5618300000000005</v>
      </c>
      <c r="M3472" s="728"/>
      <c r="N3472" s="148">
        <v>8.5618300000000005</v>
      </c>
      <c r="O3472" s="148">
        <v>0</v>
      </c>
      <c r="P3472" s="148">
        <v>5.4643699999999997</v>
      </c>
      <c r="Q3472" s="148">
        <v>3.0974599999999999</v>
      </c>
      <c r="R3472" s="148">
        <v>56.684668131916396</v>
      </c>
    </row>
    <row r="3473" spans="2:18" ht="15.75" hidden="1" thickBot="1" x14ac:dyDescent="0.3">
      <c r="B3473" s="724" t="s">
        <v>787</v>
      </c>
      <c r="C3473" s="722" t="s">
        <v>81</v>
      </c>
      <c r="D3473" t="s">
        <v>82</v>
      </c>
      <c r="E3473" s="729"/>
      <c r="F3473" s="729"/>
      <c r="G3473" s="729"/>
      <c r="H3473" s="729"/>
      <c r="I3473" s="729"/>
      <c r="J3473" s="729"/>
      <c r="K3473" s="729"/>
      <c r="L3473" s="147">
        <v>0.24984000000000001</v>
      </c>
      <c r="M3473" s="729"/>
      <c r="N3473" s="147">
        <v>0.24984000000000001</v>
      </c>
      <c r="O3473" s="147">
        <v>0</v>
      </c>
      <c r="P3473" s="147">
        <v>0.19595000000000001</v>
      </c>
      <c r="Q3473" s="147">
        <v>5.389E-2</v>
      </c>
      <c r="R3473" s="147">
        <v>27.50191375350855</v>
      </c>
    </row>
    <row r="3474" spans="2:18" ht="15.75" hidden="1" thickBot="1" x14ac:dyDescent="0.3">
      <c r="B3474" s="724" t="s">
        <v>787</v>
      </c>
      <c r="C3474" s="722" t="s">
        <v>123</v>
      </c>
      <c r="D3474" t="s">
        <v>124</v>
      </c>
      <c r="E3474" s="728"/>
      <c r="F3474" s="728"/>
      <c r="G3474" s="728"/>
      <c r="H3474" s="728"/>
      <c r="I3474" s="728"/>
      <c r="J3474" s="728"/>
      <c r="K3474" s="728"/>
      <c r="L3474" s="148">
        <v>0.19603999999999999</v>
      </c>
      <c r="M3474" s="728"/>
      <c r="N3474" s="148">
        <v>0.19603999999999999</v>
      </c>
      <c r="O3474" s="148">
        <v>0</v>
      </c>
      <c r="P3474" s="148">
        <v>0.19603999999999999</v>
      </c>
      <c r="Q3474" s="148">
        <v>0</v>
      </c>
      <c r="R3474" s="148">
        <v>0</v>
      </c>
    </row>
    <row r="3475" spans="2:18" ht="15.75" hidden="1" thickBot="1" x14ac:dyDescent="0.3">
      <c r="B3475" s="724" t="s">
        <v>787</v>
      </c>
      <c r="C3475" s="149" t="s">
        <v>85</v>
      </c>
      <c r="D3475" t="s">
        <v>86</v>
      </c>
      <c r="E3475" s="147">
        <v>0.31054999999999999</v>
      </c>
      <c r="F3475" s="147">
        <v>0.95</v>
      </c>
      <c r="G3475" s="147">
        <v>-0.63944999999999996</v>
      </c>
      <c r="H3475" s="147">
        <v>-67.310526315789474</v>
      </c>
      <c r="I3475" s="729"/>
      <c r="J3475" s="147">
        <v>0.31054999999999999</v>
      </c>
      <c r="K3475" s="147">
        <v>0</v>
      </c>
      <c r="L3475" s="147">
        <v>20.395669999999999</v>
      </c>
      <c r="M3475" s="147">
        <v>15.8</v>
      </c>
      <c r="N3475" s="147">
        <v>4.5956700000000001</v>
      </c>
      <c r="O3475" s="147">
        <v>29.086518987341773</v>
      </c>
      <c r="P3475" s="147">
        <v>10.85507</v>
      </c>
      <c r="Q3475" s="147">
        <v>9.5405999999999995</v>
      </c>
      <c r="R3475" s="147">
        <v>87.890727558643107</v>
      </c>
    </row>
    <row r="3476" spans="2:18" ht="15.75" hidden="1" thickBot="1" x14ac:dyDescent="0.3">
      <c r="B3476" s="724" t="s">
        <v>787</v>
      </c>
      <c r="C3476" s="144" t="s">
        <v>87</v>
      </c>
      <c r="D3476" t="s">
        <v>87</v>
      </c>
      <c r="E3476" s="148">
        <v>11.602819999999999</v>
      </c>
      <c r="F3476" s="148">
        <v>11.99051</v>
      </c>
      <c r="G3476" s="148">
        <v>-0.38768999999999998</v>
      </c>
      <c r="H3476" s="148">
        <v>-3.2333070069580025</v>
      </c>
      <c r="I3476" s="728"/>
      <c r="J3476" s="148">
        <v>11.602819999999999</v>
      </c>
      <c r="K3476" s="148">
        <v>0</v>
      </c>
      <c r="L3476" s="148">
        <v>152.4297</v>
      </c>
      <c r="M3476" s="148">
        <v>147.59106</v>
      </c>
      <c r="N3476" s="148">
        <v>4.8386399999999998</v>
      </c>
      <c r="O3476" s="148">
        <v>3.2784099524727313</v>
      </c>
      <c r="P3476" s="148">
        <v>78.996139999999997</v>
      </c>
      <c r="Q3476" s="148">
        <v>73.43356</v>
      </c>
      <c r="R3476" s="148">
        <v>92.95841543650107</v>
      </c>
    </row>
    <row r="3477" spans="2:18" ht="15.75" hidden="1" thickBot="1" x14ac:dyDescent="0.3">
      <c r="B3477" s="724" t="s">
        <v>788</v>
      </c>
      <c r="C3477" s="722" t="s">
        <v>59</v>
      </c>
      <c r="D3477" t="s">
        <v>60</v>
      </c>
      <c r="E3477" s="147">
        <v>151.55968999999999</v>
      </c>
      <c r="F3477" s="147">
        <v>173.28738000000001</v>
      </c>
      <c r="G3477" s="147">
        <v>-21.727689999999999</v>
      </c>
      <c r="H3477" s="147">
        <v>-12.538529926414721</v>
      </c>
      <c r="I3477" s="729"/>
      <c r="J3477" s="147">
        <v>151.55968999999999</v>
      </c>
      <c r="K3477" s="147">
        <v>0</v>
      </c>
      <c r="L3477" s="147">
        <v>2094.2244500000002</v>
      </c>
      <c r="M3477" s="147">
        <v>2068.53944</v>
      </c>
      <c r="N3477" s="147">
        <v>25.685009999999998</v>
      </c>
      <c r="O3477" s="147">
        <v>1.2416978619464949</v>
      </c>
      <c r="P3477" s="147">
        <v>1110.59402</v>
      </c>
      <c r="Q3477" s="147">
        <v>983.63043000000005</v>
      </c>
      <c r="R3477" s="147">
        <v>88.567956632793681</v>
      </c>
    </row>
    <row r="3478" spans="2:18" ht="15.75" hidden="1" thickBot="1" x14ac:dyDescent="0.3">
      <c r="B3478" s="724" t="s">
        <v>788</v>
      </c>
      <c r="C3478" s="722" t="s">
        <v>89</v>
      </c>
      <c r="D3478" t="s">
        <v>90</v>
      </c>
      <c r="E3478" s="148">
        <v>2.4666600000000001</v>
      </c>
      <c r="F3478" s="728"/>
      <c r="G3478" s="148">
        <v>2.4666600000000001</v>
      </c>
      <c r="H3478" s="148">
        <v>0</v>
      </c>
      <c r="I3478" s="728"/>
      <c r="J3478" s="148">
        <v>2.4666600000000001</v>
      </c>
      <c r="K3478" s="148">
        <v>0</v>
      </c>
      <c r="L3478" s="148">
        <v>192.27759</v>
      </c>
      <c r="M3478" s="728"/>
      <c r="N3478" s="148">
        <v>192.27759</v>
      </c>
      <c r="O3478" s="148">
        <v>0</v>
      </c>
      <c r="P3478" s="148">
        <v>102.9081</v>
      </c>
      <c r="Q3478" s="148">
        <v>89.369489999999999</v>
      </c>
      <c r="R3478" s="148">
        <v>86.843980211470239</v>
      </c>
    </row>
    <row r="3479" spans="2:18" ht="15.75" hidden="1" thickBot="1" x14ac:dyDescent="0.3">
      <c r="B3479" s="724" t="s">
        <v>788</v>
      </c>
      <c r="C3479" s="722" t="s">
        <v>91</v>
      </c>
      <c r="D3479" t="s">
        <v>92</v>
      </c>
      <c r="E3479" s="147">
        <v>637.05412999999999</v>
      </c>
      <c r="F3479" s="147">
        <v>836.64376000000004</v>
      </c>
      <c r="G3479" s="147">
        <v>-199.58963</v>
      </c>
      <c r="H3479" s="147">
        <v>-23.855987403766687</v>
      </c>
      <c r="I3479" s="729"/>
      <c r="J3479" s="147">
        <v>637.05412999999999</v>
      </c>
      <c r="K3479" s="147">
        <v>0</v>
      </c>
      <c r="L3479" s="147">
        <v>9349.3275599999997</v>
      </c>
      <c r="M3479" s="147">
        <v>9839.4134400000003</v>
      </c>
      <c r="N3479" s="147">
        <v>-490.08587999999997</v>
      </c>
      <c r="O3479" s="147">
        <v>-4.9808444678995007</v>
      </c>
      <c r="P3479" s="147">
        <v>4811.5798199999999</v>
      </c>
      <c r="Q3479" s="147">
        <v>4537.7477399999998</v>
      </c>
      <c r="R3479" s="147">
        <v>94.308894578413131</v>
      </c>
    </row>
    <row r="3480" spans="2:18" ht="15.75" hidden="1" thickBot="1" x14ac:dyDescent="0.3">
      <c r="B3480" s="724" t="s">
        <v>788</v>
      </c>
      <c r="C3480" s="722" t="s">
        <v>93</v>
      </c>
      <c r="D3480" t="s">
        <v>94</v>
      </c>
      <c r="E3480" s="148">
        <v>9.1459299999999999</v>
      </c>
      <c r="F3480" s="148">
        <v>89.366709999999998</v>
      </c>
      <c r="G3480" s="148">
        <v>-80.220780000000005</v>
      </c>
      <c r="H3480" s="148">
        <v>-89.765842336592669</v>
      </c>
      <c r="I3480" s="728"/>
      <c r="J3480" s="148">
        <v>9.1459299999999999</v>
      </c>
      <c r="K3480" s="148">
        <v>0</v>
      </c>
      <c r="L3480" s="148">
        <v>657.44361000000004</v>
      </c>
      <c r="M3480" s="148">
        <v>777.27832999999998</v>
      </c>
      <c r="N3480" s="148">
        <v>-119.83472</v>
      </c>
      <c r="O3480" s="148">
        <v>-15.417221267444829</v>
      </c>
      <c r="P3480" s="148">
        <v>298.77897999999999</v>
      </c>
      <c r="Q3480" s="148">
        <v>358.66462999999999</v>
      </c>
      <c r="R3480" s="148">
        <v>120.04346155810559</v>
      </c>
    </row>
    <row r="3481" spans="2:18" ht="15.75" hidden="1" thickBot="1" x14ac:dyDescent="0.3">
      <c r="B3481" s="724" t="s">
        <v>788</v>
      </c>
      <c r="C3481" s="722" t="s">
        <v>134</v>
      </c>
      <c r="D3481" t="s">
        <v>135</v>
      </c>
      <c r="E3481" s="147">
        <v>16.944800000000001</v>
      </c>
      <c r="F3481" s="729"/>
      <c r="G3481" s="147">
        <v>16.944800000000001</v>
      </c>
      <c r="H3481" s="147">
        <v>0</v>
      </c>
      <c r="I3481" s="729"/>
      <c r="J3481" s="147">
        <v>16.944800000000001</v>
      </c>
      <c r="K3481" s="147">
        <v>0</v>
      </c>
      <c r="L3481" s="147">
        <v>17.07281</v>
      </c>
      <c r="M3481" s="729"/>
      <c r="N3481" s="147">
        <v>17.07281</v>
      </c>
      <c r="O3481" s="147">
        <v>0</v>
      </c>
      <c r="P3481" s="147">
        <v>-18.87199</v>
      </c>
      <c r="Q3481" s="147">
        <v>35.944800000000001</v>
      </c>
      <c r="R3481" s="147">
        <v>190.46640020474788</v>
      </c>
    </row>
    <row r="3482" spans="2:18" ht="15.75" hidden="1" thickBot="1" x14ac:dyDescent="0.3">
      <c r="B3482" s="724" t="s">
        <v>788</v>
      </c>
      <c r="C3482" s="722" t="s">
        <v>95</v>
      </c>
      <c r="D3482" t="s">
        <v>96</v>
      </c>
      <c r="E3482" s="728"/>
      <c r="F3482" s="728"/>
      <c r="G3482" s="728"/>
      <c r="H3482" s="728"/>
      <c r="I3482" s="728"/>
      <c r="J3482" s="728"/>
      <c r="K3482" s="728"/>
      <c r="L3482" s="148">
        <v>0.37801000000000001</v>
      </c>
      <c r="M3482" s="728"/>
      <c r="N3482" s="148">
        <v>0.37801000000000001</v>
      </c>
      <c r="O3482" s="148">
        <v>0</v>
      </c>
      <c r="P3482" s="148">
        <v>0.37801000000000001</v>
      </c>
      <c r="Q3482" s="148">
        <v>0</v>
      </c>
      <c r="R3482" s="148">
        <v>0</v>
      </c>
    </row>
    <row r="3483" spans="2:18" ht="15.75" hidden="1" thickBot="1" x14ac:dyDescent="0.3">
      <c r="B3483" s="724" t="s">
        <v>788</v>
      </c>
      <c r="C3483" s="722" t="s">
        <v>61</v>
      </c>
      <c r="D3483" t="s">
        <v>62</v>
      </c>
      <c r="E3483" s="147">
        <v>147.00497999999999</v>
      </c>
      <c r="F3483" s="147">
        <v>156.53933000000001</v>
      </c>
      <c r="G3483" s="147">
        <v>-9.5343499999999999</v>
      </c>
      <c r="H3483" s="147">
        <v>-6.0907057670426976</v>
      </c>
      <c r="I3483" s="729"/>
      <c r="J3483" s="147">
        <v>147.00497999999999</v>
      </c>
      <c r="K3483" s="147">
        <v>0</v>
      </c>
      <c r="L3483" s="147">
        <v>1804.0257099999999</v>
      </c>
      <c r="M3483" s="147">
        <v>1845.7327399999999</v>
      </c>
      <c r="N3483" s="147">
        <v>-41.707030000000003</v>
      </c>
      <c r="O3483" s="147">
        <v>-2.2596462150852892</v>
      </c>
      <c r="P3483" s="147">
        <v>892.35343</v>
      </c>
      <c r="Q3483" s="147">
        <v>911.67228</v>
      </c>
      <c r="R3483" s="147">
        <v>102.16493256489191</v>
      </c>
    </row>
    <row r="3484" spans="2:18" ht="15.75" hidden="1" thickBot="1" x14ac:dyDescent="0.3">
      <c r="B3484" s="724" t="s">
        <v>788</v>
      </c>
      <c r="C3484" s="722" t="s">
        <v>63</v>
      </c>
      <c r="D3484" t="s">
        <v>64</v>
      </c>
      <c r="E3484" s="148">
        <v>572.02718000000004</v>
      </c>
      <c r="F3484" s="148">
        <v>608.98847999999998</v>
      </c>
      <c r="G3484" s="148">
        <v>-36.961300000000001</v>
      </c>
      <c r="H3484" s="148">
        <v>-6.069293790253635</v>
      </c>
      <c r="I3484" s="728"/>
      <c r="J3484" s="148">
        <v>572.02718000000004</v>
      </c>
      <c r="K3484" s="148">
        <v>0</v>
      </c>
      <c r="L3484" s="148">
        <v>7164.8197300000002</v>
      </c>
      <c r="M3484" s="148">
        <v>7180.4956199999997</v>
      </c>
      <c r="N3484" s="148">
        <v>-15.675890000000001</v>
      </c>
      <c r="O3484" s="148">
        <v>-0.21831208915910458</v>
      </c>
      <c r="P3484" s="148">
        <v>3528.6988500000002</v>
      </c>
      <c r="Q3484" s="148">
        <v>3636.1208799999999</v>
      </c>
      <c r="R3484" s="148">
        <v>103.04423909679909</v>
      </c>
    </row>
    <row r="3485" spans="2:18" ht="15.75" hidden="1" thickBot="1" x14ac:dyDescent="0.3">
      <c r="B3485" s="724" t="s">
        <v>788</v>
      </c>
      <c r="C3485" s="722" t="s">
        <v>156</v>
      </c>
      <c r="D3485" t="s">
        <v>157</v>
      </c>
      <c r="E3485" s="147">
        <v>8.9769600000000001</v>
      </c>
      <c r="F3485" s="729"/>
      <c r="G3485" s="147">
        <v>8.9769600000000001</v>
      </c>
      <c r="H3485" s="147">
        <v>0</v>
      </c>
      <c r="I3485" s="729"/>
      <c r="J3485" s="147">
        <v>8.9769600000000001</v>
      </c>
      <c r="K3485" s="147">
        <v>0</v>
      </c>
      <c r="L3485" s="147">
        <v>52.840179999999997</v>
      </c>
      <c r="M3485" s="729"/>
      <c r="N3485" s="147">
        <v>52.840179999999997</v>
      </c>
      <c r="O3485" s="147">
        <v>0</v>
      </c>
      <c r="P3485" s="729"/>
      <c r="Q3485" s="147">
        <v>52.840179999999997</v>
      </c>
      <c r="R3485" s="147">
        <v>0</v>
      </c>
    </row>
    <row r="3486" spans="2:18" ht="15.75" hidden="1" thickBot="1" x14ac:dyDescent="0.3">
      <c r="B3486" s="724" t="s">
        <v>788</v>
      </c>
      <c r="C3486" s="722" t="s">
        <v>182</v>
      </c>
      <c r="D3486" t="s">
        <v>183</v>
      </c>
      <c r="E3486" s="148">
        <v>36.974440000000001</v>
      </c>
      <c r="F3486" s="728"/>
      <c r="G3486" s="148">
        <v>36.974440000000001</v>
      </c>
      <c r="H3486" s="148">
        <v>0</v>
      </c>
      <c r="I3486" s="728"/>
      <c r="J3486" s="148">
        <v>36.974440000000001</v>
      </c>
      <c r="K3486" s="148">
        <v>0</v>
      </c>
      <c r="L3486" s="148">
        <v>428.31448999999998</v>
      </c>
      <c r="M3486" s="728"/>
      <c r="N3486" s="148">
        <v>428.31448999999998</v>
      </c>
      <c r="O3486" s="148">
        <v>0</v>
      </c>
      <c r="P3486" s="148">
        <v>154.58661000000001</v>
      </c>
      <c r="Q3486" s="148">
        <v>273.72788000000003</v>
      </c>
      <c r="R3486" s="148">
        <v>177.07088602305205</v>
      </c>
    </row>
    <row r="3487" spans="2:18" ht="15.75" hidden="1" thickBot="1" x14ac:dyDescent="0.3">
      <c r="B3487" s="724" t="s">
        <v>788</v>
      </c>
      <c r="C3487" s="722" t="s">
        <v>184</v>
      </c>
      <c r="D3487" t="s">
        <v>185</v>
      </c>
      <c r="E3487" s="147">
        <v>1122.0755200000001</v>
      </c>
      <c r="F3487" s="729"/>
      <c r="G3487" s="147">
        <v>1122.0755200000001</v>
      </c>
      <c r="H3487" s="147">
        <v>0</v>
      </c>
      <c r="I3487" s="729"/>
      <c r="J3487" s="147">
        <v>1122.0755200000001</v>
      </c>
      <c r="K3487" s="147">
        <v>0</v>
      </c>
      <c r="L3487" s="147">
        <v>14758.21365</v>
      </c>
      <c r="M3487" s="729"/>
      <c r="N3487" s="147">
        <v>14758.21365</v>
      </c>
      <c r="O3487" s="147">
        <v>0</v>
      </c>
      <c r="P3487" s="147">
        <v>7468.9744899999996</v>
      </c>
      <c r="Q3487" s="147">
        <v>7289.2391600000001</v>
      </c>
      <c r="R3487" s="147">
        <v>97.593574188255133</v>
      </c>
    </row>
    <row r="3488" spans="2:18" ht="15.75" hidden="1" thickBot="1" x14ac:dyDescent="0.3">
      <c r="B3488" s="724" t="s">
        <v>788</v>
      </c>
      <c r="C3488" s="722" t="s">
        <v>161</v>
      </c>
      <c r="D3488" t="s">
        <v>162</v>
      </c>
      <c r="E3488" s="148">
        <v>38.067300000000003</v>
      </c>
      <c r="F3488" s="728"/>
      <c r="G3488" s="148">
        <v>38.067300000000003</v>
      </c>
      <c r="H3488" s="148">
        <v>0</v>
      </c>
      <c r="I3488" s="728"/>
      <c r="J3488" s="148">
        <v>38.067300000000003</v>
      </c>
      <c r="K3488" s="148">
        <v>0</v>
      </c>
      <c r="L3488" s="148">
        <v>695.64484000000004</v>
      </c>
      <c r="M3488" s="728"/>
      <c r="N3488" s="148">
        <v>695.64484000000004</v>
      </c>
      <c r="O3488" s="148">
        <v>0</v>
      </c>
      <c r="P3488" s="148">
        <v>288.44610999999998</v>
      </c>
      <c r="Q3488" s="148">
        <v>407.19873000000001</v>
      </c>
      <c r="R3488" s="148">
        <v>141.16977691257478</v>
      </c>
    </row>
    <row r="3489" spans="2:18" ht="15.75" hidden="1" thickBot="1" x14ac:dyDescent="0.3">
      <c r="B3489" s="724" t="s">
        <v>788</v>
      </c>
      <c r="C3489" s="722" t="s">
        <v>65</v>
      </c>
      <c r="D3489" t="s">
        <v>66</v>
      </c>
      <c r="E3489" s="147">
        <v>-26.70224</v>
      </c>
      <c r="F3489" s="147">
        <v>-30.482610000000001</v>
      </c>
      <c r="G3489" s="147">
        <v>3.78037</v>
      </c>
      <c r="H3489" s="147">
        <v>12.401726755025242</v>
      </c>
      <c r="I3489" s="729"/>
      <c r="J3489" s="147">
        <v>-26.70224</v>
      </c>
      <c r="K3489" s="147">
        <v>0</v>
      </c>
      <c r="L3489" s="147">
        <v>-419.15854000000002</v>
      </c>
      <c r="M3489" s="147">
        <v>-363.87232</v>
      </c>
      <c r="N3489" s="147">
        <v>-55.28622</v>
      </c>
      <c r="O3489" s="147">
        <v>-15.193851513629836</v>
      </c>
      <c r="P3489" s="147">
        <v>-208.07914</v>
      </c>
      <c r="Q3489" s="147">
        <v>-211.07939999999999</v>
      </c>
      <c r="R3489" s="147">
        <v>-101.4418840831426</v>
      </c>
    </row>
    <row r="3490" spans="2:18" ht="15.75" hidden="1" thickBot="1" x14ac:dyDescent="0.3">
      <c r="B3490" s="724" t="s">
        <v>788</v>
      </c>
      <c r="C3490" s="722" t="s">
        <v>186</v>
      </c>
      <c r="D3490" t="s">
        <v>187</v>
      </c>
      <c r="E3490" s="148">
        <v>-21.481190000000002</v>
      </c>
      <c r="F3490" s="728"/>
      <c r="G3490" s="148">
        <v>-21.481190000000002</v>
      </c>
      <c r="H3490" s="148">
        <v>0</v>
      </c>
      <c r="I3490" s="728"/>
      <c r="J3490" s="148">
        <v>-21.481190000000002</v>
      </c>
      <c r="K3490" s="148">
        <v>0</v>
      </c>
      <c r="L3490" s="148">
        <v>-335.48662999999999</v>
      </c>
      <c r="M3490" s="728"/>
      <c r="N3490" s="148">
        <v>-335.48662999999999</v>
      </c>
      <c r="O3490" s="148">
        <v>0</v>
      </c>
      <c r="P3490" s="148">
        <v>-106.3775</v>
      </c>
      <c r="Q3490" s="148">
        <v>-229.10912999999999</v>
      </c>
      <c r="R3490" s="148">
        <v>-215.37367394420812</v>
      </c>
    </row>
    <row r="3491" spans="2:18" ht="15.75" hidden="1" thickBot="1" x14ac:dyDescent="0.3">
      <c r="B3491" s="724" t="s">
        <v>788</v>
      </c>
      <c r="C3491" s="722" t="s">
        <v>163</v>
      </c>
      <c r="D3491" t="s">
        <v>164</v>
      </c>
      <c r="E3491" s="147">
        <v>-1246.3961899999999</v>
      </c>
      <c r="F3491" s="147">
        <v>-130.06584000000001</v>
      </c>
      <c r="G3491" s="147">
        <v>-1116.33035</v>
      </c>
      <c r="H3491" s="147">
        <v>-858.28096754689784</v>
      </c>
      <c r="I3491" s="729"/>
      <c r="J3491" s="147">
        <v>-1246.3961899999999</v>
      </c>
      <c r="K3491" s="147">
        <v>0</v>
      </c>
      <c r="L3491" s="147">
        <v>-16312.899600000001</v>
      </c>
      <c r="M3491" s="147">
        <v>-1531.0268599999999</v>
      </c>
      <c r="N3491" s="147">
        <v>-14781.872740000001</v>
      </c>
      <c r="O3491" s="147">
        <v>-965.48748596089297</v>
      </c>
      <c r="P3491" s="147">
        <v>-8246.0152699999999</v>
      </c>
      <c r="Q3491" s="147">
        <v>-8066.8843299999999</v>
      </c>
      <c r="R3491" s="147">
        <v>-97.827666647044666</v>
      </c>
    </row>
    <row r="3492" spans="2:18" ht="15.75" hidden="1" thickBot="1" x14ac:dyDescent="0.3">
      <c r="B3492" s="724" t="s">
        <v>788</v>
      </c>
      <c r="C3492" s="722" t="s">
        <v>97</v>
      </c>
      <c r="D3492" t="s">
        <v>98</v>
      </c>
      <c r="E3492" s="148">
        <v>-43.116480000000003</v>
      </c>
      <c r="F3492" s="728"/>
      <c r="G3492" s="148">
        <v>-43.116480000000003</v>
      </c>
      <c r="H3492" s="148">
        <v>0</v>
      </c>
      <c r="I3492" s="728"/>
      <c r="J3492" s="148">
        <v>-43.116480000000003</v>
      </c>
      <c r="K3492" s="148">
        <v>0</v>
      </c>
      <c r="L3492" s="148">
        <v>-753.15894000000003</v>
      </c>
      <c r="M3492" s="728"/>
      <c r="N3492" s="148">
        <v>-753.15894000000003</v>
      </c>
      <c r="O3492" s="148">
        <v>0</v>
      </c>
      <c r="P3492" s="148">
        <v>-305.76745</v>
      </c>
      <c r="Q3492" s="148">
        <v>-447.39148999999998</v>
      </c>
      <c r="R3492" s="148">
        <v>-146.31756584947155</v>
      </c>
    </row>
    <row r="3493" spans="2:18" ht="15.75" hidden="1" thickBot="1" x14ac:dyDescent="0.3">
      <c r="B3493" s="724" t="s">
        <v>788</v>
      </c>
      <c r="C3493" s="149" t="s">
        <v>67</v>
      </c>
      <c r="D3493" t="s">
        <v>68</v>
      </c>
      <c r="E3493" s="147">
        <v>1404.60149</v>
      </c>
      <c r="F3493" s="147">
        <v>1704.27721</v>
      </c>
      <c r="G3493" s="147">
        <v>-299.67572000000001</v>
      </c>
      <c r="H3493" s="147">
        <v>-17.583742729271137</v>
      </c>
      <c r="I3493" s="729"/>
      <c r="J3493" s="147">
        <v>1404.60149</v>
      </c>
      <c r="K3493" s="147">
        <v>0</v>
      </c>
      <c r="L3493" s="147">
        <v>19393.878919999999</v>
      </c>
      <c r="M3493" s="147">
        <v>19816.560389999999</v>
      </c>
      <c r="N3493" s="147">
        <v>-422.68146999999999</v>
      </c>
      <c r="O3493" s="147">
        <v>-2.1329709176638803</v>
      </c>
      <c r="P3493" s="147">
        <v>9772.1870699999999</v>
      </c>
      <c r="Q3493" s="147">
        <v>9621.6918499999992</v>
      </c>
      <c r="R3493" s="147">
        <v>98.459963783726465</v>
      </c>
    </row>
    <row r="3494" spans="2:18" ht="15.75" hidden="1" thickBot="1" x14ac:dyDescent="0.3">
      <c r="B3494" s="724" t="s">
        <v>788</v>
      </c>
      <c r="C3494" s="722" t="s">
        <v>69</v>
      </c>
      <c r="D3494" t="s">
        <v>70</v>
      </c>
      <c r="E3494" s="728"/>
      <c r="F3494" s="728"/>
      <c r="G3494" s="728"/>
      <c r="H3494" s="728"/>
      <c r="I3494" s="728"/>
      <c r="J3494" s="728"/>
      <c r="K3494" s="728"/>
      <c r="L3494" s="148">
        <v>3.3268399999999998</v>
      </c>
      <c r="M3494" s="728"/>
      <c r="N3494" s="148">
        <v>3.3268399999999998</v>
      </c>
      <c r="O3494" s="148">
        <v>0</v>
      </c>
      <c r="P3494" s="148">
        <v>2.02684</v>
      </c>
      <c r="Q3494" s="148">
        <v>1.3</v>
      </c>
      <c r="R3494" s="148">
        <v>64.139251248248499</v>
      </c>
    </row>
    <row r="3495" spans="2:18" ht="15.75" hidden="1" thickBot="1" x14ac:dyDescent="0.3">
      <c r="B3495" s="724" t="s">
        <v>788</v>
      </c>
      <c r="C3495" s="722" t="s">
        <v>99</v>
      </c>
      <c r="D3495" t="s">
        <v>100</v>
      </c>
      <c r="E3495" s="147">
        <v>0.88116000000000005</v>
      </c>
      <c r="F3495" s="147">
        <v>14.16667</v>
      </c>
      <c r="G3495" s="147">
        <v>-13.28551</v>
      </c>
      <c r="H3495" s="147">
        <v>-93.780048522341531</v>
      </c>
      <c r="I3495" s="729"/>
      <c r="J3495" s="147">
        <v>0.88116000000000005</v>
      </c>
      <c r="K3495" s="147">
        <v>0</v>
      </c>
      <c r="L3495" s="147">
        <v>21.536960000000001</v>
      </c>
      <c r="M3495" s="147">
        <v>170.00004000000001</v>
      </c>
      <c r="N3495" s="147">
        <v>-148.46307999999999</v>
      </c>
      <c r="O3495" s="147">
        <v>-87.331202980893423</v>
      </c>
      <c r="P3495" s="147">
        <v>11.556760000000001</v>
      </c>
      <c r="Q3495" s="147">
        <v>9.9802</v>
      </c>
      <c r="R3495" s="147">
        <v>86.358114211941754</v>
      </c>
    </row>
    <row r="3496" spans="2:18" ht="15.75" hidden="1" thickBot="1" x14ac:dyDescent="0.3">
      <c r="B3496" s="724" t="s">
        <v>788</v>
      </c>
      <c r="C3496" s="722" t="s">
        <v>165</v>
      </c>
      <c r="D3496" t="s">
        <v>166</v>
      </c>
      <c r="E3496" s="148">
        <v>3.21489</v>
      </c>
      <c r="F3496" s="728"/>
      <c r="G3496" s="148">
        <v>3.21489</v>
      </c>
      <c r="H3496" s="148">
        <v>0</v>
      </c>
      <c r="I3496" s="728"/>
      <c r="J3496" s="148">
        <v>3.21489</v>
      </c>
      <c r="K3496" s="148">
        <v>0</v>
      </c>
      <c r="L3496" s="148">
        <v>97.812380000000005</v>
      </c>
      <c r="M3496" s="728"/>
      <c r="N3496" s="148">
        <v>97.812380000000005</v>
      </c>
      <c r="O3496" s="148">
        <v>0</v>
      </c>
      <c r="P3496" s="148">
        <v>55.358429999999998</v>
      </c>
      <c r="Q3496" s="148">
        <v>42.453949999999999</v>
      </c>
      <c r="R3496" s="148">
        <v>76.689223303478798</v>
      </c>
    </row>
    <row r="3497" spans="2:18" ht="15.75" hidden="1" thickBot="1" x14ac:dyDescent="0.3">
      <c r="B3497" s="724" t="s">
        <v>788</v>
      </c>
      <c r="C3497" s="722" t="s">
        <v>188</v>
      </c>
      <c r="D3497" t="s">
        <v>189</v>
      </c>
      <c r="E3497" s="729"/>
      <c r="F3497" s="729"/>
      <c r="G3497" s="729"/>
      <c r="H3497" s="729"/>
      <c r="I3497" s="729"/>
      <c r="J3497" s="729"/>
      <c r="K3497" s="729"/>
      <c r="L3497" s="147">
        <v>1.758</v>
      </c>
      <c r="M3497" s="729"/>
      <c r="N3497" s="147">
        <v>1.758</v>
      </c>
      <c r="O3497" s="147">
        <v>0</v>
      </c>
      <c r="P3497" s="147">
        <v>0.27177000000000001</v>
      </c>
      <c r="Q3497" s="147">
        <v>1.4862299999999999</v>
      </c>
      <c r="R3497" s="147">
        <v>546.87051550943818</v>
      </c>
    </row>
    <row r="3498" spans="2:18" ht="15.75" hidden="1" thickBot="1" x14ac:dyDescent="0.3">
      <c r="B3498" s="724" t="s">
        <v>788</v>
      </c>
      <c r="C3498" s="722" t="s">
        <v>592</v>
      </c>
      <c r="D3498" t="s">
        <v>593</v>
      </c>
      <c r="E3498" s="148">
        <v>0.12881000000000001</v>
      </c>
      <c r="F3498" s="728"/>
      <c r="G3498" s="148">
        <v>0.12881000000000001</v>
      </c>
      <c r="H3498" s="148">
        <v>0</v>
      </c>
      <c r="I3498" s="728"/>
      <c r="J3498" s="148">
        <v>0.12881000000000001</v>
      </c>
      <c r="K3498" s="148">
        <v>0</v>
      </c>
      <c r="L3498" s="148">
        <v>0.90288000000000002</v>
      </c>
      <c r="M3498" s="728"/>
      <c r="N3498" s="148">
        <v>0.90288000000000002</v>
      </c>
      <c r="O3498" s="148">
        <v>0</v>
      </c>
      <c r="P3498" s="148">
        <v>0.35322999999999999</v>
      </c>
      <c r="Q3498" s="148">
        <v>0.54964999999999997</v>
      </c>
      <c r="R3498" s="148">
        <v>155.60682841208279</v>
      </c>
    </row>
    <row r="3499" spans="2:18" ht="15.75" hidden="1" thickBot="1" x14ac:dyDescent="0.3">
      <c r="B3499" s="724" t="s">
        <v>788</v>
      </c>
      <c r="C3499" s="722" t="s">
        <v>594</v>
      </c>
      <c r="D3499" t="s">
        <v>595</v>
      </c>
      <c r="E3499" s="729"/>
      <c r="F3499" s="729"/>
      <c r="G3499" s="729"/>
      <c r="H3499" s="729"/>
      <c r="I3499" s="729"/>
      <c r="J3499" s="729"/>
      <c r="K3499" s="729"/>
      <c r="L3499" s="147">
        <v>0.25</v>
      </c>
      <c r="M3499" s="729"/>
      <c r="N3499" s="147">
        <v>0.25</v>
      </c>
      <c r="O3499" s="147">
        <v>0</v>
      </c>
      <c r="P3499" s="147">
        <v>0.25</v>
      </c>
      <c r="Q3499" s="147">
        <v>0</v>
      </c>
      <c r="R3499" s="147">
        <v>0</v>
      </c>
    </row>
    <row r="3500" spans="2:18" ht="15.75" hidden="1" thickBot="1" x14ac:dyDescent="0.3">
      <c r="B3500" s="724" t="s">
        <v>788</v>
      </c>
      <c r="C3500" s="722" t="s">
        <v>137</v>
      </c>
      <c r="D3500" t="s">
        <v>138</v>
      </c>
      <c r="E3500" s="148">
        <v>0.27577000000000002</v>
      </c>
      <c r="F3500" s="148">
        <v>2.5</v>
      </c>
      <c r="G3500" s="148">
        <v>-2.2242299999999999</v>
      </c>
      <c r="H3500" s="148">
        <v>-88.969200000000001</v>
      </c>
      <c r="I3500" s="728"/>
      <c r="J3500" s="148">
        <v>0.27577000000000002</v>
      </c>
      <c r="K3500" s="148">
        <v>0</v>
      </c>
      <c r="L3500" s="148">
        <v>34.95523</v>
      </c>
      <c r="M3500" s="148">
        <v>30</v>
      </c>
      <c r="N3500" s="148">
        <v>4.9552300000000002</v>
      </c>
      <c r="O3500" s="148">
        <v>16.517433333333333</v>
      </c>
      <c r="P3500" s="148">
        <v>20.484529999999999</v>
      </c>
      <c r="Q3500" s="148">
        <v>14.470700000000001</v>
      </c>
      <c r="R3500" s="148">
        <v>70.642089420650606</v>
      </c>
    </row>
    <row r="3501" spans="2:18" ht="15.75" hidden="1" thickBot="1" x14ac:dyDescent="0.3">
      <c r="B3501" s="724" t="s">
        <v>788</v>
      </c>
      <c r="C3501" s="722" t="s">
        <v>190</v>
      </c>
      <c r="D3501" t="s">
        <v>191</v>
      </c>
      <c r="E3501" s="147">
        <v>17.553999999999998</v>
      </c>
      <c r="F3501" s="147">
        <v>17.341999999999999</v>
      </c>
      <c r="G3501" s="147">
        <v>0.21199999999999999</v>
      </c>
      <c r="H3501" s="147">
        <v>1.2224656902318072</v>
      </c>
      <c r="I3501" s="729"/>
      <c r="J3501" s="147">
        <v>17.553999999999998</v>
      </c>
      <c r="K3501" s="147">
        <v>0</v>
      </c>
      <c r="L3501" s="147">
        <v>209.46303</v>
      </c>
      <c r="M3501" s="147">
        <v>208.10400000000001</v>
      </c>
      <c r="N3501" s="147">
        <v>1.35903</v>
      </c>
      <c r="O3501" s="147">
        <v>0.65305328105178184</v>
      </c>
      <c r="P3501" s="147">
        <v>104.86357</v>
      </c>
      <c r="Q3501" s="147">
        <v>104.59945999999999</v>
      </c>
      <c r="R3501" s="147">
        <v>99.748139415814279</v>
      </c>
    </row>
    <row r="3502" spans="2:18" ht="15.75" hidden="1" thickBot="1" x14ac:dyDescent="0.3">
      <c r="B3502" s="724" t="s">
        <v>788</v>
      </c>
      <c r="C3502" s="722" t="s">
        <v>36</v>
      </c>
      <c r="D3502" t="s">
        <v>192</v>
      </c>
      <c r="E3502" s="148">
        <v>130.12038999999999</v>
      </c>
      <c r="F3502" s="148">
        <v>151.90834000000001</v>
      </c>
      <c r="G3502" s="148">
        <v>-21.787949999999999</v>
      </c>
      <c r="H3502" s="148">
        <v>-14.342826733542083</v>
      </c>
      <c r="I3502" s="728"/>
      <c r="J3502" s="148">
        <v>130.12038999999999</v>
      </c>
      <c r="K3502" s="148">
        <v>0</v>
      </c>
      <c r="L3502" s="148">
        <v>1984.11094</v>
      </c>
      <c r="M3502" s="148">
        <v>1822.9000799999999</v>
      </c>
      <c r="N3502" s="148">
        <v>161.21086</v>
      </c>
      <c r="O3502" s="148">
        <v>8.8436476452401056</v>
      </c>
      <c r="P3502" s="148">
        <v>1002.92882</v>
      </c>
      <c r="Q3502" s="148">
        <v>981.18212000000005</v>
      </c>
      <c r="R3502" s="148">
        <v>97.831680617174811</v>
      </c>
    </row>
    <row r="3503" spans="2:18" ht="15.75" hidden="1" thickBot="1" x14ac:dyDescent="0.3">
      <c r="B3503" s="724" t="s">
        <v>788</v>
      </c>
      <c r="C3503" s="722" t="s">
        <v>598</v>
      </c>
      <c r="D3503" t="s">
        <v>168</v>
      </c>
      <c r="E3503" s="729"/>
      <c r="F3503" s="729"/>
      <c r="G3503" s="729"/>
      <c r="H3503" s="729"/>
      <c r="I3503" s="729"/>
      <c r="J3503" s="729"/>
      <c r="K3503" s="729"/>
      <c r="L3503" s="147">
        <v>0.01</v>
      </c>
      <c r="M3503" s="729"/>
      <c r="N3503" s="147">
        <v>0.01</v>
      </c>
      <c r="O3503" s="147">
        <v>0</v>
      </c>
      <c r="P3503" s="729"/>
      <c r="Q3503" s="147">
        <v>0.01</v>
      </c>
      <c r="R3503" s="147">
        <v>0</v>
      </c>
    </row>
    <row r="3504" spans="2:18" ht="15.75" hidden="1" thickBot="1" x14ac:dyDescent="0.3">
      <c r="B3504" s="724" t="s">
        <v>788</v>
      </c>
      <c r="C3504" s="722" t="s">
        <v>139</v>
      </c>
      <c r="D3504" t="s">
        <v>140</v>
      </c>
      <c r="E3504" s="148">
        <v>5.2440000000000001E-2</v>
      </c>
      <c r="F3504" s="728"/>
      <c r="G3504" s="148">
        <v>5.2440000000000001E-2</v>
      </c>
      <c r="H3504" s="148">
        <v>0</v>
      </c>
      <c r="I3504" s="728"/>
      <c r="J3504" s="148">
        <v>5.2440000000000001E-2</v>
      </c>
      <c r="K3504" s="148">
        <v>0</v>
      </c>
      <c r="L3504" s="148">
        <v>0.21732000000000001</v>
      </c>
      <c r="M3504" s="728"/>
      <c r="N3504" s="148">
        <v>0.21732000000000001</v>
      </c>
      <c r="O3504" s="148">
        <v>0</v>
      </c>
      <c r="P3504" s="148">
        <v>0.16488</v>
      </c>
      <c r="Q3504" s="148">
        <v>5.2440000000000001E-2</v>
      </c>
      <c r="R3504" s="148">
        <v>31.804949053857349</v>
      </c>
    </row>
    <row r="3505" spans="2:18" ht="15.75" hidden="1" thickBot="1" x14ac:dyDescent="0.3">
      <c r="B3505" s="724" t="s">
        <v>788</v>
      </c>
      <c r="C3505" s="722" t="s">
        <v>101</v>
      </c>
      <c r="D3505" t="s">
        <v>102</v>
      </c>
      <c r="E3505" s="147">
        <v>4.1356999999999999</v>
      </c>
      <c r="F3505" s="147">
        <v>0.15</v>
      </c>
      <c r="G3505" s="147">
        <v>3.9857</v>
      </c>
      <c r="H3505" s="147">
        <v>2657.1333333333332</v>
      </c>
      <c r="I3505" s="729"/>
      <c r="J3505" s="147">
        <v>4.1356999999999999</v>
      </c>
      <c r="K3505" s="147">
        <v>0</v>
      </c>
      <c r="L3505" s="147">
        <v>34.466439999999999</v>
      </c>
      <c r="M3505" s="147">
        <v>1.8</v>
      </c>
      <c r="N3505" s="147">
        <v>32.666440000000001</v>
      </c>
      <c r="O3505" s="147">
        <v>1814.8022222222223</v>
      </c>
      <c r="P3505" s="147">
        <v>14.68379</v>
      </c>
      <c r="Q3505" s="147">
        <v>19.78265</v>
      </c>
      <c r="R3505" s="147">
        <v>134.72441379235198</v>
      </c>
    </row>
    <row r="3506" spans="2:18" ht="15.75" hidden="1" thickBot="1" x14ac:dyDescent="0.3">
      <c r="B3506" s="724" t="s">
        <v>788</v>
      </c>
      <c r="C3506" s="722" t="s">
        <v>599</v>
      </c>
      <c r="D3506" t="s">
        <v>600</v>
      </c>
      <c r="E3506" s="728"/>
      <c r="F3506" s="728"/>
      <c r="G3506" s="728"/>
      <c r="H3506" s="728"/>
      <c r="I3506" s="728"/>
      <c r="J3506" s="728"/>
      <c r="K3506" s="728"/>
      <c r="L3506" s="148">
        <v>2.1974999999999998</v>
      </c>
      <c r="M3506" s="728"/>
      <c r="N3506" s="148">
        <v>2.1974999999999998</v>
      </c>
      <c r="O3506" s="148">
        <v>0</v>
      </c>
      <c r="P3506" s="148">
        <v>2.1974999999999998</v>
      </c>
      <c r="Q3506" s="148">
        <v>0</v>
      </c>
      <c r="R3506" s="148">
        <v>0</v>
      </c>
    </row>
    <row r="3507" spans="2:18" ht="15.75" hidden="1" thickBot="1" x14ac:dyDescent="0.3">
      <c r="B3507" s="724" t="s">
        <v>788</v>
      </c>
      <c r="C3507" s="722" t="s">
        <v>603</v>
      </c>
      <c r="D3507" t="s">
        <v>604</v>
      </c>
      <c r="E3507" s="729"/>
      <c r="F3507" s="729"/>
      <c r="G3507" s="729"/>
      <c r="H3507" s="729"/>
      <c r="I3507" s="729"/>
      <c r="J3507" s="729"/>
      <c r="K3507" s="729"/>
      <c r="L3507" s="147">
        <v>0.66</v>
      </c>
      <c r="M3507" s="729"/>
      <c r="N3507" s="147">
        <v>0.66</v>
      </c>
      <c r="O3507" s="147">
        <v>0</v>
      </c>
      <c r="P3507" s="729"/>
      <c r="Q3507" s="147">
        <v>0.66</v>
      </c>
      <c r="R3507" s="147">
        <v>0</v>
      </c>
    </row>
    <row r="3508" spans="2:18" ht="15.75" hidden="1" thickBot="1" x14ac:dyDescent="0.3">
      <c r="B3508" s="724" t="s">
        <v>788</v>
      </c>
      <c r="C3508" s="722" t="s">
        <v>218</v>
      </c>
      <c r="D3508" t="s">
        <v>219</v>
      </c>
      <c r="E3508" s="728"/>
      <c r="F3508" s="728"/>
      <c r="G3508" s="728"/>
      <c r="H3508" s="728"/>
      <c r="I3508" s="728"/>
      <c r="J3508" s="728"/>
      <c r="K3508" s="728"/>
      <c r="L3508" s="148">
        <v>0.16</v>
      </c>
      <c r="M3508" s="728"/>
      <c r="N3508" s="148">
        <v>0.16</v>
      </c>
      <c r="O3508" s="148">
        <v>0</v>
      </c>
      <c r="P3508" s="148">
        <v>0.16</v>
      </c>
      <c r="Q3508" s="148">
        <v>0</v>
      </c>
      <c r="R3508" s="148">
        <v>0</v>
      </c>
    </row>
    <row r="3509" spans="2:18" ht="15.75" hidden="1" thickBot="1" x14ac:dyDescent="0.3">
      <c r="B3509" s="724" t="s">
        <v>788</v>
      </c>
      <c r="C3509" s="722" t="s">
        <v>607</v>
      </c>
      <c r="D3509" t="s">
        <v>608</v>
      </c>
      <c r="E3509" s="729"/>
      <c r="F3509" s="729"/>
      <c r="G3509" s="729"/>
      <c r="H3509" s="729"/>
      <c r="I3509" s="729"/>
      <c r="J3509" s="729"/>
      <c r="K3509" s="729"/>
      <c r="L3509" s="147">
        <v>26.564620000000001</v>
      </c>
      <c r="M3509" s="729"/>
      <c r="N3509" s="147">
        <v>26.564620000000001</v>
      </c>
      <c r="O3509" s="147">
        <v>0</v>
      </c>
      <c r="P3509" s="147">
        <v>4.0235599999999998</v>
      </c>
      <c r="Q3509" s="147">
        <v>22.541060000000002</v>
      </c>
      <c r="R3509" s="147">
        <v>560.22676435793176</v>
      </c>
    </row>
    <row r="3510" spans="2:18" ht="15.75" hidden="1" thickBot="1" x14ac:dyDescent="0.3">
      <c r="B3510" s="724" t="s">
        <v>788</v>
      </c>
      <c r="C3510" s="722" t="s">
        <v>462</v>
      </c>
      <c r="D3510" t="s">
        <v>463</v>
      </c>
      <c r="E3510" s="148">
        <v>5.6437499999999998</v>
      </c>
      <c r="F3510" s="728"/>
      <c r="G3510" s="148">
        <v>5.6437499999999998</v>
      </c>
      <c r="H3510" s="148">
        <v>0</v>
      </c>
      <c r="I3510" s="728"/>
      <c r="J3510" s="148">
        <v>5.6437499999999998</v>
      </c>
      <c r="K3510" s="148">
        <v>0</v>
      </c>
      <c r="L3510" s="148">
        <v>6.9372299999999996</v>
      </c>
      <c r="M3510" s="728"/>
      <c r="N3510" s="148">
        <v>6.9372299999999996</v>
      </c>
      <c r="O3510" s="148">
        <v>0</v>
      </c>
      <c r="P3510" s="148">
        <v>0.77410000000000001</v>
      </c>
      <c r="Q3510" s="148">
        <v>6.1631299999999998</v>
      </c>
      <c r="R3510" s="148">
        <v>796.16716186539202</v>
      </c>
    </row>
    <row r="3511" spans="2:18" ht="15.75" hidden="1" thickBot="1" x14ac:dyDescent="0.3">
      <c r="B3511" s="724" t="s">
        <v>788</v>
      </c>
      <c r="C3511" s="722" t="s">
        <v>613</v>
      </c>
      <c r="D3511" t="s">
        <v>614</v>
      </c>
      <c r="E3511" s="729"/>
      <c r="F3511" s="729"/>
      <c r="G3511" s="729"/>
      <c r="H3511" s="729"/>
      <c r="I3511" s="729"/>
      <c r="J3511" s="729"/>
      <c r="K3511" s="729"/>
      <c r="L3511" s="147">
        <v>3.0637500000000002</v>
      </c>
      <c r="M3511" s="729"/>
      <c r="N3511" s="147">
        <v>3.0637500000000002</v>
      </c>
      <c r="O3511" s="147">
        <v>0</v>
      </c>
      <c r="P3511" s="147">
        <v>2.1480000000000001</v>
      </c>
      <c r="Q3511" s="147">
        <v>0.91574999999999995</v>
      </c>
      <c r="R3511" s="147">
        <v>42.632681564245807</v>
      </c>
    </row>
    <row r="3512" spans="2:18" ht="15.75" hidden="1" thickBot="1" x14ac:dyDescent="0.3">
      <c r="B3512" s="724" t="s">
        <v>788</v>
      </c>
      <c r="C3512" s="722" t="s">
        <v>615</v>
      </c>
      <c r="D3512" t="s">
        <v>616</v>
      </c>
      <c r="E3512" s="728"/>
      <c r="F3512" s="728"/>
      <c r="G3512" s="728"/>
      <c r="H3512" s="728"/>
      <c r="I3512" s="728"/>
      <c r="J3512" s="728"/>
      <c r="K3512" s="728"/>
      <c r="L3512" s="148">
        <v>3.3975399999999998</v>
      </c>
      <c r="M3512" s="728"/>
      <c r="N3512" s="148">
        <v>3.3975399999999998</v>
      </c>
      <c r="O3512" s="148">
        <v>0</v>
      </c>
      <c r="P3512" s="148">
        <v>4.2949999999999999</v>
      </c>
      <c r="Q3512" s="148">
        <v>-0.89746000000000004</v>
      </c>
      <c r="R3512" s="148">
        <v>-20.895459837019789</v>
      </c>
    </row>
    <row r="3513" spans="2:18" ht="15.75" hidden="1" thickBot="1" x14ac:dyDescent="0.3">
      <c r="B3513" s="724" t="s">
        <v>788</v>
      </c>
      <c r="C3513" s="722" t="s">
        <v>193</v>
      </c>
      <c r="D3513" t="s">
        <v>194</v>
      </c>
      <c r="E3513" s="147">
        <v>1.4719</v>
      </c>
      <c r="F3513" s="147">
        <v>1</v>
      </c>
      <c r="G3513" s="147">
        <v>0.47189999999999999</v>
      </c>
      <c r="H3513" s="147">
        <v>47.19</v>
      </c>
      <c r="I3513" s="729"/>
      <c r="J3513" s="147">
        <v>1.4719</v>
      </c>
      <c r="K3513" s="147">
        <v>0</v>
      </c>
      <c r="L3513" s="147">
        <v>36.973140000000001</v>
      </c>
      <c r="M3513" s="147">
        <v>12</v>
      </c>
      <c r="N3513" s="147">
        <v>24.973140000000001</v>
      </c>
      <c r="O3513" s="147">
        <v>208.1095</v>
      </c>
      <c r="P3513" s="147">
        <v>15.3155</v>
      </c>
      <c r="Q3513" s="147">
        <v>21.657640000000001</v>
      </c>
      <c r="R3513" s="147">
        <v>141.40994417420259</v>
      </c>
    </row>
    <row r="3514" spans="2:18" ht="15.75" hidden="1" thickBot="1" x14ac:dyDescent="0.3">
      <c r="B3514" s="724" t="s">
        <v>788</v>
      </c>
      <c r="C3514" s="722" t="s">
        <v>195</v>
      </c>
      <c r="D3514" t="s">
        <v>196</v>
      </c>
      <c r="E3514" s="148">
        <v>0.89207999999999998</v>
      </c>
      <c r="F3514" s="728"/>
      <c r="G3514" s="148">
        <v>0.89207999999999998</v>
      </c>
      <c r="H3514" s="148">
        <v>0</v>
      </c>
      <c r="I3514" s="728"/>
      <c r="J3514" s="148">
        <v>0.89207999999999998</v>
      </c>
      <c r="K3514" s="148">
        <v>0</v>
      </c>
      <c r="L3514" s="148">
        <v>11.008699999999999</v>
      </c>
      <c r="M3514" s="728"/>
      <c r="N3514" s="148">
        <v>11.008699999999999</v>
      </c>
      <c r="O3514" s="148">
        <v>0</v>
      </c>
      <c r="P3514" s="148">
        <v>3.6242399999999999</v>
      </c>
      <c r="Q3514" s="148">
        <v>7.3844599999999998</v>
      </c>
      <c r="R3514" s="148">
        <v>203.75195903141073</v>
      </c>
    </row>
    <row r="3515" spans="2:18" ht="15.75" hidden="1" thickBot="1" x14ac:dyDescent="0.3">
      <c r="B3515" s="724" t="s">
        <v>788</v>
      </c>
      <c r="C3515" s="722" t="s">
        <v>197</v>
      </c>
      <c r="D3515" t="s">
        <v>198</v>
      </c>
      <c r="E3515" s="147">
        <v>1.0649999999999999</v>
      </c>
      <c r="F3515" s="729"/>
      <c r="G3515" s="147">
        <v>1.0649999999999999</v>
      </c>
      <c r="H3515" s="147">
        <v>0</v>
      </c>
      <c r="I3515" s="729"/>
      <c r="J3515" s="147">
        <v>1.0649999999999999</v>
      </c>
      <c r="K3515" s="147">
        <v>0</v>
      </c>
      <c r="L3515" s="147">
        <v>5.5312999999999999</v>
      </c>
      <c r="M3515" s="729"/>
      <c r="N3515" s="147">
        <v>5.5312999999999999</v>
      </c>
      <c r="O3515" s="147">
        <v>0</v>
      </c>
      <c r="P3515" s="147">
        <v>2.3504999999999998</v>
      </c>
      <c r="Q3515" s="147">
        <v>3.1808000000000001</v>
      </c>
      <c r="R3515" s="147">
        <v>135.32439906402894</v>
      </c>
    </row>
    <row r="3516" spans="2:18" ht="15.75" hidden="1" thickBot="1" x14ac:dyDescent="0.3">
      <c r="B3516" s="724" t="s">
        <v>788</v>
      </c>
      <c r="C3516" s="722" t="s">
        <v>464</v>
      </c>
      <c r="D3516" t="s">
        <v>465</v>
      </c>
      <c r="E3516" s="728"/>
      <c r="F3516" s="728"/>
      <c r="G3516" s="728"/>
      <c r="H3516" s="728"/>
      <c r="I3516" s="728"/>
      <c r="J3516" s="728"/>
      <c r="K3516" s="728"/>
      <c r="L3516" s="148">
        <v>10.69481</v>
      </c>
      <c r="M3516" s="728"/>
      <c r="N3516" s="148">
        <v>10.69481</v>
      </c>
      <c r="O3516" s="148">
        <v>0</v>
      </c>
      <c r="P3516" s="148">
        <v>10.69481</v>
      </c>
      <c r="Q3516" s="148">
        <v>0</v>
      </c>
      <c r="R3516" s="148">
        <v>0</v>
      </c>
    </row>
    <row r="3517" spans="2:18" ht="15.75" hidden="1" thickBot="1" x14ac:dyDescent="0.3">
      <c r="B3517" s="724" t="s">
        <v>788</v>
      </c>
      <c r="C3517" s="722" t="s">
        <v>619</v>
      </c>
      <c r="D3517" t="s">
        <v>620</v>
      </c>
      <c r="E3517" s="729"/>
      <c r="F3517" s="729"/>
      <c r="G3517" s="729"/>
      <c r="H3517" s="729"/>
      <c r="I3517" s="729"/>
      <c r="J3517" s="729"/>
      <c r="K3517" s="729"/>
      <c r="L3517" s="147">
        <v>5.5237299999999996</v>
      </c>
      <c r="M3517" s="729"/>
      <c r="N3517" s="147">
        <v>5.5237299999999996</v>
      </c>
      <c r="O3517" s="147">
        <v>0</v>
      </c>
      <c r="P3517" s="147">
        <v>7.6999999999999996E-4</v>
      </c>
      <c r="Q3517" s="147">
        <v>5.5229600000000003</v>
      </c>
      <c r="R3517" s="147">
        <v>717267.53246753244</v>
      </c>
    </row>
    <row r="3518" spans="2:18" ht="15.75" hidden="1" thickBot="1" x14ac:dyDescent="0.3">
      <c r="B3518" s="724" t="s">
        <v>788</v>
      </c>
      <c r="C3518" s="722" t="s">
        <v>103</v>
      </c>
      <c r="D3518" t="s">
        <v>104</v>
      </c>
      <c r="E3518" s="728"/>
      <c r="F3518" s="728"/>
      <c r="G3518" s="728"/>
      <c r="H3518" s="728"/>
      <c r="I3518" s="728"/>
      <c r="J3518" s="728"/>
      <c r="K3518" s="728"/>
      <c r="L3518" s="148">
        <v>1.0500400000000001</v>
      </c>
      <c r="M3518" s="728"/>
      <c r="N3518" s="148">
        <v>1.0500400000000001</v>
      </c>
      <c r="O3518" s="148">
        <v>0</v>
      </c>
      <c r="P3518" s="148">
        <v>0.14473</v>
      </c>
      <c r="Q3518" s="148">
        <v>0.90530999999999995</v>
      </c>
      <c r="R3518" s="148">
        <v>625.51647896082363</v>
      </c>
    </row>
    <row r="3519" spans="2:18" ht="15.75" hidden="1" thickBot="1" x14ac:dyDescent="0.3">
      <c r="B3519" s="724" t="s">
        <v>788</v>
      </c>
      <c r="C3519" s="722" t="s">
        <v>71</v>
      </c>
      <c r="D3519" t="s">
        <v>72</v>
      </c>
      <c r="E3519" s="729"/>
      <c r="F3519" s="729"/>
      <c r="G3519" s="729"/>
      <c r="H3519" s="729"/>
      <c r="I3519" s="729"/>
      <c r="J3519" s="729"/>
      <c r="K3519" s="729"/>
      <c r="L3519" s="147">
        <v>3.0360000000000002E-2</v>
      </c>
      <c r="M3519" s="729"/>
      <c r="N3519" s="147">
        <v>3.0360000000000002E-2</v>
      </c>
      <c r="O3519" s="147">
        <v>0</v>
      </c>
      <c r="P3519" s="147">
        <v>-4.1959999999999997E-2</v>
      </c>
      <c r="Q3519" s="147">
        <v>7.2319999999999995E-2</v>
      </c>
      <c r="R3519" s="147">
        <v>172.35462345090562</v>
      </c>
    </row>
    <row r="3520" spans="2:18" ht="15.75" hidden="1" thickBot="1" x14ac:dyDescent="0.3">
      <c r="B3520" s="724" t="s">
        <v>788</v>
      </c>
      <c r="C3520" s="722" t="s">
        <v>627</v>
      </c>
      <c r="D3520" t="s">
        <v>628</v>
      </c>
      <c r="E3520" s="148">
        <v>8.2949999999999996E-2</v>
      </c>
      <c r="F3520" s="728"/>
      <c r="G3520" s="148">
        <v>8.2949999999999996E-2</v>
      </c>
      <c r="H3520" s="148">
        <v>0</v>
      </c>
      <c r="I3520" s="728"/>
      <c r="J3520" s="148">
        <v>8.2949999999999996E-2</v>
      </c>
      <c r="K3520" s="148">
        <v>0</v>
      </c>
      <c r="L3520" s="148">
        <v>0.85053000000000001</v>
      </c>
      <c r="M3520" s="728"/>
      <c r="N3520" s="148">
        <v>0.85053000000000001</v>
      </c>
      <c r="O3520" s="148">
        <v>0</v>
      </c>
      <c r="P3520" s="148">
        <v>0.45882000000000001</v>
      </c>
      <c r="Q3520" s="148">
        <v>0.39171</v>
      </c>
      <c r="R3520" s="148">
        <v>85.37334902576174</v>
      </c>
    </row>
    <row r="3521" spans="2:18" ht="15.75" hidden="1" thickBot="1" x14ac:dyDescent="0.3">
      <c r="B3521" s="724" t="s">
        <v>788</v>
      </c>
      <c r="C3521" s="722" t="s">
        <v>107</v>
      </c>
      <c r="D3521" t="s">
        <v>108</v>
      </c>
      <c r="E3521" s="147">
        <v>1.899E-2</v>
      </c>
      <c r="F3521" s="729"/>
      <c r="G3521" s="147">
        <v>1.899E-2</v>
      </c>
      <c r="H3521" s="147">
        <v>0</v>
      </c>
      <c r="I3521" s="729"/>
      <c r="J3521" s="147">
        <v>1.899E-2</v>
      </c>
      <c r="K3521" s="147">
        <v>0</v>
      </c>
      <c r="L3521" s="147">
        <v>0.17645</v>
      </c>
      <c r="M3521" s="729"/>
      <c r="N3521" s="147">
        <v>0.17645</v>
      </c>
      <c r="O3521" s="147">
        <v>0</v>
      </c>
      <c r="P3521" s="147">
        <v>6.7470000000000002E-2</v>
      </c>
      <c r="Q3521" s="147">
        <v>0.10897999999999999</v>
      </c>
      <c r="R3521" s="147">
        <v>161.5236401363569</v>
      </c>
    </row>
    <row r="3522" spans="2:18" ht="15.75" hidden="1" thickBot="1" x14ac:dyDescent="0.3">
      <c r="B3522" s="724" t="s">
        <v>788</v>
      </c>
      <c r="C3522" s="722" t="s">
        <v>109</v>
      </c>
      <c r="D3522" t="s">
        <v>110</v>
      </c>
      <c r="E3522" s="728"/>
      <c r="F3522" s="728"/>
      <c r="G3522" s="728"/>
      <c r="H3522" s="728"/>
      <c r="I3522" s="728"/>
      <c r="J3522" s="728"/>
      <c r="K3522" s="728"/>
      <c r="L3522" s="148">
        <v>1.10707</v>
      </c>
      <c r="M3522" s="728"/>
      <c r="N3522" s="148">
        <v>1.10707</v>
      </c>
      <c r="O3522" s="148">
        <v>0</v>
      </c>
      <c r="P3522" s="148">
        <v>0.83421999999999996</v>
      </c>
      <c r="Q3522" s="148">
        <v>0.27284999999999998</v>
      </c>
      <c r="R3522" s="148">
        <v>32.707199539689768</v>
      </c>
    </row>
    <row r="3523" spans="2:18" ht="15.75" hidden="1" thickBot="1" x14ac:dyDescent="0.3">
      <c r="B3523" s="724" t="s">
        <v>788</v>
      </c>
      <c r="C3523" s="722" t="s">
        <v>199</v>
      </c>
      <c r="D3523" t="s">
        <v>200</v>
      </c>
      <c r="E3523" s="147">
        <v>0</v>
      </c>
      <c r="F3523" s="729"/>
      <c r="G3523" s="147">
        <v>0</v>
      </c>
      <c r="H3523" s="147">
        <v>0</v>
      </c>
      <c r="I3523" s="729"/>
      <c r="J3523" s="147">
        <v>0</v>
      </c>
      <c r="K3523" s="147">
        <v>0</v>
      </c>
      <c r="L3523" s="147">
        <v>97.443780000000004</v>
      </c>
      <c r="M3523" s="147">
        <v>100</v>
      </c>
      <c r="N3523" s="147">
        <v>-2.5562200000000002</v>
      </c>
      <c r="O3523" s="147">
        <v>-2.5562200000000002</v>
      </c>
      <c r="P3523" s="147">
        <v>0</v>
      </c>
      <c r="Q3523" s="147">
        <v>97.443780000000004</v>
      </c>
      <c r="R3523" s="147">
        <v>0</v>
      </c>
    </row>
    <row r="3524" spans="2:18" ht="15.75" hidden="1" thickBot="1" x14ac:dyDescent="0.3">
      <c r="B3524" s="724" t="s">
        <v>788</v>
      </c>
      <c r="C3524" s="722" t="s">
        <v>73</v>
      </c>
      <c r="D3524" t="s">
        <v>74</v>
      </c>
      <c r="E3524" s="148">
        <v>1.7351799999999999</v>
      </c>
      <c r="F3524" s="148">
        <v>1</v>
      </c>
      <c r="G3524" s="148">
        <v>0.73517999999999994</v>
      </c>
      <c r="H3524" s="148">
        <v>73.518000000000001</v>
      </c>
      <c r="I3524" s="728"/>
      <c r="J3524" s="148">
        <v>1.7351799999999999</v>
      </c>
      <c r="K3524" s="148">
        <v>0</v>
      </c>
      <c r="L3524" s="148">
        <v>18.83999</v>
      </c>
      <c r="M3524" s="148">
        <v>12</v>
      </c>
      <c r="N3524" s="148">
        <v>6.8399900000000002</v>
      </c>
      <c r="O3524" s="148">
        <v>56.999916666666664</v>
      </c>
      <c r="P3524" s="148">
        <v>10.906890000000001</v>
      </c>
      <c r="Q3524" s="148">
        <v>7.9330999999999996</v>
      </c>
      <c r="R3524" s="148">
        <v>72.73475757067321</v>
      </c>
    </row>
    <row r="3525" spans="2:18" ht="15.75" hidden="1" thickBot="1" x14ac:dyDescent="0.3">
      <c r="B3525" s="724" t="s">
        <v>788</v>
      </c>
      <c r="C3525" s="722" t="s">
        <v>111</v>
      </c>
      <c r="D3525" t="s">
        <v>112</v>
      </c>
      <c r="E3525" s="729"/>
      <c r="F3525" s="147">
        <v>2.35</v>
      </c>
      <c r="G3525" s="147">
        <v>-2.35</v>
      </c>
      <c r="H3525" s="147">
        <v>-100</v>
      </c>
      <c r="I3525" s="729"/>
      <c r="J3525" s="729"/>
      <c r="K3525" s="729"/>
      <c r="L3525" s="147">
        <v>22.14922</v>
      </c>
      <c r="M3525" s="147">
        <v>28.2</v>
      </c>
      <c r="N3525" s="147">
        <v>-6.0507799999999996</v>
      </c>
      <c r="O3525" s="147">
        <v>-21.456666666666667</v>
      </c>
      <c r="P3525" s="147">
        <v>11.51202</v>
      </c>
      <c r="Q3525" s="147">
        <v>10.6372</v>
      </c>
      <c r="R3525" s="147">
        <v>92.400812368289834</v>
      </c>
    </row>
    <row r="3526" spans="2:18" ht="15.75" hidden="1" thickBot="1" x14ac:dyDescent="0.3">
      <c r="B3526" s="724" t="s">
        <v>788</v>
      </c>
      <c r="C3526" s="722" t="s">
        <v>141</v>
      </c>
      <c r="D3526" t="s">
        <v>142</v>
      </c>
      <c r="E3526" s="728"/>
      <c r="F3526" s="728"/>
      <c r="G3526" s="728"/>
      <c r="H3526" s="728"/>
      <c r="I3526" s="728"/>
      <c r="J3526" s="728"/>
      <c r="K3526" s="728"/>
      <c r="L3526" s="148">
        <v>0.92693000000000003</v>
      </c>
      <c r="M3526" s="728"/>
      <c r="N3526" s="148">
        <v>0.92693000000000003</v>
      </c>
      <c r="O3526" s="148">
        <v>0</v>
      </c>
      <c r="P3526" s="148">
        <v>0.91366999999999998</v>
      </c>
      <c r="Q3526" s="148">
        <v>1.3259999999999999E-2</v>
      </c>
      <c r="R3526" s="148">
        <v>1.4512898530103866</v>
      </c>
    </row>
    <row r="3527" spans="2:18" ht="15.75" hidden="1" thickBot="1" x14ac:dyDescent="0.3">
      <c r="B3527" s="724" t="s">
        <v>788</v>
      </c>
      <c r="C3527" s="722" t="s">
        <v>113</v>
      </c>
      <c r="D3527" t="s">
        <v>114</v>
      </c>
      <c r="E3527" s="147">
        <v>1.7854099999999999</v>
      </c>
      <c r="F3527" s="147">
        <v>1.76667</v>
      </c>
      <c r="G3527" s="147">
        <v>1.874E-2</v>
      </c>
      <c r="H3527" s="147">
        <v>1.060752715560914</v>
      </c>
      <c r="I3527" s="729"/>
      <c r="J3527" s="147">
        <v>1.7854099999999999</v>
      </c>
      <c r="K3527" s="147">
        <v>0</v>
      </c>
      <c r="L3527" s="147">
        <v>29.357309999999998</v>
      </c>
      <c r="M3527" s="147">
        <v>21.200040000000001</v>
      </c>
      <c r="N3527" s="147">
        <v>8.1572700000000005</v>
      </c>
      <c r="O3527" s="147">
        <v>38.477616079969657</v>
      </c>
      <c r="P3527" s="147">
        <v>15.84324</v>
      </c>
      <c r="Q3527" s="147">
        <v>13.51407</v>
      </c>
      <c r="R3527" s="147">
        <v>85.298651033500718</v>
      </c>
    </row>
    <row r="3528" spans="2:18" ht="15.75" hidden="1" thickBot="1" x14ac:dyDescent="0.3">
      <c r="B3528" s="724" t="s">
        <v>788</v>
      </c>
      <c r="C3528" s="722" t="s">
        <v>201</v>
      </c>
      <c r="D3528" t="s">
        <v>202</v>
      </c>
      <c r="E3528" s="148">
        <v>2.5479999999999999E-2</v>
      </c>
      <c r="F3528" s="148">
        <v>1.3</v>
      </c>
      <c r="G3528" s="148">
        <v>-1.2745200000000001</v>
      </c>
      <c r="H3528" s="148">
        <v>-98.04</v>
      </c>
      <c r="I3528" s="728"/>
      <c r="J3528" s="148">
        <v>2.5479999999999999E-2</v>
      </c>
      <c r="K3528" s="148">
        <v>0</v>
      </c>
      <c r="L3528" s="148">
        <v>9.0234400000000008</v>
      </c>
      <c r="M3528" s="148">
        <v>21.6</v>
      </c>
      <c r="N3528" s="148">
        <v>-12.576560000000001</v>
      </c>
      <c r="O3528" s="148">
        <v>-58.224814814814813</v>
      </c>
      <c r="P3528" s="148">
        <v>3.3608600000000002</v>
      </c>
      <c r="Q3528" s="148">
        <v>5.6625800000000002</v>
      </c>
      <c r="R3528" s="148">
        <v>168.48604226299221</v>
      </c>
    </row>
    <row r="3529" spans="2:18" ht="15.75" hidden="1" thickBot="1" x14ac:dyDescent="0.3">
      <c r="B3529" s="724" t="s">
        <v>788</v>
      </c>
      <c r="C3529" s="722" t="s">
        <v>117</v>
      </c>
      <c r="D3529" t="s">
        <v>118</v>
      </c>
      <c r="E3529" s="729"/>
      <c r="F3529" s="729"/>
      <c r="G3529" s="729"/>
      <c r="H3529" s="729"/>
      <c r="I3529" s="729"/>
      <c r="J3529" s="729"/>
      <c r="K3529" s="729"/>
      <c r="L3529" s="147">
        <v>0.02</v>
      </c>
      <c r="M3529" s="729"/>
      <c r="N3529" s="147">
        <v>0.02</v>
      </c>
      <c r="O3529" s="147">
        <v>0</v>
      </c>
      <c r="P3529" s="147">
        <v>0.02</v>
      </c>
      <c r="Q3529" s="147">
        <v>0</v>
      </c>
      <c r="R3529" s="147">
        <v>0</v>
      </c>
    </row>
    <row r="3530" spans="2:18" ht="15.75" hidden="1" thickBot="1" x14ac:dyDescent="0.3">
      <c r="B3530" s="724" t="s">
        <v>788</v>
      </c>
      <c r="C3530" s="722" t="s">
        <v>145</v>
      </c>
      <c r="D3530" t="s">
        <v>146</v>
      </c>
      <c r="E3530" s="148">
        <v>0.10925</v>
      </c>
      <c r="F3530" s="148">
        <v>0.21818000000000001</v>
      </c>
      <c r="G3530" s="148">
        <v>-0.10893</v>
      </c>
      <c r="H3530" s="148">
        <v>-49.926666055550463</v>
      </c>
      <c r="I3530" s="728"/>
      <c r="J3530" s="148">
        <v>0.10925</v>
      </c>
      <c r="K3530" s="148">
        <v>0</v>
      </c>
      <c r="L3530" s="148">
        <v>19.848970000000001</v>
      </c>
      <c r="M3530" s="148">
        <v>7.9999799999999999</v>
      </c>
      <c r="N3530" s="148">
        <v>11.848990000000001</v>
      </c>
      <c r="O3530" s="148">
        <v>148.1127452818632</v>
      </c>
      <c r="P3530" s="148">
        <v>18.92747</v>
      </c>
      <c r="Q3530" s="148">
        <v>0.92149999999999999</v>
      </c>
      <c r="R3530" s="148">
        <v>4.8685851833340639</v>
      </c>
    </row>
    <row r="3531" spans="2:18" ht="15.75" hidden="1" thickBot="1" x14ac:dyDescent="0.3">
      <c r="B3531" s="724" t="s">
        <v>788</v>
      </c>
      <c r="C3531" s="722" t="s">
        <v>147</v>
      </c>
      <c r="D3531" t="s">
        <v>148</v>
      </c>
      <c r="E3531" s="729"/>
      <c r="F3531" s="729"/>
      <c r="G3531" s="729"/>
      <c r="H3531" s="729"/>
      <c r="I3531" s="729"/>
      <c r="J3531" s="729"/>
      <c r="K3531" s="729"/>
      <c r="L3531" s="147">
        <v>3.49E-2</v>
      </c>
      <c r="M3531" s="729"/>
      <c r="N3531" s="147">
        <v>3.49E-2</v>
      </c>
      <c r="O3531" s="147">
        <v>0</v>
      </c>
      <c r="P3531" s="729"/>
      <c r="Q3531" s="147">
        <v>3.49E-2</v>
      </c>
      <c r="R3531" s="147">
        <v>0</v>
      </c>
    </row>
    <row r="3532" spans="2:18" ht="15.75" hidden="1" thickBot="1" x14ac:dyDescent="0.3">
      <c r="B3532" s="724" t="s">
        <v>788</v>
      </c>
      <c r="C3532" s="722" t="s">
        <v>203</v>
      </c>
      <c r="D3532" t="s">
        <v>204</v>
      </c>
      <c r="E3532" s="148">
        <v>1.11053</v>
      </c>
      <c r="F3532" s="728"/>
      <c r="G3532" s="148">
        <v>1.11053</v>
      </c>
      <c r="H3532" s="148">
        <v>0</v>
      </c>
      <c r="I3532" s="728"/>
      <c r="J3532" s="148">
        <v>1.11053</v>
      </c>
      <c r="K3532" s="148">
        <v>0</v>
      </c>
      <c r="L3532" s="148">
        <v>8.7426300000000001</v>
      </c>
      <c r="M3532" s="728"/>
      <c r="N3532" s="148">
        <v>8.7426300000000001</v>
      </c>
      <c r="O3532" s="148">
        <v>0</v>
      </c>
      <c r="P3532" s="148">
        <v>4.2929000000000004</v>
      </c>
      <c r="Q3532" s="148">
        <v>4.4497299999999997</v>
      </c>
      <c r="R3532" s="148">
        <v>103.65324139858836</v>
      </c>
    </row>
    <row r="3533" spans="2:18" ht="15.75" hidden="1" thickBot="1" x14ac:dyDescent="0.3">
      <c r="B3533" s="724" t="s">
        <v>788</v>
      </c>
      <c r="C3533" s="722" t="s">
        <v>641</v>
      </c>
      <c r="D3533" t="s">
        <v>642</v>
      </c>
      <c r="E3533" s="729"/>
      <c r="F3533" s="729"/>
      <c r="G3533" s="729"/>
      <c r="H3533" s="729"/>
      <c r="I3533" s="729"/>
      <c r="J3533" s="729"/>
      <c r="K3533" s="729"/>
      <c r="L3533" s="147">
        <v>0</v>
      </c>
      <c r="M3533" s="729"/>
      <c r="N3533" s="147">
        <v>0</v>
      </c>
      <c r="O3533" s="147">
        <v>0</v>
      </c>
      <c r="P3533" s="147">
        <v>8.9950000000000002E-2</v>
      </c>
      <c r="Q3533" s="147">
        <v>-8.9950000000000002E-2</v>
      </c>
      <c r="R3533" s="147">
        <v>-100</v>
      </c>
    </row>
    <row r="3534" spans="2:18" ht="15.75" hidden="1" thickBot="1" x14ac:dyDescent="0.3">
      <c r="B3534" s="724" t="s">
        <v>788</v>
      </c>
      <c r="C3534" s="722" t="s">
        <v>149</v>
      </c>
      <c r="D3534" t="s">
        <v>150</v>
      </c>
      <c r="E3534" s="728"/>
      <c r="F3534" s="728"/>
      <c r="G3534" s="728"/>
      <c r="H3534" s="728"/>
      <c r="I3534" s="728"/>
      <c r="J3534" s="728"/>
      <c r="K3534" s="728"/>
      <c r="L3534" s="148">
        <v>0.78544000000000003</v>
      </c>
      <c r="M3534" s="728"/>
      <c r="N3534" s="148">
        <v>0.78544000000000003</v>
      </c>
      <c r="O3534" s="148">
        <v>0</v>
      </c>
      <c r="P3534" s="148">
        <v>0.18975</v>
      </c>
      <c r="Q3534" s="148">
        <v>0.59569000000000005</v>
      </c>
      <c r="R3534" s="148">
        <v>313.93412384716731</v>
      </c>
    </row>
    <row r="3535" spans="2:18" ht="15.75" hidden="1" thickBot="1" x14ac:dyDescent="0.3">
      <c r="B3535" s="724" t="s">
        <v>788</v>
      </c>
      <c r="C3535" s="722" t="s">
        <v>171</v>
      </c>
      <c r="D3535" t="s">
        <v>172</v>
      </c>
      <c r="E3535" s="729"/>
      <c r="F3535" s="729"/>
      <c r="G3535" s="729"/>
      <c r="H3535" s="729"/>
      <c r="I3535" s="729"/>
      <c r="J3535" s="729"/>
      <c r="K3535" s="729"/>
      <c r="L3535" s="147">
        <v>1.8190000000000001E-2</v>
      </c>
      <c r="M3535" s="729"/>
      <c r="N3535" s="147">
        <v>1.8190000000000001E-2</v>
      </c>
      <c r="O3535" s="147">
        <v>0</v>
      </c>
      <c r="P3535" s="729"/>
      <c r="Q3535" s="147">
        <v>1.8190000000000001E-2</v>
      </c>
      <c r="R3535" s="147">
        <v>0</v>
      </c>
    </row>
    <row r="3536" spans="2:18" ht="15.75" hidden="1" thickBot="1" x14ac:dyDescent="0.3">
      <c r="B3536" s="724" t="s">
        <v>788</v>
      </c>
      <c r="C3536" s="722" t="s">
        <v>205</v>
      </c>
      <c r="D3536" t="s">
        <v>206</v>
      </c>
      <c r="E3536" s="728"/>
      <c r="F3536" s="728"/>
      <c r="G3536" s="728"/>
      <c r="H3536" s="728"/>
      <c r="I3536" s="728"/>
      <c r="J3536" s="728"/>
      <c r="K3536" s="728"/>
      <c r="L3536" s="148">
        <v>0.62934999999999997</v>
      </c>
      <c r="M3536" s="728"/>
      <c r="N3536" s="148">
        <v>0.62934999999999997</v>
      </c>
      <c r="O3536" s="148">
        <v>0</v>
      </c>
      <c r="P3536" s="148">
        <v>0.45286999999999999</v>
      </c>
      <c r="Q3536" s="148">
        <v>0.17648</v>
      </c>
      <c r="R3536" s="148">
        <v>38.969240620928744</v>
      </c>
    </row>
    <row r="3537" spans="2:18" ht="15.75" hidden="1" thickBot="1" x14ac:dyDescent="0.3">
      <c r="B3537" s="724" t="s">
        <v>788</v>
      </c>
      <c r="C3537" s="722" t="s">
        <v>173</v>
      </c>
      <c r="D3537" t="s">
        <v>174</v>
      </c>
      <c r="E3537" s="147">
        <v>2.3925000000000001</v>
      </c>
      <c r="F3537" s="147">
        <v>5.0086899999999996</v>
      </c>
      <c r="G3537" s="147">
        <v>-2.61619</v>
      </c>
      <c r="H3537" s="147">
        <v>-52.233019012955481</v>
      </c>
      <c r="I3537" s="729"/>
      <c r="J3537" s="147">
        <v>2.3925000000000001</v>
      </c>
      <c r="K3537" s="147">
        <v>0</v>
      </c>
      <c r="L3537" s="147">
        <v>30.313970000000001</v>
      </c>
      <c r="M3537" s="147">
        <v>44.700020000000002</v>
      </c>
      <c r="N3537" s="147">
        <v>-14.386049999999999</v>
      </c>
      <c r="O3537" s="147">
        <v>-32.183542647184495</v>
      </c>
      <c r="P3537" s="147">
        <v>15.643319999999999</v>
      </c>
      <c r="Q3537" s="147">
        <v>14.67065</v>
      </c>
      <c r="R3537" s="147">
        <v>93.782202243513524</v>
      </c>
    </row>
    <row r="3538" spans="2:18" ht="15.75" hidden="1" thickBot="1" x14ac:dyDescent="0.3">
      <c r="B3538" s="724" t="s">
        <v>788</v>
      </c>
      <c r="C3538" s="722" t="s">
        <v>481</v>
      </c>
      <c r="D3538" t="s">
        <v>482</v>
      </c>
      <c r="E3538" s="728"/>
      <c r="F3538" s="728"/>
      <c r="G3538" s="728"/>
      <c r="H3538" s="728"/>
      <c r="I3538" s="728"/>
      <c r="J3538" s="728"/>
      <c r="K3538" s="728"/>
      <c r="L3538" s="148">
        <v>1.2346200000000001</v>
      </c>
      <c r="M3538" s="728"/>
      <c r="N3538" s="148">
        <v>1.2346200000000001</v>
      </c>
      <c r="O3538" s="148">
        <v>0</v>
      </c>
      <c r="P3538" s="148">
        <v>1.4760000000000001E-2</v>
      </c>
      <c r="Q3538" s="148">
        <v>1.2198599999999999</v>
      </c>
      <c r="R3538" s="148">
        <v>8264.6341463414628</v>
      </c>
    </row>
    <row r="3539" spans="2:18" ht="15.75" hidden="1" thickBot="1" x14ac:dyDescent="0.3">
      <c r="B3539" s="724" t="s">
        <v>788</v>
      </c>
      <c r="C3539" s="722" t="s">
        <v>175</v>
      </c>
      <c r="D3539" t="s">
        <v>176</v>
      </c>
      <c r="E3539" s="147">
        <v>0.96357000000000004</v>
      </c>
      <c r="F3539" s="729"/>
      <c r="G3539" s="147">
        <v>0.96357000000000004</v>
      </c>
      <c r="H3539" s="147">
        <v>0</v>
      </c>
      <c r="I3539" s="729"/>
      <c r="J3539" s="147">
        <v>0.96357000000000004</v>
      </c>
      <c r="K3539" s="147">
        <v>0</v>
      </c>
      <c r="L3539" s="147">
        <v>0.96357000000000004</v>
      </c>
      <c r="M3539" s="729"/>
      <c r="N3539" s="147">
        <v>0.96357000000000004</v>
      </c>
      <c r="O3539" s="147">
        <v>0</v>
      </c>
      <c r="P3539" s="729"/>
      <c r="Q3539" s="147">
        <v>0.96357000000000004</v>
      </c>
      <c r="R3539" s="147">
        <v>0</v>
      </c>
    </row>
    <row r="3540" spans="2:18" ht="15.75" hidden="1" thickBot="1" x14ac:dyDescent="0.3">
      <c r="B3540" s="724" t="s">
        <v>788</v>
      </c>
      <c r="C3540" s="722" t="s">
        <v>661</v>
      </c>
      <c r="D3540" t="s">
        <v>662</v>
      </c>
      <c r="E3540" s="728"/>
      <c r="F3540" s="728"/>
      <c r="G3540" s="728"/>
      <c r="H3540" s="728"/>
      <c r="I3540" s="728"/>
      <c r="J3540" s="728"/>
      <c r="K3540" s="728"/>
      <c r="L3540" s="148">
        <v>0</v>
      </c>
      <c r="M3540" s="728"/>
      <c r="N3540" s="148">
        <v>0</v>
      </c>
      <c r="O3540" s="148">
        <v>0</v>
      </c>
      <c r="P3540" s="728"/>
      <c r="Q3540" s="148">
        <v>0</v>
      </c>
      <c r="R3540" s="148">
        <v>0</v>
      </c>
    </row>
    <row r="3541" spans="2:18" ht="15.75" hidden="1" thickBot="1" x14ac:dyDescent="0.3">
      <c r="B3541" s="724" t="s">
        <v>788</v>
      </c>
      <c r="C3541" s="722" t="s">
        <v>663</v>
      </c>
      <c r="D3541" t="s">
        <v>664</v>
      </c>
      <c r="E3541" s="147">
        <v>-34.99785</v>
      </c>
      <c r="F3541" s="729"/>
      <c r="G3541" s="147">
        <v>-34.99785</v>
      </c>
      <c r="H3541" s="147">
        <v>0</v>
      </c>
      <c r="I3541" s="729"/>
      <c r="J3541" s="147">
        <v>-34.99785</v>
      </c>
      <c r="K3541" s="147">
        <v>0</v>
      </c>
      <c r="L3541" s="147">
        <v>-35.763840000000002</v>
      </c>
      <c r="M3541" s="729"/>
      <c r="N3541" s="147">
        <v>-35.763840000000002</v>
      </c>
      <c r="O3541" s="147">
        <v>0</v>
      </c>
      <c r="P3541" s="729"/>
      <c r="Q3541" s="147">
        <v>-35.763840000000002</v>
      </c>
      <c r="R3541" s="147">
        <v>0</v>
      </c>
    </row>
    <row r="3542" spans="2:18" ht="15.75" hidden="1" thickBot="1" x14ac:dyDescent="0.3">
      <c r="B3542" s="724" t="s">
        <v>788</v>
      </c>
      <c r="C3542" s="722" t="s">
        <v>153</v>
      </c>
      <c r="D3542" t="s">
        <v>154</v>
      </c>
      <c r="E3542" s="728"/>
      <c r="F3542" s="728"/>
      <c r="G3542" s="728"/>
      <c r="H3542" s="728"/>
      <c r="I3542" s="728"/>
      <c r="J3542" s="728"/>
      <c r="K3542" s="728"/>
      <c r="L3542" s="148">
        <v>0.06</v>
      </c>
      <c r="M3542" s="728"/>
      <c r="N3542" s="148">
        <v>0.06</v>
      </c>
      <c r="O3542" s="148">
        <v>0</v>
      </c>
      <c r="P3542" s="728"/>
      <c r="Q3542" s="148">
        <v>0.06</v>
      </c>
      <c r="R3542" s="148">
        <v>0</v>
      </c>
    </row>
    <row r="3543" spans="2:18" ht="15.75" hidden="1" thickBot="1" x14ac:dyDescent="0.3">
      <c r="B3543" s="724" t="s">
        <v>788</v>
      </c>
      <c r="C3543" s="722" t="s">
        <v>207</v>
      </c>
      <c r="D3543" t="s">
        <v>208</v>
      </c>
      <c r="E3543" s="147">
        <v>4.4659999999999998E-2</v>
      </c>
      <c r="F3543" s="729"/>
      <c r="G3543" s="147">
        <v>4.4659999999999998E-2</v>
      </c>
      <c r="H3543" s="147">
        <v>0</v>
      </c>
      <c r="I3543" s="729"/>
      <c r="J3543" s="147">
        <v>4.4659999999999998E-2</v>
      </c>
      <c r="K3543" s="147">
        <v>0</v>
      </c>
      <c r="L3543" s="147">
        <v>6.6775799999999998</v>
      </c>
      <c r="M3543" s="729"/>
      <c r="N3543" s="147">
        <v>6.6775799999999998</v>
      </c>
      <c r="O3543" s="147">
        <v>0</v>
      </c>
      <c r="P3543" s="147">
        <v>4.2974699999999997</v>
      </c>
      <c r="Q3543" s="147">
        <v>2.3801100000000002</v>
      </c>
      <c r="R3543" s="147">
        <v>55.383981738092416</v>
      </c>
    </row>
    <row r="3544" spans="2:18" ht="15.75" hidden="1" thickBot="1" x14ac:dyDescent="0.3">
      <c r="B3544" s="724" t="s">
        <v>788</v>
      </c>
      <c r="C3544" s="722" t="s">
        <v>75</v>
      </c>
      <c r="D3544" t="s">
        <v>76</v>
      </c>
      <c r="E3544" s="148">
        <v>3.4295900000000001</v>
      </c>
      <c r="F3544" s="148">
        <v>5.3878300000000001</v>
      </c>
      <c r="G3544" s="148">
        <v>-1.95824</v>
      </c>
      <c r="H3544" s="148">
        <v>-36.34561595299035</v>
      </c>
      <c r="I3544" s="728"/>
      <c r="J3544" s="148">
        <v>3.4295900000000001</v>
      </c>
      <c r="K3544" s="148">
        <v>0</v>
      </c>
      <c r="L3544" s="148">
        <v>46.320990000000002</v>
      </c>
      <c r="M3544" s="148">
        <v>45.19999</v>
      </c>
      <c r="N3544" s="148">
        <v>1.121</v>
      </c>
      <c r="O3544" s="148">
        <v>2.4800890442674879</v>
      </c>
      <c r="P3544" s="148">
        <v>23.979420000000001</v>
      </c>
      <c r="Q3544" s="148">
        <v>22.341570000000001</v>
      </c>
      <c r="R3544" s="148">
        <v>93.16976807612528</v>
      </c>
    </row>
    <row r="3545" spans="2:18" ht="15.75" hidden="1" thickBot="1" x14ac:dyDescent="0.3">
      <c r="B3545" s="724" t="s">
        <v>788</v>
      </c>
      <c r="C3545" s="722" t="s">
        <v>121</v>
      </c>
      <c r="D3545" t="s">
        <v>122</v>
      </c>
      <c r="E3545" s="147">
        <v>1.52718</v>
      </c>
      <c r="F3545" s="147">
        <v>2.01667</v>
      </c>
      <c r="G3545" s="147">
        <v>-0.48948999999999998</v>
      </c>
      <c r="H3545" s="147">
        <v>-24.272191285634239</v>
      </c>
      <c r="I3545" s="729"/>
      <c r="J3545" s="147">
        <v>1.52718</v>
      </c>
      <c r="K3545" s="147">
        <v>0</v>
      </c>
      <c r="L3545" s="147">
        <v>35.262079999999997</v>
      </c>
      <c r="M3545" s="147">
        <v>24.200040000000001</v>
      </c>
      <c r="N3545" s="147">
        <v>11.06204</v>
      </c>
      <c r="O3545" s="147">
        <v>45.710833535812334</v>
      </c>
      <c r="P3545" s="147">
        <v>18.497769999999999</v>
      </c>
      <c r="Q3545" s="147">
        <v>16.764309999999998</v>
      </c>
      <c r="R3545" s="147">
        <v>90.628816338401876</v>
      </c>
    </row>
    <row r="3546" spans="2:18" ht="15.75" hidden="1" thickBot="1" x14ac:dyDescent="0.3">
      <c r="B3546" s="724" t="s">
        <v>788</v>
      </c>
      <c r="C3546" s="722" t="s">
        <v>77</v>
      </c>
      <c r="D3546" t="s">
        <v>78</v>
      </c>
      <c r="E3546" s="148">
        <v>0.94018000000000002</v>
      </c>
      <c r="F3546" s="148">
        <v>2.625</v>
      </c>
      <c r="G3546" s="148">
        <v>-1.68482</v>
      </c>
      <c r="H3546" s="148">
        <v>-64.183619047619047</v>
      </c>
      <c r="I3546" s="728"/>
      <c r="J3546" s="148">
        <v>0.94018000000000002</v>
      </c>
      <c r="K3546" s="148">
        <v>0</v>
      </c>
      <c r="L3546" s="148">
        <v>21.749849999999999</v>
      </c>
      <c r="M3546" s="148">
        <v>31.5</v>
      </c>
      <c r="N3546" s="148">
        <v>-9.7501499999999997</v>
      </c>
      <c r="O3546" s="148">
        <v>-30.952857142857145</v>
      </c>
      <c r="P3546" s="148">
        <v>9.4312500000000004</v>
      </c>
      <c r="Q3546" s="148">
        <v>12.3186</v>
      </c>
      <c r="R3546" s="148">
        <v>130.61471172962226</v>
      </c>
    </row>
    <row r="3547" spans="2:18" ht="15.75" hidden="1" thickBot="1" x14ac:dyDescent="0.3">
      <c r="B3547" s="724" t="s">
        <v>788</v>
      </c>
      <c r="C3547" s="722" t="s">
        <v>79</v>
      </c>
      <c r="D3547" t="s">
        <v>80</v>
      </c>
      <c r="E3547" s="147">
        <v>0.32500000000000001</v>
      </c>
      <c r="F3547" s="729"/>
      <c r="G3547" s="147">
        <v>0.32500000000000001</v>
      </c>
      <c r="H3547" s="147">
        <v>0</v>
      </c>
      <c r="I3547" s="729"/>
      <c r="J3547" s="147">
        <v>0.32500000000000001</v>
      </c>
      <c r="K3547" s="147">
        <v>0</v>
      </c>
      <c r="L3547" s="147">
        <v>2.7066300000000001</v>
      </c>
      <c r="M3547" s="729"/>
      <c r="N3547" s="147">
        <v>2.7066300000000001</v>
      </c>
      <c r="O3547" s="147">
        <v>0</v>
      </c>
      <c r="P3547" s="147">
        <v>1.1225000000000001</v>
      </c>
      <c r="Q3547" s="147">
        <v>1.58413</v>
      </c>
      <c r="R3547" s="147">
        <v>141.12516703786193</v>
      </c>
    </row>
    <row r="3548" spans="2:18" ht="15.75" hidden="1" thickBot="1" x14ac:dyDescent="0.3">
      <c r="B3548" s="724" t="s">
        <v>788</v>
      </c>
      <c r="C3548" s="722" t="s">
        <v>81</v>
      </c>
      <c r="D3548" t="s">
        <v>82</v>
      </c>
      <c r="E3548" s="148">
        <v>14.02848</v>
      </c>
      <c r="F3548" s="148">
        <v>22</v>
      </c>
      <c r="G3548" s="148">
        <v>-7.9715199999999999</v>
      </c>
      <c r="H3548" s="148">
        <v>-36.234181818181817</v>
      </c>
      <c r="I3548" s="728"/>
      <c r="J3548" s="148">
        <v>14.02848</v>
      </c>
      <c r="K3548" s="148">
        <v>0</v>
      </c>
      <c r="L3548" s="148">
        <v>25.308720000000001</v>
      </c>
      <c r="M3548" s="148">
        <v>29.899979999999999</v>
      </c>
      <c r="N3548" s="148">
        <v>-4.5912600000000001</v>
      </c>
      <c r="O3548" s="148">
        <v>-15.355394886551764</v>
      </c>
      <c r="P3548" s="148">
        <v>3.4674200000000002</v>
      </c>
      <c r="Q3548" s="148">
        <v>21.8413</v>
      </c>
      <c r="R3548" s="148">
        <v>629.9006177503735</v>
      </c>
    </row>
    <row r="3549" spans="2:18" ht="15.75" hidden="1" thickBot="1" x14ac:dyDescent="0.3">
      <c r="B3549" s="724" t="s">
        <v>788</v>
      </c>
      <c r="C3549" s="722" t="s">
        <v>123</v>
      </c>
      <c r="D3549" t="s">
        <v>124</v>
      </c>
      <c r="E3549" s="147">
        <v>2.4727000000000001</v>
      </c>
      <c r="F3549" s="147">
        <v>0.25</v>
      </c>
      <c r="G3549" s="147">
        <v>2.2227000000000001</v>
      </c>
      <c r="H3549" s="147">
        <v>889.08</v>
      </c>
      <c r="I3549" s="729"/>
      <c r="J3549" s="147">
        <v>2.4727000000000001</v>
      </c>
      <c r="K3549" s="147">
        <v>0</v>
      </c>
      <c r="L3549" s="147">
        <v>6.2951499999999996</v>
      </c>
      <c r="M3549" s="147">
        <v>3</v>
      </c>
      <c r="N3549" s="147">
        <v>3.29515</v>
      </c>
      <c r="O3549" s="147">
        <v>109.83833333333334</v>
      </c>
      <c r="P3549" s="147">
        <v>1.9326300000000001</v>
      </c>
      <c r="Q3549" s="147">
        <v>4.36252</v>
      </c>
      <c r="R3549" s="147">
        <v>225.72970511686148</v>
      </c>
    </row>
    <row r="3550" spans="2:18" ht="15.75" hidden="1" thickBot="1" x14ac:dyDescent="0.3">
      <c r="B3550" s="724" t="s">
        <v>788</v>
      </c>
      <c r="C3550" s="722" t="s">
        <v>125</v>
      </c>
      <c r="D3550" t="s">
        <v>126</v>
      </c>
      <c r="E3550" s="148">
        <v>0.22500000000000001</v>
      </c>
      <c r="F3550" s="728"/>
      <c r="G3550" s="148">
        <v>0.22500000000000001</v>
      </c>
      <c r="H3550" s="148">
        <v>0</v>
      </c>
      <c r="I3550" s="728"/>
      <c r="J3550" s="148">
        <v>0.22500000000000001</v>
      </c>
      <c r="K3550" s="148">
        <v>0</v>
      </c>
      <c r="L3550" s="148">
        <v>0.22500000000000001</v>
      </c>
      <c r="M3550" s="728"/>
      <c r="N3550" s="148">
        <v>0.22500000000000001</v>
      </c>
      <c r="O3550" s="148">
        <v>0</v>
      </c>
      <c r="P3550" s="728"/>
      <c r="Q3550" s="148">
        <v>0.22500000000000001</v>
      </c>
      <c r="R3550" s="148">
        <v>0</v>
      </c>
    </row>
    <row r="3551" spans="2:18" ht="15.75" hidden="1" thickBot="1" x14ac:dyDescent="0.3">
      <c r="B3551" s="724" t="s">
        <v>788</v>
      </c>
      <c r="C3551" s="722" t="s">
        <v>209</v>
      </c>
      <c r="D3551" t="s">
        <v>210</v>
      </c>
      <c r="E3551" s="147">
        <v>4.1759999999999999E-2</v>
      </c>
      <c r="F3551" s="729"/>
      <c r="G3551" s="147">
        <v>4.1759999999999999E-2</v>
      </c>
      <c r="H3551" s="147">
        <v>0</v>
      </c>
      <c r="I3551" s="729"/>
      <c r="J3551" s="147">
        <v>4.1759999999999999E-2</v>
      </c>
      <c r="K3551" s="147">
        <v>0</v>
      </c>
      <c r="L3551" s="147">
        <v>10.315049999999999</v>
      </c>
      <c r="M3551" s="729"/>
      <c r="N3551" s="147">
        <v>10.315049999999999</v>
      </c>
      <c r="O3551" s="147">
        <v>0</v>
      </c>
      <c r="P3551" s="147">
        <v>6.8072400000000002</v>
      </c>
      <c r="Q3551" s="147">
        <v>3.5078100000000001</v>
      </c>
      <c r="R3551" s="147">
        <v>51.530576268796167</v>
      </c>
    </row>
    <row r="3552" spans="2:18" ht="15.75" hidden="1" thickBot="1" x14ac:dyDescent="0.3">
      <c r="B3552" s="724" t="s">
        <v>788</v>
      </c>
      <c r="C3552" s="722" t="s">
        <v>211</v>
      </c>
      <c r="D3552" t="s">
        <v>212</v>
      </c>
      <c r="E3552" s="148">
        <v>0.57860999999999996</v>
      </c>
      <c r="F3552" s="728"/>
      <c r="G3552" s="148">
        <v>0.57860999999999996</v>
      </c>
      <c r="H3552" s="148">
        <v>0</v>
      </c>
      <c r="I3552" s="728"/>
      <c r="J3552" s="148">
        <v>0.57860999999999996</v>
      </c>
      <c r="K3552" s="148">
        <v>0</v>
      </c>
      <c r="L3552" s="148">
        <v>7.9076700000000004</v>
      </c>
      <c r="M3552" s="728"/>
      <c r="N3552" s="148">
        <v>7.9076700000000004</v>
      </c>
      <c r="O3552" s="148">
        <v>0</v>
      </c>
      <c r="P3552" s="148">
        <v>3.9859800000000001</v>
      </c>
      <c r="Q3552" s="148">
        <v>3.9216899999999999</v>
      </c>
      <c r="R3552" s="148">
        <v>98.387096774193552</v>
      </c>
    </row>
    <row r="3553" spans="1:18" ht="15.75" hidden="1" thickBot="1" x14ac:dyDescent="0.3">
      <c r="B3553" s="724" t="s">
        <v>788</v>
      </c>
      <c r="C3553" s="722" t="s">
        <v>213</v>
      </c>
      <c r="D3553" t="s">
        <v>214</v>
      </c>
      <c r="E3553" s="147">
        <v>-0.21923999999999999</v>
      </c>
      <c r="F3553" s="729"/>
      <c r="G3553" s="147">
        <v>-0.21923999999999999</v>
      </c>
      <c r="H3553" s="147">
        <v>0</v>
      </c>
      <c r="I3553" s="729"/>
      <c r="J3553" s="147">
        <v>-0.21923999999999999</v>
      </c>
      <c r="K3553" s="147">
        <v>0</v>
      </c>
      <c r="L3553" s="147">
        <v>-10.63293</v>
      </c>
      <c r="M3553" s="729"/>
      <c r="N3553" s="147">
        <v>-10.63293</v>
      </c>
      <c r="O3553" s="147">
        <v>0</v>
      </c>
      <c r="P3553" s="147">
        <v>-6.9465599999999998</v>
      </c>
      <c r="Q3553" s="147">
        <v>-3.6863700000000001</v>
      </c>
      <c r="R3553" s="147">
        <v>-53.067561498065231</v>
      </c>
    </row>
    <row r="3554" spans="1:18" ht="15.75" hidden="1" thickBot="1" x14ac:dyDescent="0.3">
      <c r="B3554" s="724" t="s">
        <v>788</v>
      </c>
      <c r="C3554" s="722" t="s">
        <v>215</v>
      </c>
      <c r="D3554" t="s">
        <v>216</v>
      </c>
      <c r="E3554" s="148">
        <v>-0.49288999999999999</v>
      </c>
      <c r="F3554" s="728"/>
      <c r="G3554" s="148">
        <v>-0.49288999999999999</v>
      </c>
      <c r="H3554" s="148">
        <v>0</v>
      </c>
      <c r="I3554" s="728"/>
      <c r="J3554" s="148">
        <v>-0.49288999999999999</v>
      </c>
      <c r="K3554" s="148">
        <v>0</v>
      </c>
      <c r="L3554" s="148">
        <v>-7.4576399999999996</v>
      </c>
      <c r="M3554" s="728"/>
      <c r="N3554" s="148">
        <v>-7.4576399999999996</v>
      </c>
      <c r="O3554" s="148">
        <v>0</v>
      </c>
      <c r="P3554" s="148">
        <v>-3.5145200000000001</v>
      </c>
      <c r="Q3554" s="148">
        <v>-3.94312</v>
      </c>
      <c r="R3554" s="148">
        <v>-112.19512195121951</v>
      </c>
    </row>
    <row r="3555" spans="1:18" ht="15.75" hidden="1" thickBot="1" x14ac:dyDescent="0.3">
      <c r="B3555" s="724" t="s">
        <v>788</v>
      </c>
      <c r="C3555" s="722" t="s">
        <v>83</v>
      </c>
      <c r="D3555" t="s">
        <v>84</v>
      </c>
      <c r="E3555" s="729"/>
      <c r="F3555" s="147">
        <v>5.0833300000000001</v>
      </c>
      <c r="G3555" s="147">
        <v>-5.0833300000000001</v>
      </c>
      <c r="H3555" s="147">
        <v>-100</v>
      </c>
      <c r="I3555" s="729"/>
      <c r="J3555" s="729"/>
      <c r="K3555" s="729"/>
      <c r="L3555" s="729"/>
      <c r="M3555" s="147">
        <v>60.999960000000002</v>
      </c>
      <c r="N3555" s="147">
        <v>-60.999960000000002</v>
      </c>
      <c r="O3555" s="147">
        <v>-100</v>
      </c>
      <c r="P3555" s="729"/>
      <c r="Q3555" s="729"/>
      <c r="R3555" s="729"/>
    </row>
    <row r="3556" spans="1:18" ht="15.75" hidden="1" thickBot="1" x14ac:dyDescent="0.3">
      <c r="B3556" s="724" t="s">
        <v>788</v>
      </c>
      <c r="C3556" s="149" t="s">
        <v>85</v>
      </c>
      <c r="D3556" t="s">
        <v>86</v>
      </c>
      <c r="E3556" s="148">
        <v>161.56292999999999</v>
      </c>
      <c r="F3556" s="148">
        <v>236.07337999999999</v>
      </c>
      <c r="G3556" s="148">
        <v>-74.510450000000006</v>
      </c>
      <c r="H3556" s="148">
        <v>-31.562410806334878</v>
      </c>
      <c r="I3556" s="728"/>
      <c r="J3556" s="148">
        <v>161.56292999999999</v>
      </c>
      <c r="K3556" s="148">
        <v>0</v>
      </c>
      <c r="L3556" s="148">
        <v>2854.0434100000002</v>
      </c>
      <c r="M3556" s="148">
        <v>2675.30413</v>
      </c>
      <c r="N3556" s="148">
        <v>178.73928000000001</v>
      </c>
      <c r="O3556" s="148">
        <v>6.6810826476016389</v>
      </c>
      <c r="P3556" s="148">
        <v>1405.2181800000001</v>
      </c>
      <c r="Q3556" s="148">
        <v>1448.8252299999999</v>
      </c>
      <c r="R3556" s="148">
        <v>103.10322273228773</v>
      </c>
    </row>
    <row r="3557" spans="1:18" ht="15.75" hidden="1" thickBot="1" x14ac:dyDescent="0.3">
      <c r="B3557" s="724" t="s">
        <v>788</v>
      </c>
      <c r="C3557" s="144" t="s">
        <v>87</v>
      </c>
      <c r="D3557" t="s">
        <v>87</v>
      </c>
      <c r="E3557" s="147">
        <v>1566.1644200000001</v>
      </c>
      <c r="F3557" s="147">
        <v>1940.35059</v>
      </c>
      <c r="G3557" s="147">
        <v>-374.18617</v>
      </c>
      <c r="H3557" s="147">
        <v>-19.284461886859322</v>
      </c>
      <c r="I3557" s="729"/>
      <c r="J3557" s="147">
        <v>1566.1644200000001</v>
      </c>
      <c r="K3557" s="147">
        <v>0</v>
      </c>
      <c r="L3557" s="147">
        <v>22247.922330000001</v>
      </c>
      <c r="M3557" s="147">
        <v>22491.864519999999</v>
      </c>
      <c r="N3557" s="147">
        <v>-243.94219000000001</v>
      </c>
      <c r="O3557" s="147">
        <v>-1.0845796700539614</v>
      </c>
      <c r="P3557" s="147">
        <v>11177.40525</v>
      </c>
      <c r="Q3557" s="147">
        <v>11070.51708</v>
      </c>
      <c r="R3557" s="147">
        <v>99.043712135247134</v>
      </c>
    </row>
    <row r="3558" spans="1:18" ht="15.75" hidden="1" thickBot="1" x14ac:dyDescent="0.3">
      <c r="A3558" s="199" t="str">
        <f t="shared" ref="A3558:A3621" si="14">B3558&amp;C3558</f>
        <v>CUST FIELD SERVICESSALARY PAYROLL</v>
      </c>
      <c r="B3558" s="725" t="s">
        <v>177</v>
      </c>
      <c r="C3558" s="722" t="s">
        <v>59</v>
      </c>
      <c r="D3558" t="s">
        <v>60</v>
      </c>
      <c r="E3558" s="148">
        <v>138.69268</v>
      </c>
      <c r="F3558" s="148">
        <v>159.04022000000001</v>
      </c>
      <c r="G3558" s="148">
        <v>-20.347539999999999</v>
      </c>
      <c r="H3558" s="148">
        <v>-12.793958660268453</v>
      </c>
      <c r="I3558" s="728"/>
      <c r="J3558" s="148">
        <v>138.69268</v>
      </c>
      <c r="K3558" s="148">
        <v>0</v>
      </c>
      <c r="L3558" s="148">
        <v>1926.62201</v>
      </c>
      <c r="M3558" s="148">
        <v>1898.4704400000001</v>
      </c>
      <c r="N3558" s="148">
        <v>28.15157</v>
      </c>
      <c r="O3558" s="148">
        <v>1.4828553243104485</v>
      </c>
      <c r="P3558" s="148">
        <v>1023.62309</v>
      </c>
      <c r="Q3558" s="148">
        <v>902.99892</v>
      </c>
      <c r="R3558" s="148">
        <v>88.215958473543225</v>
      </c>
    </row>
    <row r="3559" spans="1:18" ht="15.75" hidden="1" thickBot="1" x14ac:dyDescent="0.3">
      <c r="A3559" s="199" t="str">
        <f t="shared" si="14"/>
        <v>CUST FIELD SERVICESHOURLY DOUBLE PAY</v>
      </c>
      <c r="B3559" s="725" t="s">
        <v>177</v>
      </c>
      <c r="C3559" s="722" t="s">
        <v>89</v>
      </c>
      <c r="D3559" t="s">
        <v>90</v>
      </c>
      <c r="E3559" s="147">
        <v>1.16001</v>
      </c>
      <c r="F3559" s="729"/>
      <c r="G3559" s="147">
        <v>1.16001</v>
      </c>
      <c r="H3559" s="147">
        <v>0</v>
      </c>
      <c r="I3559" s="729"/>
      <c r="J3559" s="147">
        <v>1.16001</v>
      </c>
      <c r="K3559" s="147">
        <v>0</v>
      </c>
      <c r="L3559" s="147">
        <v>162.76918000000001</v>
      </c>
      <c r="M3559" s="729"/>
      <c r="N3559" s="147">
        <v>162.76918000000001</v>
      </c>
      <c r="O3559" s="147">
        <v>0</v>
      </c>
      <c r="P3559" s="147">
        <v>91.500950000000003</v>
      </c>
      <c r="Q3559" s="147">
        <v>71.268230000000003</v>
      </c>
      <c r="R3559" s="147">
        <v>77.887967283399789</v>
      </c>
    </row>
    <row r="3560" spans="1:18" ht="15.75" hidden="1" thickBot="1" x14ac:dyDescent="0.3">
      <c r="A3560" s="199" t="str">
        <f t="shared" si="14"/>
        <v>CUST FIELD SERVICESHOURLY REGULAR  PAY</v>
      </c>
      <c r="B3560" s="725" t="s">
        <v>177</v>
      </c>
      <c r="C3560" s="722" t="s">
        <v>91</v>
      </c>
      <c r="D3560" t="s">
        <v>92</v>
      </c>
      <c r="E3560" s="148">
        <v>572.92880000000002</v>
      </c>
      <c r="F3560" s="148">
        <v>739.85112000000004</v>
      </c>
      <c r="G3560" s="148">
        <v>-166.92232000000001</v>
      </c>
      <c r="H3560" s="148">
        <v>-22.561609422176723</v>
      </c>
      <c r="I3560" s="728"/>
      <c r="J3560" s="148">
        <v>572.92880000000002</v>
      </c>
      <c r="K3560" s="148">
        <v>0</v>
      </c>
      <c r="L3560" s="148">
        <v>8314.7204199999996</v>
      </c>
      <c r="M3560" s="148">
        <v>8708.9129599999997</v>
      </c>
      <c r="N3560" s="148">
        <v>-394.19254000000001</v>
      </c>
      <c r="O3560" s="148">
        <v>-4.526311628219557</v>
      </c>
      <c r="P3560" s="148">
        <v>4255.2347399999999</v>
      </c>
      <c r="Q3560" s="148">
        <v>4059.4856799999998</v>
      </c>
      <c r="R3560" s="148">
        <v>95.399805840088618</v>
      </c>
    </row>
    <row r="3561" spans="1:18" ht="15.75" hidden="1" thickBot="1" x14ac:dyDescent="0.3">
      <c r="A3561" s="199" t="str">
        <f t="shared" si="14"/>
        <v>CUST FIELD SERVICESHOURLY OVERTIME PAY</v>
      </c>
      <c r="B3561" s="725" t="s">
        <v>177</v>
      </c>
      <c r="C3561" s="722" t="s">
        <v>93</v>
      </c>
      <c r="D3561" t="s">
        <v>94</v>
      </c>
      <c r="E3561" s="147">
        <v>-0.32195000000000001</v>
      </c>
      <c r="F3561" s="147">
        <v>83.777889999999999</v>
      </c>
      <c r="G3561" s="147">
        <v>-84.09984</v>
      </c>
      <c r="H3561" s="147">
        <v>-100.38428993616334</v>
      </c>
      <c r="I3561" s="729"/>
      <c r="J3561" s="147">
        <v>-0.32195000000000001</v>
      </c>
      <c r="K3561" s="147">
        <v>0</v>
      </c>
      <c r="L3561" s="147">
        <v>493.16194000000002</v>
      </c>
      <c r="M3561" s="147">
        <v>660.19510000000002</v>
      </c>
      <c r="N3561" s="147">
        <v>-167.03316000000001</v>
      </c>
      <c r="O3561" s="147">
        <v>-25.300575541987513</v>
      </c>
      <c r="P3561" s="147">
        <v>223.98284000000001</v>
      </c>
      <c r="Q3561" s="147">
        <v>269.17910000000001</v>
      </c>
      <c r="R3561" s="147">
        <v>120.17844759893214</v>
      </c>
    </row>
    <row r="3562" spans="1:18" ht="15.75" hidden="1" thickBot="1" x14ac:dyDescent="0.3">
      <c r="A3562" s="199" t="str">
        <f t="shared" si="14"/>
        <v>CUST FIELD SERVICESSALARY BONUS PAYROLL</v>
      </c>
      <c r="B3562" s="725" t="s">
        <v>177</v>
      </c>
      <c r="C3562" s="722" t="s">
        <v>134</v>
      </c>
      <c r="D3562" t="s">
        <v>135</v>
      </c>
      <c r="E3562" s="148">
        <v>16.944800000000001</v>
      </c>
      <c r="F3562" s="728"/>
      <c r="G3562" s="148">
        <v>16.944800000000001</v>
      </c>
      <c r="H3562" s="148">
        <v>0</v>
      </c>
      <c r="I3562" s="728"/>
      <c r="J3562" s="148">
        <v>16.944800000000001</v>
      </c>
      <c r="K3562" s="148">
        <v>0</v>
      </c>
      <c r="L3562" s="148">
        <v>16.9468</v>
      </c>
      <c r="M3562" s="728"/>
      <c r="N3562" s="148">
        <v>16.9468</v>
      </c>
      <c r="O3562" s="148">
        <v>0</v>
      </c>
      <c r="P3562" s="148">
        <v>-18.998000000000001</v>
      </c>
      <c r="Q3562" s="148">
        <v>35.944800000000001</v>
      </c>
      <c r="R3562" s="148">
        <v>189.20307400779029</v>
      </c>
    </row>
    <row r="3563" spans="1:18" ht="15.75" hidden="1" thickBot="1" x14ac:dyDescent="0.3">
      <c r="A3563" s="199" t="str">
        <f t="shared" si="14"/>
        <v>CUST FIELD SERVICESHOURLY BONUS PAYROLL</v>
      </c>
      <c r="B3563" s="725" t="s">
        <v>177</v>
      </c>
      <c r="C3563" s="722" t="s">
        <v>95</v>
      </c>
      <c r="D3563" t="s">
        <v>96</v>
      </c>
      <c r="E3563" s="729"/>
      <c r="F3563" s="729"/>
      <c r="G3563" s="729"/>
      <c r="H3563" s="729"/>
      <c r="I3563" s="729"/>
      <c r="J3563" s="729"/>
      <c r="K3563" s="729"/>
      <c r="L3563" s="147">
        <v>0.37801000000000001</v>
      </c>
      <c r="M3563" s="729"/>
      <c r="N3563" s="147">
        <v>0.37801000000000001</v>
      </c>
      <c r="O3563" s="147">
        <v>0</v>
      </c>
      <c r="P3563" s="147">
        <v>0.37801000000000001</v>
      </c>
      <c r="Q3563" s="147">
        <v>0</v>
      </c>
      <c r="R3563" s="147">
        <v>0</v>
      </c>
    </row>
    <row r="3564" spans="1:18" ht="15.75" hidden="1" thickBot="1" x14ac:dyDescent="0.3">
      <c r="A3564" s="199" t="str">
        <f t="shared" si="14"/>
        <v>CUST FIELD SERVICESVACATION, SICK &amp; HOL</v>
      </c>
      <c r="B3564" s="725" t="s">
        <v>177</v>
      </c>
      <c r="C3564" s="722" t="s">
        <v>61</v>
      </c>
      <c r="D3564" t="s">
        <v>62</v>
      </c>
      <c r="E3564" s="148">
        <v>132.75015999999999</v>
      </c>
      <c r="F3564" s="148">
        <v>139.32816</v>
      </c>
      <c r="G3564" s="148">
        <v>-6.5780000000000003</v>
      </c>
      <c r="H3564" s="148">
        <v>-4.7212279269316415</v>
      </c>
      <c r="I3564" s="728"/>
      <c r="J3564" s="148">
        <v>132.75015999999999</v>
      </c>
      <c r="K3564" s="148">
        <v>0</v>
      </c>
      <c r="L3564" s="148">
        <v>1614.53295</v>
      </c>
      <c r="M3564" s="148">
        <v>1644.1445000000001</v>
      </c>
      <c r="N3564" s="148">
        <v>-29.611550000000001</v>
      </c>
      <c r="O3564" s="148">
        <v>-1.8010308704618117</v>
      </c>
      <c r="P3564" s="148">
        <v>794.95258999999999</v>
      </c>
      <c r="Q3564" s="148">
        <v>819.58036000000004</v>
      </c>
      <c r="R3564" s="148">
        <v>103.09801745535542</v>
      </c>
    </row>
    <row r="3565" spans="1:18" ht="15.75" hidden="1" thickBot="1" x14ac:dyDescent="0.3">
      <c r="A3565" s="199" t="str">
        <f t="shared" si="14"/>
        <v>CUST FIELD SERVICESPAYROLL OVERHEAD</v>
      </c>
      <c r="B3565" s="725" t="s">
        <v>177</v>
      </c>
      <c r="C3565" s="722" t="s">
        <v>63</v>
      </c>
      <c r="D3565" t="s">
        <v>64</v>
      </c>
      <c r="E3565" s="147">
        <v>514.88779999999997</v>
      </c>
      <c r="F3565" s="147">
        <v>542.03147999999999</v>
      </c>
      <c r="G3565" s="147">
        <v>-27.14368</v>
      </c>
      <c r="H3565" s="147">
        <v>-5.0077681835010761</v>
      </c>
      <c r="I3565" s="729"/>
      <c r="J3565" s="147">
        <v>514.88779999999997</v>
      </c>
      <c r="K3565" s="147">
        <v>0</v>
      </c>
      <c r="L3565" s="147">
        <v>6396.9268000000002</v>
      </c>
      <c r="M3565" s="147">
        <v>6396.2522399999998</v>
      </c>
      <c r="N3565" s="147">
        <v>0.67456000000000005</v>
      </c>
      <c r="O3565" s="147">
        <v>1.0546175708667799E-2</v>
      </c>
      <c r="P3565" s="147">
        <v>3136.2456699999998</v>
      </c>
      <c r="Q3565" s="147">
        <v>3260.6811299999999</v>
      </c>
      <c r="R3565" s="147">
        <v>103.96765665363199</v>
      </c>
    </row>
    <row r="3566" spans="1:18" ht="15.75" hidden="1" thickBot="1" x14ac:dyDescent="0.3">
      <c r="A3566" s="199" t="str">
        <f t="shared" si="14"/>
        <v>CUST FIELD SERVICESNWN/580105</v>
      </c>
      <c r="B3566" s="725" t="s">
        <v>177</v>
      </c>
      <c r="C3566" s="722" t="s">
        <v>156</v>
      </c>
      <c r="D3566" t="s">
        <v>157</v>
      </c>
      <c r="E3566" s="148">
        <v>8.9769600000000001</v>
      </c>
      <c r="F3566" s="728"/>
      <c r="G3566" s="148">
        <v>8.9769600000000001</v>
      </c>
      <c r="H3566" s="148">
        <v>0</v>
      </c>
      <c r="I3566" s="728"/>
      <c r="J3566" s="148">
        <v>8.9769600000000001</v>
      </c>
      <c r="K3566" s="148">
        <v>0</v>
      </c>
      <c r="L3566" s="148">
        <v>52.840179999999997</v>
      </c>
      <c r="M3566" s="728"/>
      <c r="N3566" s="148">
        <v>52.840179999999997</v>
      </c>
      <c r="O3566" s="148">
        <v>0</v>
      </c>
      <c r="P3566" s="728"/>
      <c r="Q3566" s="148">
        <v>52.840179999999997</v>
      </c>
      <c r="R3566" s="148">
        <v>0</v>
      </c>
    </row>
    <row r="3567" spans="1:18" ht="15.75" hidden="1" thickBot="1" x14ac:dyDescent="0.3">
      <c r="A3567" s="199" t="str">
        <f t="shared" si="14"/>
        <v>CUST FIELD SERVICESNWN/580301</v>
      </c>
      <c r="B3567" s="725" t="s">
        <v>177</v>
      </c>
      <c r="C3567" s="722" t="s">
        <v>182</v>
      </c>
      <c r="D3567" t="s">
        <v>183</v>
      </c>
      <c r="E3567" s="147">
        <v>35.520510000000002</v>
      </c>
      <c r="F3567" s="729"/>
      <c r="G3567" s="147">
        <v>35.520510000000002</v>
      </c>
      <c r="H3567" s="147">
        <v>0</v>
      </c>
      <c r="I3567" s="729"/>
      <c r="J3567" s="147">
        <v>35.520510000000002</v>
      </c>
      <c r="K3567" s="147">
        <v>0</v>
      </c>
      <c r="L3567" s="147">
        <v>411.94045</v>
      </c>
      <c r="M3567" s="729"/>
      <c r="N3567" s="147">
        <v>411.94045</v>
      </c>
      <c r="O3567" s="147">
        <v>0</v>
      </c>
      <c r="P3567" s="147">
        <v>148.62553</v>
      </c>
      <c r="Q3567" s="147">
        <v>263.31491999999997</v>
      </c>
      <c r="R3567" s="147">
        <v>177.16668192873729</v>
      </c>
    </row>
    <row r="3568" spans="1:18" ht="15.75" hidden="1" thickBot="1" x14ac:dyDescent="0.3">
      <c r="A3568" s="199" t="str">
        <f t="shared" si="14"/>
        <v>CUST FIELD SERVICESNWN/580305</v>
      </c>
      <c r="B3568" s="725" t="s">
        <v>177</v>
      </c>
      <c r="C3568" s="722" t="s">
        <v>184</v>
      </c>
      <c r="D3568" t="s">
        <v>185</v>
      </c>
      <c r="E3568" s="148">
        <v>1005.93805</v>
      </c>
      <c r="F3568" s="728"/>
      <c r="G3568" s="148">
        <v>1005.93805</v>
      </c>
      <c r="H3568" s="148">
        <v>0</v>
      </c>
      <c r="I3568" s="728"/>
      <c r="J3568" s="148">
        <v>1005.93805</v>
      </c>
      <c r="K3568" s="148">
        <v>0</v>
      </c>
      <c r="L3568" s="148">
        <v>13057.887790000001</v>
      </c>
      <c r="M3568" s="728"/>
      <c r="N3568" s="148">
        <v>13057.887790000001</v>
      </c>
      <c r="O3568" s="148">
        <v>0</v>
      </c>
      <c r="P3568" s="148">
        <v>6557.4774699999998</v>
      </c>
      <c r="Q3568" s="148">
        <v>6500.41032</v>
      </c>
      <c r="R3568" s="148">
        <v>99.129739289824812</v>
      </c>
    </row>
    <row r="3569" spans="1:18" ht="15.75" hidden="1" thickBot="1" x14ac:dyDescent="0.3">
      <c r="A3569" s="199" t="str">
        <f t="shared" si="14"/>
        <v>CUST FIELD SERVICESNWN/580306</v>
      </c>
      <c r="B3569" s="725" t="s">
        <v>177</v>
      </c>
      <c r="C3569" s="722" t="s">
        <v>161</v>
      </c>
      <c r="D3569" t="s">
        <v>162</v>
      </c>
      <c r="E3569" s="147">
        <v>28.37913</v>
      </c>
      <c r="F3569" s="729"/>
      <c r="G3569" s="147">
        <v>28.37913</v>
      </c>
      <c r="H3569" s="147">
        <v>0</v>
      </c>
      <c r="I3569" s="729"/>
      <c r="J3569" s="147">
        <v>28.37913</v>
      </c>
      <c r="K3569" s="147">
        <v>0</v>
      </c>
      <c r="L3569" s="147">
        <v>527.63103999999998</v>
      </c>
      <c r="M3569" s="729"/>
      <c r="N3569" s="147">
        <v>527.63103999999998</v>
      </c>
      <c r="O3569" s="147">
        <v>0</v>
      </c>
      <c r="P3569" s="147">
        <v>212.00146000000001</v>
      </c>
      <c r="Q3569" s="147">
        <v>315.62957999999998</v>
      </c>
      <c r="R3569" s="147">
        <v>148.88085204696233</v>
      </c>
    </row>
    <row r="3570" spans="1:18" ht="15.75" hidden="1" thickBot="1" x14ac:dyDescent="0.3">
      <c r="A3570" s="199" t="str">
        <f t="shared" si="14"/>
        <v>CUST FIELD SERVICESSALARY PAYROLL ZTFSO</v>
      </c>
      <c r="B3570" s="725" t="s">
        <v>177</v>
      </c>
      <c r="C3570" s="722" t="s">
        <v>65</v>
      </c>
      <c r="D3570" t="s">
        <v>66</v>
      </c>
      <c r="E3570" s="148">
        <v>-26.70224</v>
      </c>
      <c r="F3570" s="148">
        <v>-30.482610000000001</v>
      </c>
      <c r="G3570" s="148">
        <v>3.78037</v>
      </c>
      <c r="H3570" s="148">
        <v>12.401726755025242</v>
      </c>
      <c r="I3570" s="728"/>
      <c r="J3570" s="148">
        <v>-26.70224</v>
      </c>
      <c r="K3570" s="148">
        <v>0</v>
      </c>
      <c r="L3570" s="148">
        <v>-419.15854000000002</v>
      </c>
      <c r="M3570" s="148">
        <v>-363.87232</v>
      </c>
      <c r="N3570" s="148">
        <v>-55.28622</v>
      </c>
      <c r="O3570" s="148">
        <v>-15.193851513629836</v>
      </c>
      <c r="P3570" s="148">
        <v>-208.07914</v>
      </c>
      <c r="Q3570" s="148">
        <v>-211.07939999999999</v>
      </c>
      <c r="R3570" s="148">
        <v>-101.4418840831426</v>
      </c>
    </row>
    <row r="3571" spans="1:18" ht="15.75" hidden="1" thickBot="1" x14ac:dyDescent="0.3">
      <c r="A3571" s="199" t="str">
        <f t="shared" si="14"/>
        <v>CUST FIELD SERVICESHRL - DBL TIME ZTFSO</v>
      </c>
      <c r="B3571" s="725" t="s">
        <v>177</v>
      </c>
      <c r="C3571" s="722" t="s">
        <v>186</v>
      </c>
      <c r="D3571" t="s">
        <v>187</v>
      </c>
      <c r="E3571" s="147">
        <v>-19.232559999999999</v>
      </c>
      <c r="F3571" s="729"/>
      <c r="G3571" s="147">
        <v>-19.232559999999999</v>
      </c>
      <c r="H3571" s="147">
        <v>0</v>
      </c>
      <c r="I3571" s="729"/>
      <c r="J3571" s="147">
        <v>-19.232559999999999</v>
      </c>
      <c r="K3571" s="147">
        <v>0</v>
      </c>
      <c r="L3571" s="147">
        <v>-301.90025000000003</v>
      </c>
      <c r="M3571" s="729"/>
      <c r="N3571" s="147">
        <v>-301.90025000000003</v>
      </c>
      <c r="O3571" s="147">
        <v>0</v>
      </c>
      <c r="P3571" s="147">
        <v>-93.297240000000002</v>
      </c>
      <c r="Q3571" s="147">
        <v>-208.60301000000001</v>
      </c>
      <c r="R3571" s="147">
        <v>-223.58969032738804</v>
      </c>
    </row>
    <row r="3572" spans="1:18" ht="15.75" hidden="1" thickBot="1" x14ac:dyDescent="0.3">
      <c r="A3572" s="199" t="str">
        <f t="shared" si="14"/>
        <v>CUST FIELD SERVICESHRLY - REGULAR ZTFSO</v>
      </c>
      <c r="B3572" s="725" t="s">
        <v>177</v>
      </c>
      <c r="C3572" s="722" t="s">
        <v>163</v>
      </c>
      <c r="D3572" t="s">
        <v>164</v>
      </c>
      <c r="E3572" s="148">
        <v>-1124.0396499999999</v>
      </c>
      <c r="F3572" s="148">
        <v>-130.06584000000001</v>
      </c>
      <c r="G3572" s="148">
        <v>-993.97380999999996</v>
      </c>
      <c r="H3572" s="148">
        <v>-764.20819640268348</v>
      </c>
      <c r="I3572" s="728"/>
      <c r="J3572" s="148">
        <v>-1124.0396499999999</v>
      </c>
      <c r="K3572" s="148">
        <v>0</v>
      </c>
      <c r="L3572" s="148">
        <v>-14526.78673</v>
      </c>
      <c r="M3572" s="148">
        <v>-1531.0268599999999</v>
      </c>
      <c r="N3572" s="148">
        <v>-12995.75987</v>
      </c>
      <c r="O3572" s="148">
        <v>-848.82637983242171</v>
      </c>
      <c r="P3572" s="148">
        <v>-7295.6154500000002</v>
      </c>
      <c r="Q3572" s="148">
        <v>-7231.1712799999996</v>
      </c>
      <c r="R3572" s="148">
        <v>-99.116672603680058</v>
      </c>
    </row>
    <row r="3573" spans="1:18" ht="15.75" hidden="1" thickBot="1" x14ac:dyDescent="0.3">
      <c r="A3573" s="199" t="str">
        <f t="shared" si="14"/>
        <v>CUST FIELD SERVICESHRLY - OT ZTFSO</v>
      </c>
      <c r="B3573" s="725" t="s">
        <v>177</v>
      </c>
      <c r="C3573" s="722" t="s">
        <v>97</v>
      </c>
      <c r="D3573" t="s">
        <v>98</v>
      </c>
      <c r="E3573" s="147">
        <v>-31.216660000000001</v>
      </c>
      <c r="F3573" s="729"/>
      <c r="G3573" s="147">
        <v>-31.216660000000001</v>
      </c>
      <c r="H3573" s="147">
        <v>0</v>
      </c>
      <c r="I3573" s="729"/>
      <c r="J3573" s="147">
        <v>-31.216660000000001</v>
      </c>
      <c r="K3573" s="147">
        <v>0</v>
      </c>
      <c r="L3573" s="147">
        <v>-563.28011000000004</v>
      </c>
      <c r="M3573" s="729"/>
      <c r="N3573" s="147">
        <v>-563.28011000000004</v>
      </c>
      <c r="O3573" s="147">
        <v>0</v>
      </c>
      <c r="P3573" s="147">
        <v>-217.44859</v>
      </c>
      <c r="Q3573" s="147">
        <v>-345.83152000000001</v>
      </c>
      <c r="R3573" s="147">
        <v>-159.04058977802524</v>
      </c>
    </row>
    <row r="3574" spans="1:18" ht="18.75" thickBot="1" x14ac:dyDescent="0.3">
      <c r="A3574" s="199" t="str">
        <f t="shared" si="14"/>
        <v>CUST FIELD SERVICESPayroll</v>
      </c>
      <c r="B3574" s="725" t="s">
        <v>177</v>
      </c>
      <c r="C3574" s="149" t="s">
        <v>67</v>
      </c>
      <c r="D3574" t="s">
        <v>68</v>
      </c>
      <c r="E3574" s="148">
        <v>1254.6658399999999</v>
      </c>
      <c r="F3574" s="148">
        <v>1503.4804200000001</v>
      </c>
      <c r="G3574" s="148">
        <v>-248.81458000000001</v>
      </c>
      <c r="H3574" s="148">
        <v>-16.549239796551525</v>
      </c>
      <c r="I3574" s="728"/>
      <c r="J3574" s="148">
        <v>1254.6658399999999</v>
      </c>
      <c r="K3574" s="148">
        <v>0</v>
      </c>
      <c r="L3574" s="739">
        <v>17165.231940000001</v>
      </c>
      <c r="M3574" s="148">
        <v>17413.076059999999</v>
      </c>
      <c r="N3574" s="148">
        <v>-247.84412</v>
      </c>
      <c r="O3574" s="148">
        <v>-1.4233218711387172</v>
      </c>
      <c r="P3574" s="148">
        <v>8610.5839300000007</v>
      </c>
      <c r="Q3574" s="148">
        <v>8554.6480100000008</v>
      </c>
      <c r="R3574" s="148">
        <v>99.350381803897008</v>
      </c>
    </row>
    <row r="3575" spans="1:18" ht="15.75" hidden="1" thickBot="1" x14ac:dyDescent="0.3">
      <c r="A3575" s="199" t="str">
        <f t="shared" si="14"/>
        <v>CUST FIELD SERVICESEDUCATION</v>
      </c>
      <c r="B3575" s="725" t="s">
        <v>177</v>
      </c>
      <c r="C3575" s="722" t="s">
        <v>69</v>
      </c>
      <c r="D3575" t="s">
        <v>70</v>
      </c>
      <c r="E3575" s="729"/>
      <c r="F3575" s="729"/>
      <c r="G3575" s="729"/>
      <c r="H3575" s="729"/>
      <c r="I3575" s="729"/>
      <c r="J3575" s="729"/>
      <c r="K3575" s="729"/>
      <c r="L3575" s="147">
        <v>3.3268399999999998</v>
      </c>
      <c r="M3575" s="729"/>
      <c r="N3575" s="147">
        <v>3.3268399999999998</v>
      </c>
      <c r="O3575" s="147">
        <v>0</v>
      </c>
      <c r="P3575" s="147">
        <v>2.02684</v>
      </c>
      <c r="Q3575" s="147">
        <v>1.3</v>
      </c>
      <c r="R3575" s="147">
        <v>64.139251248248499</v>
      </c>
    </row>
    <row r="3576" spans="1:18" ht="15.75" hidden="1" thickBot="1" x14ac:dyDescent="0.3">
      <c r="A3576" s="199" t="str">
        <f t="shared" si="14"/>
        <v>CUST FIELD SERVICESMATERIALS</v>
      </c>
      <c r="B3576" s="725" t="s">
        <v>177</v>
      </c>
      <c r="C3576" s="722" t="s">
        <v>99</v>
      </c>
      <c r="D3576" t="s">
        <v>100</v>
      </c>
      <c r="E3576" s="148">
        <v>0.88116000000000005</v>
      </c>
      <c r="F3576" s="148">
        <v>7.5</v>
      </c>
      <c r="G3576" s="148">
        <v>-6.6188399999999996</v>
      </c>
      <c r="H3576" s="148">
        <v>-88.251199999999997</v>
      </c>
      <c r="I3576" s="728"/>
      <c r="J3576" s="148">
        <v>0.88116000000000005</v>
      </c>
      <c r="K3576" s="148">
        <v>0</v>
      </c>
      <c r="L3576" s="148">
        <v>16.4756</v>
      </c>
      <c r="M3576" s="148">
        <v>90</v>
      </c>
      <c r="N3576" s="148">
        <v>-73.5244</v>
      </c>
      <c r="O3576" s="148">
        <v>-81.693777777777782</v>
      </c>
      <c r="P3576" s="148">
        <v>9.2857199999999995</v>
      </c>
      <c r="Q3576" s="148">
        <v>7.1898799999999996</v>
      </c>
      <c r="R3576" s="148">
        <v>77.429429274197375</v>
      </c>
    </row>
    <row r="3577" spans="1:18" ht="15.75" hidden="1" thickBot="1" x14ac:dyDescent="0.3">
      <c r="A3577" s="199" t="str">
        <f t="shared" si="14"/>
        <v>CUST FIELD SERVICESMATERIALS - CONS INV</v>
      </c>
      <c r="B3577" s="725" t="s">
        <v>177</v>
      </c>
      <c r="C3577" s="722" t="s">
        <v>165</v>
      </c>
      <c r="D3577" t="s">
        <v>166</v>
      </c>
      <c r="E3577" s="147">
        <v>0.78849000000000002</v>
      </c>
      <c r="F3577" s="729"/>
      <c r="G3577" s="147">
        <v>0.78849000000000002</v>
      </c>
      <c r="H3577" s="147">
        <v>0</v>
      </c>
      <c r="I3577" s="729"/>
      <c r="J3577" s="147">
        <v>0.78849000000000002</v>
      </c>
      <c r="K3577" s="147">
        <v>0</v>
      </c>
      <c r="L3577" s="147">
        <v>41.908799999999999</v>
      </c>
      <c r="M3577" s="729"/>
      <c r="N3577" s="147">
        <v>41.908799999999999</v>
      </c>
      <c r="O3577" s="147">
        <v>0</v>
      </c>
      <c r="P3577" s="147">
        <v>25.908090000000001</v>
      </c>
      <c r="Q3577" s="147">
        <v>16.000710000000002</v>
      </c>
      <c r="R3577" s="147">
        <v>61.759512183260135</v>
      </c>
    </row>
    <row r="3578" spans="1:18" ht="15.75" hidden="1" thickBot="1" x14ac:dyDescent="0.3">
      <c r="A3578" s="199" t="str">
        <f t="shared" si="14"/>
        <v>CUST FIELD SERVICESMATERIALS -CONS PIPE</v>
      </c>
      <c r="B3578" s="725" t="s">
        <v>177</v>
      </c>
      <c r="C3578" s="722" t="s">
        <v>188</v>
      </c>
      <c r="D3578" t="s">
        <v>189</v>
      </c>
      <c r="E3578" s="728"/>
      <c r="F3578" s="728"/>
      <c r="G3578" s="728"/>
      <c r="H3578" s="728"/>
      <c r="I3578" s="728"/>
      <c r="J3578" s="728"/>
      <c r="K3578" s="728"/>
      <c r="L3578" s="148">
        <v>1.55827</v>
      </c>
      <c r="M3578" s="728"/>
      <c r="N3578" s="148">
        <v>1.55827</v>
      </c>
      <c r="O3578" s="148">
        <v>0</v>
      </c>
      <c r="P3578" s="148">
        <v>7.3639999999999997E-2</v>
      </c>
      <c r="Q3578" s="148">
        <v>1.4846299999999999</v>
      </c>
      <c r="R3578" s="148">
        <v>2016.0646387832699</v>
      </c>
    </row>
    <row r="3579" spans="1:18" ht="15.75" hidden="1" thickBot="1" x14ac:dyDescent="0.3">
      <c r="A3579" s="199" t="str">
        <f t="shared" si="14"/>
        <v>CUST FIELD SERVICESMATERIALS - AGGREG</v>
      </c>
      <c r="B3579" s="725" t="s">
        <v>177</v>
      </c>
      <c r="C3579" s="722" t="s">
        <v>592</v>
      </c>
      <c r="D3579" t="s">
        <v>593</v>
      </c>
      <c r="E3579" s="147">
        <v>0.12881000000000001</v>
      </c>
      <c r="F3579" s="729"/>
      <c r="G3579" s="147">
        <v>0.12881000000000001</v>
      </c>
      <c r="H3579" s="147">
        <v>0</v>
      </c>
      <c r="I3579" s="729"/>
      <c r="J3579" s="147">
        <v>0.12881000000000001</v>
      </c>
      <c r="K3579" s="147">
        <v>0</v>
      </c>
      <c r="L3579" s="147">
        <v>0.67852999999999997</v>
      </c>
      <c r="M3579" s="729"/>
      <c r="N3579" s="147">
        <v>0.67852999999999997</v>
      </c>
      <c r="O3579" s="147">
        <v>0</v>
      </c>
      <c r="P3579" s="147">
        <v>0.12887999999999999</v>
      </c>
      <c r="Q3579" s="147">
        <v>0.54964999999999997</v>
      </c>
      <c r="R3579" s="147">
        <v>426.4819987585351</v>
      </c>
    </row>
    <row r="3580" spans="1:18" ht="15.75" hidden="1" thickBot="1" x14ac:dyDescent="0.3">
      <c r="A3580" s="199" t="str">
        <f t="shared" si="14"/>
        <v>CUST FIELD SERVICESMATERIALS - SAND</v>
      </c>
      <c r="B3580" s="725" t="s">
        <v>177</v>
      </c>
      <c r="C3580" s="722" t="s">
        <v>594</v>
      </c>
      <c r="D3580" t="s">
        <v>595</v>
      </c>
      <c r="E3580" s="728"/>
      <c r="F3580" s="728"/>
      <c r="G3580" s="728"/>
      <c r="H3580" s="728"/>
      <c r="I3580" s="728"/>
      <c r="J3580" s="728"/>
      <c r="K3580" s="728"/>
      <c r="L3580" s="148">
        <v>0.25</v>
      </c>
      <c r="M3580" s="728"/>
      <c r="N3580" s="148">
        <v>0.25</v>
      </c>
      <c r="O3580" s="148">
        <v>0</v>
      </c>
      <c r="P3580" s="148">
        <v>0.25</v>
      </c>
      <c r="Q3580" s="148">
        <v>0</v>
      </c>
      <c r="R3580" s="148">
        <v>0</v>
      </c>
    </row>
    <row r="3581" spans="1:18" ht="15.75" hidden="1" thickBot="1" x14ac:dyDescent="0.3">
      <c r="A3581" s="199" t="str">
        <f t="shared" si="14"/>
        <v>CUST FIELD SERVICESMILEAGE REIMBURSE</v>
      </c>
      <c r="B3581" s="725" t="s">
        <v>177</v>
      </c>
      <c r="C3581" s="722" t="s">
        <v>137</v>
      </c>
      <c r="D3581" t="s">
        <v>138</v>
      </c>
      <c r="E3581" s="147">
        <v>0.27577000000000002</v>
      </c>
      <c r="F3581" s="147">
        <v>2.5</v>
      </c>
      <c r="G3581" s="147">
        <v>-2.2242299999999999</v>
      </c>
      <c r="H3581" s="147">
        <v>-88.969200000000001</v>
      </c>
      <c r="I3581" s="729"/>
      <c r="J3581" s="147">
        <v>0.27577000000000002</v>
      </c>
      <c r="K3581" s="147">
        <v>0</v>
      </c>
      <c r="L3581" s="147">
        <v>34.938879999999997</v>
      </c>
      <c r="M3581" s="147">
        <v>30</v>
      </c>
      <c r="N3581" s="147">
        <v>4.9388800000000002</v>
      </c>
      <c r="O3581" s="147">
        <v>16.462933333333332</v>
      </c>
      <c r="P3581" s="147">
        <v>20.46818</v>
      </c>
      <c r="Q3581" s="147">
        <v>14.470700000000001</v>
      </c>
      <c r="R3581" s="147">
        <v>70.698518383168405</v>
      </c>
    </row>
    <row r="3582" spans="1:18" ht="15.75" hidden="1" thickBot="1" x14ac:dyDescent="0.3">
      <c r="A3582" s="199" t="str">
        <f t="shared" si="14"/>
        <v>CUST FIELD SERVICESTRANSPORTATION</v>
      </c>
      <c r="B3582" s="725" t="s">
        <v>177</v>
      </c>
      <c r="C3582" s="722" t="s">
        <v>190</v>
      </c>
      <c r="D3582" t="s">
        <v>191</v>
      </c>
      <c r="E3582" s="148">
        <v>15.967000000000001</v>
      </c>
      <c r="F3582" s="148">
        <v>15.834</v>
      </c>
      <c r="G3582" s="148">
        <v>0.13300000000000001</v>
      </c>
      <c r="H3582" s="148">
        <v>0.83996463306808133</v>
      </c>
      <c r="I3582" s="728"/>
      <c r="J3582" s="148">
        <v>15.967000000000001</v>
      </c>
      <c r="K3582" s="148">
        <v>0</v>
      </c>
      <c r="L3582" s="148">
        <v>191.06789000000001</v>
      </c>
      <c r="M3582" s="148">
        <v>190.00800000000001</v>
      </c>
      <c r="N3582" s="148">
        <v>1.05989</v>
      </c>
      <c r="O3582" s="148">
        <v>0.55781335522714837</v>
      </c>
      <c r="P3582" s="148">
        <v>95.691429999999997</v>
      </c>
      <c r="Q3582" s="148">
        <v>95.376459999999994</v>
      </c>
      <c r="R3582" s="148">
        <v>99.670848267185477</v>
      </c>
    </row>
    <row r="3583" spans="1:18" ht="15.75" hidden="1" thickBot="1" x14ac:dyDescent="0.3">
      <c r="A3583" s="199" t="str">
        <f t="shared" si="14"/>
        <v>CUST FIELD SERVICESEQUIPMENT</v>
      </c>
      <c r="B3583" s="725" t="s">
        <v>177</v>
      </c>
      <c r="C3583" s="722" t="s">
        <v>36</v>
      </c>
      <c r="D3583" t="s">
        <v>192</v>
      </c>
      <c r="E3583" s="147">
        <v>108.64706</v>
      </c>
      <c r="F3583" s="147">
        <v>125.24167</v>
      </c>
      <c r="G3583" s="147">
        <v>-16.594609999999999</v>
      </c>
      <c r="H3583" s="147">
        <v>-13.25007084303491</v>
      </c>
      <c r="I3583" s="729"/>
      <c r="J3583" s="147">
        <v>108.64706</v>
      </c>
      <c r="K3583" s="147">
        <v>0</v>
      </c>
      <c r="L3583" s="147">
        <v>1728.5622499999999</v>
      </c>
      <c r="M3583" s="147">
        <v>1502.90004</v>
      </c>
      <c r="N3583" s="147">
        <v>225.66220999999999</v>
      </c>
      <c r="O3583" s="147">
        <v>15.015117705366485</v>
      </c>
      <c r="P3583" s="147">
        <v>871.28724999999997</v>
      </c>
      <c r="Q3583" s="147">
        <v>857.27499999999998</v>
      </c>
      <c r="R3583" s="147">
        <v>98.391776076144808</v>
      </c>
    </row>
    <row r="3584" spans="1:18" ht="15.75" hidden="1" thickBot="1" x14ac:dyDescent="0.3">
      <c r="A3584" s="199" t="str">
        <f t="shared" si="14"/>
        <v>CUST FIELD SERVICESDUES/MEMBERSHIP</v>
      </c>
      <c r="B3584" s="725" t="s">
        <v>177</v>
      </c>
      <c r="C3584" s="722" t="s">
        <v>139</v>
      </c>
      <c r="D3584" t="s">
        <v>140</v>
      </c>
      <c r="E3584" s="148">
        <v>5.2440000000000001E-2</v>
      </c>
      <c r="F3584" s="728"/>
      <c r="G3584" s="148">
        <v>5.2440000000000001E-2</v>
      </c>
      <c r="H3584" s="148">
        <v>0</v>
      </c>
      <c r="I3584" s="728"/>
      <c r="J3584" s="148">
        <v>5.2440000000000001E-2</v>
      </c>
      <c r="K3584" s="148">
        <v>0</v>
      </c>
      <c r="L3584" s="148">
        <v>0.15731999999999999</v>
      </c>
      <c r="M3584" s="728"/>
      <c r="N3584" s="148">
        <v>0.15731999999999999</v>
      </c>
      <c r="O3584" s="148">
        <v>0</v>
      </c>
      <c r="P3584" s="148">
        <v>0.10488</v>
      </c>
      <c r="Q3584" s="148">
        <v>5.2440000000000001E-2</v>
      </c>
      <c r="R3584" s="148">
        <v>50</v>
      </c>
    </row>
    <row r="3585" spans="1:18" ht="15.75" hidden="1" thickBot="1" x14ac:dyDescent="0.3">
      <c r="A3585" s="199" t="str">
        <f t="shared" si="14"/>
        <v>CUST FIELD SERVICESOTHER CONTRACT WORK</v>
      </c>
      <c r="B3585" s="725" t="s">
        <v>177</v>
      </c>
      <c r="C3585" s="722" t="s">
        <v>101</v>
      </c>
      <c r="D3585" t="s">
        <v>102</v>
      </c>
      <c r="E3585" s="147">
        <v>3.6368</v>
      </c>
      <c r="F3585" s="147">
        <v>0.15</v>
      </c>
      <c r="G3585" s="147">
        <v>3.4868000000000001</v>
      </c>
      <c r="H3585" s="147">
        <v>2324.5333333333333</v>
      </c>
      <c r="I3585" s="729"/>
      <c r="J3585" s="147">
        <v>3.6368</v>
      </c>
      <c r="K3585" s="147">
        <v>0</v>
      </c>
      <c r="L3585" s="147">
        <v>21.496459999999999</v>
      </c>
      <c r="M3585" s="147">
        <v>1.8</v>
      </c>
      <c r="N3585" s="147">
        <v>19.696459999999998</v>
      </c>
      <c r="O3585" s="147">
        <v>1094.2477777777779</v>
      </c>
      <c r="P3585" s="147">
        <v>5.6761900000000001</v>
      </c>
      <c r="Q3585" s="147">
        <v>15.820270000000001</v>
      </c>
      <c r="R3585" s="147">
        <v>278.71283378463369</v>
      </c>
    </row>
    <row r="3586" spans="1:18" ht="15.75" hidden="1" thickBot="1" x14ac:dyDescent="0.3">
      <c r="A3586" s="199" t="str">
        <f t="shared" si="14"/>
        <v>CUST FIELD SERVICESTRUCKING AND HAULING</v>
      </c>
      <c r="B3586" s="725" t="s">
        <v>177</v>
      </c>
      <c r="C3586" s="722" t="s">
        <v>603</v>
      </c>
      <c r="D3586" t="s">
        <v>604</v>
      </c>
      <c r="E3586" s="728"/>
      <c r="F3586" s="728"/>
      <c r="G3586" s="728"/>
      <c r="H3586" s="728"/>
      <c r="I3586" s="728"/>
      <c r="J3586" s="728"/>
      <c r="K3586" s="728"/>
      <c r="L3586" s="148">
        <v>0.66</v>
      </c>
      <c r="M3586" s="728"/>
      <c r="N3586" s="148">
        <v>0.66</v>
      </c>
      <c r="O3586" s="148">
        <v>0</v>
      </c>
      <c r="P3586" s="728"/>
      <c r="Q3586" s="148">
        <v>0.66</v>
      </c>
      <c r="R3586" s="148">
        <v>0</v>
      </c>
    </row>
    <row r="3587" spans="1:18" ht="15.75" hidden="1" thickBot="1" x14ac:dyDescent="0.3">
      <c r="A3587" s="199" t="str">
        <f t="shared" si="14"/>
        <v>CUST FIELD SERVICESTRACKHOE</v>
      </c>
      <c r="B3587" s="725" t="s">
        <v>177</v>
      </c>
      <c r="C3587" s="722" t="s">
        <v>218</v>
      </c>
      <c r="D3587" t="s">
        <v>219</v>
      </c>
      <c r="E3587" s="729"/>
      <c r="F3587" s="729"/>
      <c r="G3587" s="729"/>
      <c r="H3587" s="729"/>
      <c r="I3587" s="729"/>
      <c r="J3587" s="729"/>
      <c r="K3587" s="729"/>
      <c r="L3587" s="147">
        <v>0</v>
      </c>
      <c r="M3587" s="729"/>
      <c r="N3587" s="147">
        <v>0</v>
      </c>
      <c r="O3587" s="147">
        <v>0</v>
      </c>
      <c r="P3587" s="729"/>
      <c r="Q3587" s="147">
        <v>0</v>
      </c>
      <c r="R3587" s="147">
        <v>0</v>
      </c>
    </row>
    <row r="3588" spans="1:18" ht="15.75" hidden="1" thickBot="1" x14ac:dyDescent="0.3">
      <c r="A3588" s="199" t="str">
        <f t="shared" si="14"/>
        <v>CUST FIELD SERVICESBID MAIN WORK</v>
      </c>
      <c r="B3588" s="725" t="s">
        <v>177</v>
      </c>
      <c r="C3588" s="722" t="s">
        <v>607</v>
      </c>
      <c r="D3588" t="s">
        <v>608</v>
      </c>
      <c r="E3588" s="728"/>
      <c r="F3588" s="728"/>
      <c r="G3588" s="728"/>
      <c r="H3588" s="728"/>
      <c r="I3588" s="728"/>
      <c r="J3588" s="728"/>
      <c r="K3588" s="728"/>
      <c r="L3588" s="148">
        <v>5.2242899999999999</v>
      </c>
      <c r="M3588" s="728"/>
      <c r="N3588" s="148">
        <v>5.2242899999999999</v>
      </c>
      <c r="O3588" s="148">
        <v>0</v>
      </c>
      <c r="P3588" s="728"/>
      <c r="Q3588" s="148">
        <v>5.2242899999999999</v>
      </c>
      <c r="R3588" s="148">
        <v>0</v>
      </c>
    </row>
    <row r="3589" spans="1:18" ht="15.75" hidden="1" thickBot="1" x14ac:dyDescent="0.3">
      <c r="A3589" s="199" t="str">
        <f t="shared" si="14"/>
        <v>CUST FIELD SERVICESWELDING</v>
      </c>
      <c r="B3589" s="725" t="s">
        <v>177</v>
      </c>
      <c r="C3589" s="722" t="s">
        <v>462</v>
      </c>
      <c r="D3589" t="s">
        <v>463</v>
      </c>
      <c r="E3589" s="147">
        <v>5.6437499999999998</v>
      </c>
      <c r="F3589" s="729"/>
      <c r="G3589" s="147">
        <v>5.6437499999999998</v>
      </c>
      <c r="H3589" s="147">
        <v>0</v>
      </c>
      <c r="I3589" s="729"/>
      <c r="J3589" s="147">
        <v>5.6437499999999998</v>
      </c>
      <c r="K3589" s="147">
        <v>0</v>
      </c>
      <c r="L3589" s="147">
        <v>6.1631299999999998</v>
      </c>
      <c r="M3589" s="729"/>
      <c r="N3589" s="147">
        <v>6.1631299999999998</v>
      </c>
      <c r="O3589" s="147">
        <v>0</v>
      </c>
      <c r="P3589" s="729"/>
      <c r="Q3589" s="147">
        <v>6.1631299999999998</v>
      </c>
      <c r="R3589" s="147">
        <v>0</v>
      </c>
    </row>
    <row r="3590" spans="1:18" ht="15.75" hidden="1" thickBot="1" x14ac:dyDescent="0.3">
      <c r="A3590" s="199" t="str">
        <f t="shared" si="14"/>
        <v>CUST FIELD SERVICESVACUUM TRUCK</v>
      </c>
      <c r="B3590" s="725" t="s">
        <v>177</v>
      </c>
      <c r="C3590" s="722" t="s">
        <v>613</v>
      </c>
      <c r="D3590" t="s">
        <v>614</v>
      </c>
      <c r="E3590" s="728"/>
      <c r="F3590" s="728"/>
      <c r="G3590" s="728"/>
      <c r="H3590" s="728"/>
      <c r="I3590" s="728"/>
      <c r="J3590" s="728"/>
      <c r="K3590" s="728"/>
      <c r="L3590" s="148">
        <v>2.0137499999999999</v>
      </c>
      <c r="M3590" s="728"/>
      <c r="N3590" s="148">
        <v>2.0137499999999999</v>
      </c>
      <c r="O3590" s="148">
        <v>0</v>
      </c>
      <c r="P3590" s="148">
        <v>1.0980000000000001</v>
      </c>
      <c r="Q3590" s="148">
        <v>0.91574999999999995</v>
      </c>
      <c r="R3590" s="148">
        <v>83.401639344262293</v>
      </c>
    </row>
    <row r="3591" spans="1:18" ht="15.75" hidden="1" thickBot="1" x14ac:dyDescent="0.3">
      <c r="A3591" s="199" t="str">
        <f t="shared" si="14"/>
        <v>CUST FIELD SERVICESDUMP TRUCK</v>
      </c>
      <c r="B3591" s="725" t="s">
        <v>177</v>
      </c>
      <c r="C3591" s="722" t="s">
        <v>615</v>
      </c>
      <c r="D3591" t="s">
        <v>616</v>
      </c>
      <c r="E3591" s="729"/>
      <c r="F3591" s="729"/>
      <c r="G3591" s="729"/>
      <c r="H3591" s="729"/>
      <c r="I3591" s="729"/>
      <c r="J3591" s="729"/>
      <c r="K3591" s="729"/>
      <c r="L3591" s="147">
        <v>1.67354</v>
      </c>
      <c r="M3591" s="729"/>
      <c r="N3591" s="147">
        <v>1.67354</v>
      </c>
      <c r="O3591" s="147">
        <v>0</v>
      </c>
      <c r="P3591" s="147">
        <v>1.214</v>
      </c>
      <c r="Q3591" s="147">
        <v>0.45954</v>
      </c>
      <c r="R3591" s="147">
        <v>37.853377265238876</v>
      </c>
    </row>
    <row r="3592" spans="1:18" ht="15.75" hidden="1" thickBot="1" x14ac:dyDescent="0.3">
      <c r="A3592" s="199" t="str">
        <f t="shared" si="14"/>
        <v>CUST FIELD SERVICESFLAGGING</v>
      </c>
      <c r="B3592" s="725" t="s">
        <v>177</v>
      </c>
      <c r="C3592" s="722" t="s">
        <v>193</v>
      </c>
      <c r="D3592" t="s">
        <v>194</v>
      </c>
      <c r="E3592" s="148">
        <v>1.4719</v>
      </c>
      <c r="F3592" s="728"/>
      <c r="G3592" s="148">
        <v>1.4719</v>
      </c>
      <c r="H3592" s="148">
        <v>0</v>
      </c>
      <c r="I3592" s="728"/>
      <c r="J3592" s="148">
        <v>1.4719</v>
      </c>
      <c r="K3592" s="148">
        <v>0</v>
      </c>
      <c r="L3592" s="148">
        <v>21.545639999999999</v>
      </c>
      <c r="M3592" s="728"/>
      <c r="N3592" s="148">
        <v>21.545639999999999</v>
      </c>
      <c r="O3592" s="148">
        <v>0</v>
      </c>
      <c r="P3592" s="148">
        <v>1.89</v>
      </c>
      <c r="Q3592" s="148">
        <v>19.655639999999998</v>
      </c>
      <c r="R3592" s="148">
        <v>1039.9809523809524</v>
      </c>
    </row>
    <row r="3593" spans="1:18" ht="15.75" hidden="1" thickBot="1" x14ac:dyDescent="0.3">
      <c r="A3593" s="199" t="str">
        <f t="shared" si="14"/>
        <v>CUST FIELD SERVICESASPHALT PAVING</v>
      </c>
      <c r="B3593" s="725" t="s">
        <v>177</v>
      </c>
      <c r="C3593" s="722" t="s">
        <v>195</v>
      </c>
      <c r="D3593" t="s">
        <v>196</v>
      </c>
      <c r="E3593" s="147">
        <v>0.89207999999999998</v>
      </c>
      <c r="F3593" s="729"/>
      <c r="G3593" s="147">
        <v>0.89207999999999998</v>
      </c>
      <c r="H3593" s="147">
        <v>0</v>
      </c>
      <c r="I3593" s="729"/>
      <c r="J3593" s="147">
        <v>0.89207999999999998</v>
      </c>
      <c r="K3593" s="147">
        <v>0</v>
      </c>
      <c r="L3593" s="147">
        <v>8.5828600000000002</v>
      </c>
      <c r="M3593" s="729"/>
      <c r="N3593" s="147">
        <v>8.5828600000000002</v>
      </c>
      <c r="O3593" s="147">
        <v>0</v>
      </c>
      <c r="P3593" s="147">
        <v>2.2432799999999999</v>
      </c>
      <c r="Q3593" s="147">
        <v>6.3395799999999998</v>
      </c>
      <c r="R3593" s="147">
        <v>282.60315252665737</v>
      </c>
    </row>
    <row r="3594" spans="1:18" ht="15.75" hidden="1" thickBot="1" x14ac:dyDescent="0.3">
      <c r="A3594" s="199" t="str">
        <f t="shared" si="14"/>
        <v>CUST FIELD SERVICESSAW CUTS</v>
      </c>
      <c r="B3594" s="725" t="s">
        <v>177</v>
      </c>
      <c r="C3594" s="722" t="s">
        <v>197</v>
      </c>
      <c r="D3594" t="s">
        <v>198</v>
      </c>
      <c r="E3594" s="148">
        <v>1.0649999999999999</v>
      </c>
      <c r="F3594" s="728"/>
      <c r="G3594" s="148">
        <v>1.0649999999999999</v>
      </c>
      <c r="H3594" s="148">
        <v>0</v>
      </c>
      <c r="I3594" s="728"/>
      <c r="J3594" s="148">
        <v>1.0649999999999999</v>
      </c>
      <c r="K3594" s="148">
        <v>0</v>
      </c>
      <c r="L3594" s="148">
        <v>5.3813000000000004</v>
      </c>
      <c r="M3594" s="728"/>
      <c r="N3594" s="148">
        <v>5.3813000000000004</v>
      </c>
      <c r="O3594" s="148">
        <v>0</v>
      </c>
      <c r="P3594" s="148">
        <v>2.2004999999999999</v>
      </c>
      <c r="Q3594" s="148">
        <v>3.1808000000000001</v>
      </c>
      <c r="R3594" s="148">
        <v>144.54896614405817</v>
      </c>
    </row>
    <row r="3595" spans="1:18" ht="15.75" hidden="1" thickBot="1" x14ac:dyDescent="0.3">
      <c r="A3595" s="199" t="str">
        <f t="shared" si="14"/>
        <v>CUST FIELD SERVICESRENTS AND LEASES</v>
      </c>
      <c r="B3595" s="725" t="s">
        <v>177</v>
      </c>
      <c r="C3595" s="722" t="s">
        <v>464</v>
      </c>
      <c r="D3595" t="s">
        <v>465</v>
      </c>
      <c r="E3595" s="729"/>
      <c r="F3595" s="729"/>
      <c r="G3595" s="729"/>
      <c r="H3595" s="729"/>
      <c r="I3595" s="729"/>
      <c r="J3595" s="729"/>
      <c r="K3595" s="729"/>
      <c r="L3595" s="147">
        <v>-3.4369999999999998E-2</v>
      </c>
      <c r="M3595" s="729"/>
      <c r="N3595" s="147">
        <v>-3.4369999999999998E-2</v>
      </c>
      <c r="O3595" s="147">
        <v>0</v>
      </c>
      <c r="P3595" s="147">
        <v>-3.4369999999999998E-2</v>
      </c>
      <c r="Q3595" s="147">
        <v>0</v>
      </c>
      <c r="R3595" s="147">
        <v>0</v>
      </c>
    </row>
    <row r="3596" spans="1:18" ht="15.75" hidden="1" thickBot="1" x14ac:dyDescent="0.3">
      <c r="A3596" s="199" t="str">
        <f t="shared" si="14"/>
        <v>CUST FIELD SERVICESTOOLS AND EQUIP RENT</v>
      </c>
      <c r="B3596" s="725" t="s">
        <v>177</v>
      </c>
      <c r="C3596" s="722" t="s">
        <v>619</v>
      </c>
      <c r="D3596" t="s">
        <v>620</v>
      </c>
      <c r="E3596" s="728"/>
      <c r="F3596" s="728"/>
      <c r="G3596" s="728"/>
      <c r="H3596" s="728"/>
      <c r="I3596" s="728"/>
      <c r="J3596" s="728"/>
      <c r="K3596" s="728"/>
      <c r="L3596" s="148">
        <v>4.5026200000000003</v>
      </c>
      <c r="M3596" s="728"/>
      <c r="N3596" s="148">
        <v>4.5026200000000003</v>
      </c>
      <c r="O3596" s="148">
        <v>0</v>
      </c>
      <c r="P3596" s="728"/>
      <c r="Q3596" s="148">
        <v>4.5026200000000003</v>
      </c>
      <c r="R3596" s="148">
        <v>0</v>
      </c>
    </row>
    <row r="3597" spans="1:18" ht="15.75" hidden="1" thickBot="1" x14ac:dyDescent="0.3">
      <c r="A3597" s="199" t="str">
        <f t="shared" si="14"/>
        <v>CUST FIELD SERVICESMISCELLANEOUS</v>
      </c>
      <c r="B3597" s="725" t="s">
        <v>177</v>
      </c>
      <c r="C3597" s="722" t="s">
        <v>103</v>
      </c>
      <c r="D3597" t="s">
        <v>104</v>
      </c>
      <c r="E3597" s="729"/>
      <c r="F3597" s="729"/>
      <c r="G3597" s="729"/>
      <c r="H3597" s="729"/>
      <c r="I3597" s="729"/>
      <c r="J3597" s="729"/>
      <c r="K3597" s="729"/>
      <c r="L3597" s="147">
        <v>1.0500400000000001</v>
      </c>
      <c r="M3597" s="729"/>
      <c r="N3597" s="147">
        <v>1.0500400000000001</v>
      </c>
      <c r="O3597" s="147">
        <v>0</v>
      </c>
      <c r="P3597" s="147">
        <v>0.14473</v>
      </c>
      <c r="Q3597" s="147">
        <v>0.90530999999999995</v>
      </c>
      <c r="R3597" s="147">
        <v>625.51647896082363</v>
      </c>
    </row>
    <row r="3598" spans="1:18" ht="15.75" hidden="1" thickBot="1" x14ac:dyDescent="0.3">
      <c r="A3598" s="199" t="str">
        <f t="shared" si="14"/>
        <v>CUST FIELD SERVICESP CARD UNCODED CHARG</v>
      </c>
      <c r="B3598" s="725" t="s">
        <v>177</v>
      </c>
      <c r="C3598" s="722" t="s">
        <v>71</v>
      </c>
      <c r="D3598" t="s">
        <v>72</v>
      </c>
      <c r="E3598" s="728"/>
      <c r="F3598" s="728"/>
      <c r="G3598" s="728"/>
      <c r="H3598" s="728"/>
      <c r="I3598" s="728"/>
      <c r="J3598" s="728"/>
      <c r="K3598" s="728"/>
      <c r="L3598" s="148">
        <v>3.0360000000000002E-2</v>
      </c>
      <c r="M3598" s="728"/>
      <c r="N3598" s="148">
        <v>3.0360000000000002E-2</v>
      </c>
      <c r="O3598" s="148">
        <v>0</v>
      </c>
      <c r="P3598" s="148">
        <v>-4.1959999999999997E-2</v>
      </c>
      <c r="Q3598" s="148">
        <v>7.2319999999999995E-2</v>
      </c>
      <c r="R3598" s="148">
        <v>172.35462345090562</v>
      </c>
    </row>
    <row r="3599" spans="1:18" ht="15.75" hidden="1" thickBot="1" x14ac:dyDescent="0.3">
      <c r="A3599" s="199" t="str">
        <f t="shared" si="14"/>
        <v>CUST FIELD SERVICESPOSTAGE</v>
      </c>
      <c r="B3599" s="725" t="s">
        <v>177</v>
      </c>
      <c r="C3599" s="722" t="s">
        <v>109</v>
      </c>
      <c r="D3599" t="s">
        <v>110</v>
      </c>
      <c r="E3599" s="729"/>
      <c r="F3599" s="729"/>
      <c r="G3599" s="729"/>
      <c r="H3599" s="729"/>
      <c r="I3599" s="729"/>
      <c r="J3599" s="729"/>
      <c r="K3599" s="729"/>
      <c r="L3599" s="147">
        <v>0.23474</v>
      </c>
      <c r="M3599" s="729"/>
      <c r="N3599" s="147">
        <v>0.23474</v>
      </c>
      <c r="O3599" s="147">
        <v>0</v>
      </c>
      <c r="P3599" s="147">
        <v>7.2899999999999996E-3</v>
      </c>
      <c r="Q3599" s="147">
        <v>0.22745000000000001</v>
      </c>
      <c r="R3599" s="147">
        <v>3120.0274348422495</v>
      </c>
    </row>
    <row r="3600" spans="1:18" ht="15.75" hidden="1" thickBot="1" x14ac:dyDescent="0.3">
      <c r="A3600" s="199" t="str">
        <f t="shared" si="14"/>
        <v>CUST FIELD SERVICESCOMPANY GAS USE</v>
      </c>
      <c r="B3600" s="725" t="s">
        <v>177</v>
      </c>
      <c r="C3600" s="722" t="s">
        <v>199</v>
      </c>
      <c r="D3600" t="s">
        <v>200</v>
      </c>
      <c r="E3600" s="148">
        <v>0</v>
      </c>
      <c r="F3600" s="728"/>
      <c r="G3600" s="148">
        <v>0</v>
      </c>
      <c r="H3600" s="148">
        <v>0</v>
      </c>
      <c r="I3600" s="728"/>
      <c r="J3600" s="148">
        <v>0</v>
      </c>
      <c r="K3600" s="148">
        <v>0</v>
      </c>
      <c r="L3600" s="148">
        <v>97.443780000000004</v>
      </c>
      <c r="M3600" s="148">
        <v>100</v>
      </c>
      <c r="N3600" s="148">
        <v>-2.5562200000000002</v>
      </c>
      <c r="O3600" s="148">
        <v>-2.5562200000000002</v>
      </c>
      <c r="P3600" s="148">
        <v>0</v>
      </c>
      <c r="Q3600" s="148">
        <v>97.443780000000004</v>
      </c>
      <c r="R3600" s="148">
        <v>0</v>
      </c>
    </row>
    <row r="3601" spans="1:18" ht="15.75" hidden="1" thickBot="1" x14ac:dyDescent="0.3">
      <c r="A3601" s="199" t="str">
        <f t="shared" si="14"/>
        <v>CUST FIELD SERVICESOFFICE SUPPLIES</v>
      </c>
      <c r="B3601" s="725" t="s">
        <v>177</v>
      </c>
      <c r="C3601" s="722" t="s">
        <v>73</v>
      </c>
      <c r="D3601" t="s">
        <v>74</v>
      </c>
      <c r="E3601" s="147">
        <v>1.6413199999999999</v>
      </c>
      <c r="F3601" s="147">
        <v>1</v>
      </c>
      <c r="G3601" s="147">
        <v>0.64132</v>
      </c>
      <c r="H3601" s="147">
        <v>64.132000000000005</v>
      </c>
      <c r="I3601" s="729"/>
      <c r="J3601" s="147">
        <v>1.6413199999999999</v>
      </c>
      <c r="K3601" s="147">
        <v>0</v>
      </c>
      <c r="L3601" s="147">
        <v>18.44706</v>
      </c>
      <c r="M3601" s="147">
        <v>12</v>
      </c>
      <c r="N3601" s="147">
        <v>6.4470599999999996</v>
      </c>
      <c r="O3601" s="147">
        <v>53.725499999999997</v>
      </c>
      <c r="P3601" s="147">
        <v>10.866569999999999</v>
      </c>
      <c r="Q3601" s="147">
        <v>7.5804900000000002</v>
      </c>
      <c r="R3601" s="147">
        <v>69.759730991472011</v>
      </c>
    </row>
    <row r="3602" spans="1:18" ht="15.75" hidden="1" thickBot="1" x14ac:dyDescent="0.3">
      <c r="A3602" s="199" t="str">
        <f t="shared" si="14"/>
        <v>CUST FIELD SERVICESPRINTING</v>
      </c>
      <c r="B3602" s="725" t="s">
        <v>177</v>
      </c>
      <c r="C3602" s="722" t="s">
        <v>111</v>
      </c>
      <c r="D3602" t="s">
        <v>112</v>
      </c>
      <c r="E3602" s="728"/>
      <c r="F3602" s="148">
        <v>2.35</v>
      </c>
      <c r="G3602" s="148">
        <v>-2.35</v>
      </c>
      <c r="H3602" s="148">
        <v>-100</v>
      </c>
      <c r="I3602" s="728"/>
      <c r="J3602" s="728"/>
      <c r="K3602" s="728"/>
      <c r="L3602" s="148">
        <v>22.14922</v>
      </c>
      <c r="M3602" s="148">
        <v>28.2</v>
      </c>
      <c r="N3602" s="148">
        <v>-6.0507799999999996</v>
      </c>
      <c r="O3602" s="148">
        <v>-21.456666666666667</v>
      </c>
      <c r="P3602" s="148">
        <v>11.51202</v>
      </c>
      <c r="Q3602" s="148">
        <v>10.6372</v>
      </c>
      <c r="R3602" s="148">
        <v>92.400812368289834</v>
      </c>
    </row>
    <row r="3603" spans="1:18" ht="15.75" hidden="1" thickBot="1" x14ac:dyDescent="0.3">
      <c r="A3603" s="199" t="str">
        <f t="shared" si="14"/>
        <v>CUST FIELD SERVICESBOOKS AND MAGAZINES</v>
      </c>
      <c r="B3603" s="725" t="s">
        <v>177</v>
      </c>
      <c r="C3603" s="722" t="s">
        <v>141</v>
      </c>
      <c r="D3603" t="s">
        <v>142</v>
      </c>
      <c r="E3603" s="729"/>
      <c r="F3603" s="729"/>
      <c r="G3603" s="729"/>
      <c r="H3603" s="729"/>
      <c r="I3603" s="729"/>
      <c r="J3603" s="729"/>
      <c r="K3603" s="729"/>
      <c r="L3603" s="147">
        <v>0.92693000000000003</v>
      </c>
      <c r="M3603" s="729"/>
      <c r="N3603" s="147">
        <v>0.92693000000000003</v>
      </c>
      <c r="O3603" s="147">
        <v>0</v>
      </c>
      <c r="P3603" s="147">
        <v>0.91366999999999998</v>
      </c>
      <c r="Q3603" s="147">
        <v>1.3259999999999999E-2</v>
      </c>
      <c r="R3603" s="147">
        <v>1.4512898530103866</v>
      </c>
    </row>
    <row r="3604" spans="1:18" ht="15.75" hidden="1" thickBot="1" x14ac:dyDescent="0.3">
      <c r="A3604" s="199" t="str">
        <f t="shared" si="14"/>
        <v>CUST FIELD SERVICESREFRESHMENTS</v>
      </c>
      <c r="B3604" s="725" t="s">
        <v>177</v>
      </c>
      <c r="C3604" s="722" t="s">
        <v>113</v>
      </c>
      <c r="D3604" t="s">
        <v>114</v>
      </c>
      <c r="E3604" s="148">
        <v>1.74343</v>
      </c>
      <c r="F3604" s="148">
        <v>1.6</v>
      </c>
      <c r="G3604" s="148">
        <v>0.14343</v>
      </c>
      <c r="H3604" s="148">
        <v>8.9643750000000004</v>
      </c>
      <c r="I3604" s="728"/>
      <c r="J3604" s="148">
        <v>1.74343</v>
      </c>
      <c r="K3604" s="148">
        <v>0</v>
      </c>
      <c r="L3604" s="148">
        <v>27.454879999999999</v>
      </c>
      <c r="M3604" s="148">
        <v>19.2</v>
      </c>
      <c r="N3604" s="148">
        <v>8.25488</v>
      </c>
      <c r="O3604" s="148">
        <v>42.994166666666665</v>
      </c>
      <c r="P3604" s="148">
        <v>14.888920000000001</v>
      </c>
      <c r="Q3604" s="148">
        <v>12.56596</v>
      </c>
      <c r="R3604" s="148">
        <v>84.398062451809807</v>
      </c>
    </row>
    <row r="3605" spans="1:18" ht="15.75" hidden="1" thickBot="1" x14ac:dyDescent="0.3">
      <c r="A3605" s="199" t="str">
        <f t="shared" si="14"/>
        <v>CUST FIELD SERVICESTOOL EXPENSE</v>
      </c>
      <c r="B3605" s="725" t="s">
        <v>177</v>
      </c>
      <c r="C3605" s="722" t="s">
        <v>201</v>
      </c>
      <c r="D3605" t="s">
        <v>202</v>
      </c>
      <c r="E3605" s="147">
        <v>2.5479999999999999E-2</v>
      </c>
      <c r="F3605" s="147">
        <v>1</v>
      </c>
      <c r="G3605" s="147">
        <v>-0.97452000000000005</v>
      </c>
      <c r="H3605" s="147">
        <v>-97.451999999999998</v>
      </c>
      <c r="I3605" s="729"/>
      <c r="J3605" s="147">
        <v>2.5479999999999999E-2</v>
      </c>
      <c r="K3605" s="147">
        <v>0</v>
      </c>
      <c r="L3605" s="147">
        <v>6.0161600000000002</v>
      </c>
      <c r="M3605" s="147">
        <v>18</v>
      </c>
      <c r="N3605" s="147">
        <v>-11.983840000000001</v>
      </c>
      <c r="O3605" s="147">
        <v>-66.576888888888888</v>
      </c>
      <c r="P3605" s="147">
        <v>2.2970700000000002</v>
      </c>
      <c r="Q3605" s="147">
        <v>3.71909</v>
      </c>
      <c r="R3605" s="147">
        <v>161.90581915222435</v>
      </c>
    </row>
    <row r="3606" spans="1:18" ht="15.75" hidden="1" thickBot="1" x14ac:dyDescent="0.3">
      <c r="A3606" s="199" t="str">
        <f t="shared" si="14"/>
        <v>CUST FIELD SERVICESCASH RECEIPTS</v>
      </c>
      <c r="B3606" s="725" t="s">
        <v>177</v>
      </c>
      <c r="C3606" s="722" t="s">
        <v>117</v>
      </c>
      <c r="D3606" t="s">
        <v>118</v>
      </c>
      <c r="E3606" s="728"/>
      <c r="F3606" s="728"/>
      <c r="G3606" s="728"/>
      <c r="H3606" s="728"/>
      <c r="I3606" s="728"/>
      <c r="J3606" s="728"/>
      <c r="K3606" s="728"/>
      <c r="L3606" s="148">
        <v>0.02</v>
      </c>
      <c r="M3606" s="728"/>
      <c r="N3606" s="148">
        <v>0.02</v>
      </c>
      <c r="O3606" s="148">
        <v>0</v>
      </c>
      <c r="P3606" s="148">
        <v>0.02</v>
      </c>
      <c r="Q3606" s="148">
        <v>0</v>
      </c>
      <c r="R3606" s="148">
        <v>0</v>
      </c>
    </row>
    <row r="3607" spans="1:18" ht="15.75" hidden="1" thickBot="1" x14ac:dyDescent="0.3">
      <c r="A3607" s="199" t="str">
        <f t="shared" si="14"/>
        <v>CUST FIELD SERVICESPARKING</v>
      </c>
      <c r="B3607" s="725" t="s">
        <v>177</v>
      </c>
      <c r="C3607" s="722" t="s">
        <v>145</v>
      </c>
      <c r="D3607" t="s">
        <v>146</v>
      </c>
      <c r="E3607" s="147">
        <v>0.10925</v>
      </c>
      <c r="F3607" s="147">
        <v>0.21818000000000001</v>
      </c>
      <c r="G3607" s="147">
        <v>-0.10893</v>
      </c>
      <c r="H3607" s="147">
        <v>-49.926666055550463</v>
      </c>
      <c r="I3607" s="729"/>
      <c r="J3607" s="147">
        <v>0.10925</v>
      </c>
      <c r="K3607" s="147">
        <v>0</v>
      </c>
      <c r="L3607" s="147">
        <v>14.24297</v>
      </c>
      <c r="M3607" s="147">
        <v>7.9999799999999999</v>
      </c>
      <c r="N3607" s="147">
        <v>6.2429899999999998</v>
      </c>
      <c r="O3607" s="147">
        <v>78.03757009392524</v>
      </c>
      <c r="P3607" s="147">
        <v>13.325469999999999</v>
      </c>
      <c r="Q3607" s="147">
        <v>0.91749999999999998</v>
      </c>
      <c r="R3607" s="147">
        <v>6.885310611933388</v>
      </c>
    </row>
    <row r="3608" spans="1:18" ht="15.75" hidden="1" thickBot="1" x14ac:dyDescent="0.3">
      <c r="A3608" s="199" t="str">
        <f t="shared" si="14"/>
        <v>CUST FIELD SERVICESLAUNDRY</v>
      </c>
      <c r="B3608" s="725" t="s">
        <v>177</v>
      </c>
      <c r="C3608" s="722" t="s">
        <v>147</v>
      </c>
      <c r="D3608" t="s">
        <v>148</v>
      </c>
      <c r="E3608" s="728"/>
      <c r="F3608" s="728"/>
      <c r="G3608" s="728"/>
      <c r="H3608" s="728"/>
      <c r="I3608" s="728"/>
      <c r="J3608" s="728"/>
      <c r="K3608" s="728"/>
      <c r="L3608" s="148">
        <v>3.49E-2</v>
      </c>
      <c r="M3608" s="728"/>
      <c r="N3608" s="148">
        <v>3.49E-2</v>
      </c>
      <c r="O3608" s="148">
        <v>0</v>
      </c>
      <c r="P3608" s="728"/>
      <c r="Q3608" s="148">
        <v>3.49E-2</v>
      </c>
      <c r="R3608" s="148">
        <v>0</v>
      </c>
    </row>
    <row r="3609" spans="1:18" ht="15.75" hidden="1" thickBot="1" x14ac:dyDescent="0.3">
      <c r="A3609" s="199" t="str">
        <f t="shared" si="14"/>
        <v>CUST FIELD SERVICESUNIFORMS</v>
      </c>
      <c r="B3609" s="725" t="s">
        <v>177</v>
      </c>
      <c r="C3609" s="722" t="s">
        <v>203</v>
      </c>
      <c r="D3609" t="s">
        <v>204</v>
      </c>
      <c r="E3609" s="147">
        <v>1.11053</v>
      </c>
      <c r="F3609" s="729"/>
      <c r="G3609" s="147">
        <v>1.11053</v>
      </c>
      <c r="H3609" s="147">
        <v>0</v>
      </c>
      <c r="I3609" s="729"/>
      <c r="J3609" s="147">
        <v>1.11053</v>
      </c>
      <c r="K3609" s="147">
        <v>0</v>
      </c>
      <c r="L3609" s="147">
        <v>8.7426300000000001</v>
      </c>
      <c r="M3609" s="729"/>
      <c r="N3609" s="147">
        <v>8.7426300000000001</v>
      </c>
      <c r="O3609" s="147">
        <v>0</v>
      </c>
      <c r="P3609" s="147">
        <v>4.2929000000000004</v>
      </c>
      <c r="Q3609" s="147">
        <v>4.4497299999999997</v>
      </c>
      <c r="R3609" s="147">
        <v>103.65324139858836</v>
      </c>
    </row>
    <row r="3610" spans="1:18" ht="15.75" hidden="1" thickBot="1" x14ac:dyDescent="0.3">
      <c r="A3610" s="199" t="str">
        <f t="shared" si="14"/>
        <v>CUST FIELD SERVICESCLOTHING</v>
      </c>
      <c r="B3610" s="725" t="s">
        <v>177</v>
      </c>
      <c r="C3610" s="722" t="s">
        <v>641</v>
      </c>
      <c r="D3610" t="s">
        <v>642</v>
      </c>
      <c r="E3610" s="728"/>
      <c r="F3610" s="728"/>
      <c r="G3610" s="728"/>
      <c r="H3610" s="728"/>
      <c r="I3610" s="728"/>
      <c r="J3610" s="728"/>
      <c r="K3610" s="728"/>
      <c r="L3610" s="148">
        <v>0</v>
      </c>
      <c r="M3610" s="728"/>
      <c r="N3610" s="148">
        <v>0</v>
      </c>
      <c r="O3610" s="148">
        <v>0</v>
      </c>
      <c r="P3610" s="148">
        <v>8.9950000000000002E-2</v>
      </c>
      <c r="Q3610" s="148">
        <v>-8.9950000000000002E-2</v>
      </c>
      <c r="R3610" s="148">
        <v>-100</v>
      </c>
    </row>
    <row r="3611" spans="1:18" ht="15.75" hidden="1" thickBot="1" x14ac:dyDescent="0.3">
      <c r="A3611" s="199" t="str">
        <f t="shared" si="14"/>
        <v>CUST FIELD SERVICESPROFESSIONAL SERVICE</v>
      </c>
      <c r="B3611" s="725" t="s">
        <v>177</v>
      </c>
      <c r="C3611" s="722" t="s">
        <v>149</v>
      </c>
      <c r="D3611" t="s">
        <v>150</v>
      </c>
      <c r="E3611" s="729"/>
      <c r="F3611" s="729"/>
      <c r="G3611" s="729"/>
      <c r="H3611" s="729"/>
      <c r="I3611" s="729"/>
      <c r="J3611" s="729"/>
      <c r="K3611" s="729"/>
      <c r="L3611" s="147">
        <v>0.78544000000000003</v>
      </c>
      <c r="M3611" s="729"/>
      <c r="N3611" s="147">
        <v>0.78544000000000003</v>
      </c>
      <c r="O3611" s="147">
        <v>0</v>
      </c>
      <c r="P3611" s="147">
        <v>0.18975</v>
      </c>
      <c r="Q3611" s="147">
        <v>0.59569000000000005</v>
      </c>
      <c r="R3611" s="147">
        <v>313.93412384716731</v>
      </c>
    </row>
    <row r="3612" spans="1:18" ht="15.75" hidden="1" thickBot="1" x14ac:dyDescent="0.3">
      <c r="A3612" s="199" t="str">
        <f t="shared" si="14"/>
        <v>CUST FIELD SERVICESCUSTOMER RECOVERY</v>
      </c>
      <c r="B3612" s="725" t="s">
        <v>177</v>
      </c>
      <c r="C3612" s="722" t="s">
        <v>171</v>
      </c>
      <c r="D3612" t="s">
        <v>172</v>
      </c>
      <c r="E3612" s="728"/>
      <c r="F3612" s="728"/>
      <c r="G3612" s="728"/>
      <c r="H3612" s="728"/>
      <c r="I3612" s="728"/>
      <c r="J3612" s="728"/>
      <c r="K3612" s="728"/>
      <c r="L3612" s="148">
        <v>1.8190000000000001E-2</v>
      </c>
      <c r="M3612" s="728"/>
      <c r="N3612" s="148">
        <v>1.8190000000000001E-2</v>
      </c>
      <c r="O3612" s="148">
        <v>0</v>
      </c>
      <c r="P3612" s="728"/>
      <c r="Q3612" s="148">
        <v>1.8190000000000001E-2</v>
      </c>
      <c r="R3612" s="148">
        <v>0</v>
      </c>
    </row>
    <row r="3613" spans="1:18" ht="15.75" hidden="1" thickBot="1" x14ac:dyDescent="0.3">
      <c r="A3613" s="199" t="str">
        <f t="shared" si="14"/>
        <v>CUST FIELD SERVICESREPAIRS AND MAINT</v>
      </c>
      <c r="B3613" s="725" t="s">
        <v>177</v>
      </c>
      <c r="C3613" s="722" t="s">
        <v>205</v>
      </c>
      <c r="D3613" t="s">
        <v>206</v>
      </c>
      <c r="E3613" s="729"/>
      <c r="F3613" s="729"/>
      <c r="G3613" s="729"/>
      <c r="H3613" s="729"/>
      <c r="I3613" s="729"/>
      <c r="J3613" s="729"/>
      <c r="K3613" s="729"/>
      <c r="L3613" s="147">
        <v>0.62934999999999997</v>
      </c>
      <c r="M3613" s="729"/>
      <c r="N3613" s="147">
        <v>0.62934999999999997</v>
      </c>
      <c r="O3613" s="147">
        <v>0</v>
      </c>
      <c r="P3613" s="147">
        <v>0.45286999999999999</v>
      </c>
      <c r="Q3613" s="147">
        <v>0.17648</v>
      </c>
      <c r="R3613" s="147">
        <v>38.969240620928744</v>
      </c>
    </row>
    <row r="3614" spans="1:18" ht="15.75" hidden="1" thickBot="1" x14ac:dyDescent="0.3">
      <c r="A3614" s="199" t="str">
        <f t="shared" si="14"/>
        <v>CUST FIELD SERVICESMEAL TICKETS</v>
      </c>
      <c r="B3614" s="725" t="s">
        <v>177</v>
      </c>
      <c r="C3614" s="722" t="s">
        <v>173</v>
      </c>
      <c r="D3614" t="s">
        <v>174</v>
      </c>
      <c r="E3614" s="148">
        <v>2.0474999999999999</v>
      </c>
      <c r="F3614" s="148">
        <v>4.6024099999999999</v>
      </c>
      <c r="G3614" s="148">
        <v>-2.55491</v>
      </c>
      <c r="H3614" s="148">
        <v>-55.51243804876141</v>
      </c>
      <c r="I3614" s="728"/>
      <c r="J3614" s="148">
        <v>2.0474999999999999</v>
      </c>
      <c r="K3614" s="148">
        <v>0</v>
      </c>
      <c r="L3614" s="148">
        <v>20.134930000000001</v>
      </c>
      <c r="M3614" s="148">
        <v>38.200000000000003</v>
      </c>
      <c r="N3614" s="148">
        <v>-18.065069999999999</v>
      </c>
      <c r="O3614" s="148">
        <v>-47.290759162303665</v>
      </c>
      <c r="P3614" s="148">
        <v>10.011760000000001</v>
      </c>
      <c r="Q3614" s="148">
        <v>10.12317</v>
      </c>
      <c r="R3614" s="148">
        <v>101.11279135736375</v>
      </c>
    </row>
    <row r="3615" spans="1:18" ht="15.75" hidden="1" thickBot="1" x14ac:dyDescent="0.3">
      <c r="A3615" s="199" t="str">
        <f t="shared" si="14"/>
        <v>CUST FIELD SERVICESCELLULAR PHONES</v>
      </c>
      <c r="B3615" s="725" t="s">
        <v>177</v>
      </c>
      <c r="C3615" s="722" t="s">
        <v>481</v>
      </c>
      <c r="D3615" t="s">
        <v>482</v>
      </c>
      <c r="E3615" s="729"/>
      <c r="F3615" s="729"/>
      <c r="G3615" s="729"/>
      <c r="H3615" s="729"/>
      <c r="I3615" s="729"/>
      <c r="J3615" s="729"/>
      <c r="K3615" s="729"/>
      <c r="L3615" s="147">
        <v>1.2346200000000001</v>
      </c>
      <c r="M3615" s="729"/>
      <c r="N3615" s="147">
        <v>1.2346200000000001</v>
      </c>
      <c r="O3615" s="147">
        <v>0</v>
      </c>
      <c r="P3615" s="147">
        <v>1.4760000000000001E-2</v>
      </c>
      <c r="Q3615" s="147">
        <v>1.2198599999999999</v>
      </c>
      <c r="R3615" s="147">
        <v>8264.6341463414628</v>
      </c>
    </row>
    <row r="3616" spans="1:18" ht="15.75" hidden="1" thickBot="1" x14ac:dyDescent="0.3">
      <c r="A3616" s="199" t="str">
        <f t="shared" si="14"/>
        <v>CUST FIELD SERVICESUNLEADED FUEL</v>
      </c>
      <c r="B3616" s="725" t="s">
        <v>177</v>
      </c>
      <c r="C3616" s="722" t="s">
        <v>175</v>
      </c>
      <c r="D3616" t="s">
        <v>176</v>
      </c>
      <c r="E3616" s="148">
        <v>0.96357000000000004</v>
      </c>
      <c r="F3616" s="728"/>
      <c r="G3616" s="148">
        <v>0.96357000000000004</v>
      </c>
      <c r="H3616" s="148">
        <v>0</v>
      </c>
      <c r="I3616" s="728"/>
      <c r="J3616" s="148">
        <v>0.96357000000000004</v>
      </c>
      <c r="K3616" s="148">
        <v>0</v>
      </c>
      <c r="L3616" s="148">
        <v>0.96357000000000004</v>
      </c>
      <c r="M3616" s="728"/>
      <c r="N3616" s="148">
        <v>0.96357000000000004</v>
      </c>
      <c r="O3616" s="148">
        <v>0</v>
      </c>
      <c r="P3616" s="728"/>
      <c r="Q3616" s="148">
        <v>0.96357000000000004</v>
      </c>
      <c r="R3616" s="148">
        <v>0</v>
      </c>
    </row>
    <row r="3617" spans="1:18" ht="15.75" hidden="1" thickBot="1" x14ac:dyDescent="0.3">
      <c r="A3617" s="199" t="str">
        <f t="shared" si="14"/>
        <v>CUST FIELD SERVICESPLANT TRANSFERS</v>
      </c>
      <c r="B3617" s="725" t="s">
        <v>177</v>
      </c>
      <c r="C3617" s="722" t="s">
        <v>661</v>
      </c>
      <c r="D3617" t="s">
        <v>662</v>
      </c>
      <c r="E3617" s="729"/>
      <c r="F3617" s="729"/>
      <c r="G3617" s="729"/>
      <c r="H3617" s="729"/>
      <c r="I3617" s="729"/>
      <c r="J3617" s="729"/>
      <c r="K3617" s="729"/>
      <c r="L3617" s="147">
        <v>0</v>
      </c>
      <c r="M3617" s="729"/>
      <c r="N3617" s="147">
        <v>0</v>
      </c>
      <c r="O3617" s="147">
        <v>0</v>
      </c>
      <c r="P3617" s="729"/>
      <c r="Q3617" s="147">
        <v>0</v>
      </c>
      <c r="R3617" s="147">
        <v>0</v>
      </c>
    </row>
    <row r="3618" spans="1:18" ht="15.75" hidden="1" thickBot="1" x14ac:dyDescent="0.3">
      <c r="A3618" s="199" t="str">
        <f t="shared" si="14"/>
        <v>CUST FIELD SERVICESDAMAGES</v>
      </c>
      <c r="B3618" s="725" t="s">
        <v>177</v>
      </c>
      <c r="C3618" s="722" t="s">
        <v>663</v>
      </c>
      <c r="D3618" t="s">
        <v>664</v>
      </c>
      <c r="E3618" s="148">
        <v>-34.99785</v>
      </c>
      <c r="F3618" s="728"/>
      <c r="G3618" s="148">
        <v>-34.99785</v>
      </c>
      <c r="H3618" s="148">
        <v>0</v>
      </c>
      <c r="I3618" s="728"/>
      <c r="J3618" s="148">
        <v>-34.99785</v>
      </c>
      <c r="K3618" s="148">
        <v>0</v>
      </c>
      <c r="L3618" s="148">
        <v>-35.763840000000002</v>
      </c>
      <c r="M3618" s="728"/>
      <c r="N3618" s="148">
        <v>-35.763840000000002</v>
      </c>
      <c r="O3618" s="148">
        <v>0</v>
      </c>
      <c r="P3618" s="728"/>
      <c r="Q3618" s="148">
        <v>-35.763840000000002</v>
      </c>
      <c r="R3618" s="148">
        <v>0</v>
      </c>
    </row>
    <row r="3619" spans="1:18" ht="15.75" hidden="1" thickBot="1" x14ac:dyDescent="0.3">
      <c r="A3619" s="199" t="str">
        <f t="shared" si="14"/>
        <v>CUST FIELD SERVICESSMALL TOOLS</v>
      </c>
      <c r="B3619" s="725" t="s">
        <v>177</v>
      </c>
      <c r="C3619" s="722" t="s">
        <v>207</v>
      </c>
      <c r="D3619" t="s">
        <v>208</v>
      </c>
      <c r="E3619" s="147">
        <v>4.4659999999999998E-2</v>
      </c>
      <c r="F3619" s="729"/>
      <c r="G3619" s="147">
        <v>4.4659999999999998E-2</v>
      </c>
      <c r="H3619" s="147">
        <v>0</v>
      </c>
      <c r="I3619" s="729"/>
      <c r="J3619" s="147">
        <v>4.4659999999999998E-2</v>
      </c>
      <c r="K3619" s="147">
        <v>0</v>
      </c>
      <c r="L3619" s="147">
        <v>4.3105200000000004</v>
      </c>
      <c r="M3619" s="729"/>
      <c r="N3619" s="147">
        <v>4.3105200000000004</v>
      </c>
      <c r="O3619" s="147">
        <v>0</v>
      </c>
      <c r="P3619" s="147">
        <v>3.2653799999999999</v>
      </c>
      <c r="Q3619" s="147">
        <v>1.04514</v>
      </c>
      <c r="R3619" s="147">
        <v>32.006688348676114</v>
      </c>
    </row>
    <row r="3620" spans="1:18" ht="15.75" hidden="1" thickBot="1" x14ac:dyDescent="0.3">
      <c r="A3620" s="199" t="str">
        <f t="shared" si="14"/>
        <v>CUST FIELD SERVICESMEALS AND ENTERTAIN</v>
      </c>
      <c r="B3620" s="725" t="s">
        <v>177</v>
      </c>
      <c r="C3620" s="722" t="s">
        <v>75</v>
      </c>
      <c r="D3620" t="s">
        <v>76</v>
      </c>
      <c r="E3620" s="148">
        <v>2.9574799999999999</v>
      </c>
      <c r="F3620" s="148">
        <v>4.9508299999999998</v>
      </c>
      <c r="G3620" s="148">
        <v>-1.99335</v>
      </c>
      <c r="H3620" s="148">
        <v>-40.26294580908656</v>
      </c>
      <c r="I3620" s="728"/>
      <c r="J3620" s="148">
        <v>2.9574799999999999</v>
      </c>
      <c r="K3620" s="148">
        <v>0</v>
      </c>
      <c r="L3620" s="148">
        <v>43.027369999999998</v>
      </c>
      <c r="M3620" s="148">
        <v>39.999989999999997</v>
      </c>
      <c r="N3620" s="148">
        <v>3.02738</v>
      </c>
      <c r="O3620" s="148">
        <v>7.5684518921129733</v>
      </c>
      <c r="P3620" s="148">
        <v>21.97588</v>
      </c>
      <c r="Q3620" s="148">
        <v>21.051490000000001</v>
      </c>
      <c r="R3620" s="148">
        <v>95.79361554577109</v>
      </c>
    </row>
    <row r="3621" spans="1:18" ht="15.75" hidden="1" thickBot="1" x14ac:dyDescent="0.3">
      <c r="A3621" s="199" t="str">
        <f t="shared" si="14"/>
        <v>CUST FIELD SERVICESTRAVEL IN TERRITORY</v>
      </c>
      <c r="B3621" s="725" t="s">
        <v>177</v>
      </c>
      <c r="C3621" s="722" t="s">
        <v>121</v>
      </c>
      <c r="D3621" t="s">
        <v>122</v>
      </c>
      <c r="E3621" s="147">
        <v>1.0864</v>
      </c>
      <c r="F3621" s="147">
        <v>1.6666700000000001</v>
      </c>
      <c r="G3621" s="147">
        <v>-0.58026999999999995</v>
      </c>
      <c r="H3621" s="147">
        <v>-34.816130367739262</v>
      </c>
      <c r="I3621" s="729"/>
      <c r="J3621" s="147">
        <v>1.0864</v>
      </c>
      <c r="K3621" s="147">
        <v>0</v>
      </c>
      <c r="L3621" s="147">
        <v>24.327940000000002</v>
      </c>
      <c r="M3621" s="147">
        <v>20.000039999999998</v>
      </c>
      <c r="N3621" s="147">
        <v>4.3278999999999996</v>
      </c>
      <c r="O3621" s="147">
        <v>21.639456721086557</v>
      </c>
      <c r="P3621" s="147">
        <v>13.07023</v>
      </c>
      <c r="Q3621" s="147">
        <v>11.257709999999999</v>
      </c>
      <c r="R3621" s="147">
        <v>86.132455205455457</v>
      </c>
    </row>
    <row r="3622" spans="1:18" ht="15.75" hidden="1" thickBot="1" x14ac:dyDescent="0.3">
      <c r="A3622" s="199" t="str">
        <f t="shared" ref="A3622:A3633" si="15">B3622&amp;C3622</f>
        <v>CUST FIELD SERVICESCONFERENCE TRAVEL</v>
      </c>
      <c r="B3622" s="725" t="s">
        <v>177</v>
      </c>
      <c r="C3622" s="722" t="s">
        <v>77</v>
      </c>
      <c r="D3622" t="s">
        <v>78</v>
      </c>
      <c r="E3622" s="148">
        <v>0.94018000000000002</v>
      </c>
      <c r="F3622" s="148">
        <v>2.625</v>
      </c>
      <c r="G3622" s="148">
        <v>-1.68482</v>
      </c>
      <c r="H3622" s="148">
        <v>-64.183619047619047</v>
      </c>
      <c r="I3622" s="728"/>
      <c r="J3622" s="148">
        <v>0.94018000000000002</v>
      </c>
      <c r="K3622" s="148">
        <v>0</v>
      </c>
      <c r="L3622" s="148">
        <v>20.659929999999999</v>
      </c>
      <c r="M3622" s="148">
        <v>31.5</v>
      </c>
      <c r="N3622" s="148">
        <v>-10.840070000000001</v>
      </c>
      <c r="O3622" s="148">
        <v>-34.412920634920638</v>
      </c>
      <c r="P3622" s="148">
        <v>9.4312500000000004</v>
      </c>
      <c r="Q3622" s="148">
        <v>11.228680000000001</v>
      </c>
      <c r="R3622" s="148">
        <v>119.05823724320742</v>
      </c>
    </row>
    <row r="3623" spans="1:18" ht="15.75" hidden="1" thickBot="1" x14ac:dyDescent="0.3">
      <c r="A3623" s="199" t="str">
        <f t="shared" si="15"/>
        <v>CUST FIELD SERVICESBUSINESS TRAVEL</v>
      </c>
      <c r="B3623" s="725" t="s">
        <v>177</v>
      </c>
      <c r="C3623" s="722" t="s">
        <v>79</v>
      </c>
      <c r="D3623" t="s">
        <v>80</v>
      </c>
      <c r="E3623" s="147">
        <v>0.32500000000000001</v>
      </c>
      <c r="F3623" s="729"/>
      <c r="G3623" s="147">
        <v>0.32500000000000001</v>
      </c>
      <c r="H3623" s="147">
        <v>0</v>
      </c>
      <c r="I3623" s="729"/>
      <c r="J3623" s="147">
        <v>0.32500000000000001</v>
      </c>
      <c r="K3623" s="147">
        <v>0</v>
      </c>
      <c r="L3623" s="147">
        <v>2.7066300000000001</v>
      </c>
      <c r="M3623" s="729"/>
      <c r="N3623" s="147">
        <v>2.7066300000000001</v>
      </c>
      <c r="O3623" s="147">
        <v>0</v>
      </c>
      <c r="P3623" s="147">
        <v>1.1225000000000001</v>
      </c>
      <c r="Q3623" s="147">
        <v>1.58413</v>
      </c>
      <c r="R3623" s="147">
        <v>141.12516703786193</v>
      </c>
    </row>
    <row r="3624" spans="1:18" ht="15.75" hidden="1" thickBot="1" x14ac:dyDescent="0.3">
      <c r="A3624" s="199" t="str">
        <f t="shared" si="15"/>
        <v>CUST FIELD SERVICESEMPLOYEE AWARDS</v>
      </c>
      <c r="B3624" s="725" t="s">
        <v>177</v>
      </c>
      <c r="C3624" s="722" t="s">
        <v>81</v>
      </c>
      <c r="D3624" t="s">
        <v>82</v>
      </c>
      <c r="E3624" s="148">
        <v>13.37848</v>
      </c>
      <c r="F3624" s="148">
        <v>20</v>
      </c>
      <c r="G3624" s="148">
        <v>-6.6215200000000003</v>
      </c>
      <c r="H3624" s="148">
        <v>-33.107599999999998</v>
      </c>
      <c r="I3624" s="728"/>
      <c r="J3624" s="148">
        <v>13.37848</v>
      </c>
      <c r="K3624" s="148">
        <v>0</v>
      </c>
      <c r="L3624" s="148">
        <v>22.60031</v>
      </c>
      <c r="M3624" s="148">
        <v>24.4</v>
      </c>
      <c r="N3624" s="148">
        <v>-1.79969</v>
      </c>
      <c r="O3624" s="148">
        <v>-7.3757786885245897</v>
      </c>
      <c r="P3624" s="148">
        <v>1.4090100000000001</v>
      </c>
      <c r="Q3624" s="148">
        <v>21.191299999999998</v>
      </c>
      <c r="R3624" s="148">
        <v>1503.9850675296839</v>
      </c>
    </row>
    <row r="3625" spans="1:18" ht="15.75" hidden="1" thickBot="1" x14ac:dyDescent="0.3">
      <c r="A3625" s="199" t="str">
        <f t="shared" si="15"/>
        <v>CUST FIELD SERVICESEMPLOYEE AWRDS MLS &amp;</v>
      </c>
      <c r="B3625" s="725" t="s">
        <v>177</v>
      </c>
      <c r="C3625" s="722" t="s">
        <v>123</v>
      </c>
      <c r="D3625" t="s">
        <v>124</v>
      </c>
      <c r="E3625" s="147">
        <v>1.9207099999999999</v>
      </c>
      <c r="F3625" s="729"/>
      <c r="G3625" s="147">
        <v>1.9207099999999999</v>
      </c>
      <c r="H3625" s="147">
        <v>0</v>
      </c>
      <c r="I3625" s="729"/>
      <c r="J3625" s="147">
        <v>1.9207099999999999</v>
      </c>
      <c r="K3625" s="147">
        <v>0</v>
      </c>
      <c r="L3625" s="147">
        <v>3.2728199999999998</v>
      </c>
      <c r="M3625" s="729"/>
      <c r="N3625" s="147">
        <v>3.2728199999999998</v>
      </c>
      <c r="O3625" s="147">
        <v>0</v>
      </c>
      <c r="P3625" s="147">
        <v>0.29182000000000002</v>
      </c>
      <c r="Q3625" s="147">
        <v>2.9809999999999999</v>
      </c>
      <c r="R3625" s="147">
        <v>1021.5201151394696</v>
      </c>
    </row>
    <row r="3626" spans="1:18" ht="15.75" hidden="1" thickBot="1" x14ac:dyDescent="0.3">
      <c r="A3626" s="199" t="str">
        <f t="shared" si="15"/>
        <v>CUST FIELD SERVICESNON EMPLOYEE GIFTS</v>
      </c>
      <c r="B3626" s="725" t="s">
        <v>177</v>
      </c>
      <c r="C3626" s="722" t="s">
        <v>125</v>
      </c>
      <c r="D3626" t="s">
        <v>126</v>
      </c>
      <c r="E3626" s="148">
        <v>0.22500000000000001</v>
      </c>
      <c r="F3626" s="728"/>
      <c r="G3626" s="148">
        <v>0.22500000000000001</v>
      </c>
      <c r="H3626" s="148">
        <v>0</v>
      </c>
      <c r="I3626" s="728"/>
      <c r="J3626" s="148">
        <v>0.22500000000000001</v>
      </c>
      <c r="K3626" s="148">
        <v>0</v>
      </c>
      <c r="L3626" s="148">
        <v>0.22500000000000001</v>
      </c>
      <c r="M3626" s="728"/>
      <c r="N3626" s="148">
        <v>0.22500000000000001</v>
      </c>
      <c r="O3626" s="148">
        <v>0</v>
      </c>
      <c r="P3626" s="728"/>
      <c r="Q3626" s="148">
        <v>0.22500000000000001</v>
      </c>
      <c r="R3626" s="148">
        <v>0</v>
      </c>
    </row>
    <row r="3627" spans="1:18" ht="15.75" hidden="1" thickBot="1" x14ac:dyDescent="0.3">
      <c r="A3627" s="199" t="str">
        <f t="shared" si="15"/>
        <v>CUST FIELD SERVICESNWN/581500</v>
      </c>
      <c r="B3627" s="725" t="s">
        <v>177</v>
      </c>
      <c r="C3627" s="722" t="s">
        <v>209</v>
      </c>
      <c r="D3627" t="s">
        <v>210</v>
      </c>
      <c r="E3627" s="147">
        <v>4.1759999999999999E-2</v>
      </c>
      <c r="F3627" s="729"/>
      <c r="G3627" s="147">
        <v>4.1759999999999999E-2</v>
      </c>
      <c r="H3627" s="147">
        <v>0</v>
      </c>
      <c r="I3627" s="729"/>
      <c r="J3627" s="147">
        <v>4.1759999999999999E-2</v>
      </c>
      <c r="K3627" s="147">
        <v>0</v>
      </c>
      <c r="L3627" s="147">
        <v>10.315049999999999</v>
      </c>
      <c r="M3627" s="729"/>
      <c r="N3627" s="147">
        <v>10.315049999999999</v>
      </c>
      <c r="O3627" s="147">
        <v>0</v>
      </c>
      <c r="P3627" s="147">
        <v>6.8072400000000002</v>
      </c>
      <c r="Q3627" s="147">
        <v>3.5078100000000001</v>
      </c>
      <c r="R3627" s="147">
        <v>51.530576268796167</v>
      </c>
    </row>
    <row r="3628" spans="1:18" ht="15.75" hidden="1" thickBot="1" x14ac:dyDescent="0.3">
      <c r="A3628" s="199" t="str">
        <f t="shared" si="15"/>
        <v>CUST FIELD SERVICESNWN/585800</v>
      </c>
      <c r="B3628" s="725" t="s">
        <v>177</v>
      </c>
      <c r="C3628" s="722" t="s">
        <v>211</v>
      </c>
      <c r="D3628" t="s">
        <v>212</v>
      </c>
      <c r="E3628" s="148">
        <v>0.38574000000000003</v>
      </c>
      <c r="F3628" s="728"/>
      <c r="G3628" s="148">
        <v>0.38574000000000003</v>
      </c>
      <c r="H3628" s="148">
        <v>0</v>
      </c>
      <c r="I3628" s="728"/>
      <c r="J3628" s="148">
        <v>0.38574000000000003</v>
      </c>
      <c r="K3628" s="148">
        <v>0</v>
      </c>
      <c r="L3628" s="148">
        <v>5.7218099999999996</v>
      </c>
      <c r="M3628" s="728"/>
      <c r="N3628" s="148">
        <v>5.7218099999999996</v>
      </c>
      <c r="O3628" s="148">
        <v>0</v>
      </c>
      <c r="P3628" s="148">
        <v>2.8716200000000001</v>
      </c>
      <c r="Q3628" s="148">
        <v>2.85019</v>
      </c>
      <c r="R3628" s="148">
        <v>99.253731343283576</v>
      </c>
    </row>
    <row r="3629" spans="1:18" ht="15.75" hidden="1" thickBot="1" x14ac:dyDescent="0.3">
      <c r="A3629" s="199" t="str">
        <f t="shared" si="15"/>
        <v>CUST FIELD SERVICESMILEAGE REIMB ZTFSO</v>
      </c>
      <c r="B3629" s="725" t="s">
        <v>177</v>
      </c>
      <c r="C3629" s="722" t="s">
        <v>213</v>
      </c>
      <c r="D3629" t="s">
        <v>214</v>
      </c>
      <c r="E3629" s="147">
        <v>-0.21923999999999999</v>
      </c>
      <c r="F3629" s="729"/>
      <c r="G3629" s="147">
        <v>-0.21923999999999999</v>
      </c>
      <c r="H3629" s="147">
        <v>0</v>
      </c>
      <c r="I3629" s="729"/>
      <c r="J3629" s="147">
        <v>-0.21923999999999999</v>
      </c>
      <c r="K3629" s="147">
        <v>0</v>
      </c>
      <c r="L3629" s="147">
        <v>-10.63293</v>
      </c>
      <c r="M3629" s="729"/>
      <c r="N3629" s="147">
        <v>-10.63293</v>
      </c>
      <c r="O3629" s="147">
        <v>0</v>
      </c>
      <c r="P3629" s="147">
        <v>-6.9465599999999998</v>
      </c>
      <c r="Q3629" s="147">
        <v>-3.6863700000000001</v>
      </c>
      <c r="R3629" s="147">
        <v>-53.067561498065231</v>
      </c>
    </row>
    <row r="3630" spans="1:18" ht="15.75" hidden="1" thickBot="1" x14ac:dyDescent="0.3">
      <c r="A3630" s="199" t="str">
        <f t="shared" si="15"/>
        <v>CUST FIELD SERVICESMEAL TICKETS ZTFSO</v>
      </c>
      <c r="B3630" s="725" t="s">
        <v>177</v>
      </c>
      <c r="C3630" s="722" t="s">
        <v>215</v>
      </c>
      <c r="D3630" t="s">
        <v>216</v>
      </c>
      <c r="E3630" s="148">
        <v>-0.27859</v>
      </c>
      <c r="F3630" s="728"/>
      <c r="G3630" s="148">
        <v>-0.27859</v>
      </c>
      <c r="H3630" s="148">
        <v>0</v>
      </c>
      <c r="I3630" s="728"/>
      <c r="J3630" s="148">
        <v>-0.27859</v>
      </c>
      <c r="K3630" s="148">
        <v>0</v>
      </c>
      <c r="L3630" s="148">
        <v>-4.6503100000000002</v>
      </c>
      <c r="M3630" s="728"/>
      <c r="N3630" s="148">
        <v>-4.6503100000000002</v>
      </c>
      <c r="O3630" s="148">
        <v>0</v>
      </c>
      <c r="P3630" s="148">
        <v>-2.0144199999999999</v>
      </c>
      <c r="Q3630" s="148">
        <v>-2.6358899999999998</v>
      </c>
      <c r="R3630" s="148">
        <v>-130.85106382978722</v>
      </c>
    </row>
    <row r="3631" spans="1:18" ht="15.75" hidden="1" thickBot="1" x14ac:dyDescent="0.3">
      <c r="A3631" s="199" t="str">
        <f t="shared" si="15"/>
        <v>CUST FIELD SERVICESMISC. EXPENSE BUDGET</v>
      </c>
      <c r="B3631" s="725" t="s">
        <v>177</v>
      </c>
      <c r="C3631" s="722" t="s">
        <v>83</v>
      </c>
      <c r="D3631" t="s">
        <v>84</v>
      </c>
      <c r="E3631" s="729"/>
      <c r="F3631" s="147">
        <v>2.0833300000000001</v>
      </c>
      <c r="G3631" s="147">
        <v>-2.0833300000000001</v>
      </c>
      <c r="H3631" s="147">
        <v>-100</v>
      </c>
      <c r="I3631" s="729"/>
      <c r="J3631" s="729"/>
      <c r="K3631" s="729"/>
      <c r="L3631" s="729"/>
      <c r="M3631" s="147">
        <v>24.999960000000002</v>
      </c>
      <c r="N3631" s="147">
        <v>-24.999960000000002</v>
      </c>
      <c r="O3631" s="147">
        <v>-100</v>
      </c>
      <c r="P3631" s="729"/>
      <c r="Q3631" s="729"/>
      <c r="R3631" s="729"/>
    </row>
    <row r="3632" spans="1:18" ht="18.75" thickBot="1" x14ac:dyDescent="0.3">
      <c r="A3632" s="199" t="str">
        <f t="shared" si="15"/>
        <v>CUST FIELD SERVICESNon-Payroll</v>
      </c>
      <c r="B3632" s="725" t="s">
        <v>177</v>
      </c>
      <c r="C3632" s="149" t="s">
        <v>85</v>
      </c>
      <c r="D3632" t="s">
        <v>86</v>
      </c>
      <c r="E3632" s="148">
        <v>132.90107</v>
      </c>
      <c r="F3632" s="148">
        <v>193.32209</v>
      </c>
      <c r="G3632" s="148">
        <v>-60.421019999999999</v>
      </c>
      <c r="H3632" s="148">
        <v>-31.254069309927281</v>
      </c>
      <c r="I3632" s="728"/>
      <c r="J3632" s="148">
        <v>132.90107</v>
      </c>
      <c r="K3632" s="148">
        <v>0</v>
      </c>
      <c r="L3632" s="739">
        <v>2402.81367</v>
      </c>
      <c r="M3632" s="148">
        <v>2179.2080099999998</v>
      </c>
      <c r="N3632" s="148">
        <v>223.60566</v>
      </c>
      <c r="O3632" s="148">
        <v>10.260868121533749</v>
      </c>
      <c r="P3632" s="148">
        <v>1159.78223</v>
      </c>
      <c r="Q3632" s="148">
        <v>1243.03144</v>
      </c>
      <c r="R3632" s="148">
        <v>107.17800358089639</v>
      </c>
    </row>
    <row r="3633" spans="1:18" ht="15.75" hidden="1" thickBot="1" x14ac:dyDescent="0.3">
      <c r="A3633" s="199" t="str">
        <f t="shared" si="15"/>
        <v>CUST FIELD SERVICESEXPENSE ACCOUNTS</v>
      </c>
      <c r="B3633" s="725" t="s">
        <v>177</v>
      </c>
      <c r="C3633" s="144" t="s">
        <v>87</v>
      </c>
      <c r="D3633" t="s">
        <v>87</v>
      </c>
      <c r="E3633" s="147">
        <v>1387.56691</v>
      </c>
      <c r="F3633" s="147">
        <v>1696.80251</v>
      </c>
      <c r="G3633" s="147">
        <v>-309.23559999999998</v>
      </c>
      <c r="H3633" s="147">
        <v>-18.224607647474542</v>
      </c>
      <c r="I3633" s="729"/>
      <c r="J3633" s="147">
        <v>1387.56691</v>
      </c>
      <c r="K3633" s="147">
        <v>0</v>
      </c>
      <c r="L3633" s="147">
        <v>19568.045610000001</v>
      </c>
      <c r="M3633" s="147">
        <v>19592.284070000002</v>
      </c>
      <c r="N3633" s="147">
        <v>-24.23846</v>
      </c>
      <c r="O3633" s="147">
        <v>-0.12371431484659971</v>
      </c>
      <c r="P3633" s="147">
        <v>9770.3661599999996</v>
      </c>
      <c r="Q3633" s="147">
        <v>9797.6794499999996</v>
      </c>
      <c r="R3633" s="147">
        <v>100.27955236838329</v>
      </c>
    </row>
    <row r="3634" spans="1:18" ht="15.75" hidden="1" thickBot="1" x14ac:dyDescent="0.3">
      <c r="B3634" s="725" t="s">
        <v>789</v>
      </c>
      <c r="C3634" s="722" t="s">
        <v>59</v>
      </c>
      <c r="D3634" t="s">
        <v>60</v>
      </c>
      <c r="E3634" s="148">
        <v>12.867010000000001</v>
      </c>
      <c r="F3634" s="148">
        <v>14.247159999999999</v>
      </c>
      <c r="G3634" s="148">
        <v>-1.38015</v>
      </c>
      <c r="H3634" s="148">
        <v>-9.687193798623726</v>
      </c>
      <c r="I3634" s="728"/>
      <c r="J3634" s="148">
        <v>12.867010000000001</v>
      </c>
      <c r="K3634" s="148">
        <v>0</v>
      </c>
      <c r="L3634" s="148">
        <v>167.60244</v>
      </c>
      <c r="M3634" s="148">
        <v>170.06899999999999</v>
      </c>
      <c r="N3634" s="148">
        <v>-2.4665599999999999</v>
      </c>
      <c r="O3634" s="148">
        <v>-1.4503289841182108</v>
      </c>
      <c r="P3634" s="148">
        <v>86.970929999999996</v>
      </c>
      <c r="Q3634" s="148">
        <v>80.631510000000006</v>
      </c>
      <c r="R3634" s="148">
        <v>92.710874771604722</v>
      </c>
    </row>
    <row r="3635" spans="1:18" ht="15.75" hidden="1" thickBot="1" x14ac:dyDescent="0.3">
      <c r="B3635" s="725" t="s">
        <v>789</v>
      </c>
      <c r="C3635" s="722" t="s">
        <v>89</v>
      </c>
      <c r="D3635" t="s">
        <v>90</v>
      </c>
      <c r="E3635" s="147">
        <v>1.3066500000000001</v>
      </c>
      <c r="F3635" s="729"/>
      <c r="G3635" s="147">
        <v>1.3066500000000001</v>
      </c>
      <c r="H3635" s="147">
        <v>0</v>
      </c>
      <c r="I3635" s="729"/>
      <c r="J3635" s="147">
        <v>1.3066500000000001</v>
      </c>
      <c r="K3635" s="147">
        <v>0</v>
      </c>
      <c r="L3635" s="147">
        <v>29.508410000000001</v>
      </c>
      <c r="M3635" s="729"/>
      <c r="N3635" s="147">
        <v>29.508410000000001</v>
      </c>
      <c r="O3635" s="147">
        <v>0</v>
      </c>
      <c r="P3635" s="147">
        <v>11.40715</v>
      </c>
      <c r="Q3635" s="147">
        <v>18.10126</v>
      </c>
      <c r="R3635" s="147">
        <v>158.68345730528659</v>
      </c>
    </row>
    <row r="3636" spans="1:18" ht="15.75" hidden="1" thickBot="1" x14ac:dyDescent="0.3">
      <c r="B3636" s="725" t="s">
        <v>789</v>
      </c>
      <c r="C3636" s="722" t="s">
        <v>91</v>
      </c>
      <c r="D3636" t="s">
        <v>92</v>
      </c>
      <c r="E3636" s="148">
        <v>64.125330000000005</v>
      </c>
      <c r="F3636" s="148">
        <v>96.792640000000006</v>
      </c>
      <c r="G3636" s="148">
        <v>-32.667310000000001</v>
      </c>
      <c r="H3636" s="148">
        <v>-33.749787173900827</v>
      </c>
      <c r="I3636" s="728"/>
      <c r="J3636" s="148">
        <v>64.125330000000005</v>
      </c>
      <c r="K3636" s="148">
        <v>0</v>
      </c>
      <c r="L3636" s="148">
        <v>1034.6071400000001</v>
      </c>
      <c r="M3636" s="148">
        <v>1130.5004799999999</v>
      </c>
      <c r="N3636" s="148">
        <v>-95.893339999999995</v>
      </c>
      <c r="O3636" s="148">
        <v>-8.4823794148234235</v>
      </c>
      <c r="P3636" s="148">
        <v>556.34508000000005</v>
      </c>
      <c r="Q3636" s="148">
        <v>478.26206000000002</v>
      </c>
      <c r="R3636" s="148">
        <v>85.965002152980304</v>
      </c>
    </row>
    <row r="3637" spans="1:18" ht="15.75" hidden="1" thickBot="1" x14ac:dyDescent="0.3">
      <c r="B3637" s="725" t="s">
        <v>789</v>
      </c>
      <c r="C3637" s="722" t="s">
        <v>93</v>
      </c>
      <c r="D3637" t="s">
        <v>94</v>
      </c>
      <c r="E3637" s="147">
        <v>9.4678799999999992</v>
      </c>
      <c r="F3637" s="147">
        <v>5.5888200000000001</v>
      </c>
      <c r="G3637" s="147">
        <v>3.87906</v>
      </c>
      <c r="H3637" s="147">
        <v>69.407495678873175</v>
      </c>
      <c r="I3637" s="729"/>
      <c r="J3637" s="147">
        <v>9.4678799999999992</v>
      </c>
      <c r="K3637" s="147">
        <v>0</v>
      </c>
      <c r="L3637" s="147">
        <v>164.28166999999999</v>
      </c>
      <c r="M3637" s="147">
        <v>117.08323</v>
      </c>
      <c r="N3637" s="147">
        <v>47.198439999999998</v>
      </c>
      <c r="O3637" s="147">
        <v>40.311870453181044</v>
      </c>
      <c r="P3637" s="147">
        <v>74.796139999999994</v>
      </c>
      <c r="Q3637" s="147">
        <v>89.485529999999997</v>
      </c>
      <c r="R3637" s="147">
        <v>119.63923539369813</v>
      </c>
    </row>
    <row r="3638" spans="1:18" ht="15.75" hidden="1" thickBot="1" x14ac:dyDescent="0.3">
      <c r="B3638" s="725" t="s">
        <v>789</v>
      </c>
      <c r="C3638" s="722" t="s">
        <v>134</v>
      </c>
      <c r="D3638" t="s">
        <v>135</v>
      </c>
      <c r="E3638" s="728"/>
      <c r="F3638" s="728"/>
      <c r="G3638" s="728"/>
      <c r="H3638" s="728"/>
      <c r="I3638" s="728"/>
      <c r="J3638" s="728"/>
      <c r="K3638" s="728"/>
      <c r="L3638" s="148">
        <v>0.12601000000000001</v>
      </c>
      <c r="M3638" s="728"/>
      <c r="N3638" s="148">
        <v>0.12601000000000001</v>
      </c>
      <c r="O3638" s="148">
        <v>0</v>
      </c>
      <c r="P3638" s="148">
        <v>0.12601000000000001</v>
      </c>
      <c r="Q3638" s="148">
        <v>0</v>
      </c>
      <c r="R3638" s="148">
        <v>0</v>
      </c>
    </row>
    <row r="3639" spans="1:18" ht="15.75" hidden="1" thickBot="1" x14ac:dyDescent="0.3">
      <c r="B3639" s="725" t="s">
        <v>789</v>
      </c>
      <c r="C3639" s="722" t="s">
        <v>61</v>
      </c>
      <c r="D3639" t="s">
        <v>62</v>
      </c>
      <c r="E3639" s="147">
        <v>14.25482</v>
      </c>
      <c r="F3639" s="147">
        <v>17.211169999999999</v>
      </c>
      <c r="G3639" s="147">
        <v>-2.95635</v>
      </c>
      <c r="H3639" s="147">
        <v>-17.17692637978708</v>
      </c>
      <c r="I3639" s="729"/>
      <c r="J3639" s="147">
        <v>14.25482</v>
      </c>
      <c r="K3639" s="147">
        <v>0</v>
      </c>
      <c r="L3639" s="147">
        <v>189.49276</v>
      </c>
      <c r="M3639" s="147">
        <v>201.58824000000001</v>
      </c>
      <c r="N3639" s="147">
        <v>-12.09548</v>
      </c>
      <c r="O3639" s="147">
        <v>-6.000092068862747</v>
      </c>
      <c r="P3639" s="147">
        <v>97.400840000000002</v>
      </c>
      <c r="Q3639" s="147">
        <v>92.091920000000002</v>
      </c>
      <c r="R3639" s="147">
        <v>94.549410456829733</v>
      </c>
    </row>
    <row r="3640" spans="1:18" ht="15.75" hidden="1" thickBot="1" x14ac:dyDescent="0.3">
      <c r="B3640" s="725" t="s">
        <v>789</v>
      </c>
      <c r="C3640" s="722" t="s">
        <v>63</v>
      </c>
      <c r="D3640" t="s">
        <v>64</v>
      </c>
      <c r="E3640" s="148">
        <v>57.139380000000003</v>
      </c>
      <c r="F3640" s="148">
        <v>66.956999999999994</v>
      </c>
      <c r="G3640" s="148">
        <v>-9.8176199999999998</v>
      </c>
      <c r="H3640" s="148">
        <v>-14.662574488104307</v>
      </c>
      <c r="I3640" s="728"/>
      <c r="J3640" s="148">
        <v>57.139380000000003</v>
      </c>
      <c r="K3640" s="148">
        <v>0</v>
      </c>
      <c r="L3640" s="148">
        <v>767.89292999999998</v>
      </c>
      <c r="M3640" s="148">
        <v>784.24338</v>
      </c>
      <c r="N3640" s="148">
        <v>-16.350449999999999</v>
      </c>
      <c r="O3640" s="148">
        <v>-2.0848693679760486</v>
      </c>
      <c r="P3640" s="148">
        <v>392.45317999999997</v>
      </c>
      <c r="Q3640" s="148">
        <v>375.43975</v>
      </c>
      <c r="R3640" s="148">
        <v>95.6648510275799</v>
      </c>
    </row>
    <row r="3641" spans="1:18" ht="15.75" hidden="1" thickBot="1" x14ac:dyDescent="0.3">
      <c r="B3641" s="725" t="s">
        <v>789</v>
      </c>
      <c r="C3641" s="722" t="s">
        <v>182</v>
      </c>
      <c r="D3641" t="s">
        <v>183</v>
      </c>
      <c r="E3641" s="147">
        <v>1.4539299999999999</v>
      </c>
      <c r="F3641" s="729"/>
      <c r="G3641" s="147">
        <v>1.4539299999999999</v>
      </c>
      <c r="H3641" s="147">
        <v>0</v>
      </c>
      <c r="I3641" s="729"/>
      <c r="J3641" s="147">
        <v>1.4539299999999999</v>
      </c>
      <c r="K3641" s="147">
        <v>0</v>
      </c>
      <c r="L3641" s="147">
        <v>16.374040000000001</v>
      </c>
      <c r="M3641" s="729"/>
      <c r="N3641" s="147">
        <v>16.374040000000001</v>
      </c>
      <c r="O3641" s="147">
        <v>0</v>
      </c>
      <c r="P3641" s="147">
        <v>5.9610799999999999</v>
      </c>
      <c r="Q3641" s="147">
        <v>10.41296</v>
      </c>
      <c r="R3641" s="147">
        <v>174.68244009474793</v>
      </c>
    </row>
    <row r="3642" spans="1:18" ht="15.75" hidden="1" thickBot="1" x14ac:dyDescent="0.3">
      <c r="B3642" s="725" t="s">
        <v>789</v>
      </c>
      <c r="C3642" s="722" t="s">
        <v>184</v>
      </c>
      <c r="D3642" t="s">
        <v>185</v>
      </c>
      <c r="E3642" s="148">
        <v>116.13746999999999</v>
      </c>
      <c r="F3642" s="728"/>
      <c r="G3642" s="148">
        <v>116.13746999999999</v>
      </c>
      <c r="H3642" s="148">
        <v>0</v>
      </c>
      <c r="I3642" s="728"/>
      <c r="J3642" s="148">
        <v>116.13746999999999</v>
      </c>
      <c r="K3642" s="148">
        <v>0</v>
      </c>
      <c r="L3642" s="148">
        <v>1700.3258599999999</v>
      </c>
      <c r="M3642" s="728"/>
      <c r="N3642" s="148">
        <v>1700.3258599999999</v>
      </c>
      <c r="O3642" s="148">
        <v>0</v>
      </c>
      <c r="P3642" s="148">
        <v>911.49702000000002</v>
      </c>
      <c r="Q3642" s="148">
        <v>788.82884000000001</v>
      </c>
      <c r="R3642" s="148">
        <v>86.542119468476159</v>
      </c>
    </row>
    <row r="3643" spans="1:18" ht="15.75" hidden="1" thickBot="1" x14ac:dyDescent="0.3">
      <c r="B3643" s="725" t="s">
        <v>789</v>
      </c>
      <c r="C3643" s="722" t="s">
        <v>161</v>
      </c>
      <c r="D3643" t="s">
        <v>162</v>
      </c>
      <c r="E3643" s="147">
        <v>9.6881699999999995</v>
      </c>
      <c r="F3643" s="729"/>
      <c r="G3643" s="147">
        <v>9.6881699999999995</v>
      </c>
      <c r="H3643" s="147">
        <v>0</v>
      </c>
      <c r="I3643" s="729"/>
      <c r="J3643" s="147">
        <v>9.6881699999999995</v>
      </c>
      <c r="K3643" s="147">
        <v>0</v>
      </c>
      <c r="L3643" s="147">
        <v>168.0138</v>
      </c>
      <c r="M3643" s="729"/>
      <c r="N3643" s="147">
        <v>168.0138</v>
      </c>
      <c r="O3643" s="147">
        <v>0</v>
      </c>
      <c r="P3643" s="147">
        <v>76.444649999999996</v>
      </c>
      <c r="Q3643" s="147">
        <v>91.569149999999993</v>
      </c>
      <c r="R3643" s="147">
        <v>119.78490319466438</v>
      </c>
    </row>
    <row r="3644" spans="1:18" ht="15.75" hidden="1" thickBot="1" x14ac:dyDescent="0.3">
      <c r="B3644" s="725" t="s">
        <v>789</v>
      </c>
      <c r="C3644" s="722" t="s">
        <v>186</v>
      </c>
      <c r="D3644" t="s">
        <v>187</v>
      </c>
      <c r="E3644" s="148">
        <v>-2.2486299999999999</v>
      </c>
      <c r="F3644" s="728"/>
      <c r="G3644" s="148">
        <v>-2.2486299999999999</v>
      </c>
      <c r="H3644" s="148">
        <v>0</v>
      </c>
      <c r="I3644" s="728"/>
      <c r="J3644" s="148">
        <v>-2.2486299999999999</v>
      </c>
      <c r="K3644" s="148">
        <v>0</v>
      </c>
      <c r="L3644" s="148">
        <v>-33.586379999999998</v>
      </c>
      <c r="M3644" s="728"/>
      <c r="N3644" s="148">
        <v>-33.586379999999998</v>
      </c>
      <c r="O3644" s="148">
        <v>0</v>
      </c>
      <c r="P3644" s="148">
        <v>-13.080260000000001</v>
      </c>
      <c r="Q3644" s="148">
        <v>-20.506119999999999</v>
      </c>
      <c r="R3644" s="148">
        <v>-156.77150148391544</v>
      </c>
    </row>
    <row r="3645" spans="1:18" ht="15.75" hidden="1" thickBot="1" x14ac:dyDescent="0.3">
      <c r="B3645" s="725" t="s">
        <v>789</v>
      </c>
      <c r="C3645" s="722" t="s">
        <v>163</v>
      </c>
      <c r="D3645" t="s">
        <v>164</v>
      </c>
      <c r="E3645" s="147">
        <v>-122.35654</v>
      </c>
      <c r="F3645" s="729"/>
      <c r="G3645" s="147">
        <v>-122.35654</v>
      </c>
      <c r="H3645" s="147">
        <v>0</v>
      </c>
      <c r="I3645" s="729"/>
      <c r="J3645" s="147">
        <v>-122.35654</v>
      </c>
      <c r="K3645" s="147">
        <v>0</v>
      </c>
      <c r="L3645" s="147">
        <v>-1786.1128699999999</v>
      </c>
      <c r="M3645" s="729"/>
      <c r="N3645" s="147">
        <v>-1786.1128699999999</v>
      </c>
      <c r="O3645" s="147">
        <v>0</v>
      </c>
      <c r="P3645" s="147">
        <v>-950.39981999999998</v>
      </c>
      <c r="Q3645" s="147">
        <v>-835.71304999999995</v>
      </c>
      <c r="R3645" s="147">
        <v>-87.932787066394852</v>
      </c>
    </row>
    <row r="3646" spans="1:18" ht="15.75" hidden="1" thickBot="1" x14ac:dyDescent="0.3">
      <c r="B3646" s="725" t="s">
        <v>789</v>
      </c>
      <c r="C3646" s="722" t="s">
        <v>97</v>
      </c>
      <c r="D3646" t="s">
        <v>98</v>
      </c>
      <c r="E3646" s="148">
        <v>-11.89982</v>
      </c>
      <c r="F3646" s="728"/>
      <c r="G3646" s="148">
        <v>-11.89982</v>
      </c>
      <c r="H3646" s="148">
        <v>0</v>
      </c>
      <c r="I3646" s="728"/>
      <c r="J3646" s="148">
        <v>-11.89982</v>
      </c>
      <c r="K3646" s="148">
        <v>0</v>
      </c>
      <c r="L3646" s="148">
        <v>-189.87882999999999</v>
      </c>
      <c r="M3646" s="728"/>
      <c r="N3646" s="148">
        <v>-189.87882999999999</v>
      </c>
      <c r="O3646" s="148">
        <v>0</v>
      </c>
      <c r="P3646" s="148">
        <v>-88.318860000000001</v>
      </c>
      <c r="Q3646" s="148">
        <v>-101.55997000000001</v>
      </c>
      <c r="R3646" s="148">
        <v>-114.99239233839748</v>
      </c>
    </row>
    <row r="3647" spans="1:18" ht="15.75" hidden="1" thickBot="1" x14ac:dyDescent="0.3">
      <c r="B3647" s="725" t="s">
        <v>789</v>
      </c>
      <c r="C3647" s="149" t="s">
        <v>67</v>
      </c>
      <c r="D3647" t="s">
        <v>68</v>
      </c>
      <c r="E3647" s="147">
        <v>149.93565000000001</v>
      </c>
      <c r="F3647" s="147">
        <v>200.79678999999999</v>
      </c>
      <c r="G3647" s="147">
        <v>-50.861139999999999</v>
      </c>
      <c r="H3647" s="147">
        <v>-25.329657909371956</v>
      </c>
      <c r="I3647" s="729"/>
      <c r="J3647" s="147">
        <v>149.93565000000001</v>
      </c>
      <c r="K3647" s="147">
        <v>0</v>
      </c>
      <c r="L3647" s="147">
        <v>2228.64698</v>
      </c>
      <c r="M3647" s="147">
        <v>2403.4843300000002</v>
      </c>
      <c r="N3647" s="147">
        <v>-174.83734999999999</v>
      </c>
      <c r="O3647" s="147">
        <v>-7.2743286826421709</v>
      </c>
      <c r="P3647" s="147">
        <v>1161.6031399999999</v>
      </c>
      <c r="Q3647" s="147">
        <v>1067.04384</v>
      </c>
      <c r="R3647" s="147">
        <v>91.859586398845309</v>
      </c>
    </row>
    <row r="3648" spans="1:18" ht="15.75" hidden="1" thickBot="1" x14ac:dyDescent="0.3">
      <c r="B3648" s="725" t="s">
        <v>789</v>
      </c>
      <c r="C3648" s="722" t="s">
        <v>99</v>
      </c>
      <c r="D3648" t="s">
        <v>100</v>
      </c>
      <c r="E3648" s="728"/>
      <c r="F3648" s="148">
        <v>6.6666699999999999</v>
      </c>
      <c r="G3648" s="148">
        <v>-6.6666699999999999</v>
      </c>
      <c r="H3648" s="148">
        <v>-100</v>
      </c>
      <c r="I3648" s="728"/>
      <c r="J3648" s="728"/>
      <c r="K3648" s="728"/>
      <c r="L3648" s="148">
        <v>5.0613599999999996</v>
      </c>
      <c r="M3648" s="148">
        <v>80.000039999999998</v>
      </c>
      <c r="N3648" s="148">
        <v>-74.938680000000005</v>
      </c>
      <c r="O3648" s="148">
        <v>-93.673303163348422</v>
      </c>
      <c r="P3648" s="148">
        <v>2.2710400000000002</v>
      </c>
      <c r="Q3648" s="148">
        <v>2.7903199999999999</v>
      </c>
      <c r="R3648" s="148">
        <v>122.86529519515288</v>
      </c>
    </row>
    <row r="3649" spans="2:18" ht="15.75" hidden="1" thickBot="1" x14ac:dyDescent="0.3">
      <c r="B3649" s="725" t="s">
        <v>789</v>
      </c>
      <c r="C3649" s="722" t="s">
        <v>165</v>
      </c>
      <c r="D3649" t="s">
        <v>166</v>
      </c>
      <c r="E3649" s="147">
        <v>2.4264000000000001</v>
      </c>
      <c r="F3649" s="729"/>
      <c r="G3649" s="147">
        <v>2.4264000000000001</v>
      </c>
      <c r="H3649" s="147">
        <v>0</v>
      </c>
      <c r="I3649" s="729"/>
      <c r="J3649" s="147">
        <v>2.4264000000000001</v>
      </c>
      <c r="K3649" s="147">
        <v>0</v>
      </c>
      <c r="L3649" s="147">
        <v>55.903579999999998</v>
      </c>
      <c r="M3649" s="729"/>
      <c r="N3649" s="147">
        <v>55.903579999999998</v>
      </c>
      <c r="O3649" s="147">
        <v>0</v>
      </c>
      <c r="P3649" s="147">
        <v>29.450340000000001</v>
      </c>
      <c r="Q3649" s="147">
        <v>26.453240000000001</v>
      </c>
      <c r="R3649" s="147">
        <v>89.8232074740054</v>
      </c>
    </row>
    <row r="3650" spans="2:18" ht="15.75" hidden="1" thickBot="1" x14ac:dyDescent="0.3">
      <c r="B3650" s="725" t="s">
        <v>789</v>
      </c>
      <c r="C3650" s="722" t="s">
        <v>188</v>
      </c>
      <c r="D3650" t="s">
        <v>189</v>
      </c>
      <c r="E3650" s="728"/>
      <c r="F3650" s="728"/>
      <c r="G3650" s="728"/>
      <c r="H3650" s="728"/>
      <c r="I3650" s="728"/>
      <c r="J3650" s="728"/>
      <c r="K3650" s="728"/>
      <c r="L3650" s="148">
        <v>0.19972999999999999</v>
      </c>
      <c r="M3650" s="728"/>
      <c r="N3650" s="148">
        <v>0.19972999999999999</v>
      </c>
      <c r="O3650" s="148">
        <v>0</v>
      </c>
      <c r="P3650" s="148">
        <v>0.19813</v>
      </c>
      <c r="Q3650" s="148">
        <v>1.6000000000000001E-3</v>
      </c>
      <c r="R3650" s="148">
        <v>0.80755059809216168</v>
      </c>
    </row>
    <row r="3651" spans="2:18" ht="15.75" hidden="1" thickBot="1" x14ac:dyDescent="0.3">
      <c r="B3651" s="725" t="s">
        <v>789</v>
      </c>
      <c r="C3651" s="722" t="s">
        <v>592</v>
      </c>
      <c r="D3651" t="s">
        <v>593</v>
      </c>
      <c r="E3651" s="729"/>
      <c r="F3651" s="729"/>
      <c r="G3651" s="729"/>
      <c r="H3651" s="729"/>
      <c r="I3651" s="729"/>
      <c r="J3651" s="729"/>
      <c r="K3651" s="729"/>
      <c r="L3651" s="147">
        <v>0.22434999999999999</v>
      </c>
      <c r="M3651" s="729"/>
      <c r="N3651" s="147">
        <v>0.22434999999999999</v>
      </c>
      <c r="O3651" s="147">
        <v>0</v>
      </c>
      <c r="P3651" s="147">
        <v>0.22434999999999999</v>
      </c>
      <c r="Q3651" s="147">
        <v>0</v>
      </c>
      <c r="R3651" s="147">
        <v>0</v>
      </c>
    </row>
    <row r="3652" spans="2:18" ht="15.75" hidden="1" thickBot="1" x14ac:dyDescent="0.3">
      <c r="B3652" s="725" t="s">
        <v>789</v>
      </c>
      <c r="C3652" s="722" t="s">
        <v>137</v>
      </c>
      <c r="D3652" t="s">
        <v>138</v>
      </c>
      <c r="E3652" s="728"/>
      <c r="F3652" s="728"/>
      <c r="G3652" s="728"/>
      <c r="H3652" s="728"/>
      <c r="I3652" s="728"/>
      <c r="J3652" s="728"/>
      <c r="K3652" s="728"/>
      <c r="L3652" s="148">
        <v>1.635E-2</v>
      </c>
      <c r="M3652" s="728"/>
      <c r="N3652" s="148">
        <v>1.635E-2</v>
      </c>
      <c r="O3652" s="148">
        <v>0</v>
      </c>
      <c r="P3652" s="148">
        <v>1.635E-2</v>
      </c>
      <c r="Q3652" s="148">
        <v>0</v>
      </c>
      <c r="R3652" s="148">
        <v>0</v>
      </c>
    </row>
    <row r="3653" spans="2:18" ht="15.75" hidden="1" thickBot="1" x14ac:dyDescent="0.3">
      <c r="B3653" s="725" t="s">
        <v>789</v>
      </c>
      <c r="C3653" s="722" t="s">
        <v>190</v>
      </c>
      <c r="D3653" t="s">
        <v>191</v>
      </c>
      <c r="E3653" s="147">
        <v>1.587</v>
      </c>
      <c r="F3653" s="147">
        <v>1.508</v>
      </c>
      <c r="G3653" s="147">
        <v>7.9000000000000001E-2</v>
      </c>
      <c r="H3653" s="147">
        <v>5.2387267904509285</v>
      </c>
      <c r="I3653" s="729"/>
      <c r="J3653" s="147">
        <v>1.587</v>
      </c>
      <c r="K3653" s="147">
        <v>0</v>
      </c>
      <c r="L3653" s="147">
        <v>18.395140000000001</v>
      </c>
      <c r="M3653" s="147">
        <v>18.096</v>
      </c>
      <c r="N3653" s="147">
        <v>0.29914000000000002</v>
      </c>
      <c r="O3653" s="147">
        <v>1.6530725022104333</v>
      </c>
      <c r="P3653" s="147">
        <v>9.1721400000000006</v>
      </c>
      <c r="Q3653" s="147">
        <v>9.2230000000000008</v>
      </c>
      <c r="R3653" s="147">
        <v>100.55450527357847</v>
      </c>
    </row>
    <row r="3654" spans="2:18" ht="15.75" hidden="1" thickBot="1" x14ac:dyDescent="0.3">
      <c r="B3654" s="725" t="s">
        <v>789</v>
      </c>
      <c r="C3654" s="722" t="s">
        <v>36</v>
      </c>
      <c r="D3654" t="s">
        <v>192</v>
      </c>
      <c r="E3654" s="148">
        <v>21.473330000000001</v>
      </c>
      <c r="F3654" s="148">
        <v>26.66667</v>
      </c>
      <c r="G3654" s="148">
        <v>-5.1933400000000001</v>
      </c>
      <c r="H3654" s="148">
        <v>-19.475022565622179</v>
      </c>
      <c r="I3654" s="728"/>
      <c r="J3654" s="148">
        <v>21.473330000000001</v>
      </c>
      <c r="K3654" s="148">
        <v>0</v>
      </c>
      <c r="L3654" s="148">
        <v>255.54868999999999</v>
      </c>
      <c r="M3654" s="148">
        <v>320.00004000000001</v>
      </c>
      <c r="N3654" s="148">
        <v>-64.451350000000005</v>
      </c>
      <c r="O3654" s="148">
        <v>-20.141044357369456</v>
      </c>
      <c r="P3654" s="148">
        <v>131.64157</v>
      </c>
      <c r="Q3654" s="148">
        <v>123.90712000000001</v>
      </c>
      <c r="R3654" s="148">
        <v>94.124614284074553</v>
      </c>
    </row>
    <row r="3655" spans="2:18" ht="15.75" hidden="1" thickBot="1" x14ac:dyDescent="0.3">
      <c r="B3655" s="725" t="s">
        <v>789</v>
      </c>
      <c r="C3655" s="722" t="s">
        <v>598</v>
      </c>
      <c r="D3655" t="s">
        <v>168</v>
      </c>
      <c r="E3655" s="729"/>
      <c r="F3655" s="729"/>
      <c r="G3655" s="729"/>
      <c r="H3655" s="729"/>
      <c r="I3655" s="729"/>
      <c r="J3655" s="729"/>
      <c r="K3655" s="729"/>
      <c r="L3655" s="147">
        <v>0.01</v>
      </c>
      <c r="M3655" s="729"/>
      <c r="N3655" s="147">
        <v>0.01</v>
      </c>
      <c r="O3655" s="147">
        <v>0</v>
      </c>
      <c r="P3655" s="729"/>
      <c r="Q3655" s="147">
        <v>0.01</v>
      </c>
      <c r="R3655" s="147">
        <v>0</v>
      </c>
    </row>
    <row r="3656" spans="2:18" ht="15.75" hidden="1" thickBot="1" x14ac:dyDescent="0.3">
      <c r="B3656" s="725" t="s">
        <v>789</v>
      </c>
      <c r="C3656" s="722" t="s">
        <v>139</v>
      </c>
      <c r="D3656" t="s">
        <v>140</v>
      </c>
      <c r="E3656" s="728"/>
      <c r="F3656" s="728"/>
      <c r="G3656" s="728"/>
      <c r="H3656" s="728"/>
      <c r="I3656" s="728"/>
      <c r="J3656" s="728"/>
      <c r="K3656" s="728"/>
      <c r="L3656" s="148">
        <v>0.06</v>
      </c>
      <c r="M3656" s="728"/>
      <c r="N3656" s="148">
        <v>0.06</v>
      </c>
      <c r="O3656" s="148">
        <v>0</v>
      </c>
      <c r="P3656" s="148">
        <v>0.06</v>
      </c>
      <c r="Q3656" s="148">
        <v>0</v>
      </c>
      <c r="R3656" s="148">
        <v>0</v>
      </c>
    </row>
    <row r="3657" spans="2:18" ht="15.75" hidden="1" thickBot="1" x14ac:dyDescent="0.3">
      <c r="B3657" s="725" t="s">
        <v>789</v>
      </c>
      <c r="C3657" s="722" t="s">
        <v>101</v>
      </c>
      <c r="D3657" t="s">
        <v>102</v>
      </c>
      <c r="E3657" s="147">
        <v>0.49890000000000001</v>
      </c>
      <c r="F3657" s="729"/>
      <c r="G3657" s="147">
        <v>0.49890000000000001</v>
      </c>
      <c r="H3657" s="147">
        <v>0</v>
      </c>
      <c r="I3657" s="729"/>
      <c r="J3657" s="147">
        <v>0.49890000000000001</v>
      </c>
      <c r="K3657" s="147">
        <v>0</v>
      </c>
      <c r="L3657" s="147">
        <v>12.96998</v>
      </c>
      <c r="M3657" s="729"/>
      <c r="N3657" s="147">
        <v>12.96998</v>
      </c>
      <c r="O3657" s="147">
        <v>0</v>
      </c>
      <c r="P3657" s="147">
        <v>9.0076000000000001</v>
      </c>
      <c r="Q3657" s="147">
        <v>3.96238</v>
      </c>
      <c r="R3657" s="147">
        <v>43.989297926195654</v>
      </c>
    </row>
    <row r="3658" spans="2:18" ht="15.75" hidden="1" thickBot="1" x14ac:dyDescent="0.3">
      <c r="B3658" s="725" t="s">
        <v>789</v>
      </c>
      <c r="C3658" s="722" t="s">
        <v>599</v>
      </c>
      <c r="D3658" t="s">
        <v>600</v>
      </c>
      <c r="E3658" s="728"/>
      <c r="F3658" s="728"/>
      <c r="G3658" s="728"/>
      <c r="H3658" s="728"/>
      <c r="I3658" s="728"/>
      <c r="J3658" s="728"/>
      <c r="K3658" s="728"/>
      <c r="L3658" s="148">
        <v>2.1974999999999998</v>
      </c>
      <c r="M3658" s="728"/>
      <c r="N3658" s="148">
        <v>2.1974999999999998</v>
      </c>
      <c r="O3658" s="148">
        <v>0</v>
      </c>
      <c r="P3658" s="148">
        <v>2.1974999999999998</v>
      </c>
      <c r="Q3658" s="148">
        <v>0</v>
      </c>
      <c r="R3658" s="148">
        <v>0</v>
      </c>
    </row>
    <row r="3659" spans="2:18" ht="15.75" hidden="1" thickBot="1" x14ac:dyDescent="0.3">
      <c r="B3659" s="725" t="s">
        <v>789</v>
      </c>
      <c r="C3659" s="722" t="s">
        <v>218</v>
      </c>
      <c r="D3659" t="s">
        <v>219</v>
      </c>
      <c r="E3659" s="729"/>
      <c r="F3659" s="729"/>
      <c r="G3659" s="729"/>
      <c r="H3659" s="729"/>
      <c r="I3659" s="729"/>
      <c r="J3659" s="729"/>
      <c r="K3659" s="729"/>
      <c r="L3659" s="147">
        <v>0.16</v>
      </c>
      <c r="M3659" s="729"/>
      <c r="N3659" s="147">
        <v>0.16</v>
      </c>
      <c r="O3659" s="147">
        <v>0</v>
      </c>
      <c r="P3659" s="147">
        <v>0.16</v>
      </c>
      <c r="Q3659" s="147">
        <v>0</v>
      </c>
      <c r="R3659" s="147">
        <v>0</v>
      </c>
    </row>
    <row r="3660" spans="2:18" ht="15.75" hidden="1" thickBot="1" x14ac:dyDescent="0.3">
      <c r="B3660" s="725" t="s">
        <v>789</v>
      </c>
      <c r="C3660" s="722" t="s">
        <v>607</v>
      </c>
      <c r="D3660" t="s">
        <v>608</v>
      </c>
      <c r="E3660" s="728"/>
      <c r="F3660" s="728"/>
      <c r="G3660" s="728"/>
      <c r="H3660" s="728"/>
      <c r="I3660" s="728"/>
      <c r="J3660" s="728"/>
      <c r="K3660" s="728"/>
      <c r="L3660" s="148">
        <v>21.340330000000002</v>
      </c>
      <c r="M3660" s="728"/>
      <c r="N3660" s="148">
        <v>21.340330000000002</v>
      </c>
      <c r="O3660" s="148">
        <v>0</v>
      </c>
      <c r="P3660" s="148">
        <v>4.0235599999999998</v>
      </c>
      <c r="Q3660" s="148">
        <v>17.316770000000002</v>
      </c>
      <c r="R3660" s="148">
        <v>430.38428655220747</v>
      </c>
    </row>
    <row r="3661" spans="2:18" ht="15.75" hidden="1" thickBot="1" x14ac:dyDescent="0.3">
      <c r="B3661" s="725" t="s">
        <v>789</v>
      </c>
      <c r="C3661" s="722" t="s">
        <v>462</v>
      </c>
      <c r="D3661" t="s">
        <v>463</v>
      </c>
      <c r="E3661" s="729"/>
      <c r="F3661" s="729"/>
      <c r="G3661" s="729"/>
      <c r="H3661" s="729"/>
      <c r="I3661" s="729"/>
      <c r="J3661" s="729"/>
      <c r="K3661" s="729"/>
      <c r="L3661" s="147">
        <v>0.77410000000000001</v>
      </c>
      <c r="M3661" s="729"/>
      <c r="N3661" s="147">
        <v>0.77410000000000001</v>
      </c>
      <c r="O3661" s="147">
        <v>0</v>
      </c>
      <c r="P3661" s="147">
        <v>0.77410000000000001</v>
      </c>
      <c r="Q3661" s="147">
        <v>0</v>
      </c>
      <c r="R3661" s="147">
        <v>0</v>
      </c>
    </row>
    <row r="3662" spans="2:18" ht="15.75" hidden="1" thickBot="1" x14ac:dyDescent="0.3">
      <c r="B3662" s="725" t="s">
        <v>789</v>
      </c>
      <c r="C3662" s="722" t="s">
        <v>613</v>
      </c>
      <c r="D3662" t="s">
        <v>614</v>
      </c>
      <c r="E3662" s="728"/>
      <c r="F3662" s="728"/>
      <c r="G3662" s="728"/>
      <c r="H3662" s="728"/>
      <c r="I3662" s="728"/>
      <c r="J3662" s="728"/>
      <c r="K3662" s="728"/>
      <c r="L3662" s="148">
        <v>1.05</v>
      </c>
      <c r="M3662" s="728"/>
      <c r="N3662" s="148">
        <v>1.05</v>
      </c>
      <c r="O3662" s="148">
        <v>0</v>
      </c>
      <c r="P3662" s="148">
        <v>1.05</v>
      </c>
      <c r="Q3662" s="148">
        <v>0</v>
      </c>
      <c r="R3662" s="148">
        <v>0</v>
      </c>
    </row>
    <row r="3663" spans="2:18" ht="15.75" hidden="1" thickBot="1" x14ac:dyDescent="0.3">
      <c r="B3663" s="725" t="s">
        <v>789</v>
      </c>
      <c r="C3663" s="722" t="s">
        <v>615</v>
      </c>
      <c r="D3663" t="s">
        <v>616</v>
      </c>
      <c r="E3663" s="729"/>
      <c r="F3663" s="729"/>
      <c r="G3663" s="729"/>
      <c r="H3663" s="729"/>
      <c r="I3663" s="729"/>
      <c r="J3663" s="729"/>
      <c r="K3663" s="729"/>
      <c r="L3663" s="147">
        <v>1.724</v>
      </c>
      <c r="M3663" s="729"/>
      <c r="N3663" s="147">
        <v>1.724</v>
      </c>
      <c r="O3663" s="147">
        <v>0</v>
      </c>
      <c r="P3663" s="147">
        <v>3.081</v>
      </c>
      <c r="Q3663" s="147">
        <v>-1.357</v>
      </c>
      <c r="R3663" s="147">
        <v>-44.044141512495941</v>
      </c>
    </row>
    <row r="3664" spans="2:18" ht="15.75" hidden="1" thickBot="1" x14ac:dyDescent="0.3">
      <c r="B3664" s="725" t="s">
        <v>789</v>
      </c>
      <c r="C3664" s="722" t="s">
        <v>193</v>
      </c>
      <c r="D3664" t="s">
        <v>194</v>
      </c>
      <c r="E3664" s="728"/>
      <c r="F3664" s="148">
        <v>1</v>
      </c>
      <c r="G3664" s="148">
        <v>-1</v>
      </c>
      <c r="H3664" s="148">
        <v>-100</v>
      </c>
      <c r="I3664" s="728"/>
      <c r="J3664" s="728"/>
      <c r="K3664" s="728"/>
      <c r="L3664" s="148">
        <v>15.4275</v>
      </c>
      <c r="M3664" s="148">
        <v>12</v>
      </c>
      <c r="N3664" s="148">
        <v>3.4275000000000002</v>
      </c>
      <c r="O3664" s="148">
        <v>28.5625</v>
      </c>
      <c r="P3664" s="148">
        <v>13.4255</v>
      </c>
      <c r="Q3664" s="148">
        <v>2.0019999999999998</v>
      </c>
      <c r="R3664" s="148">
        <v>14.911921343711594</v>
      </c>
    </row>
    <row r="3665" spans="2:18" ht="15.75" hidden="1" thickBot="1" x14ac:dyDescent="0.3">
      <c r="B3665" s="725" t="s">
        <v>789</v>
      </c>
      <c r="C3665" s="722" t="s">
        <v>195</v>
      </c>
      <c r="D3665" t="s">
        <v>196</v>
      </c>
      <c r="E3665" s="729"/>
      <c r="F3665" s="729"/>
      <c r="G3665" s="729"/>
      <c r="H3665" s="729"/>
      <c r="I3665" s="729"/>
      <c r="J3665" s="729"/>
      <c r="K3665" s="729"/>
      <c r="L3665" s="147">
        <v>2.42584</v>
      </c>
      <c r="M3665" s="729"/>
      <c r="N3665" s="147">
        <v>2.42584</v>
      </c>
      <c r="O3665" s="147">
        <v>0</v>
      </c>
      <c r="P3665" s="147">
        <v>1.38096</v>
      </c>
      <c r="Q3665" s="147">
        <v>1.04488</v>
      </c>
      <c r="R3665" s="147">
        <v>75.663306685204489</v>
      </c>
    </row>
    <row r="3666" spans="2:18" ht="15.75" hidden="1" thickBot="1" x14ac:dyDescent="0.3">
      <c r="B3666" s="725" t="s">
        <v>789</v>
      </c>
      <c r="C3666" s="722" t="s">
        <v>197</v>
      </c>
      <c r="D3666" t="s">
        <v>198</v>
      </c>
      <c r="E3666" s="728"/>
      <c r="F3666" s="728"/>
      <c r="G3666" s="728"/>
      <c r="H3666" s="728"/>
      <c r="I3666" s="728"/>
      <c r="J3666" s="728"/>
      <c r="K3666" s="728"/>
      <c r="L3666" s="148">
        <v>0.15</v>
      </c>
      <c r="M3666" s="728"/>
      <c r="N3666" s="148">
        <v>0.15</v>
      </c>
      <c r="O3666" s="148">
        <v>0</v>
      </c>
      <c r="P3666" s="148">
        <v>0.15</v>
      </c>
      <c r="Q3666" s="148">
        <v>0</v>
      </c>
      <c r="R3666" s="148">
        <v>0</v>
      </c>
    </row>
    <row r="3667" spans="2:18" ht="15.75" hidden="1" thickBot="1" x14ac:dyDescent="0.3">
      <c r="B3667" s="725" t="s">
        <v>789</v>
      </c>
      <c r="C3667" s="722" t="s">
        <v>464</v>
      </c>
      <c r="D3667" t="s">
        <v>465</v>
      </c>
      <c r="E3667" s="729"/>
      <c r="F3667" s="729"/>
      <c r="G3667" s="729"/>
      <c r="H3667" s="729"/>
      <c r="I3667" s="729"/>
      <c r="J3667" s="729"/>
      <c r="K3667" s="729"/>
      <c r="L3667" s="147">
        <v>10.729179999999999</v>
      </c>
      <c r="M3667" s="729"/>
      <c r="N3667" s="147">
        <v>10.729179999999999</v>
      </c>
      <c r="O3667" s="147">
        <v>0</v>
      </c>
      <c r="P3667" s="147">
        <v>10.729179999999999</v>
      </c>
      <c r="Q3667" s="147">
        <v>0</v>
      </c>
      <c r="R3667" s="147">
        <v>0</v>
      </c>
    </row>
    <row r="3668" spans="2:18" ht="15.75" hidden="1" thickBot="1" x14ac:dyDescent="0.3">
      <c r="B3668" s="725" t="s">
        <v>789</v>
      </c>
      <c r="C3668" s="722" t="s">
        <v>619</v>
      </c>
      <c r="D3668" t="s">
        <v>620</v>
      </c>
      <c r="E3668" s="728"/>
      <c r="F3668" s="728"/>
      <c r="G3668" s="728"/>
      <c r="H3668" s="728"/>
      <c r="I3668" s="728"/>
      <c r="J3668" s="728"/>
      <c r="K3668" s="728"/>
      <c r="L3668" s="148">
        <v>1.02111</v>
      </c>
      <c r="M3668" s="728"/>
      <c r="N3668" s="148">
        <v>1.02111</v>
      </c>
      <c r="O3668" s="148">
        <v>0</v>
      </c>
      <c r="P3668" s="148">
        <v>7.6999999999999996E-4</v>
      </c>
      <c r="Q3668" s="148">
        <v>1.02034</v>
      </c>
      <c r="R3668" s="148">
        <v>132511.68831168831</v>
      </c>
    </row>
    <row r="3669" spans="2:18" ht="15.75" hidden="1" thickBot="1" x14ac:dyDescent="0.3">
      <c r="B3669" s="725" t="s">
        <v>789</v>
      </c>
      <c r="C3669" s="722" t="s">
        <v>627</v>
      </c>
      <c r="D3669" t="s">
        <v>628</v>
      </c>
      <c r="E3669" s="147">
        <v>8.2949999999999996E-2</v>
      </c>
      <c r="F3669" s="729"/>
      <c r="G3669" s="147">
        <v>8.2949999999999996E-2</v>
      </c>
      <c r="H3669" s="147">
        <v>0</v>
      </c>
      <c r="I3669" s="729"/>
      <c r="J3669" s="147">
        <v>8.2949999999999996E-2</v>
      </c>
      <c r="K3669" s="147">
        <v>0</v>
      </c>
      <c r="L3669" s="147">
        <v>0.85053000000000001</v>
      </c>
      <c r="M3669" s="729"/>
      <c r="N3669" s="147">
        <v>0.85053000000000001</v>
      </c>
      <c r="O3669" s="147">
        <v>0</v>
      </c>
      <c r="P3669" s="147">
        <v>0.45882000000000001</v>
      </c>
      <c r="Q3669" s="147">
        <v>0.39171</v>
      </c>
      <c r="R3669" s="147">
        <v>85.37334902576174</v>
      </c>
    </row>
    <row r="3670" spans="2:18" ht="15.75" hidden="1" thickBot="1" x14ac:dyDescent="0.3">
      <c r="B3670" s="725" t="s">
        <v>789</v>
      </c>
      <c r="C3670" s="722" t="s">
        <v>107</v>
      </c>
      <c r="D3670" t="s">
        <v>108</v>
      </c>
      <c r="E3670" s="148">
        <v>1.899E-2</v>
      </c>
      <c r="F3670" s="728"/>
      <c r="G3670" s="148">
        <v>1.899E-2</v>
      </c>
      <c r="H3670" s="148">
        <v>0</v>
      </c>
      <c r="I3670" s="728"/>
      <c r="J3670" s="148">
        <v>1.899E-2</v>
      </c>
      <c r="K3670" s="148">
        <v>0</v>
      </c>
      <c r="L3670" s="148">
        <v>0.17645</v>
      </c>
      <c r="M3670" s="728"/>
      <c r="N3670" s="148">
        <v>0.17645</v>
      </c>
      <c r="O3670" s="148">
        <v>0</v>
      </c>
      <c r="P3670" s="148">
        <v>6.7470000000000002E-2</v>
      </c>
      <c r="Q3670" s="148">
        <v>0.10897999999999999</v>
      </c>
      <c r="R3670" s="148">
        <v>161.5236401363569</v>
      </c>
    </row>
    <row r="3671" spans="2:18" ht="15.75" hidden="1" thickBot="1" x14ac:dyDescent="0.3">
      <c r="B3671" s="725" t="s">
        <v>789</v>
      </c>
      <c r="C3671" s="722" t="s">
        <v>109</v>
      </c>
      <c r="D3671" t="s">
        <v>110</v>
      </c>
      <c r="E3671" s="729"/>
      <c r="F3671" s="729"/>
      <c r="G3671" s="729"/>
      <c r="H3671" s="729"/>
      <c r="I3671" s="729"/>
      <c r="J3671" s="729"/>
      <c r="K3671" s="729"/>
      <c r="L3671" s="147">
        <v>0.87233000000000005</v>
      </c>
      <c r="M3671" s="729"/>
      <c r="N3671" s="147">
        <v>0.87233000000000005</v>
      </c>
      <c r="O3671" s="147">
        <v>0</v>
      </c>
      <c r="P3671" s="147">
        <v>0.82693000000000005</v>
      </c>
      <c r="Q3671" s="147">
        <v>4.5400000000000003E-2</v>
      </c>
      <c r="R3671" s="147">
        <v>5.4901865937866567</v>
      </c>
    </row>
    <row r="3672" spans="2:18" ht="15.75" hidden="1" thickBot="1" x14ac:dyDescent="0.3">
      <c r="B3672" s="725" t="s">
        <v>789</v>
      </c>
      <c r="C3672" s="722" t="s">
        <v>73</v>
      </c>
      <c r="D3672" t="s">
        <v>74</v>
      </c>
      <c r="E3672" s="148">
        <v>9.3859999999999999E-2</v>
      </c>
      <c r="F3672" s="728"/>
      <c r="G3672" s="148">
        <v>9.3859999999999999E-2</v>
      </c>
      <c r="H3672" s="148">
        <v>0</v>
      </c>
      <c r="I3672" s="728"/>
      <c r="J3672" s="148">
        <v>9.3859999999999999E-2</v>
      </c>
      <c r="K3672" s="148">
        <v>0</v>
      </c>
      <c r="L3672" s="148">
        <v>0.39293</v>
      </c>
      <c r="M3672" s="728"/>
      <c r="N3672" s="148">
        <v>0.39293</v>
      </c>
      <c r="O3672" s="148">
        <v>0</v>
      </c>
      <c r="P3672" s="148">
        <v>4.0320000000000002E-2</v>
      </c>
      <c r="Q3672" s="148">
        <v>0.35260999999999998</v>
      </c>
      <c r="R3672" s="148">
        <v>874.52876984126988</v>
      </c>
    </row>
    <row r="3673" spans="2:18" ht="15.75" hidden="1" thickBot="1" x14ac:dyDescent="0.3">
      <c r="B3673" s="725" t="s">
        <v>789</v>
      </c>
      <c r="C3673" s="722" t="s">
        <v>113</v>
      </c>
      <c r="D3673" t="s">
        <v>114</v>
      </c>
      <c r="E3673" s="147">
        <v>4.1980000000000003E-2</v>
      </c>
      <c r="F3673" s="147">
        <v>0.16667000000000001</v>
      </c>
      <c r="G3673" s="147">
        <v>-0.12469</v>
      </c>
      <c r="H3673" s="147">
        <v>-74.812503749925</v>
      </c>
      <c r="I3673" s="729"/>
      <c r="J3673" s="147">
        <v>4.1980000000000003E-2</v>
      </c>
      <c r="K3673" s="147">
        <v>0</v>
      </c>
      <c r="L3673" s="147">
        <v>1.9024300000000001</v>
      </c>
      <c r="M3673" s="147">
        <v>2.0000399999999998</v>
      </c>
      <c r="N3673" s="147">
        <v>-9.7610000000000002E-2</v>
      </c>
      <c r="O3673" s="147">
        <v>-4.8804023919521606</v>
      </c>
      <c r="P3673" s="147">
        <v>0.95431999999999995</v>
      </c>
      <c r="Q3673" s="147">
        <v>0.94811000000000001</v>
      </c>
      <c r="R3673" s="147">
        <v>99.349274876351743</v>
      </c>
    </row>
    <row r="3674" spans="2:18" ht="15.75" hidden="1" thickBot="1" x14ac:dyDescent="0.3">
      <c r="B3674" s="725" t="s">
        <v>789</v>
      </c>
      <c r="C3674" s="722" t="s">
        <v>201</v>
      </c>
      <c r="D3674" t="s">
        <v>202</v>
      </c>
      <c r="E3674" s="728"/>
      <c r="F3674" s="148">
        <v>0.3</v>
      </c>
      <c r="G3674" s="148">
        <v>-0.3</v>
      </c>
      <c r="H3674" s="148">
        <v>-100</v>
      </c>
      <c r="I3674" s="728"/>
      <c r="J3674" s="728"/>
      <c r="K3674" s="728"/>
      <c r="L3674" s="148">
        <v>3.0072800000000002</v>
      </c>
      <c r="M3674" s="148">
        <v>3.6</v>
      </c>
      <c r="N3674" s="148">
        <v>-0.59272000000000002</v>
      </c>
      <c r="O3674" s="148">
        <v>-16.464444444444446</v>
      </c>
      <c r="P3674" s="148">
        <v>1.06379</v>
      </c>
      <c r="Q3674" s="148">
        <v>1.9434899999999999</v>
      </c>
      <c r="R3674" s="148">
        <v>182.6948927889903</v>
      </c>
    </row>
    <row r="3675" spans="2:18" ht="15.75" hidden="1" thickBot="1" x14ac:dyDescent="0.3">
      <c r="B3675" s="725" t="s">
        <v>789</v>
      </c>
      <c r="C3675" s="722" t="s">
        <v>145</v>
      </c>
      <c r="D3675" t="s">
        <v>146</v>
      </c>
      <c r="E3675" s="729"/>
      <c r="F3675" s="729"/>
      <c r="G3675" s="729"/>
      <c r="H3675" s="729"/>
      <c r="I3675" s="729"/>
      <c r="J3675" s="729"/>
      <c r="K3675" s="729"/>
      <c r="L3675" s="147">
        <v>5.6059999999999999</v>
      </c>
      <c r="M3675" s="729"/>
      <c r="N3675" s="147">
        <v>5.6059999999999999</v>
      </c>
      <c r="O3675" s="147">
        <v>0</v>
      </c>
      <c r="P3675" s="147">
        <v>5.6020000000000003</v>
      </c>
      <c r="Q3675" s="147">
        <v>4.0000000000000001E-3</v>
      </c>
      <c r="R3675" s="147">
        <v>7.1403070332024282E-2</v>
      </c>
    </row>
    <row r="3676" spans="2:18" ht="15.75" hidden="1" thickBot="1" x14ac:dyDescent="0.3">
      <c r="B3676" s="725" t="s">
        <v>789</v>
      </c>
      <c r="C3676" s="722" t="s">
        <v>173</v>
      </c>
      <c r="D3676" t="s">
        <v>174</v>
      </c>
      <c r="E3676" s="148">
        <v>0.34499999999999997</v>
      </c>
      <c r="F3676" s="148">
        <v>0.40627999999999997</v>
      </c>
      <c r="G3676" s="148">
        <v>-6.1280000000000001E-2</v>
      </c>
      <c r="H3676" s="148">
        <v>-15.083193856453677</v>
      </c>
      <c r="I3676" s="728"/>
      <c r="J3676" s="148">
        <v>0.34499999999999997</v>
      </c>
      <c r="K3676" s="148">
        <v>0</v>
      </c>
      <c r="L3676" s="148">
        <v>10.179040000000001</v>
      </c>
      <c r="M3676" s="148">
        <v>6.5000200000000001</v>
      </c>
      <c r="N3676" s="148">
        <v>3.67902</v>
      </c>
      <c r="O3676" s="148">
        <v>56.600133538050649</v>
      </c>
      <c r="P3676" s="148">
        <v>5.6315600000000003</v>
      </c>
      <c r="Q3676" s="148">
        <v>4.5474800000000002</v>
      </c>
      <c r="R3676" s="148">
        <v>80.749916541775278</v>
      </c>
    </row>
    <row r="3677" spans="2:18" ht="15.75" hidden="1" thickBot="1" x14ac:dyDescent="0.3">
      <c r="B3677" s="725" t="s">
        <v>789</v>
      </c>
      <c r="C3677" s="722" t="s">
        <v>153</v>
      </c>
      <c r="D3677" t="s">
        <v>154</v>
      </c>
      <c r="E3677" s="729"/>
      <c r="F3677" s="729"/>
      <c r="G3677" s="729"/>
      <c r="H3677" s="729"/>
      <c r="I3677" s="729"/>
      <c r="J3677" s="729"/>
      <c r="K3677" s="729"/>
      <c r="L3677" s="147">
        <v>0.06</v>
      </c>
      <c r="M3677" s="729"/>
      <c r="N3677" s="147">
        <v>0.06</v>
      </c>
      <c r="O3677" s="147">
        <v>0</v>
      </c>
      <c r="P3677" s="729"/>
      <c r="Q3677" s="147">
        <v>0.06</v>
      </c>
      <c r="R3677" s="147">
        <v>0</v>
      </c>
    </row>
    <row r="3678" spans="2:18" ht="15.75" hidden="1" thickBot="1" x14ac:dyDescent="0.3">
      <c r="B3678" s="725" t="s">
        <v>789</v>
      </c>
      <c r="C3678" s="722" t="s">
        <v>207</v>
      </c>
      <c r="D3678" t="s">
        <v>208</v>
      </c>
      <c r="E3678" s="728"/>
      <c r="F3678" s="728"/>
      <c r="G3678" s="728"/>
      <c r="H3678" s="728"/>
      <c r="I3678" s="728"/>
      <c r="J3678" s="728"/>
      <c r="K3678" s="728"/>
      <c r="L3678" s="148">
        <v>2.3670599999999999</v>
      </c>
      <c r="M3678" s="728"/>
      <c r="N3678" s="148">
        <v>2.3670599999999999</v>
      </c>
      <c r="O3678" s="148">
        <v>0</v>
      </c>
      <c r="P3678" s="148">
        <v>1.03209</v>
      </c>
      <c r="Q3678" s="148">
        <v>1.33497</v>
      </c>
      <c r="R3678" s="148">
        <v>129.34627794087726</v>
      </c>
    </row>
    <row r="3679" spans="2:18" ht="15.75" hidden="1" thickBot="1" x14ac:dyDescent="0.3">
      <c r="B3679" s="725" t="s">
        <v>789</v>
      </c>
      <c r="C3679" s="722" t="s">
        <v>75</v>
      </c>
      <c r="D3679" t="s">
        <v>76</v>
      </c>
      <c r="E3679" s="147">
        <v>0.47210999999999997</v>
      </c>
      <c r="F3679" s="147">
        <v>0.437</v>
      </c>
      <c r="G3679" s="147">
        <v>3.5110000000000002E-2</v>
      </c>
      <c r="H3679" s="147">
        <v>8.0343249427917627</v>
      </c>
      <c r="I3679" s="729"/>
      <c r="J3679" s="147">
        <v>0.47210999999999997</v>
      </c>
      <c r="K3679" s="147">
        <v>0</v>
      </c>
      <c r="L3679" s="147">
        <v>3.2936200000000002</v>
      </c>
      <c r="M3679" s="147">
        <v>5.2</v>
      </c>
      <c r="N3679" s="147">
        <v>-1.90638</v>
      </c>
      <c r="O3679" s="147">
        <v>-36.661153846153844</v>
      </c>
      <c r="P3679" s="147">
        <v>2.0035400000000001</v>
      </c>
      <c r="Q3679" s="147">
        <v>1.2900799999999999</v>
      </c>
      <c r="R3679" s="147">
        <v>64.390029647523889</v>
      </c>
    </row>
    <row r="3680" spans="2:18" ht="15.75" hidden="1" thickBot="1" x14ac:dyDescent="0.3">
      <c r="B3680" s="725" t="s">
        <v>789</v>
      </c>
      <c r="C3680" s="722" t="s">
        <v>121</v>
      </c>
      <c r="D3680" t="s">
        <v>122</v>
      </c>
      <c r="E3680" s="148">
        <v>0.44078000000000001</v>
      </c>
      <c r="F3680" s="148">
        <v>0.35</v>
      </c>
      <c r="G3680" s="148">
        <v>9.078E-2</v>
      </c>
      <c r="H3680" s="148">
        <v>25.937142857142856</v>
      </c>
      <c r="I3680" s="728"/>
      <c r="J3680" s="148">
        <v>0.44078000000000001</v>
      </c>
      <c r="K3680" s="148">
        <v>0</v>
      </c>
      <c r="L3680" s="148">
        <v>10.934139999999999</v>
      </c>
      <c r="M3680" s="148">
        <v>4.2</v>
      </c>
      <c r="N3680" s="148">
        <v>6.73414</v>
      </c>
      <c r="O3680" s="148">
        <v>160.33666666666667</v>
      </c>
      <c r="P3680" s="148">
        <v>5.4275399999999996</v>
      </c>
      <c r="Q3680" s="148">
        <v>5.5065999999999997</v>
      </c>
      <c r="R3680" s="148">
        <v>101.45664518363752</v>
      </c>
    </row>
    <row r="3681" spans="2:18" ht="15.75" hidden="1" thickBot="1" x14ac:dyDescent="0.3">
      <c r="B3681" s="725" t="s">
        <v>789</v>
      </c>
      <c r="C3681" s="722" t="s">
        <v>77</v>
      </c>
      <c r="D3681" t="s">
        <v>78</v>
      </c>
      <c r="E3681" s="729"/>
      <c r="F3681" s="729"/>
      <c r="G3681" s="729"/>
      <c r="H3681" s="729"/>
      <c r="I3681" s="729"/>
      <c r="J3681" s="729"/>
      <c r="K3681" s="729"/>
      <c r="L3681" s="147">
        <v>1.08992</v>
      </c>
      <c r="M3681" s="729"/>
      <c r="N3681" s="147">
        <v>1.08992</v>
      </c>
      <c r="O3681" s="147">
        <v>0</v>
      </c>
      <c r="P3681" s="729"/>
      <c r="Q3681" s="147">
        <v>1.08992</v>
      </c>
      <c r="R3681" s="147">
        <v>0</v>
      </c>
    </row>
    <row r="3682" spans="2:18" ht="15.75" hidden="1" thickBot="1" x14ac:dyDescent="0.3">
      <c r="B3682" s="725" t="s">
        <v>789</v>
      </c>
      <c r="C3682" s="722" t="s">
        <v>81</v>
      </c>
      <c r="D3682" t="s">
        <v>82</v>
      </c>
      <c r="E3682" s="148">
        <v>0.65</v>
      </c>
      <c r="F3682" s="148">
        <v>2</v>
      </c>
      <c r="G3682" s="148">
        <v>-1.35</v>
      </c>
      <c r="H3682" s="148">
        <v>-67.5</v>
      </c>
      <c r="I3682" s="728"/>
      <c r="J3682" s="148">
        <v>0.65</v>
      </c>
      <c r="K3682" s="148">
        <v>0</v>
      </c>
      <c r="L3682" s="148">
        <v>2.7084100000000002</v>
      </c>
      <c r="M3682" s="148">
        <v>5.4999799999999999</v>
      </c>
      <c r="N3682" s="148">
        <v>-2.7915700000000001</v>
      </c>
      <c r="O3682" s="148">
        <v>-50.756002749100908</v>
      </c>
      <c r="P3682" s="148">
        <v>2.0584099999999999</v>
      </c>
      <c r="Q3682" s="148">
        <v>0.65</v>
      </c>
      <c r="R3682" s="148">
        <v>31.577771192328058</v>
      </c>
    </row>
    <row r="3683" spans="2:18" ht="15.75" hidden="1" thickBot="1" x14ac:dyDescent="0.3">
      <c r="B3683" s="725" t="s">
        <v>789</v>
      </c>
      <c r="C3683" s="722" t="s">
        <v>123</v>
      </c>
      <c r="D3683" t="s">
        <v>124</v>
      </c>
      <c r="E3683" s="147">
        <v>0.55198999999999998</v>
      </c>
      <c r="F3683" s="147">
        <v>0.25</v>
      </c>
      <c r="G3683" s="147">
        <v>0.30198999999999998</v>
      </c>
      <c r="H3683" s="147">
        <v>120.79600000000001</v>
      </c>
      <c r="I3683" s="729"/>
      <c r="J3683" s="147">
        <v>0.55198999999999998</v>
      </c>
      <c r="K3683" s="147">
        <v>0</v>
      </c>
      <c r="L3683" s="147">
        <v>3.0223300000000002</v>
      </c>
      <c r="M3683" s="147">
        <v>3</v>
      </c>
      <c r="N3683" s="147">
        <v>2.2329999999999999E-2</v>
      </c>
      <c r="O3683" s="147">
        <v>0.74433333333333329</v>
      </c>
      <c r="P3683" s="147">
        <v>1.6408100000000001</v>
      </c>
      <c r="Q3683" s="147">
        <v>1.3815200000000001</v>
      </c>
      <c r="R3683" s="147">
        <v>84.19743906972775</v>
      </c>
    </row>
    <row r="3684" spans="2:18" ht="15.75" hidden="1" thickBot="1" x14ac:dyDescent="0.3">
      <c r="B3684" s="725" t="s">
        <v>789</v>
      </c>
      <c r="C3684" s="722" t="s">
        <v>211</v>
      </c>
      <c r="D3684" t="s">
        <v>212</v>
      </c>
      <c r="E3684" s="148">
        <v>0.19287000000000001</v>
      </c>
      <c r="F3684" s="728"/>
      <c r="G3684" s="148">
        <v>0.19287000000000001</v>
      </c>
      <c r="H3684" s="148">
        <v>0</v>
      </c>
      <c r="I3684" s="728"/>
      <c r="J3684" s="148">
        <v>0.19287000000000001</v>
      </c>
      <c r="K3684" s="148">
        <v>0</v>
      </c>
      <c r="L3684" s="148">
        <v>2.1858599999999999</v>
      </c>
      <c r="M3684" s="728"/>
      <c r="N3684" s="148">
        <v>2.1858599999999999</v>
      </c>
      <c r="O3684" s="148">
        <v>0</v>
      </c>
      <c r="P3684" s="148">
        <v>1.11436</v>
      </c>
      <c r="Q3684" s="148">
        <v>1.0714999999999999</v>
      </c>
      <c r="R3684" s="148">
        <v>96.15384615384616</v>
      </c>
    </row>
    <row r="3685" spans="2:18" ht="15.75" hidden="1" thickBot="1" x14ac:dyDescent="0.3">
      <c r="B3685" s="725" t="s">
        <v>789</v>
      </c>
      <c r="C3685" s="722" t="s">
        <v>215</v>
      </c>
      <c r="D3685" t="s">
        <v>216</v>
      </c>
      <c r="E3685" s="147">
        <v>-0.21429999999999999</v>
      </c>
      <c r="F3685" s="729"/>
      <c r="G3685" s="147">
        <v>-0.21429999999999999</v>
      </c>
      <c r="H3685" s="147">
        <v>0</v>
      </c>
      <c r="I3685" s="729"/>
      <c r="J3685" s="147">
        <v>-0.21429999999999999</v>
      </c>
      <c r="K3685" s="147">
        <v>0</v>
      </c>
      <c r="L3685" s="147">
        <v>-2.8073299999999999</v>
      </c>
      <c r="M3685" s="729"/>
      <c r="N3685" s="147">
        <v>-2.8073299999999999</v>
      </c>
      <c r="O3685" s="147">
        <v>0</v>
      </c>
      <c r="P3685" s="147">
        <v>-1.5001</v>
      </c>
      <c r="Q3685" s="147">
        <v>-1.3072299999999999</v>
      </c>
      <c r="R3685" s="147">
        <v>-87.142857142857139</v>
      </c>
    </row>
    <row r="3686" spans="2:18" ht="15.75" hidden="1" thickBot="1" x14ac:dyDescent="0.3">
      <c r="B3686" s="725" t="s">
        <v>789</v>
      </c>
      <c r="C3686" s="722" t="s">
        <v>83</v>
      </c>
      <c r="D3686" t="s">
        <v>84</v>
      </c>
      <c r="E3686" s="728"/>
      <c r="F3686" s="148">
        <v>3</v>
      </c>
      <c r="G3686" s="148">
        <v>-3</v>
      </c>
      <c r="H3686" s="148">
        <v>-100</v>
      </c>
      <c r="I3686" s="728"/>
      <c r="J3686" s="728"/>
      <c r="K3686" s="728"/>
      <c r="L3686" s="728"/>
      <c r="M3686" s="148">
        <v>36</v>
      </c>
      <c r="N3686" s="148">
        <v>-36</v>
      </c>
      <c r="O3686" s="148">
        <v>-100</v>
      </c>
      <c r="P3686" s="728"/>
      <c r="Q3686" s="728"/>
      <c r="R3686" s="728"/>
    </row>
    <row r="3687" spans="2:18" ht="15.75" hidden="1" thickBot="1" x14ac:dyDescent="0.3">
      <c r="B3687" s="725" t="s">
        <v>789</v>
      </c>
      <c r="C3687" s="149" t="s">
        <v>85</v>
      </c>
      <c r="D3687" t="s">
        <v>86</v>
      </c>
      <c r="E3687" s="147">
        <v>28.661860000000001</v>
      </c>
      <c r="F3687" s="147">
        <v>42.751289999999997</v>
      </c>
      <c r="G3687" s="147">
        <v>-14.08943</v>
      </c>
      <c r="H3687" s="147">
        <v>-32.956736510173144</v>
      </c>
      <c r="I3687" s="729"/>
      <c r="J3687" s="147">
        <v>28.661860000000001</v>
      </c>
      <c r="K3687" s="147">
        <v>0</v>
      </c>
      <c r="L3687" s="147">
        <v>451.22973999999999</v>
      </c>
      <c r="M3687" s="147">
        <v>496.09611999999998</v>
      </c>
      <c r="N3687" s="147">
        <v>-44.866379999999999</v>
      </c>
      <c r="O3687" s="147">
        <v>-9.0438885109603362</v>
      </c>
      <c r="P3687" s="147">
        <v>245.43594999999999</v>
      </c>
      <c r="Q3687" s="147">
        <v>205.79379</v>
      </c>
      <c r="R3687" s="147">
        <v>83.848266727021851</v>
      </c>
    </row>
    <row r="3688" spans="2:18" ht="15.75" hidden="1" thickBot="1" x14ac:dyDescent="0.3">
      <c r="B3688" s="725" t="s">
        <v>789</v>
      </c>
      <c r="C3688" s="144" t="s">
        <v>87</v>
      </c>
      <c r="D3688" t="s">
        <v>87</v>
      </c>
      <c r="E3688" s="148">
        <v>178.59751</v>
      </c>
      <c r="F3688" s="148">
        <v>243.54808</v>
      </c>
      <c r="G3688" s="148">
        <v>-64.950569999999999</v>
      </c>
      <c r="H3688" s="148">
        <v>-26.668479587274923</v>
      </c>
      <c r="I3688" s="728"/>
      <c r="J3688" s="148">
        <v>178.59751</v>
      </c>
      <c r="K3688" s="148">
        <v>0</v>
      </c>
      <c r="L3688" s="148">
        <v>2679.8767200000002</v>
      </c>
      <c r="M3688" s="148">
        <v>2899.5804499999999</v>
      </c>
      <c r="N3688" s="148">
        <v>-219.70373000000001</v>
      </c>
      <c r="O3688" s="148">
        <v>-7.5770868851043609</v>
      </c>
      <c r="P3688" s="148">
        <v>1407.03909</v>
      </c>
      <c r="Q3688" s="148">
        <v>1272.83763</v>
      </c>
      <c r="R3688" s="148">
        <v>90.462137054060094</v>
      </c>
    </row>
    <row r="3689" spans="2:18" ht="15.75" hidden="1" thickBot="1" x14ac:dyDescent="0.3">
      <c r="B3689" s="724" t="s">
        <v>790</v>
      </c>
      <c r="C3689" s="722" t="s">
        <v>59</v>
      </c>
      <c r="D3689" t="s">
        <v>60</v>
      </c>
      <c r="E3689" s="147">
        <v>343.67281000000003</v>
      </c>
      <c r="F3689" s="147">
        <v>390.43952999999999</v>
      </c>
      <c r="G3689" s="147">
        <v>-46.766719999999999</v>
      </c>
      <c r="H3689" s="147">
        <v>-11.977967497297213</v>
      </c>
      <c r="I3689" s="729"/>
      <c r="J3689" s="147">
        <v>343.67281000000003</v>
      </c>
      <c r="K3689" s="147">
        <v>0</v>
      </c>
      <c r="L3689" s="147">
        <v>4478.4904800000004</v>
      </c>
      <c r="M3689" s="147">
        <v>4600.09076</v>
      </c>
      <c r="N3689" s="147">
        <v>-121.60028</v>
      </c>
      <c r="O3689" s="147">
        <v>-2.6434321917596253</v>
      </c>
      <c r="P3689" s="147">
        <v>2296.7487599999999</v>
      </c>
      <c r="Q3689" s="147">
        <v>2181.74172</v>
      </c>
      <c r="R3689" s="147">
        <v>94.992615561486147</v>
      </c>
    </row>
    <row r="3690" spans="2:18" ht="15.75" hidden="1" thickBot="1" x14ac:dyDescent="0.3">
      <c r="B3690" s="724" t="s">
        <v>790</v>
      </c>
      <c r="C3690" s="722" t="s">
        <v>566</v>
      </c>
      <c r="D3690" t="s">
        <v>567</v>
      </c>
      <c r="E3690" s="148">
        <v>0.84167999999999998</v>
      </c>
      <c r="F3690" s="728"/>
      <c r="G3690" s="148">
        <v>0.84167999999999998</v>
      </c>
      <c r="H3690" s="148">
        <v>0</v>
      </c>
      <c r="I3690" s="728"/>
      <c r="J3690" s="148">
        <v>0.84167999999999998</v>
      </c>
      <c r="K3690" s="148">
        <v>0</v>
      </c>
      <c r="L3690" s="148">
        <v>3.4207700000000001</v>
      </c>
      <c r="M3690" s="728"/>
      <c r="N3690" s="148">
        <v>3.4207700000000001</v>
      </c>
      <c r="O3690" s="148">
        <v>0</v>
      </c>
      <c r="P3690" s="148">
        <v>0.62421000000000004</v>
      </c>
      <c r="Q3690" s="148">
        <v>2.7965599999999999</v>
      </c>
      <c r="R3690" s="148">
        <v>448.01589208759873</v>
      </c>
    </row>
    <row r="3691" spans="2:18" ht="15.75" hidden="1" thickBot="1" x14ac:dyDescent="0.3">
      <c r="B3691" s="724" t="s">
        <v>790</v>
      </c>
      <c r="C3691" s="722" t="s">
        <v>89</v>
      </c>
      <c r="D3691" t="s">
        <v>90</v>
      </c>
      <c r="E3691" s="729"/>
      <c r="F3691" s="729"/>
      <c r="G3691" s="729"/>
      <c r="H3691" s="729"/>
      <c r="I3691" s="729"/>
      <c r="J3691" s="729"/>
      <c r="K3691" s="729"/>
      <c r="L3691" s="147">
        <v>0.40486</v>
      </c>
      <c r="M3691" s="729"/>
      <c r="N3691" s="147">
        <v>0.40486</v>
      </c>
      <c r="O3691" s="147">
        <v>0</v>
      </c>
      <c r="P3691" s="729"/>
      <c r="Q3691" s="147">
        <v>0.40486</v>
      </c>
      <c r="R3691" s="147">
        <v>0</v>
      </c>
    </row>
    <row r="3692" spans="2:18" ht="15.75" hidden="1" thickBot="1" x14ac:dyDescent="0.3">
      <c r="B3692" s="724" t="s">
        <v>790</v>
      </c>
      <c r="C3692" s="722" t="s">
        <v>91</v>
      </c>
      <c r="D3692" t="s">
        <v>92</v>
      </c>
      <c r="E3692" s="148">
        <v>44.133769999999998</v>
      </c>
      <c r="F3692" s="148">
        <v>156.94113999999999</v>
      </c>
      <c r="G3692" s="148">
        <v>-112.80737000000001</v>
      </c>
      <c r="H3692" s="148">
        <v>-71.878775698965867</v>
      </c>
      <c r="I3692" s="728"/>
      <c r="J3692" s="148">
        <v>44.133769999999998</v>
      </c>
      <c r="K3692" s="148">
        <v>0</v>
      </c>
      <c r="L3692" s="148">
        <v>600.06821000000002</v>
      </c>
      <c r="M3692" s="148">
        <v>1833.0118</v>
      </c>
      <c r="N3692" s="148">
        <v>-1232.9435900000001</v>
      </c>
      <c r="O3692" s="148">
        <v>-67.263265299219569</v>
      </c>
      <c r="P3692" s="148">
        <v>295.95260000000002</v>
      </c>
      <c r="Q3692" s="148">
        <v>304.11561</v>
      </c>
      <c r="R3692" s="148">
        <v>102.75821533583418</v>
      </c>
    </row>
    <row r="3693" spans="2:18" ht="15.75" hidden="1" thickBot="1" x14ac:dyDescent="0.3">
      <c r="B3693" s="724" t="s">
        <v>790</v>
      </c>
      <c r="C3693" s="722" t="s">
        <v>93</v>
      </c>
      <c r="D3693" t="s">
        <v>94</v>
      </c>
      <c r="E3693" s="147">
        <v>2.5943399999999999</v>
      </c>
      <c r="F3693" s="147">
        <v>3.3736700000000002</v>
      </c>
      <c r="G3693" s="147">
        <v>-0.77932999999999997</v>
      </c>
      <c r="H3693" s="147">
        <v>-23.100362513227434</v>
      </c>
      <c r="I3693" s="729"/>
      <c r="J3693" s="147">
        <v>2.5943399999999999</v>
      </c>
      <c r="K3693" s="147">
        <v>0</v>
      </c>
      <c r="L3693" s="147">
        <v>26.50958</v>
      </c>
      <c r="M3693" s="147">
        <v>39.40307</v>
      </c>
      <c r="N3693" s="147">
        <v>-12.89349</v>
      </c>
      <c r="O3693" s="147">
        <v>-32.722044246806149</v>
      </c>
      <c r="P3693" s="147">
        <v>13.05889</v>
      </c>
      <c r="Q3693" s="147">
        <v>13.45069</v>
      </c>
      <c r="R3693" s="147">
        <v>103.00025499870203</v>
      </c>
    </row>
    <row r="3694" spans="2:18" ht="15.75" hidden="1" thickBot="1" x14ac:dyDescent="0.3">
      <c r="B3694" s="724" t="s">
        <v>790</v>
      </c>
      <c r="C3694" s="722" t="s">
        <v>134</v>
      </c>
      <c r="D3694" t="s">
        <v>135</v>
      </c>
      <c r="E3694" s="148">
        <v>1.25</v>
      </c>
      <c r="F3694" s="728"/>
      <c r="G3694" s="148">
        <v>1.25</v>
      </c>
      <c r="H3694" s="148">
        <v>0</v>
      </c>
      <c r="I3694" s="728"/>
      <c r="J3694" s="148">
        <v>1.25</v>
      </c>
      <c r="K3694" s="148">
        <v>0</v>
      </c>
      <c r="L3694" s="148">
        <v>21.254000000000001</v>
      </c>
      <c r="M3694" s="728"/>
      <c r="N3694" s="148">
        <v>21.254000000000001</v>
      </c>
      <c r="O3694" s="148">
        <v>0</v>
      </c>
      <c r="P3694" s="148">
        <v>13.754</v>
      </c>
      <c r="Q3694" s="148">
        <v>7.5</v>
      </c>
      <c r="R3694" s="148">
        <v>54.529591391595176</v>
      </c>
    </row>
    <row r="3695" spans="2:18" ht="15.75" hidden="1" thickBot="1" x14ac:dyDescent="0.3">
      <c r="B3695" s="724" t="s">
        <v>790</v>
      </c>
      <c r="C3695" s="722" t="s">
        <v>61</v>
      </c>
      <c r="D3695" t="s">
        <v>62</v>
      </c>
      <c r="E3695" s="147">
        <v>68.211259999999996</v>
      </c>
      <c r="F3695" s="147">
        <v>84.844009999999997</v>
      </c>
      <c r="G3695" s="147">
        <v>-16.632750000000001</v>
      </c>
      <c r="H3695" s="147">
        <v>-19.603917825194731</v>
      </c>
      <c r="I3695" s="729"/>
      <c r="J3695" s="147">
        <v>68.211259999999996</v>
      </c>
      <c r="K3695" s="147">
        <v>0</v>
      </c>
      <c r="L3695" s="147">
        <v>797.08735000000001</v>
      </c>
      <c r="M3695" s="147">
        <v>997.13076000000001</v>
      </c>
      <c r="N3695" s="147">
        <v>-200.04340999999999</v>
      </c>
      <c r="O3695" s="147">
        <v>-20.061903415756625</v>
      </c>
      <c r="P3695" s="147">
        <v>389.42912000000001</v>
      </c>
      <c r="Q3695" s="147">
        <v>407.65823</v>
      </c>
      <c r="R3695" s="147">
        <v>104.68098276780124</v>
      </c>
    </row>
    <row r="3696" spans="2:18" ht="15.75" hidden="1" thickBot="1" x14ac:dyDescent="0.3">
      <c r="B3696" s="724" t="s">
        <v>790</v>
      </c>
      <c r="C3696" s="722" t="s">
        <v>63</v>
      </c>
      <c r="D3696" t="s">
        <v>64</v>
      </c>
      <c r="E3696" s="148">
        <v>265.68443000000002</v>
      </c>
      <c r="F3696" s="148">
        <v>330.07051000000001</v>
      </c>
      <c r="G3696" s="148">
        <v>-64.386080000000007</v>
      </c>
      <c r="H3696" s="148">
        <v>-19.506765387795475</v>
      </c>
      <c r="I3696" s="728"/>
      <c r="J3696" s="148">
        <v>265.68443000000002</v>
      </c>
      <c r="K3696" s="148">
        <v>0</v>
      </c>
      <c r="L3696" s="148">
        <v>3100.92364</v>
      </c>
      <c r="M3696" s="148">
        <v>3879.1606299999999</v>
      </c>
      <c r="N3696" s="148">
        <v>-778.23698999999999</v>
      </c>
      <c r="O3696" s="148">
        <v>-20.061994442338936</v>
      </c>
      <c r="P3696" s="148">
        <v>1513.70219</v>
      </c>
      <c r="Q3696" s="148">
        <v>1587.22145</v>
      </c>
      <c r="R3696" s="148">
        <v>104.85691706636165</v>
      </c>
    </row>
    <row r="3697" spans="2:18" ht="15.75" hidden="1" thickBot="1" x14ac:dyDescent="0.3">
      <c r="B3697" s="724" t="s">
        <v>790</v>
      </c>
      <c r="C3697" s="722" t="s">
        <v>156</v>
      </c>
      <c r="D3697" t="s">
        <v>157</v>
      </c>
      <c r="E3697" s="147">
        <v>141.26434</v>
      </c>
      <c r="F3697" s="729"/>
      <c r="G3697" s="147">
        <v>141.26434</v>
      </c>
      <c r="H3697" s="147">
        <v>0</v>
      </c>
      <c r="I3697" s="729"/>
      <c r="J3697" s="147">
        <v>141.26434</v>
      </c>
      <c r="K3697" s="147">
        <v>0</v>
      </c>
      <c r="L3697" s="147">
        <v>2011.98973</v>
      </c>
      <c r="M3697" s="729"/>
      <c r="N3697" s="147">
        <v>2011.98973</v>
      </c>
      <c r="O3697" s="147">
        <v>0</v>
      </c>
      <c r="P3697" s="147">
        <v>1027.81017</v>
      </c>
      <c r="Q3697" s="147">
        <v>984.17956000000004</v>
      </c>
      <c r="R3697" s="147">
        <v>95.754993356409386</v>
      </c>
    </row>
    <row r="3698" spans="2:18" ht="15.75" hidden="1" thickBot="1" x14ac:dyDescent="0.3">
      <c r="B3698" s="724" t="s">
        <v>790</v>
      </c>
      <c r="C3698" s="722" t="s">
        <v>572</v>
      </c>
      <c r="D3698" t="s">
        <v>573</v>
      </c>
      <c r="E3698" s="728"/>
      <c r="F3698" s="728"/>
      <c r="G3698" s="728"/>
      <c r="H3698" s="728"/>
      <c r="I3698" s="728"/>
      <c r="J3698" s="728"/>
      <c r="K3698" s="728"/>
      <c r="L3698" s="148">
        <v>0.52937999999999996</v>
      </c>
      <c r="M3698" s="728"/>
      <c r="N3698" s="148">
        <v>0.52937999999999996</v>
      </c>
      <c r="O3698" s="148">
        <v>0</v>
      </c>
      <c r="P3698" s="728"/>
      <c r="Q3698" s="148">
        <v>0.52937999999999996</v>
      </c>
      <c r="R3698" s="148">
        <v>0</v>
      </c>
    </row>
    <row r="3699" spans="2:18" ht="15.75" hidden="1" thickBot="1" x14ac:dyDescent="0.3">
      <c r="B3699" s="724" t="s">
        <v>790</v>
      </c>
      <c r="C3699" s="722" t="s">
        <v>184</v>
      </c>
      <c r="D3699" t="s">
        <v>185</v>
      </c>
      <c r="E3699" s="147">
        <v>37.254339999999999</v>
      </c>
      <c r="F3699" s="729"/>
      <c r="G3699" s="147">
        <v>37.254339999999999</v>
      </c>
      <c r="H3699" s="147">
        <v>0</v>
      </c>
      <c r="I3699" s="729"/>
      <c r="J3699" s="147">
        <v>37.254339999999999</v>
      </c>
      <c r="K3699" s="147">
        <v>0</v>
      </c>
      <c r="L3699" s="147">
        <v>414.83084000000002</v>
      </c>
      <c r="M3699" s="729"/>
      <c r="N3699" s="147">
        <v>414.83084000000002</v>
      </c>
      <c r="O3699" s="147">
        <v>0</v>
      </c>
      <c r="P3699" s="147">
        <v>201.97032999999999</v>
      </c>
      <c r="Q3699" s="147">
        <v>212.86051</v>
      </c>
      <c r="R3699" s="147">
        <v>105.39197019681059</v>
      </c>
    </row>
    <row r="3700" spans="2:18" ht="15.75" hidden="1" thickBot="1" x14ac:dyDescent="0.3">
      <c r="B3700" s="724" t="s">
        <v>790</v>
      </c>
      <c r="C3700" s="722" t="s">
        <v>161</v>
      </c>
      <c r="D3700" t="s">
        <v>162</v>
      </c>
      <c r="E3700" s="728"/>
      <c r="F3700" s="728"/>
      <c r="G3700" s="728"/>
      <c r="H3700" s="728"/>
      <c r="I3700" s="728"/>
      <c r="J3700" s="728"/>
      <c r="K3700" s="728"/>
      <c r="L3700" s="148">
        <v>0.82406999999999997</v>
      </c>
      <c r="M3700" s="728"/>
      <c r="N3700" s="148">
        <v>0.82406999999999997</v>
      </c>
      <c r="O3700" s="148">
        <v>0</v>
      </c>
      <c r="P3700" s="148">
        <v>0.75854999999999995</v>
      </c>
      <c r="Q3700" s="148">
        <v>6.5519999999999995E-2</v>
      </c>
      <c r="R3700" s="148">
        <v>8.6375321336760926</v>
      </c>
    </row>
    <row r="3701" spans="2:18" ht="15.75" hidden="1" thickBot="1" x14ac:dyDescent="0.3">
      <c r="B3701" s="724" t="s">
        <v>790</v>
      </c>
      <c r="C3701" s="722" t="s">
        <v>65</v>
      </c>
      <c r="D3701" t="s">
        <v>66</v>
      </c>
      <c r="E3701" s="147">
        <v>-487.58285000000001</v>
      </c>
      <c r="F3701" s="147">
        <v>-411.98054999999999</v>
      </c>
      <c r="G3701" s="147">
        <v>-75.6023</v>
      </c>
      <c r="H3701" s="147">
        <v>-18.350939140209409</v>
      </c>
      <c r="I3701" s="729"/>
      <c r="J3701" s="147">
        <v>-487.58285000000001</v>
      </c>
      <c r="K3701" s="147">
        <v>0</v>
      </c>
      <c r="L3701" s="147">
        <v>-6638.8040499999997</v>
      </c>
      <c r="M3701" s="147">
        <v>-4843.2518799999998</v>
      </c>
      <c r="N3701" s="147">
        <v>-1795.5521699999999</v>
      </c>
      <c r="O3701" s="147">
        <v>-37.07327668450727</v>
      </c>
      <c r="P3701" s="147">
        <v>-3361.1002800000001</v>
      </c>
      <c r="Q3701" s="147">
        <v>-3277.7037700000001</v>
      </c>
      <c r="R3701" s="147">
        <v>-97.51877352496011</v>
      </c>
    </row>
    <row r="3702" spans="2:18" ht="15.75" hidden="1" thickBot="1" x14ac:dyDescent="0.3">
      <c r="B3702" s="724" t="s">
        <v>790</v>
      </c>
      <c r="C3702" s="722" t="s">
        <v>576</v>
      </c>
      <c r="D3702" t="s">
        <v>577</v>
      </c>
      <c r="E3702" s="148">
        <v>-0.93420000000000003</v>
      </c>
      <c r="F3702" s="728"/>
      <c r="G3702" s="148">
        <v>-0.93420000000000003</v>
      </c>
      <c r="H3702" s="148">
        <v>0</v>
      </c>
      <c r="I3702" s="728"/>
      <c r="J3702" s="148">
        <v>-0.93420000000000003</v>
      </c>
      <c r="K3702" s="148">
        <v>0</v>
      </c>
      <c r="L3702" s="148">
        <v>-3.9256500000000001</v>
      </c>
      <c r="M3702" s="728"/>
      <c r="N3702" s="148">
        <v>-3.9256500000000001</v>
      </c>
      <c r="O3702" s="148">
        <v>0</v>
      </c>
      <c r="P3702" s="148">
        <v>-1.1230500000000001</v>
      </c>
      <c r="Q3702" s="148">
        <v>-2.8026</v>
      </c>
      <c r="R3702" s="148">
        <v>-249.55255776679579</v>
      </c>
    </row>
    <row r="3703" spans="2:18" ht="15.75" hidden="1" thickBot="1" x14ac:dyDescent="0.3">
      <c r="B3703" s="724" t="s">
        <v>790</v>
      </c>
      <c r="C3703" s="722" t="s">
        <v>186</v>
      </c>
      <c r="D3703" t="s">
        <v>187</v>
      </c>
      <c r="E3703" s="729"/>
      <c r="F3703" s="729"/>
      <c r="G3703" s="729"/>
      <c r="H3703" s="729"/>
      <c r="I3703" s="729"/>
      <c r="J3703" s="729"/>
      <c r="K3703" s="729"/>
      <c r="L3703" s="147">
        <v>-0.28288000000000002</v>
      </c>
      <c r="M3703" s="729"/>
      <c r="N3703" s="147">
        <v>-0.28288000000000002</v>
      </c>
      <c r="O3703" s="147">
        <v>0</v>
      </c>
      <c r="P3703" s="729"/>
      <c r="Q3703" s="147">
        <v>-0.28288000000000002</v>
      </c>
      <c r="R3703" s="147">
        <v>0</v>
      </c>
    </row>
    <row r="3704" spans="2:18" ht="15.75" hidden="1" thickBot="1" x14ac:dyDescent="0.3">
      <c r="B3704" s="724" t="s">
        <v>790</v>
      </c>
      <c r="C3704" s="722" t="s">
        <v>163</v>
      </c>
      <c r="D3704" t="s">
        <v>164</v>
      </c>
      <c r="E3704" s="148">
        <v>-80.369630000000001</v>
      </c>
      <c r="F3704" s="148">
        <v>-224.15662</v>
      </c>
      <c r="G3704" s="148">
        <v>143.78699</v>
      </c>
      <c r="H3704" s="148">
        <v>64.145770042392684</v>
      </c>
      <c r="I3704" s="728"/>
      <c r="J3704" s="148">
        <v>-80.369630000000001</v>
      </c>
      <c r="K3704" s="148">
        <v>0</v>
      </c>
      <c r="L3704" s="148">
        <v>-961.73865999999998</v>
      </c>
      <c r="M3704" s="148">
        <v>-2618.0620899999999</v>
      </c>
      <c r="N3704" s="148">
        <v>1656.3234299999999</v>
      </c>
      <c r="O3704" s="148">
        <v>63.265246318126856</v>
      </c>
      <c r="P3704" s="148">
        <v>-449.82006000000001</v>
      </c>
      <c r="Q3704" s="148">
        <v>-511.91860000000003</v>
      </c>
      <c r="R3704" s="148">
        <v>-113.80519579318006</v>
      </c>
    </row>
    <row r="3705" spans="2:18" ht="15.75" hidden="1" thickBot="1" x14ac:dyDescent="0.3">
      <c r="B3705" s="724" t="s">
        <v>790</v>
      </c>
      <c r="C3705" s="722" t="s">
        <v>97</v>
      </c>
      <c r="D3705" t="s">
        <v>98</v>
      </c>
      <c r="E3705" s="147">
        <v>-2.8529</v>
      </c>
      <c r="F3705" s="729"/>
      <c r="G3705" s="147">
        <v>-2.8529</v>
      </c>
      <c r="H3705" s="147">
        <v>0</v>
      </c>
      <c r="I3705" s="729"/>
      <c r="J3705" s="147">
        <v>-2.8529</v>
      </c>
      <c r="K3705" s="147">
        <v>0</v>
      </c>
      <c r="L3705" s="147">
        <v>-29.361319999999999</v>
      </c>
      <c r="M3705" s="729"/>
      <c r="N3705" s="147">
        <v>-29.361319999999999</v>
      </c>
      <c r="O3705" s="147">
        <v>0</v>
      </c>
      <c r="P3705" s="147">
        <v>-14.21824</v>
      </c>
      <c r="Q3705" s="147">
        <v>-15.143079999999999</v>
      </c>
      <c r="R3705" s="147">
        <v>-106.50460253871084</v>
      </c>
    </row>
    <row r="3706" spans="2:18" ht="15.75" hidden="1" thickBot="1" x14ac:dyDescent="0.3">
      <c r="B3706" s="724" t="s">
        <v>790</v>
      </c>
      <c r="C3706" s="149" t="s">
        <v>67</v>
      </c>
      <c r="D3706" t="s">
        <v>68</v>
      </c>
      <c r="E3706" s="148">
        <v>333.16739000000001</v>
      </c>
      <c r="F3706" s="148">
        <v>329.53169000000003</v>
      </c>
      <c r="G3706" s="148">
        <v>3.6356999999999999</v>
      </c>
      <c r="H3706" s="148">
        <v>1.1032929791972359</v>
      </c>
      <c r="I3706" s="728"/>
      <c r="J3706" s="148">
        <v>333.16739000000001</v>
      </c>
      <c r="K3706" s="148">
        <v>0</v>
      </c>
      <c r="L3706" s="148">
        <v>3822.2203500000001</v>
      </c>
      <c r="M3706" s="148">
        <v>3887.4830499999998</v>
      </c>
      <c r="N3706" s="148">
        <v>-65.262699999999995</v>
      </c>
      <c r="O3706" s="148">
        <v>-1.6787905994857006</v>
      </c>
      <c r="P3706" s="148">
        <v>1927.54719</v>
      </c>
      <c r="Q3706" s="148">
        <v>1894.6731600000001</v>
      </c>
      <c r="R3706" s="148">
        <v>98.294514906273193</v>
      </c>
    </row>
    <row r="3707" spans="2:18" ht="15.75" hidden="1" thickBot="1" x14ac:dyDescent="0.3">
      <c r="B3707" s="724" t="s">
        <v>790</v>
      </c>
      <c r="C3707" s="722" t="s">
        <v>69</v>
      </c>
      <c r="D3707" t="s">
        <v>70</v>
      </c>
      <c r="E3707" s="729"/>
      <c r="F3707" s="729"/>
      <c r="G3707" s="729"/>
      <c r="H3707" s="729"/>
      <c r="I3707" s="729"/>
      <c r="J3707" s="729"/>
      <c r="K3707" s="729"/>
      <c r="L3707" s="147">
        <v>1.1195299999999999</v>
      </c>
      <c r="M3707" s="729"/>
      <c r="N3707" s="147">
        <v>1.1195299999999999</v>
      </c>
      <c r="O3707" s="147">
        <v>0</v>
      </c>
      <c r="P3707" s="147">
        <v>0.56399999999999995</v>
      </c>
      <c r="Q3707" s="147">
        <v>0.55552999999999997</v>
      </c>
      <c r="R3707" s="147">
        <v>98.498226950354606</v>
      </c>
    </row>
    <row r="3708" spans="2:18" ht="15.75" hidden="1" thickBot="1" x14ac:dyDescent="0.3">
      <c r="B3708" s="724" t="s">
        <v>790</v>
      </c>
      <c r="C3708" s="722" t="s">
        <v>99</v>
      </c>
      <c r="D3708" t="s">
        <v>100</v>
      </c>
      <c r="E3708" s="148">
        <v>1.6825000000000001</v>
      </c>
      <c r="F3708" s="148">
        <v>7.8</v>
      </c>
      <c r="G3708" s="148">
        <v>-6.1174999999999997</v>
      </c>
      <c r="H3708" s="148">
        <v>-78.429487179487182</v>
      </c>
      <c r="I3708" s="728"/>
      <c r="J3708" s="148">
        <v>1.6825000000000001</v>
      </c>
      <c r="K3708" s="148">
        <v>0</v>
      </c>
      <c r="L3708" s="148">
        <v>18.273900000000001</v>
      </c>
      <c r="M3708" s="148">
        <v>93.6</v>
      </c>
      <c r="N3708" s="148">
        <v>-75.326099999999997</v>
      </c>
      <c r="O3708" s="148">
        <v>-80.476602564102564</v>
      </c>
      <c r="P3708" s="148">
        <v>4.0496600000000003</v>
      </c>
      <c r="Q3708" s="148">
        <v>14.22424</v>
      </c>
      <c r="R3708" s="148">
        <v>351.24528972802653</v>
      </c>
    </row>
    <row r="3709" spans="2:18" ht="15.75" hidden="1" thickBot="1" x14ac:dyDescent="0.3">
      <c r="B3709" s="724" t="s">
        <v>790</v>
      </c>
      <c r="C3709" s="722" t="s">
        <v>165</v>
      </c>
      <c r="D3709" t="s">
        <v>166</v>
      </c>
      <c r="E3709" s="147">
        <v>78.905330000000006</v>
      </c>
      <c r="F3709" s="729"/>
      <c r="G3709" s="147">
        <v>78.905330000000006</v>
      </c>
      <c r="H3709" s="147">
        <v>0</v>
      </c>
      <c r="I3709" s="729"/>
      <c r="J3709" s="147">
        <v>78.905330000000006</v>
      </c>
      <c r="K3709" s="147">
        <v>0</v>
      </c>
      <c r="L3709" s="147">
        <v>138.95813000000001</v>
      </c>
      <c r="M3709" s="729"/>
      <c r="N3709" s="147">
        <v>138.95813000000001</v>
      </c>
      <c r="O3709" s="147">
        <v>0</v>
      </c>
      <c r="P3709" s="147">
        <v>13.488440000000001</v>
      </c>
      <c r="Q3709" s="147">
        <v>125.46969</v>
      </c>
      <c r="R3709" s="147">
        <v>930.20163932967785</v>
      </c>
    </row>
    <row r="3710" spans="2:18" ht="15.75" hidden="1" thickBot="1" x14ac:dyDescent="0.3">
      <c r="B3710" s="724" t="s">
        <v>790</v>
      </c>
      <c r="C3710" s="722" t="s">
        <v>137</v>
      </c>
      <c r="D3710" t="s">
        <v>138</v>
      </c>
      <c r="E3710" s="148">
        <v>0.77368999999999999</v>
      </c>
      <c r="F3710" s="148">
        <v>1</v>
      </c>
      <c r="G3710" s="148">
        <v>-0.22631000000000001</v>
      </c>
      <c r="H3710" s="148">
        <v>-22.631</v>
      </c>
      <c r="I3710" s="728"/>
      <c r="J3710" s="148">
        <v>0.77368999999999999</v>
      </c>
      <c r="K3710" s="148">
        <v>0</v>
      </c>
      <c r="L3710" s="148">
        <v>5.9477700000000002</v>
      </c>
      <c r="M3710" s="148">
        <v>12</v>
      </c>
      <c r="N3710" s="148">
        <v>-6.0522299999999998</v>
      </c>
      <c r="O3710" s="148">
        <v>-50.435250000000003</v>
      </c>
      <c r="P3710" s="148">
        <v>2.43669</v>
      </c>
      <c r="Q3710" s="148">
        <v>3.5110800000000002</v>
      </c>
      <c r="R3710" s="148">
        <v>144.09219063565737</v>
      </c>
    </row>
    <row r="3711" spans="2:18" ht="15.75" hidden="1" thickBot="1" x14ac:dyDescent="0.3">
      <c r="B3711" s="724" t="s">
        <v>790</v>
      </c>
      <c r="C3711" s="722" t="s">
        <v>190</v>
      </c>
      <c r="D3711" t="s">
        <v>191</v>
      </c>
      <c r="E3711" s="147">
        <v>6.2300000000000003E-3</v>
      </c>
      <c r="F3711" s="729"/>
      <c r="G3711" s="147">
        <v>6.2300000000000003E-3</v>
      </c>
      <c r="H3711" s="147">
        <v>0</v>
      </c>
      <c r="I3711" s="729"/>
      <c r="J3711" s="147">
        <v>6.2300000000000003E-3</v>
      </c>
      <c r="K3711" s="147">
        <v>0</v>
      </c>
      <c r="L3711" s="147">
        <v>0.17804</v>
      </c>
      <c r="M3711" s="729"/>
      <c r="N3711" s="147">
        <v>0.17804</v>
      </c>
      <c r="O3711" s="147">
        <v>0</v>
      </c>
      <c r="P3711" s="147">
        <v>0.14463999999999999</v>
      </c>
      <c r="Q3711" s="147">
        <v>3.3399999999999999E-2</v>
      </c>
      <c r="R3711" s="147">
        <v>23.091814159292035</v>
      </c>
    </row>
    <row r="3712" spans="2:18" ht="15.75" hidden="1" thickBot="1" x14ac:dyDescent="0.3">
      <c r="B3712" s="724" t="s">
        <v>790</v>
      </c>
      <c r="C3712" s="722" t="s">
        <v>36</v>
      </c>
      <c r="D3712" t="s">
        <v>192</v>
      </c>
      <c r="E3712" s="148">
        <v>2.877E-2</v>
      </c>
      <c r="F3712" s="728"/>
      <c r="G3712" s="148">
        <v>2.877E-2</v>
      </c>
      <c r="H3712" s="148">
        <v>0</v>
      </c>
      <c r="I3712" s="728"/>
      <c r="J3712" s="148">
        <v>2.877E-2</v>
      </c>
      <c r="K3712" s="148">
        <v>0</v>
      </c>
      <c r="L3712" s="148">
        <v>1.1677299999999999</v>
      </c>
      <c r="M3712" s="148">
        <v>12</v>
      </c>
      <c r="N3712" s="148">
        <v>-10.832269999999999</v>
      </c>
      <c r="O3712" s="148">
        <v>-90.268916666666669</v>
      </c>
      <c r="P3712" s="148">
        <v>0.94689000000000001</v>
      </c>
      <c r="Q3712" s="148">
        <v>0.22084000000000001</v>
      </c>
      <c r="R3712" s="148">
        <v>23.322666835640888</v>
      </c>
    </row>
    <row r="3713" spans="2:18" ht="15.75" hidden="1" thickBot="1" x14ac:dyDescent="0.3">
      <c r="B3713" s="724" t="s">
        <v>790</v>
      </c>
      <c r="C3713" s="722" t="s">
        <v>139</v>
      </c>
      <c r="D3713" t="s">
        <v>140</v>
      </c>
      <c r="E3713" s="729"/>
      <c r="F3713" s="729"/>
      <c r="G3713" s="729"/>
      <c r="H3713" s="729"/>
      <c r="I3713" s="729"/>
      <c r="J3713" s="729"/>
      <c r="K3713" s="729"/>
      <c r="L3713" s="147">
        <v>0.86977000000000004</v>
      </c>
      <c r="M3713" s="729"/>
      <c r="N3713" s="147">
        <v>0.86977000000000004</v>
      </c>
      <c r="O3713" s="147">
        <v>0</v>
      </c>
      <c r="P3713" s="147">
        <v>0.65976999999999997</v>
      </c>
      <c r="Q3713" s="147">
        <v>0.21</v>
      </c>
      <c r="R3713" s="147">
        <v>31.829273837852586</v>
      </c>
    </row>
    <row r="3714" spans="2:18" ht="15.75" hidden="1" thickBot="1" x14ac:dyDescent="0.3">
      <c r="B3714" s="724" t="s">
        <v>790</v>
      </c>
      <c r="C3714" s="722" t="s">
        <v>169</v>
      </c>
      <c r="D3714" t="s">
        <v>170</v>
      </c>
      <c r="E3714" s="148">
        <v>0.32257999999999998</v>
      </c>
      <c r="F3714" s="148">
        <v>3.9166599999999998</v>
      </c>
      <c r="G3714" s="148">
        <v>-3.5940799999999999</v>
      </c>
      <c r="H3714" s="148">
        <v>-91.763900874724897</v>
      </c>
      <c r="I3714" s="728"/>
      <c r="J3714" s="148">
        <v>0.32257999999999998</v>
      </c>
      <c r="K3714" s="148">
        <v>0</v>
      </c>
      <c r="L3714" s="148">
        <v>43.423830000000002</v>
      </c>
      <c r="M3714" s="148">
        <v>46.999920000000003</v>
      </c>
      <c r="N3714" s="148">
        <v>-3.5760900000000002</v>
      </c>
      <c r="O3714" s="148">
        <v>-7.6087150786639635</v>
      </c>
      <c r="P3714" s="148">
        <v>43.10125</v>
      </c>
      <c r="Q3714" s="148">
        <v>0.32257999999999998</v>
      </c>
      <c r="R3714" s="148">
        <v>0.74842376961225021</v>
      </c>
    </row>
    <row r="3715" spans="2:18" ht="15.75" hidden="1" thickBot="1" x14ac:dyDescent="0.3">
      <c r="B3715" s="724" t="s">
        <v>790</v>
      </c>
      <c r="C3715" s="722" t="s">
        <v>101</v>
      </c>
      <c r="D3715" t="s">
        <v>102</v>
      </c>
      <c r="E3715" s="147">
        <v>21.148199999999999</v>
      </c>
      <c r="F3715" s="147">
        <v>0</v>
      </c>
      <c r="G3715" s="147">
        <v>21.148199999999999</v>
      </c>
      <c r="H3715" s="147">
        <v>0</v>
      </c>
      <c r="I3715" s="729"/>
      <c r="J3715" s="147">
        <v>21.148199999999999</v>
      </c>
      <c r="K3715" s="147">
        <v>0</v>
      </c>
      <c r="L3715" s="147">
        <v>85.412189999999995</v>
      </c>
      <c r="M3715" s="147">
        <v>81.5</v>
      </c>
      <c r="N3715" s="147">
        <v>3.9121899999999998</v>
      </c>
      <c r="O3715" s="147">
        <v>4.800233128834356</v>
      </c>
      <c r="P3715" s="147">
        <v>18.688939999999999</v>
      </c>
      <c r="Q3715" s="147">
        <v>66.723249999999993</v>
      </c>
      <c r="R3715" s="147">
        <v>357.01998080147939</v>
      </c>
    </row>
    <row r="3716" spans="2:18" ht="15.75" hidden="1" thickBot="1" x14ac:dyDescent="0.3">
      <c r="B3716" s="724" t="s">
        <v>790</v>
      </c>
      <c r="C3716" s="722" t="s">
        <v>103</v>
      </c>
      <c r="D3716" t="s">
        <v>104</v>
      </c>
      <c r="E3716" s="148">
        <v>9.4689999999999996E-2</v>
      </c>
      <c r="F3716" s="728"/>
      <c r="G3716" s="148">
        <v>9.4689999999999996E-2</v>
      </c>
      <c r="H3716" s="148">
        <v>0</v>
      </c>
      <c r="I3716" s="728"/>
      <c r="J3716" s="148">
        <v>9.4689999999999996E-2</v>
      </c>
      <c r="K3716" s="148">
        <v>0</v>
      </c>
      <c r="L3716" s="148">
        <v>0.48798000000000002</v>
      </c>
      <c r="M3716" s="728"/>
      <c r="N3716" s="148">
        <v>0.48798000000000002</v>
      </c>
      <c r="O3716" s="148">
        <v>0</v>
      </c>
      <c r="P3716" s="148">
        <v>9.6159999999999995E-2</v>
      </c>
      <c r="Q3716" s="148">
        <v>0.39182</v>
      </c>
      <c r="R3716" s="148">
        <v>407.4667221297837</v>
      </c>
    </row>
    <row r="3717" spans="2:18" ht="15.75" hidden="1" thickBot="1" x14ac:dyDescent="0.3">
      <c r="B3717" s="724" t="s">
        <v>790</v>
      </c>
      <c r="C3717" s="722" t="s">
        <v>71</v>
      </c>
      <c r="D3717" t="s">
        <v>72</v>
      </c>
      <c r="E3717" s="147">
        <v>0.15418000000000001</v>
      </c>
      <c r="F3717" s="729"/>
      <c r="G3717" s="147">
        <v>0.15418000000000001</v>
      </c>
      <c r="H3717" s="147">
        <v>0</v>
      </c>
      <c r="I3717" s="729"/>
      <c r="J3717" s="147">
        <v>0.15418000000000001</v>
      </c>
      <c r="K3717" s="147">
        <v>0</v>
      </c>
      <c r="L3717" s="147">
        <v>0.15418000000000001</v>
      </c>
      <c r="M3717" s="729"/>
      <c r="N3717" s="147">
        <v>0.15418000000000001</v>
      </c>
      <c r="O3717" s="147">
        <v>0</v>
      </c>
      <c r="P3717" s="729"/>
      <c r="Q3717" s="147">
        <v>0.15418000000000001</v>
      </c>
      <c r="R3717" s="147">
        <v>0</v>
      </c>
    </row>
    <row r="3718" spans="2:18" ht="15.75" hidden="1" thickBot="1" x14ac:dyDescent="0.3">
      <c r="B3718" s="724" t="s">
        <v>790</v>
      </c>
      <c r="C3718" s="722" t="s">
        <v>109</v>
      </c>
      <c r="D3718" t="s">
        <v>110</v>
      </c>
      <c r="E3718" s="728"/>
      <c r="F3718" s="728"/>
      <c r="G3718" s="728"/>
      <c r="H3718" s="728"/>
      <c r="I3718" s="728"/>
      <c r="J3718" s="728"/>
      <c r="K3718" s="728"/>
      <c r="L3718" s="148">
        <v>1.8970100000000001</v>
      </c>
      <c r="M3718" s="728"/>
      <c r="N3718" s="148">
        <v>1.8970100000000001</v>
      </c>
      <c r="O3718" s="148">
        <v>0</v>
      </c>
      <c r="P3718" s="148">
        <v>0.36656</v>
      </c>
      <c r="Q3718" s="148">
        <v>1.5304500000000001</v>
      </c>
      <c r="R3718" s="148">
        <v>417.51691401134877</v>
      </c>
    </row>
    <row r="3719" spans="2:18" ht="15.75" hidden="1" thickBot="1" x14ac:dyDescent="0.3">
      <c r="B3719" s="724" t="s">
        <v>790</v>
      </c>
      <c r="C3719" s="722" t="s">
        <v>73</v>
      </c>
      <c r="D3719" t="s">
        <v>74</v>
      </c>
      <c r="E3719" s="147">
        <v>2.1230600000000002</v>
      </c>
      <c r="F3719" s="147">
        <v>0.63700000000000001</v>
      </c>
      <c r="G3719" s="147">
        <v>1.4860599999999999</v>
      </c>
      <c r="H3719" s="147">
        <v>233.29042386185245</v>
      </c>
      <c r="I3719" s="729"/>
      <c r="J3719" s="147">
        <v>2.1230600000000002</v>
      </c>
      <c r="K3719" s="147">
        <v>0</v>
      </c>
      <c r="L3719" s="147">
        <v>8.3428000000000004</v>
      </c>
      <c r="M3719" s="147">
        <v>7.6</v>
      </c>
      <c r="N3719" s="147">
        <v>0.74280000000000002</v>
      </c>
      <c r="O3719" s="147">
        <v>9.7736842105263158</v>
      </c>
      <c r="P3719" s="147">
        <v>3.8598300000000001</v>
      </c>
      <c r="Q3719" s="147">
        <v>4.4829699999999999</v>
      </c>
      <c r="R3719" s="147">
        <v>116.14423433156382</v>
      </c>
    </row>
    <row r="3720" spans="2:18" ht="15.75" hidden="1" thickBot="1" x14ac:dyDescent="0.3">
      <c r="B3720" s="724" t="s">
        <v>790</v>
      </c>
      <c r="C3720" s="722" t="s">
        <v>111</v>
      </c>
      <c r="D3720" t="s">
        <v>112</v>
      </c>
      <c r="E3720" s="728"/>
      <c r="F3720" s="148">
        <v>0.25</v>
      </c>
      <c r="G3720" s="148">
        <v>-0.25</v>
      </c>
      <c r="H3720" s="148">
        <v>-100</v>
      </c>
      <c r="I3720" s="728"/>
      <c r="J3720" s="728"/>
      <c r="K3720" s="728"/>
      <c r="L3720" s="148">
        <v>7.8490000000000004E-2</v>
      </c>
      <c r="M3720" s="148">
        <v>3</v>
      </c>
      <c r="N3720" s="148">
        <v>-2.9215100000000001</v>
      </c>
      <c r="O3720" s="148">
        <v>-97.38366666666667</v>
      </c>
      <c r="P3720" s="148">
        <v>7.8490000000000004E-2</v>
      </c>
      <c r="Q3720" s="148">
        <v>0</v>
      </c>
      <c r="R3720" s="148">
        <v>0</v>
      </c>
    </row>
    <row r="3721" spans="2:18" ht="15.75" hidden="1" thickBot="1" x14ac:dyDescent="0.3">
      <c r="B3721" s="724" t="s">
        <v>790</v>
      </c>
      <c r="C3721" s="722" t="s">
        <v>141</v>
      </c>
      <c r="D3721" t="s">
        <v>142</v>
      </c>
      <c r="E3721" s="147">
        <v>9.5500000000000002E-2</v>
      </c>
      <c r="F3721" s="729"/>
      <c r="G3721" s="147">
        <v>9.5500000000000002E-2</v>
      </c>
      <c r="H3721" s="147">
        <v>0</v>
      </c>
      <c r="I3721" s="729"/>
      <c r="J3721" s="147">
        <v>9.5500000000000002E-2</v>
      </c>
      <c r="K3721" s="147">
        <v>0</v>
      </c>
      <c r="L3721" s="147">
        <v>0.1855</v>
      </c>
      <c r="M3721" s="729"/>
      <c r="N3721" s="147">
        <v>0.1855</v>
      </c>
      <c r="O3721" s="147">
        <v>0</v>
      </c>
      <c r="P3721" s="147">
        <v>0.09</v>
      </c>
      <c r="Q3721" s="147">
        <v>9.5500000000000002E-2</v>
      </c>
      <c r="R3721" s="147">
        <v>106.11111111111111</v>
      </c>
    </row>
    <row r="3722" spans="2:18" ht="15.75" hidden="1" thickBot="1" x14ac:dyDescent="0.3">
      <c r="B3722" s="724" t="s">
        <v>790</v>
      </c>
      <c r="C3722" s="722" t="s">
        <v>113</v>
      </c>
      <c r="D3722" t="s">
        <v>114</v>
      </c>
      <c r="E3722" s="148">
        <v>0.50631000000000004</v>
      </c>
      <c r="F3722" s="148">
        <v>0.35</v>
      </c>
      <c r="G3722" s="148">
        <v>0.15631</v>
      </c>
      <c r="H3722" s="148">
        <v>44.66</v>
      </c>
      <c r="I3722" s="728"/>
      <c r="J3722" s="148">
        <v>0.50631000000000004</v>
      </c>
      <c r="K3722" s="148">
        <v>0</v>
      </c>
      <c r="L3722" s="148">
        <v>5.1524299999999998</v>
      </c>
      <c r="M3722" s="148">
        <v>4.2</v>
      </c>
      <c r="N3722" s="148">
        <v>0.95243</v>
      </c>
      <c r="O3722" s="148">
        <v>22.676904761904762</v>
      </c>
      <c r="P3722" s="148">
        <v>2.32667</v>
      </c>
      <c r="Q3722" s="148">
        <v>2.8257599999999998</v>
      </c>
      <c r="R3722" s="148">
        <v>121.45082886700736</v>
      </c>
    </row>
    <row r="3723" spans="2:18" ht="15.75" hidden="1" thickBot="1" x14ac:dyDescent="0.3">
      <c r="B3723" s="724" t="s">
        <v>790</v>
      </c>
      <c r="C3723" s="722" t="s">
        <v>201</v>
      </c>
      <c r="D3723" t="s">
        <v>202</v>
      </c>
      <c r="E3723" s="147">
        <v>0.12691</v>
      </c>
      <c r="F3723" s="729"/>
      <c r="G3723" s="147">
        <v>0.12691</v>
      </c>
      <c r="H3723" s="147">
        <v>0</v>
      </c>
      <c r="I3723" s="729"/>
      <c r="J3723" s="147">
        <v>0.12691</v>
      </c>
      <c r="K3723" s="147">
        <v>0</v>
      </c>
      <c r="L3723" s="147">
        <v>0.15767999999999999</v>
      </c>
      <c r="M3723" s="729"/>
      <c r="N3723" s="147">
        <v>0.15767999999999999</v>
      </c>
      <c r="O3723" s="147">
        <v>0</v>
      </c>
      <c r="P3723" s="729"/>
      <c r="Q3723" s="147">
        <v>0.15767999999999999</v>
      </c>
      <c r="R3723" s="147">
        <v>0</v>
      </c>
    </row>
    <row r="3724" spans="2:18" ht="15.75" hidden="1" thickBot="1" x14ac:dyDescent="0.3">
      <c r="B3724" s="724" t="s">
        <v>790</v>
      </c>
      <c r="C3724" s="722" t="s">
        <v>145</v>
      </c>
      <c r="D3724" t="s">
        <v>146</v>
      </c>
      <c r="E3724" s="148">
        <v>0.9768</v>
      </c>
      <c r="F3724" s="148">
        <v>0.5</v>
      </c>
      <c r="G3724" s="148">
        <v>0.4768</v>
      </c>
      <c r="H3724" s="148">
        <v>95.36</v>
      </c>
      <c r="I3724" s="728"/>
      <c r="J3724" s="148">
        <v>0.9768</v>
      </c>
      <c r="K3724" s="148">
        <v>0</v>
      </c>
      <c r="L3724" s="148">
        <v>8.1245700000000003</v>
      </c>
      <c r="M3724" s="148">
        <v>6</v>
      </c>
      <c r="N3724" s="148">
        <v>2.1245699999999998</v>
      </c>
      <c r="O3724" s="148">
        <v>35.409500000000001</v>
      </c>
      <c r="P3724" s="148">
        <v>3.1771199999999999</v>
      </c>
      <c r="Q3724" s="148">
        <v>4.9474499999999999</v>
      </c>
      <c r="R3724" s="148">
        <v>155.72121921740444</v>
      </c>
    </row>
    <row r="3725" spans="2:18" ht="15.75" hidden="1" thickBot="1" x14ac:dyDescent="0.3">
      <c r="B3725" s="724" t="s">
        <v>790</v>
      </c>
      <c r="C3725" s="722" t="s">
        <v>147</v>
      </c>
      <c r="D3725" t="s">
        <v>148</v>
      </c>
      <c r="E3725" s="147">
        <v>0.11178</v>
      </c>
      <c r="F3725" s="729"/>
      <c r="G3725" s="147">
        <v>0.11178</v>
      </c>
      <c r="H3725" s="147">
        <v>0</v>
      </c>
      <c r="I3725" s="729"/>
      <c r="J3725" s="147">
        <v>0.11178</v>
      </c>
      <c r="K3725" s="147">
        <v>0</v>
      </c>
      <c r="L3725" s="147">
        <v>0.65198</v>
      </c>
      <c r="M3725" s="729"/>
      <c r="N3725" s="147">
        <v>0.65198</v>
      </c>
      <c r="O3725" s="147">
        <v>0</v>
      </c>
      <c r="P3725" s="147">
        <v>0.26607999999999998</v>
      </c>
      <c r="Q3725" s="147">
        <v>0.38590000000000002</v>
      </c>
      <c r="R3725" s="147">
        <v>145.03156945279616</v>
      </c>
    </row>
    <row r="3726" spans="2:18" ht="15.75" hidden="1" thickBot="1" x14ac:dyDescent="0.3">
      <c r="B3726" s="724" t="s">
        <v>790</v>
      </c>
      <c r="C3726" s="722" t="s">
        <v>203</v>
      </c>
      <c r="D3726" t="s">
        <v>204</v>
      </c>
      <c r="E3726" s="728"/>
      <c r="F3726" s="728"/>
      <c r="G3726" s="728"/>
      <c r="H3726" s="728"/>
      <c r="I3726" s="728"/>
      <c r="J3726" s="728"/>
      <c r="K3726" s="728"/>
      <c r="L3726" s="148">
        <v>0.35544999999999999</v>
      </c>
      <c r="M3726" s="728"/>
      <c r="N3726" s="148">
        <v>0.35544999999999999</v>
      </c>
      <c r="O3726" s="148">
        <v>0</v>
      </c>
      <c r="P3726" s="148">
        <v>0.18936</v>
      </c>
      <c r="Q3726" s="148">
        <v>0.16608999999999999</v>
      </c>
      <c r="R3726" s="148">
        <v>87.711237853823405</v>
      </c>
    </row>
    <row r="3727" spans="2:18" ht="15.75" hidden="1" thickBot="1" x14ac:dyDescent="0.3">
      <c r="B3727" s="724" t="s">
        <v>790</v>
      </c>
      <c r="C3727" s="722" t="s">
        <v>641</v>
      </c>
      <c r="D3727" t="s">
        <v>642</v>
      </c>
      <c r="E3727" s="729"/>
      <c r="F3727" s="729"/>
      <c r="G3727" s="729"/>
      <c r="H3727" s="729"/>
      <c r="I3727" s="729"/>
      <c r="J3727" s="729"/>
      <c r="K3727" s="729"/>
      <c r="L3727" s="147">
        <v>7.2789999999999994E-2</v>
      </c>
      <c r="M3727" s="729"/>
      <c r="N3727" s="147">
        <v>7.2789999999999994E-2</v>
      </c>
      <c r="O3727" s="147">
        <v>0</v>
      </c>
      <c r="P3727" s="147">
        <v>7.2789999999999994E-2</v>
      </c>
      <c r="Q3727" s="147">
        <v>0</v>
      </c>
      <c r="R3727" s="147">
        <v>0</v>
      </c>
    </row>
    <row r="3728" spans="2:18" ht="15.75" hidden="1" thickBot="1" x14ac:dyDescent="0.3">
      <c r="B3728" s="724" t="s">
        <v>790</v>
      </c>
      <c r="C3728" s="722" t="s">
        <v>149</v>
      </c>
      <c r="D3728" t="s">
        <v>150</v>
      </c>
      <c r="E3728" s="728"/>
      <c r="F3728" s="148">
        <v>1.667</v>
      </c>
      <c r="G3728" s="148">
        <v>-1.667</v>
      </c>
      <c r="H3728" s="148">
        <v>-100</v>
      </c>
      <c r="I3728" s="728"/>
      <c r="J3728" s="728"/>
      <c r="K3728" s="728"/>
      <c r="L3728" s="148">
        <v>20.632580000000001</v>
      </c>
      <c r="M3728" s="148">
        <v>20.004000000000001</v>
      </c>
      <c r="N3728" s="148">
        <v>0.62858000000000003</v>
      </c>
      <c r="O3728" s="148">
        <v>3.1422715456908619</v>
      </c>
      <c r="P3728" s="148">
        <v>2.43268</v>
      </c>
      <c r="Q3728" s="148">
        <v>18.1999</v>
      </c>
      <c r="R3728" s="148">
        <v>748.14196688425932</v>
      </c>
    </row>
    <row r="3729" spans="2:18" ht="15.75" hidden="1" thickBot="1" x14ac:dyDescent="0.3">
      <c r="B3729" s="724" t="s">
        <v>790</v>
      </c>
      <c r="C3729" s="722" t="s">
        <v>649</v>
      </c>
      <c r="D3729" t="s">
        <v>650</v>
      </c>
      <c r="E3729" s="147">
        <v>0.32883000000000001</v>
      </c>
      <c r="F3729" s="729"/>
      <c r="G3729" s="147">
        <v>0.32883000000000001</v>
      </c>
      <c r="H3729" s="147">
        <v>0</v>
      </c>
      <c r="I3729" s="729"/>
      <c r="J3729" s="147">
        <v>0.32883000000000001</v>
      </c>
      <c r="K3729" s="147">
        <v>0</v>
      </c>
      <c r="L3729" s="147">
        <v>0.79859000000000002</v>
      </c>
      <c r="M3729" s="729"/>
      <c r="N3729" s="147">
        <v>0.79859000000000002</v>
      </c>
      <c r="O3729" s="147">
        <v>0</v>
      </c>
      <c r="P3729" s="147">
        <v>0.32181999999999999</v>
      </c>
      <c r="Q3729" s="147">
        <v>0.47677000000000003</v>
      </c>
      <c r="R3729" s="147">
        <v>148.14803306196009</v>
      </c>
    </row>
    <row r="3730" spans="2:18" ht="15.75" hidden="1" thickBot="1" x14ac:dyDescent="0.3">
      <c r="B3730" s="724" t="s">
        <v>790</v>
      </c>
      <c r="C3730" s="722" t="s">
        <v>173</v>
      </c>
      <c r="D3730" t="s">
        <v>174</v>
      </c>
      <c r="E3730" s="148">
        <v>4.4999999999999998E-2</v>
      </c>
      <c r="F3730" s="728"/>
      <c r="G3730" s="148">
        <v>4.4999999999999998E-2</v>
      </c>
      <c r="H3730" s="148">
        <v>0</v>
      </c>
      <c r="I3730" s="728"/>
      <c r="J3730" s="148">
        <v>4.4999999999999998E-2</v>
      </c>
      <c r="K3730" s="148">
        <v>0</v>
      </c>
      <c r="L3730" s="148">
        <v>8.7859999999999994E-2</v>
      </c>
      <c r="M3730" s="728"/>
      <c r="N3730" s="148">
        <v>8.7859999999999994E-2</v>
      </c>
      <c r="O3730" s="148">
        <v>0</v>
      </c>
      <c r="P3730" s="728"/>
      <c r="Q3730" s="148">
        <v>8.7859999999999994E-2</v>
      </c>
      <c r="R3730" s="148">
        <v>0</v>
      </c>
    </row>
    <row r="3731" spans="2:18" ht="15.75" hidden="1" thickBot="1" x14ac:dyDescent="0.3">
      <c r="B3731" s="724" t="s">
        <v>790</v>
      </c>
      <c r="C3731" s="722" t="s">
        <v>481</v>
      </c>
      <c r="D3731" t="s">
        <v>482</v>
      </c>
      <c r="E3731" s="729"/>
      <c r="F3731" s="729"/>
      <c r="G3731" s="729"/>
      <c r="H3731" s="729"/>
      <c r="I3731" s="729"/>
      <c r="J3731" s="729"/>
      <c r="K3731" s="729"/>
      <c r="L3731" s="147">
        <v>0.10843</v>
      </c>
      <c r="M3731" s="729"/>
      <c r="N3731" s="147">
        <v>0.10843</v>
      </c>
      <c r="O3731" s="147">
        <v>0</v>
      </c>
      <c r="P3731" s="147">
        <v>6.3479999999999995E-2</v>
      </c>
      <c r="Q3731" s="147">
        <v>4.4949999999999997E-2</v>
      </c>
      <c r="R3731" s="147">
        <v>70.809703843730304</v>
      </c>
    </row>
    <row r="3732" spans="2:18" ht="15.75" hidden="1" thickBot="1" x14ac:dyDescent="0.3">
      <c r="B3732" s="724" t="s">
        <v>790</v>
      </c>
      <c r="C3732" s="722" t="s">
        <v>661</v>
      </c>
      <c r="D3732" t="s">
        <v>662</v>
      </c>
      <c r="E3732" s="728"/>
      <c r="F3732" s="728"/>
      <c r="G3732" s="728"/>
      <c r="H3732" s="728"/>
      <c r="I3732" s="728"/>
      <c r="J3732" s="728"/>
      <c r="K3732" s="728"/>
      <c r="L3732" s="148">
        <v>16.262250000000002</v>
      </c>
      <c r="M3732" s="728"/>
      <c r="N3732" s="148">
        <v>16.262250000000002</v>
      </c>
      <c r="O3732" s="148">
        <v>0</v>
      </c>
      <c r="P3732" s="148">
        <v>16.262250000000002</v>
      </c>
      <c r="Q3732" s="148">
        <v>0</v>
      </c>
      <c r="R3732" s="148">
        <v>0</v>
      </c>
    </row>
    <row r="3733" spans="2:18" ht="15.75" hidden="1" thickBot="1" x14ac:dyDescent="0.3">
      <c r="B3733" s="724" t="s">
        <v>790</v>
      </c>
      <c r="C3733" s="722" t="s">
        <v>207</v>
      </c>
      <c r="D3733" t="s">
        <v>208</v>
      </c>
      <c r="E3733" s="729"/>
      <c r="F3733" s="729"/>
      <c r="G3733" s="729"/>
      <c r="H3733" s="729"/>
      <c r="I3733" s="729"/>
      <c r="J3733" s="729"/>
      <c r="K3733" s="729"/>
      <c r="L3733" s="147">
        <v>1.5990000000000001E-2</v>
      </c>
      <c r="M3733" s="729"/>
      <c r="N3733" s="147">
        <v>1.5990000000000001E-2</v>
      </c>
      <c r="O3733" s="147">
        <v>0</v>
      </c>
      <c r="P3733" s="729"/>
      <c r="Q3733" s="147">
        <v>1.5990000000000001E-2</v>
      </c>
      <c r="R3733" s="147">
        <v>0</v>
      </c>
    </row>
    <row r="3734" spans="2:18" ht="15.75" hidden="1" thickBot="1" x14ac:dyDescent="0.3">
      <c r="B3734" s="724" t="s">
        <v>790</v>
      </c>
      <c r="C3734" s="722" t="s">
        <v>75</v>
      </c>
      <c r="D3734" t="s">
        <v>76</v>
      </c>
      <c r="E3734" s="148">
        <v>1.0465800000000001</v>
      </c>
      <c r="F3734" s="148">
        <v>1.5</v>
      </c>
      <c r="G3734" s="148">
        <v>-0.45341999999999999</v>
      </c>
      <c r="H3734" s="148">
        <v>-30.228000000000002</v>
      </c>
      <c r="I3734" s="728"/>
      <c r="J3734" s="148">
        <v>1.0465800000000001</v>
      </c>
      <c r="K3734" s="148">
        <v>0</v>
      </c>
      <c r="L3734" s="148">
        <v>17.305910000000001</v>
      </c>
      <c r="M3734" s="148">
        <v>18</v>
      </c>
      <c r="N3734" s="148">
        <v>-0.69408999999999998</v>
      </c>
      <c r="O3734" s="148">
        <v>-3.8560555555555553</v>
      </c>
      <c r="P3734" s="148">
        <v>7.4368299999999996</v>
      </c>
      <c r="Q3734" s="148">
        <v>9.8690800000000003</v>
      </c>
      <c r="R3734" s="148">
        <v>132.70546724881436</v>
      </c>
    </row>
    <row r="3735" spans="2:18" ht="15.75" hidden="1" thickBot="1" x14ac:dyDescent="0.3">
      <c r="B3735" s="724" t="s">
        <v>790</v>
      </c>
      <c r="C3735" s="722" t="s">
        <v>121</v>
      </c>
      <c r="D3735" t="s">
        <v>122</v>
      </c>
      <c r="E3735" s="147">
        <v>1.0999999999999999E-2</v>
      </c>
      <c r="F3735" s="147">
        <v>0.95382999999999996</v>
      </c>
      <c r="G3735" s="147">
        <v>-0.94282999999999995</v>
      </c>
      <c r="H3735" s="147">
        <v>-98.846754662780583</v>
      </c>
      <c r="I3735" s="729"/>
      <c r="J3735" s="147">
        <v>1.0999999999999999E-2</v>
      </c>
      <c r="K3735" s="147">
        <v>0</v>
      </c>
      <c r="L3735" s="147">
        <v>2.1175000000000002</v>
      </c>
      <c r="M3735" s="147">
        <v>11.445959999999999</v>
      </c>
      <c r="N3735" s="147">
        <v>-9.3284599999999998</v>
      </c>
      <c r="O3735" s="147">
        <v>-81.500022715438462</v>
      </c>
      <c r="P3735" s="147">
        <v>0.85145999999999999</v>
      </c>
      <c r="Q3735" s="147">
        <v>1.2660400000000001</v>
      </c>
      <c r="R3735" s="147">
        <v>148.69048457942827</v>
      </c>
    </row>
    <row r="3736" spans="2:18" ht="15.75" hidden="1" thickBot="1" x14ac:dyDescent="0.3">
      <c r="B3736" s="724" t="s">
        <v>790</v>
      </c>
      <c r="C3736" s="722" t="s">
        <v>77</v>
      </c>
      <c r="D3736" t="s">
        <v>78</v>
      </c>
      <c r="E3736" s="148">
        <v>0.29307</v>
      </c>
      <c r="F3736" s="148">
        <v>1.25</v>
      </c>
      <c r="G3736" s="148">
        <v>-0.95692999999999995</v>
      </c>
      <c r="H3736" s="148">
        <v>-76.554400000000001</v>
      </c>
      <c r="I3736" s="728"/>
      <c r="J3736" s="148">
        <v>0.29307</v>
      </c>
      <c r="K3736" s="148">
        <v>0</v>
      </c>
      <c r="L3736" s="148">
        <v>18.24174</v>
      </c>
      <c r="M3736" s="148">
        <v>24.6</v>
      </c>
      <c r="N3736" s="148">
        <v>-6.3582599999999996</v>
      </c>
      <c r="O3736" s="148">
        <v>-25.84658536585366</v>
      </c>
      <c r="P3736" s="148">
        <v>9.8783600000000007</v>
      </c>
      <c r="Q3736" s="148">
        <v>8.3633799999999994</v>
      </c>
      <c r="R3736" s="148">
        <v>84.663648621836018</v>
      </c>
    </row>
    <row r="3737" spans="2:18" ht="15.75" hidden="1" thickBot="1" x14ac:dyDescent="0.3">
      <c r="B3737" s="724" t="s">
        <v>790</v>
      </c>
      <c r="C3737" s="722" t="s">
        <v>79</v>
      </c>
      <c r="D3737" t="s">
        <v>80</v>
      </c>
      <c r="E3737" s="147">
        <v>15.681620000000001</v>
      </c>
      <c r="F3737" s="147">
        <v>0.4</v>
      </c>
      <c r="G3737" s="147">
        <v>15.28162</v>
      </c>
      <c r="H3737" s="147">
        <v>3820.4050000000002</v>
      </c>
      <c r="I3737" s="729"/>
      <c r="J3737" s="147">
        <v>15.681620000000001</v>
      </c>
      <c r="K3737" s="147">
        <v>0</v>
      </c>
      <c r="L3737" s="147">
        <v>39.645409999999998</v>
      </c>
      <c r="M3737" s="147">
        <v>4.8</v>
      </c>
      <c r="N3737" s="147">
        <v>34.845410000000001</v>
      </c>
      <c r="O3737" s="147">
        <v>725.9460416666667</v>
      </c>
      <c r="P3737" s="147">
        <v>9.8227399999999996</v>
      </c>
      <c r="Q3737" s="147">
        <v>29.822669999999999</v>
      </c>
      <c r="R3737" s="147">
        <v>303.60846362623869</v>
      </c>
    </row>
    <row r="3738" spans="2:18" ht="15.75" hidden="1" thickBot="1" x14ac:dyDescent="0.3">
      <c r="B3738" s="724" t="s">
        <v>790</v>
      </c>
      <c r="C3738" s="722" t="s">
        <v>81</v>
      </c>
      <c r="D3738" t="s">
        <v>82</v>
      </c>
      <c r="E3738" s="148">
        <v>1.5590999999999999</v>
      </c>
      <c r="F3738" s="148">
        <v>10</v>
      </c>
      <c r="G3738" s="148">
        <v>-8.4408999999999992</v>
      </c>
      <c r="H3738" s="148">
        <v>-84.409000000000006</v>
      </c>
      <c r="I3738" s="728"/>
      <c r="J3738" s="148">
        <v>1.5590999999999999</v>
      </c>
      <c r="K3738" s="148">
        <v>0</v>
      </c>
      <c r="L3738" s="148">
        <v>2.97879</v>
      </c>
      <c r="M3738" s="148">
        <v>12.75</v>
      </c>
      <c r="N3738" s="148">
        <v>-9.77121</v>
      </c>
      <c r="O3738" s="148">
        <v>-76.636941176470586</v>
      </c>
      <c r="P3738" s="148">
        <v>8.7980000000000003E-2</v>
      </c>
      <c r="Q3738" s="148">
        <v>2.8908100000000001</v>
      </c>
      <c r="R3738" s="148">
        <v>3285.7581268470108</v>
      </c>
    </row>
    <row r="3739" spans="2:18" ht="15.75" hidden="1" thickBot="1" x14ac:dyDescent="0.3">
      <c r="B3739" s="724" t="s">
        <v>790</v>
      </c>
      <c r="C3739" s="722" t="s">
        <v>123</v>
      </c>
      <c r="D3739" t="s">
        <v>124</v>
      </c>
      <c r="E3739" s="147">
        <v>0.79146000000000005</v>
      </c>
      <c r="F3739" s="729"/>
      <c r="G3739" s="147">
        <v>0.79146000000000005</v>
      </c>
      <c r="H3739" s="147">
        <v>0</v>
      </c>
      <c r="I3739" s="729"/>
      <c r="J3739" s="147">
        <v>0.79146000000000005</v>
      </c>
      <c r="K3739" s="147">
        <v>0</v>
      </c>
      <c r="L3739" s="147">
        <v>4.2143899999999999</v>
      </c>
      <c r="M3739" s="729"/>
      <c r="N3739" s="147">
        <v>4.2143899999999999</v>
      </c>
      <c r="O3739" s="147">
        <v>0</v>
      </c>
      <c r="P3739" s="147">
        <v>1.0525599999999999</v>
      </c>
      <c r="Q3739" s="147">
        <v>3.1618300000000001</v>
      </c>
      <c r="R3739" s="147">
        <v>300.39427681082316</v>
      </c>
    </row>
    <row r="3740" spans="2:18" ht="15.75" hidden="1" thickBot="1" x14ac:dyDescent="0.3">
      <c r="B3740" s="724" t="s">
        <v>790</v>
      </c>
      <c r="C3740" s="722" t="s">
        <v>213</v>
      </c>
      <c r="D3740" t="s">
        <v>214</v>
      </c>
      <c r="E3740" s="728"/>
      <c r="F3740" s="728"/>
      <c r="G3740" s="728"/>
      <c r="H3740" s="728"/>
      <c r="I3740" s="728"/>
      <c r="J3740" s="728"/>
      <c r="K3740" s="728"/>
      <c r="L3740" s="148">
        <v>-2.1600000000000001E-2</v>
      </c>
      <c r="M3740" s="728"/>
      <c r="N3740" s="148">
        <v>-2.1600000000000001E-2</v>
      </c>
      <c r="O3740" s="148">
        <v>0</v>
      </c>
      <c r="P3740" s="728"/>
      <c r="Q3740" s="148">
        <v>-2.1600000000000001E-2</v>
      </c>
      <c r="R3740" s="148">
        <v>0</v>
      </c>
    </row>
    <row r="3741" spans="2:18" ht="15.75" hidden="1" thickBot="1" x14ac:dyDescent="0.3">
      <c r="B3741" s="724" t="s">
        <v>790</v>
      </c>
      <c r="C3741" s="722" t="s">
        <v>83</v>
      </c>
      <c r="D3741" t="s">
        <v>84</v>
      </c>
      <c r="E3741" s="729"/>
      <c r="F3741" s="147">
        <v>2.6</v>
      </c>
      <c r="G3741" s="147">
        <v>-2.6</v>
      </c>
      <c r="H3741" s="147">
        <v>-100</v>
      </c>
      <c r="I3741" s="729"/>
      <c r="J3741" s="729"/>
      <c r="K3741" s="729"/>
      <c r="L3741" s="729"/>
      <c r="M3741" s="147">
        <v>31.2</v>
      </c>
      <c r="N3741" s="147">
        <v>-31.2</v>
      </c>
      <c r="O3741" s="147">
        <v>-100</v>
      </c>
      <c r="P3741" s="729"/>
      <c r="Q3741" s="729"/>
      <c r="R3741" s="729"/>
    </row>
    <row r="3742" spans="2:18" ht="15.75" hidden="1" thickBot="1" x14ac:dyDescent="0.3">
      <c r="B3742" s="724" t="s">
        <v>790</v>
      </c>
      <c r="C3742" s="149" t="s">
        <v>85</v>
      </c>
      <c r="D3742" t="s">
        <v>86</v>
      </c>
      <c r="E3742" s="148">
        <v>126.81319000000001</v>
      </c>
      <c r="F3742" s="148">
        <v>32.824489999999997</v>
      </c>
      <c r="G3742" s="148">
        <v>93.988699999999994</v>
      </c>
      <c r="H3742" s="148">
        <v>286.33712206952799</v>
      </c>
      <c r="I3742" s="728"/>
      <c r="J3742" s="148">
        <v>126.81319000000001</v>
      </c>
      <c r="K3742" s="148">
        <v>0</v>
      </c>
      <c r="L3742" s="148">
        <v>443.39958999999999</v>
      </c>
      <c r="M3742" s="148">
        <v>389.69988000000001</v>
      </c>
      <c r="N3742" s="148">
        <v>53.699710000000003</v>
      </c>
      <c r="O3742" s="148">
        <v>13.779760465925728</v>
      </c>
      <c r="P3742" s="148">
        <v>142.8135</v>
      </c>
      <c r="Q3742" s="148">
        <v>300.58609000000001</v>
      </c>
      <c r="R3742" s="148">
        <v>210.47456297899009</v>
      </c>
    </row>
    <row r="3743" spans="2:18" ht="15.75" hidden="1" thickBot="1" x14ac:dyDescent="0.3">
      <c r="B3743" s="724" t="s">
        <v>790</v>
      </c>
      <c r="C3743" s="144" t="s">
        <v>87</v>
      </c>
      <c r="D3743" t="s">
        <v>87</v>
      </c>
      <c r="E3743" s="147">
        <v>459.98057999999997</v>
      </c>
      <c r="F3743" s="147">
        <v>362.35617999999999</v>
      </c>
      <c r="G3743" s="147">
        <v>97.624399999999994</v>
      </c>
      <c r="H3743" s="147">
        <v>26.94155788925692</v>
      </c>
      <c r="I3743" s="729"/>
      <c r="J3743" s="147">
        <v>459.98057999999997</v>
      </c>
      <c r="K3743" s="147">
        <v>0</v>
      </c>
      <c r="L3743" s="147">
        <v>4265.6199399999996</v>
      </c>
      <c r="M3743" s="147">
        <v>4277.1829299999999</v>
      </c>
      <c r="N3743" s="147">
        <v>-11.562989999999999</v>
      </c>
      <c r="O3743" s="147">
        <v>-0.27034125472861176</v>
      </c>
      <c r="P3743" s="147">
        <v>2070.36069</v>
      </c>
      <c r="Q3743" s="147">
        <v>2195.2592500000001</v>
      </c>
      <c r="R3743" s="147">
        <v>106.03269568453794</v>
      </c>
    </row>
    <row r="3744" spans="2:18" ht="15.75" hidden="1" thickBot="1" x14ac:dyDescent="0.3">
      <c r="B3744" s="725" t="s">
        <v>190</v>
      </c>
      <c r="C3744" s="722" t="s">
        <v>59</v>
      </c>
      <c r="D3744" t="s">
        <v>60</v>
      </c>
      <c r="E3744" s="728"/>
      <c r="F3744" s="148">
        <v>6.6097900000000003</v>
      </c>
      <c r="G3744" s="148">
        <v>-6.6097900000000003</v>
      </c>
      <c r="H3744" s="148">
        <v>-100</v>
      </c>
      <c r="I3744" s="728"/>
      <c r="J3744" s="728"/>
      <c r="K3744" s="728"/>
      <c r="L3744" s="728"/>
      <c r="M3744" s="148">
        <v>78.901359999999997</v>
      </c>
      <c r="N3744" s="148">
        <v>-78.901359999999997</v>
      </c>
      <c r="O3744" s="148">
        <v>-100</v>
      </c>
      <c r="P3744" s="728"/>
      <c r="Q3744" s="728"/>
      <c r="R3744" s="728"/>
    </row>
    <row r="3745" spans="2:18" ht="15.75" hidden="1" thickBot="1" x14ac:dyDescent="0.3">
      <c r="B3745" s="725" t="s">
        <v>190</v>
      </c>
      <c r="C3745" s="722" t="s">
        <v>91</v>
      </c>
      <c r="D3745" t="s">
        <v>92</v>
      </c>
      <c r="E3745" s="729"/>
      <c r="F3745" s="147">
        <v>75.526750000000007</v>
      </c>
      <c r="G3745" s="147">
        <v>-75.526750000000007</v>
      </c>
      <c r="H3745" s="147">
        <v>-100</v>
      </c>
      <c r="I3745" s="729"/>
      <c r="J3745" s="729"/>
      <c r="K3745" s="729"/>
      <c r="L3745" s="147">
        <v>1.26373</v>
      </c>
      <c r="M3745" s="147">
        <v>882.1232</v>
      </c>
      <c r="N3745" s="147">
        <v>-880.85946999999999</v>
      </c>
      <c r="O3745" s="147">
        <v>-99.856739965573965</v>
      </c>
      <c r="P3745" s="147">
        <v>1.26373</v>
      </c>
      <c r="Q3745" s="147">
        <v>0</v>
      </c>
      <c r="R3745" s="147">
        <v>0</v>
      </c>
    </row>
    <row r="3746" spans="2:18" ht="15.75" hidden="1" thickBot="1" x14ac:dyDescent="0.3">
      <c r="B3746" s="725" t="s">
        <v>190</v>
      </c>
      <c r="C3746" s="722" t="s">
        <v>61</v>
      </c>
      <c r="D3746" t="s">
        <v>62</v>
      </c>
      <c r="E3746" s="728"/>
      <c r="F3746" s="148">
        <v>12.731159999999999</v>
      </c>
      <c r="G3746" s="148">
        <v>-12.731159999999999</v>
      </c>
      <c r="H3746" s="148">
        <v>-100</v>
      </c>
      <c r="I3746" s="728"/>
      <c r="J3746" s="728"/>
      <c r="K3746" s="728"/>
      <c r="L3746" s="728"/>
      <c r="M3746" s="148">
        <v>148.95876999999999</v>
      </c>
      <c r="N3746" s="148">
        <v>-148.95876999999999</v>
      </c>
      <c r="O3746" s="148">
        <v>-100</v>
      </c>
      <c r="P3746" s="728"/>
      <c r="Q3746" s="728"/>
      <c r="R3746" s="728"/>
    </row>
    <row r="3747" spans="2:18" ht="15.75" hidden="1" thickBot="1" x14ac:dyDescent="0.3">
      <c r="B3747" s="725" t="s">
        <v>190</v>
      </c>
      <c r="C3747" s="722" t="s">
        <v>63</v>
      </c>
      <c r="D3747" t="s">
        <v>64</v>
      </c>
      <c r="E3747" s="729"/>
      <c r="F3747" s="147">
        <v>49.528329999999997</v>
      </c>
      <c r="G3747" s="147">
        <v>-49.528329999999997</v>
      </c>
      <c r="H3747" s="147">
        <v>-100</v>
      </c>
      <c r="I3747" s="729"/>
      <c r="J3747" s="729"/>
      <c r="K3747" s="729"/>
      <c r="L3747" s="729"/>
      <c r="M3747" s="147">
        <v>579.49775999999997</v>
      </c>
      <c r="N3747" s="147">
        <v>-579.49775999999997</v>
      </c>
      <c r="O3747" s="147">
        <v>-100</v>
      </c>
      <c r="P3747" s="729"/>
      <c r="Q3747" s="729"/>
      <c r="R3747" s="729"/>
    </row>
    <row r="3748" spans="2:18" ht="15.75" hidden="1" thickBot="1" x14ac:dyDescent="0.3">
      <c r="B3748" s="725" t="s">
        <v>190</v>
      </c>
      <c r="C3748" s="722" t="s">
        <v>65</v>
      </c>
      <c r="D3748" t="s">
        <v>66</v>
      </c>
      <c r="E3748" s="728"/>
      <c r="F3748" s="148">
        <v>-11.62</v>
      </c>
      <c r="G3748" s="148">
        <v>11.62</v>
      </c>
      <c r="H3748" s="148">
        <v>100</v>
      </c>
      <c r="I3748" s="728"/>
      <c r="J3748" s="728"/>
      <c r="K3748" s="728"/>
      <c r="L3748" s="728"/>
      <c r="M3748" s="148">
        <v>-138.70848000000001</v>
      </c>
      <c r="N3748" s="148">
        <v>138.70848000000001</v>
      </c>
      <c r="O3748" s="148">
        <v>100</v>
      </c>
      <c r="P3748" s="728"/>
      <c r="Q3748" s="728"/>
      <c r="R3748" s="728"/>
    </row>
    <row r="3749" spans="2:18" ht="15.75" hidden="1" thickBot="1" x14ac:dyDescent="0.3">
      <c r="B3749" s="725" t="s">
        <v>190</v>
      </c>
      <c r="C3749" s="722" t="s">
        <v>163</v>
      </c>
      <c r="D3749" t="s">
        <v>164</v>
      </c>
      <c r="E3749" s="729"/>
      <c r="F3749" s="147">
        <v>-132.77603999999999</v>
      </c>
      <c r="G3749" s="147">
        <v>132.77603999999999</v>
      </c>
      <c r="H3749" s="147">
        <v>100</v>
      </c>
      <c r="I3749" s="729"/>
      <c r="J3749" s="729"/>
      <c r="K3749" s="729"/>
      <c r="L3749" s="729"/>
      <c r="M3749" s="147">
        <v>-1550.77251</v>
      </c>
      <c r="N3749" s="147">
        <v>1550.77251</v>
      </c>
      <c r="O3749" s="147">
        <v>100</v>
      </c>
      <c r="P3749" s="729"/>
      <c r="Q3749" s="729"/>
      <c r="R3749" s="729"/>
    </row>
    <row r="3750" spans="2:18" ht="15.75" hidden="1" thickBot="1" x14ac:dyDescent="0.3">
      <c r="B3750" s="725" t="s">
        <v>190</v>
      </c>
      <c r="C3750" s="149" t="s">
        <v>67</v>
      </c>
      <c r="D3750" t="s">
        <v>68</v>
      </c>
      <c r="E3750" s="728"/>
      <c r="F3750" s="148">
        <v>-1.0000000000000001E-5</v>
      </c>
      <c r="G3750" s="148">
        <v>1.0000000000000001E-5</v>
      </c>
      <c r="H3750" s="148">
        <v>100</v>
      </c>
      <c r="I3750" s="728"/>
      <c r="J3750" s="728"/>
      <c r="K3750" s="728"/>
      <c r="L3750" s="148">
        <v>1.26373</v>
      </c>
      <c r="M3750" s="148">
        <v>1E-4</v>
      </c>
      <c r="N3750" s="148">
        <v>1.26363</v>
      </c>
      <c r="O3750" s="148">
        <v>1263630</v>
      </c>
      <c r="P3750" s="148">
        <v>1.26373</v>
      </c>
      <c r="Q3750" s="148">
        <v>0</v>
      </c>
      <c r="R3750" s="148">
        <v>0</v>
      </c>
    </row>
    <row r="3751" spans="2:18" ht="15.75" hidden="1" thickBot="1" x14ac:dyDescent="0.3">
      <c r="B3751" s="725" t="s">
        <v>190</v>
      </c>
      <c r="C3751" s="722" t="s">
        <v>99</v>
      </c>
      <c r="D3751" t="s">
        <v>100</v>
      </c>
      <c r="E3751" s="147">
        <v>1.59</v>
      </c>
      <c r="F3751" s="729"/>
      <c r="G3751" s="147">
        <v>1.59</v>
      </c>
      <c r="H3751" s="147">
        <v>0</v>
      </c>
      <c r="I3751" s="729"/>
      <c r="J3751" s="147">
        <v>1.59</v>
      </c>
      <c r="K3751" s="147">
        <v>0</v>
      </c>
      <c r="L3751" s="147">
        <v>2.0000300000000002</v>
      </c>
      <c r="M3751" s="729"/>
      <c r="N3751" s="147">
        <v>2.0000300000000002</v>
      </c>
      <c r="O3751" s="147">
        <v>0</v>
      </c>
      <c r="P3751" s="147">
        <v>0.41003000000000001</v>
      </c>
      <c r="Q3751" s="147">
        <v>1.59</v>
      </c>
      <c r="R3751" s="147">
        <v>387.77650415823234</v>
      </c>
    </row>
    <row r="3752" spans="2:18" ht="15.75" hidden="1" thickBot="1" x14ac:dyDescent="0.3">
      <c r="B3752" s="725" t="s">
        <v>190</v>
      </c>
      <c r="C3752" s="722" t="s">
        <v>165</v>
      </c>
      <c r="D3752" t="s">
        <v>166</v>
      </c>
      <c r="E3752" s="728"/>
      <c r="F3752" s="728"/>
      <c r="G3752" s="728"/>
      <c r="H3752" s="728"/>
      <c r="I3752" s="728"/>
      <c r="J3752" s="728"/>
      <c r="K3752" s="728"/>
      <c r="L3752" s="148">
        <v>3.7699999999999997E-2</v>
      </c>
      <c r="M3752" s="728"/>
      <c r="N3752" s="148">
        <v>3.7699999999999997E-2</v>
      </c>
      <c r="O3752" s="148">
        <v>0</v>
      </c>
      <c r="P3752" s="148">
        <v>3.7699999999999997E-2</v>
      </c>
      <c r="Q3752" s="148">
        <v>0</v>
      </c>
      <c r="R3752" s="148">
        <v>0</v>
      </c>
    </row>
    <row r="3753" spans="2:18" ht="15.75" hidden="1" thickBot="1" x14ac:dyDescent="0.3">
      <c r="B3753" s="725" t="s">
        <v>190</v>
      </c>
      <c r="C3753" s="722" t="s">
        <v>201</v>
      </c>
      <c r="D3753" t="s">
        <v>202</v>
      </c>
      <c r="E3753" s="147">
        <v>0.12691</v>
      </c>
      <c r="F3753" s="729"/>
      <c r="G3753" s="147">
        <v>0.12691</v>
      </c>
      <c r="H3753" s="147">
        <v>0</v>
      </c>
      <c r="I3753" s="729"/>
      <c r="J3753" s="147">
        <v>0.12691</v>
      </c>
      <c r="K3753" s="147">
        <v>0</v>
      </c>
      <c r="L3753" s="147">
        <v>0.12691</v>
      </c>
      <c r="M3753" s="729"/>
      <c r="N3753" s="147">
        <v>0.12691</v>
      </c>
      <c r="O3753" s="147">
        <v>0</v>
      </c>
      <c r="P3753" s="729"/>
      <c r="Q3753" s="147">
        <v>0.12691</v>
      </c>
      <c r="R3753" s="147">
        <v>0</v>
      </c>
    </row>
    <row r="3754" spans="2:18" ht="15.75" hidden="1" thickBot="1" x14ac:dyDescent="0.3">
      <c r="B3754" s="725" t="s">
        <v>190</v>
      </c>
      <c r="C3754" s="149" t="s">
        <v>85</v>
      </c>
      <c r="D3754" t="s">
        <v>86</v>
      </c>
      <c r="E3754" s="148">
        <v>1.7169099999999999</v>
      </c>
      <c r="F3754" s="728"/>
      <c r="G3754" s="148">
        <v>1.7169099999999999</v>
      </c>
      <c r="H3754" s="148">
        <v>0</v>
      </c>
      <c r="I3754" s="728"/>
      <c r="J3754" s="148">
        <v>1.7169099999999999</v>
      </c>
      <c r="K3754" s="148">
        <v>0</v>
      </c>
      <c r="L3754" s="148">
        <v>2.1646399999999999</v>
      </c>
      <c r="M3754" s="728"/>
      <c r="N3754" s="148">
        <v>2.1646399999999999</v>
      </c>
      <c r="O3754" s="148">
        <v>0</v>
      </c>
      <c r="P3754" s="148">
        <v>0.44773000000000002</v>
      </c>
      <c r="Q3754" s="148">
        <v>1.7169099999999999</v>
      </c>
      <c r="R3754" s="148">
        <v>383.46994840640565</v>
      </c>
    </row>
    <row r="3755" spans="2:18" ht="15.75" hidden="1" thickBot="1" x14ac:dyDescent="0.3">
      <c r="B3755" s="725" t="s">
        <v>190</v>
      </c>
      <c r="C3755" s="144" t="s">
        <v>87</v>
      </c>
      <c r="D3755" t="s">
        <v>87</v>
      </c>
      <c r="E3755" s="147">
        <v>1.7169099999999999</v>
      </c>
      <c r="F3755" s="147">
        <v>-1.0000000000000001E-5</v>
      </c>
      <c r="G3755" s="147">
        <v>1.71692</v>
      </c>
      <c r="H3755" s="147">
        <v>17169200</v>
      </c>
      <c r="I3755" s="729"/>
      <c r="J3755" s="147">
        <v>1.7169099999999999</v>
      </c>
      <c r="K3755" s="147">
        <v>0</v>
      </c>
      <c r="L3755" s="147">
        <v>3.4283700000000001</v>
      </c>
      <c r="M3755" s="147">
        <v>1E-4</v>
      </c>
      <c r="N3755" s="147">
        <v>3.4282699999999999</v>
      </c>
      <c r="O3755" s="147">
        <v>3428270</v>
      </c>
      <c r="P3755" s="147">
        <v>1.71146</v>
      </c>
      <c r="Q3755" s="147">
        <v>1.7169099999999999</v>
      </c>
      <c r="R3755" s="147">
        <v>100.31844156451217</v>
      </c>
    </row>
    <row r="3756" spans="2:18" ht="15.75" hidden="1" thickBot="1" x14ac:dyDescent="0.3">
      <c r="B3756" s="725" t="s">
        <v>791</v>
      </c>
      <c r="C3756" s="722" t="s">
        <v>91</v>
      </c>
      <c r="D3756" t="s">
        <v>92</v>
      </c>
      <c r="E3756" s="728"/>
      <c r="F3756" s="148">
        <v>23.599930000000001</v>
      </c>
      <c r="G3756" s="148">
        <v>-23.599930000000001</v>
      </c>
      <c r="H3756" s="148">
        <v>-100</v>
      </c>
      <c r="I3756" s="728"/>
      <c r="J3756" s="728"/>
      <c r="K3756" s="728"/>
      <c r="L3756" s="728"/>
      <c r="M3756" s="148">
        <v>275.63808999999998</v>
      </c>
      <c r="N3756" s="148">
        <v>-275.63808999999998</v>
      </c>
      <c r="O3756" s="148">
        <v>-100</v>
      </c>
      <c r="P3756" s="728"/>
      <c r="Q3756" s="728"/>
      <c r="R3756" s="728"/>
    </row>
    <row r="3757" spans="2:18" ht="15.75" hidden="1" thickBot="1" x14ac:dyDescent="0.3">
      <c r="B3757" s="725" t="s">
        <v>791</v>
      </c>
      <c r="C3757" s="722" t="s">
        <v>61</v>
      </c>
      <c r="D3757" t="s">
        <v>62</v>
      </c>
      <c r="E3757" s="729"/>
      <c r="F3757" s="147">
        <v>3.6579999999999999</v>
      </c>
      <c r="G3757" s="147">
        <v>-3.6579999999999999</v>
      </c>
      <c r="H3757" s="147">
        <v>-100</v>
      </c>
      <c r="I3757" s="729"/>
      <c r="J3757" s="729"/>
      <c r="K3757" s="729"/>
      <c r="L3757" s="729"/>
      <c r="M3757" s="147">
        <v>42.723840000000003</v>
      </c>
      <c r="N3757" s="147">
        <v>-42.723840000000003</v>
      </c>
      <c r="O3757" s="147">
        <v>-100</v>
      </c>
      <c r="P3757" s="729"/>
      <c r="Q3757" s="729"/>
      <c r="R3757" s="729"/>
    </row>
    <row r="3758" spans="2:18" ht="15.75" hidden="1" thickBot="1" x14ac:dyDescent="0.3">
      <c r="B3758" s="725" t="s">
        <v>791</v>
      </c>
      <c r="C3758" s="722" t="s">
        <v>63</v>
      </c>
      <c r="D3758" t="s">
        <v>64</v>
      </c>
      <c r="E3758" s="728"/>
      <c r="F3758" s="148">
        <v>14.23075</v>
      </c>
      <c r="G3758" s="148">
        <v>-14.23075</v>
      </c>
      <c r="H3758" s="148">
        <v>-100</v>
      </c>
      <c r="I3758" s="728"/>
      <c r="J3758" s="728"/>
      <c r="K3758" s="728"/>
      <c r="L3758" s="728"/>
      <c r="M3758" s="148">
        <v>166.20972</v>
      </c>
      <c r="N3758" s="148">
        <v>-166.20972</v>
      </c>
      <c r="O3758" s="148">
        <v>-100</v>
      </c>
      <c r="P3758" s="728"/>
      <c r="Q3758" s="728"/>
      <c r="R3758" s="728"/>
    </row>
    <row r="3759" spans="2:18" ht="15.75" hidden="1" thickBot="1" x14ac:dyDescent="0.3">
      <c r="B3759" s="725" t="s">
        <v>791</v>
      </c>
      <c r="C3759" s="722" t="s">
        <v>163</v>
      </c>
      <c r="D3759" t="s">
        <v>164</v>
      </c>
      <c r="E3759" s="729"/>
      <c r="F3759" s="147">
        <v>-41.488709999999998</v>
      </c>
      <c r="G3759" s="147">
        <v>41.488709999999998</v>
      </c>
      <c r="H3759" s="147">
        <v>100</v>
      </c>
      <c r="I3759" s="729"/>
      <c r="J3759" s="729"/>
      <c r="K3759" s="729"/>
      <c r="L3759" s="729"/>
      <c r="M3759" s="147">
        <v>-484.57190000000003</v>
      </c>
      <c r="N3759" s="147">
        <v>484.57190000000003</v>
      </c>
      <c r="O3759" s="147">
        <v>100</v>
      </c>
      <c r="P3759" s="729"/>
      <c r="Q3759" s="729"/>
      <c r="R3759" s="729"/>
    </row>
    <row r="3760" spans="2:18" ht="15.75" hidden="1" thickBot="1" x14ac:dyDescent="0.3">
      <c r="B3760" s="725" t="s">
        <v>791</v>
      </c>
      <c r="C3760" s="149" t="s">
        <v>67</v>
      </c>
      <c r="D3760" t="s">
        <v>68</v>
      </c>
      <c r="E3760" s="728"/>
      <c r="F3760" s="148">
        <v>-3.0000000000000001E-5</v>
      </c>
      <c r="G3760" s="148">
        <v>3.0000000000000001E-5</v>
      </c>
      <c r="H3760" s="148">
        <v>100</v>
      </c>
      <c r="I3760" s="728"/>
      <c r="J3760" s="728"/>
      <c r="K3760" s="728"/>
      <c r="L3760" s="728"/>
      <c r="M3760" s="148">
        <v>-2.5000000000000001E-4</v>
      </c>
      <c r="N3760" s="148">
        <v>2.5000000000000001E-4</v>
      </c>
      <c r="O3760" s="148">
        <v>100</v>
      </c>
      <c r="P3760" s="728"/>
      <c r="Q3760" s="728"/>
      <c r="R3760" s="728"/>
    </row>
    <row r="3761" spans="2:18" ht="15.75" hidden="1" thickBot="1" x14ac:dyDescent="0.3">
      <c r="B3761" s="725" t="s">
        <v>791</v>
      </c>
      <c r="C3761" s="722" t="s">
        <v>137</v>
      </c>
      <c r="D3761" t="s">
        <v>138</v>
      </c>
      <c r="E3761" s="729"/>
      <c r="F3761" s="729"/>
      <c r="G3761" s="729"/>
      <c r="H3761" s="729"/>
      <c r="I3761" s="729"/>
      <c r="J3761" s="729"/>
      <c r="K3761" s="729"/>
      <c r="L3761" s="147">
        <v>0</v>
      </c>
      <c r="M3761" s="729"/>
      <c r="N3761" s="147">
        <v>0</v>
      </c>
      <c r="O3761" s="147">
        <v>0</v>
      </c>
      <c r="P3761" s="147">
        <v>0</v>
      </c>
      <c r="Q3761" s="147">
        <v>0</v>
      </c>
      <c r="R3761" s="147">
        <v>0</v>
      </c>
    </row>
    <row r="3762" spans="2:18" ht="15.75" hidden="1" thickBot="1" x14ac:dyDescent="0.3">
      <c r="B3762" s="725" t="s">
        <v>791</v>
      </c>
      <c r="C3762" s="722" t="s">
        <v>139</v>
      </c>
      <c r="D3762" t="s">
        <v>140</v>
      </c>
      <c r="E3762" s="728"/>
      <c r="F3762" s="728"/>
      <c r="G3762" s="728"/>
      <c r="H3762" s="728"/>
      <c r="I3762" s="728"/>
      <c r="J3762" s="728"/>
      <c r="K3762" s="728"/>
      <c r="L3762" s="148">
        <v>0.19977</v>
      </c>
      <c r="M3762" s="728"/>
      <c r="N3762" s="148">
        <v>0.19977</v>
      </c>
      <c r="O3762" s="148">
        <v>0</v>
      </c>
      <c r="P3762" s="148">
        <v>0.19977</v>
      </c>
      <c r="Q3762" s="148">
        <v>0</v>
      </c>
      <c r="R3762" s="148">
        <v>0</v>
      </c>
    </row>
    <row r="3763" spans="2:18" ht="15.75" hidden="1" thickBot="1" x14ac:dyDescent="0.3">
      <c r="B3763" s="725" t="s">
        <v>791</v>
      </c>
      <c r="C3763" s="722" t="s">
        <v>103</v>
      </c>
      <c r="D3763" t="s">
        <v>104</v>
      </c>
      <c r="E3763" s="147">
        <v>3.6999999999999998E-2</v>
      </c>
      <c r="F3763" s="729"/>
      <c r="G3763" s="147">
        <v>3.6999999999999998E-2</v>
      </c>
      <c r="H3763" s="147">
        <v>0</v>
      </c>
      <c r="I3763" s="729"/>
      <c r="J3763" s="147">
        <v>3.6999999999999998E-2</v>
      </c>
      <c r="K3763" s="147">
        <v>0</v>
      </c>
      <c r="L3763" s="147">
        <v>0.222</v>
      </c>
      <c r="M3763" s="729"/>
      <c r="N3763" s="147">
        <v>0.222</v>
      </c>
      <c r="O3763" s="147">
        <v>0</v>
      </c>
      <c r="P3763" s="147">
        <v>3.6999999999999998E-2</v>
      </c>
      <c r="Q3763" s="147">
        <v>0.185</v>
      </c>
      <c r="R3763" s="147">
        <v>500</v>
      </c>
    </row>
    <row r="3764" spans="2:18" ht="15.75" hidden="1" thickBot="1" x14ac:dyDescent="0.3">
      <c r="B3764" s="725" t="s">
        <v>791</v>
      </c>
      <c r="C3764" s="722" t="s">
        <v>113</v>
      </c>
      <c r="D3764" t="s">
        <v>114</v>
      </c>
      <c r="E3764" s="728"/>
      <c r="F3764" s="728"/>
      <c r="G3764" s="728"/>
      <c r="H3764" s="728"/>
      <c r="I3764" s="728"/>
      <c r="J3764" s="728"/>
      <c r="K3764" s="728"/>
      <c r="L3764" s="148">
        <v>5.3E-3</v>
      </c>
      <c r="M3764" s="728"/>
      <c r="N3764" s="148">
        <v>5.3E-3</v>
      </c>
      <c r="O3764" s="148">
        <v>0</v>
      </c>
      <c r="P3764" s="728"/>
      <c r="Q3764" s="148">
        <v>5.3E-3</v>
      </c>
      <c r="R3764" s="148">
        <v>0</v>
      </c>
    </row>
    <row r="3765" spans="2:18" ht="15.75" hidden="1" thickBot="1" x14ac:dyDescent="0.3">
      <c r="B3765" s="725" t="s">
        <v>791</v>
      </c>
      <c r="C3765" s="722" t="s">
        <v>145</v>
      </c>
      <c r="D3765" t="s">
        <v>146</v>
      </c>
      <c r="E3765" s="147">
        <v>0.10979999999999999</v>
      </c>
      <c r="F3765" s="729"/>
      <c r="G3765" s="147">
        <v>0.10979999999999999</v>
      </c>
      <c r="H3765" s="147">
        <v>0</v>
      </c>
      <c r="I3765" s="729"/>
      <c r="J3765" s="147">
        <v>0.10979999999999999</v>
      </c>
      <c r="K3765" s="147">
        <v>0</v>
      </c>
      <c r="L3765" s="147">
        <v>0.90610000000000002</v>
      </c>
      <c r="M3765" s="729"/>
      <c r="N3765" s="147">
        <v>0.90610000000000002</v>
      </c>
      <c r="O3765" s="147">
        <v>0</v>
      </c>
      <c r="P3765" s="147">
        <v>0.40029999999999999</v>
      </c>
      <c r="Q3765" s="147">
        <v>0.50580000000000003</v>
      </c>
      <c r="R3765" s="147">
        <v>126.35523357481888</v>
      </c>
    </row>
    <row r="3766" spans="2:18" ht="15.75" hidden="1" thickBot="1" x14ac:dyDescent="0.3">
      <c r="B3766" s="725" t="s">
        <v>791</v>
      </c>
      <c r="C3766" s="722" t="s">
        <v>149</v>
      </c>
      <c r="D3766" t="s">
        <v>150</v>
      </c>
      <c r="E3766" s="728"/>
      <c r="F3766" s="728"/>
      <c r="G3766" s="728"/>
      <c r="H3766" s="728"/>
      <c r="I3766" s="728"/>
      <c r="J3766" s="728"/>
      <c r="K3766" s="728"/>
      <c r="L3766" s="148">
        <v>3.6999999999999998E-2</v>
      </c>
      <c r="M3766" s="728"/>
      <c r="N3766" s="148">
        <v>3.6999999999999998E-2</v>
      </c>
      <c r="O3766" s="148">
        <v>0</v>
      </c>
      <c r="P3766" s="148">
        <v>3.6999999999999998E-2</v>
      </c>
      <c r="Q3766" s="148">
        <v>0</v>
      </c>
      <c r="R3766" s="148">
        <v>0</v>
      </c>
    </row>
    <row r="3767" spans="2:18" ht="15.75" hidden="1" thickBot="1" x14ac:dyDescent="0.3">
      <c r="B3767" s="725" t="s">
        <v>791</v>
      </c>
      <c r="C3767" s="722" t="s">
        <v>75</v>
      </c>
      <c r="D3767" t="s">
        <v>76</v>
      </c>
      <c r="E3767" s="147">
        <v>6.2719999999999998E-2</v>
      </c>
      <c r="F3767" s="729"/>
      <c r="G3767" s="147">
        <v>6.2719999999999998E-2</v>
      </c>
      <c r="H3767" s="147">
        <v>0</v>
      </c>
      <c r="I3767" s="729"/>
      <c r="J3767" s="147">
        <v>6.2719999999999998E-2</v>
      </c>
      <c r="K3767" s="147">
        <v>0</v>
      </c>
      <c r="L3767" s="147">
        <v>0.27992</v>
      </c>
      <c r="M3767" s="729"/>
      <c r="N3767" s="147">
        <v>0.27992</v>
      </c>
      <c r="O3767" s="147">
        <v>0</v>
      </c>
      <c r="P3767" s="147">
        <v>9.4030000000000002E-2</v>
      </c>
      <c r="Q3767" s="147">
        <v>0.18589</v>
      </c>
      <c r="R3767" s="147">
        <v>197.69222588535573</v>
      </c>
    </row>
    <row r="3768" spans="2:18" ht="15.75" hidden="1" thickBot="1" x14ac:dyDescent="0.3">
      <c r="B3768" s="725" t="s">
        <v>791</v>
      </c>
      <c r="C3768" s="722" t="s">
        <v>81</v>
      </c>
      <c r="D3768" t="s">
        <v>82</v>
      </c>
      <c r="E3768" s="148">
        <v>0.2</v>
      </c>
      <c r="F3768" s="728"/>
      <c r="G3768" s="148">
        <v>0.2</v>
      </c>
      <c r="H3768" s="148">
        <v>0</v>
      </c>
      <c r="I3768" s="728"/>
      <c r="J3768" s="148">
        <v>0.2</v>
      </c>
      <c r="K3768" s="148">
        <v>0</v>
      </c>
      <c r="L3768" s="148">
        <v>0.2</v>
      </c>
      <c r="M3768" s="728"/>
      <c r="N3768" s="148">
        <v>0.2</v>
      </c>
      <c r="O3768" s="148">
        <v>0</v>
      </c>
      <c r="P3768" s="728"/>
      <c r="Q3768" s="148">
        <v>0.2</v>
      </c>
      <c r="R3768" s="148">
        <v>0</v>
      </c>
    </row>
    <row r="3769" spans="2:18" ht="15.75" hidden="1" thickBot="1" x14ac:dyDescent="0.3">
      <c r="B3769" s="725" t="s">
        <v>791</v>
      </c>
      <c r="C3769" s="149" t="s">
        <v>85</v>
      </c>
      <c r="D3769" t="s">
        <v>86</v>
      </c>
      <c r="E3769" s="147">
        <v>0.40952</v>
      </c>
      <c r="F3769" s="729"/>
      <c r="G3769" s="147">
        <v>0.40952</v>
      </c>
      <c r="H3769" s="147">
        <v>0</v>
      </c>
      <c r="I3769" s="729"/>
      <c r="J3769" s="147">
        <v>0.40952</v>
      </c>
      <c r="K3769" s="147">
        <v>0</v>
      </c>
      <c r="L3769" s="147">
        <v>1.85009</v>
      </c>
      <c r="M3769" s="729"/>
      <c r="N3769" s="147">
        <v>1.85009</v>
      </c>
      <c r="O3769" s="147">
        <v>0</v>
      </c>
      <c r="P3769" s="147">
        <v>0.7681</v>
      </c>
      <c r="Q3769" s="147">
        <v>1.08199</v>
      </c>
      <c r="R3769" s="147">
        <v>140.86577268584819</v>
      </c>
    </row>
    <row r="3770" spans="2:18" ht="15.75" hidden="1" thickBot="1" x14ac:dyDescent="0.3">
      <c r="B3770" s="725" t="s">
        <v>791</v>
      </c>
      <c r="C3770" s="144" t="s">
        <v>87</v>
      </c>
      <c r="D3770" t="s">
        <v>87</v>
      </c>
      <c r="E3770" s="148">
        <v>0.40952</v>
      </c>
      <c r="F3770" s="148">
        <v>-3.0000000000000001E-5</v>
      </c>
      <c r="G3770" s="148">
        <v>0.40955000000000003</v>
      </c>
      <c r="H3770" s="148">
        <v>1365166.6666666667</v>
      </c>
      <c r="I3770" s="728"/>
      <c r="J3770" s="148">
        <v>0.40952</v>
      </c>
      <c r="K3770" s="148">
        <v>0</v>
      </c>
      <c r="L3770" s="148">
        <v>1.85009</v>
      </c>
      <c r="M3770" s="148">
        <v>-2.5000000000000001E-4</v>
      </c>
      <c r="N3770" s="148">
        <v>1.8503400000000001</v>
      </c>
      <c r="O3770" s="148">
        <v>740136</v>
      </c>
      <c r="P3770" s="148">
        <v>0.7681</v>
      </c>
      <c r="Q3770" s="148">
        <v>1.08199</v>
      </c>
      <c r="R3770" s="148">
        <v>140.86577268584819</v>
      </c>
    </row>
    <row r="3771" spans="2:18" ht="15.75" hidden="1" thickBot="1" x14ac:dyDescent="0.3">
      <c r="B3771" s="725" t="s">
        <v>792</v>
      </c>
      <c r="C3771" s="722" t="s">
        <v>59</v>
      </c>
      <c r="D3771" t="s">
        <v>60</v>
      </c>
      <c r="E3771" s="147">
        <v>19.3873</v>
      </c>
      <c r="F3771" s="147">
        <v>22.48302</v>
      </c>
      <c r="G3771" s="147">
        <v>-3.09572</v>
      </c>
      <c r="H3771" s="147">
        <v>-13.769146671577039</v>
      </c>
      <c r="I3771" s="729"/>
      <c r="J3771" s="147">
        <v>19.3873</v>
      </c>
      <c r="K3771" s="147">
        <v>0</v>
      </c>
      <c r="L3771" s="147">
        <v>266.81576999999999</v>
      </c>
      <c r="M3771" s="147">
        <v>268.38083999999998</v>
      </c>
      <c r="N3771" s="147">
        <v>-1.56507</v>
      </c>
      <c r="O3771" s="147">
        <v>-0.58315265724632204</v>
      </c>
      <c r="P3771" s="147">
        <v>137.43370999999999</v>
      </c>
      <c r="Q3771" s="147">
        <v>129.38206</v>
      </c>
      <c r="R3771" s="147">
        <v>94.141430075634275</v>
      </c>
    </row>
    <row r="3772" spans="2:18" ht="15.75" hidden="1" thickBot="1" x14ac:dyDescent="0.3">
      <c r="B3772" s="725" t="s">
        <v>792</v>
      </c>
      <c r="C3772" s="722" t="s">
        <v>566</v>
      </c>
      <c r="D3772" t="s">
        <v>567</v>
      </c>
      <c r="E3772" s="148">
        <v>0.84167999999999998</v>
      </c>
      <c r="F3772" s="728"/>
      <c r="G3772" s="148">
        <v>0.84167999999999998</v>
      </c>
      <c r="H3772" s="148">
        <v>0</v>
      </c>
      <c r="I3772" s="728"/>
      <c r="J3772" s="148">
        <v>0.84167999999999998</v>
      </c>
      <c r="K3772" s="148">
        <v>0</v>
      </c>
      <c r="L3772" s="148">
        <v>3.4207700000000001</v>
      </c>
      <c r="M3772" s="728"/>
      <c r="N3772" s="148">
        <v>3.4207700000000001</v>
      </c>
      <c r="O3772" s="148">
        <v>0</v>
      </c>
      <c r="P3772" s="148">
        <v>0.62421000000000004</v>
      </c>
      <c r="Q3772" s="148">
        <v>2.7965599999999999</v>
      </c>
      <c r="R3772" s="148">
        <v>448.01589208759873</v>
      </c>
    </row>
    <row r="3773" spans="2:18" ht="15.75" hidden="1" thickBot="1" x14ac:dyDescent="0.3">
      <c r="B3773" s="725" t="s">
        <v>792</v>
      </c>
      <c r="C3773" s="722" t="s">
        <v>89</v>
      </c>
      <c r="D3773" t="s">
        <v>90</v>
      </c>
      <c r="E3773" s="729"/>
      <c r="F3773" s="729"/>
      <c r="G3773" s="729"/>
      <c r="H3773" s="729"/>
      <c r="I3773" s="729"/>
      <c r="J3773" s="729"/>
      <c r="K3773" s="729"/>
      <c r="L3773" s="147">
        <v>0.40486</v>
      </c>
      <c r="M3773" s="729"/>
      <c r="N3773" s="147">
        <v>0.40486</v>
      </c>
      <c r="O3773" s="147">
        <v>0</v>
      </c>
      <c r="P3773" s="729"/>
      <c r="Q3773" s="147">
        <v>0.40486</v>
      </c>
      <c r="R3773" s="147">
        <v>0</v>
      </c>
    </row>
    <row r="3774" spans="2:18" ht="15.75" hidden="1" thickBot="1" x14ac:dyDescent="0.3">
      <c r="B3774" s="725" t="s">
        <v>792</v>
      </c>
      <c r="C3774" s="722" t="s">
        <v>91</v>
      </c>
      <c r="D3774" t="s">
        <v>92</v>
      </c>
      <c r="E3774" s="148">
        <v>19.396820000000002</v>
      </c>
      <c r="F3774" s="148">
        <v>28.615079999999999</v>
      </c>
      <c r="G3774" s="148">
        <v>-9.2182600000000008</v>
      </c>
      <c r="H3774" s="148">
        <v>-32.214692392962036</v>
      </c>
      <c r="I3774" s="728"/>
      <c r="J3774" s="148">
        <v>19.396820000000002</v>
      </c>
      <c r="K3774" s="148">
        <v>0</v>
      </c>
      <c r="L3774" s="148">
        <v>269.98442</v>
      </c>
      <c r="M3774" s="148">
        <v>334.21301</v>
      </c>
      <c r="N3774" s="148">
        <v>-64.228589999999997</v>
      </c>
      <c r="O3774" s="148">
        <v>-19.217860489632045</v>
      </c>
      <c r="P3774" s="148">
        <v>139.99547000000001</v>
      </c>
      <c r="Q3774" s="148">
        <v>129.98894999999999</v>
      </c>
      <c r="R3774" s="148">
        <v>92.852254433661315</v>
      </c>
    </row>
    <row r="3775" spans="2:18" ht="15.75" hidden="1" thickBot="1" x14ac:dyDescent="0.3">
      <c r="B3775" s="725" t="s">
        <v>792</v>
      </c>
      <c r="C3775" s="722" t="s">
        <v>93</v>
      </c>
      <c r="D3775" t="s">
        <v>94</v>
      </c>
      <c r="E3775" s="147">
        <v>2.5411700000000002</v>
      </c>
      <c r="F3775" s="147">
        <v>1.9096200000000001</v>
      </c>
      <c r="G3775" s="147">
        <v>0.63154999999999994</v>
      </c>
      <c r="H3775" s="147">
        <v>33.072024800745702</v>
      </c>
      <c r="I3775" s="729"/>
      <c r="J3775" s="147">
        <v>2.5411700000000002</v>
      </c>
      <c r="K3775" s="147">
        <v>0</v>
      </c>
      <c r="L3775" s="147">
        <v>25.221579999999999</v>
      </c>
      <c r="M3775" s="147">
        <v>22.303619999999999</v>
      </c>
      <c r="N3775" s="147">
        <v>2.9179599999999999</v>
      </c>
      <c r="O3775" s="147">
        <v>13.082898650532963</v>
      </c>
      <c r="P3775" s="147">
        <v>12.30988</v>
      </c>
      <c r="Q3775" s="147">
        <v>12.9117</v>
      </c>
      <c r="R3775" s="147">
        <v>104.88891849473757</v>
      </c>
    </row>
    <row r="3776" spans="2:18" ht="15.75" hidden="1" thickBot="1" x14ac:dyDescent="0.3">
      <c r="B3776" s="725" t="s">
        <v>792</v>
      </c>
      <c r="C3776" s="722" t="s">
        <v>134</v>
      </c>
      <c r="D3776" t="s">
        <v>135</v>
      </c>
      <c r="E3776" s="728"/>
      <c r="F3776" s="728"/>
      <c r="G3776" s="728"/>
      <c r="H3776" s="728"/>
      <c r="I3776" s="728"/>
      <c r="J3776" s="728"/>
      <c r="K3776" s="728"/>
      <c r="L3776" s="148">
        <v>0.12601000000000001</v>
      </c>
      <c r="M3776" s="728"/>
      <c r="N3776" s="148">
        <v>0.12601000000000001</v>
      </c>
      <c r="O3776" s="148">
        <v>0</v>
      </c>
      <c r="P3776" s="148">
        <v>0.12601000000000001</v>
      </c>
      <c r="Q3776" s="148">
        <v>0</v>
      </c>
      <c r="R3776" s="148">
        <v>0</v>
      </c>
    </row>
    <row r="3777" spans="2:18" ht="15.75" hidden="1" thickBot="1" x14ac:dyDescent="0.3">
      <c r="B3777" s="725" t="s">
        <v>792</v>
      </c>
      <c r="C3777" s="722" t="s">
        <v>61</v>
      </c>
      <c r="D3777" t="s">
        <v>62</v>
      </c>
      <c r="E3777" s="147">
        <v>7.6727400000000001</v>
      </c>
      <c r="F3777" s="147">
        <v>7.92021</v>
      </c>
      <c r="G3777" s="147">
        <v>-0.24747</v>
      </c>
      <c r="H3777" s="147">
        <v>-3.1245383645130622</v>
      </c>
      <c r="I3777" s="729"/>
      <c r="J3777" s="147">
        <v>7.6727400000000001</v>
      </c>
      <c r="K3777" s="147">
        <v>0</v>
      </c>
      <c r="L3777" s="147">
        <v>85.942880000000002</v>
      </c>
      <c r="M3777" s="147">
        <v>93.402050000000003</v>
      </c>
      <c r="N3777" s="147">
        <v>-7.4591700000000003</v>
      </c>
      <c r="O3777" s="147">
        <v>-7.9860880997793942</v>
      </c>
      <c r="P3777" s="147">
        <v>41.761620000000001</v>
      </c>
      <c r="Q3777" s="147">
        <v>44.181260000000002</v>
      </c>
      <c r="R3777" s="147">
        <v>105.79393232350661</v>
      </c>
    </row>
    <row r="3778" spans="2:18" ht="15.75" hidden="1" thickBot="1" x14ac:dyDescent="0.3">
      <c r="B3778" s="725" t="s">
        <v>792</v>
      </c>
      <c r="C3778" s="722" t="s">
        <v>63</v>
      </c>
      <c r="D3778" t="s">
        <v>64</v>
      </c>
      <c r="E3778" s="148">
        <v>30.365459999999999</v>
      </c>
      <c r="F3778" s="148">
        <v>30.812149999999999</v>
      </c>
      <c r="G3778" s="148">
        <v>-0.44668999999999998</v>
      </c>
      <c r="H3778" s="148">
        <v>-1.4497203213667336</v>
      </c>
      <c r="I3778" s="728"/>
      <c r="J3778" s="148">
        <v>30.365459999999999</v>
      </c>
      <c r="K3778" s="148">
        <v>0</v>
      </c>
      <c r="L3778" s="148">
        <v>338.65512000000001</v>
      </c>
      <c r="M3778" s="148">
        <v>363.36405000000002</v>
      </c>
      <c r="N3778" s="148">
        <v>-24.708929999999999</v>
      </c>
      <c r="O3778" s="148">
        <v>-6.8000480509835795</v>
      </c>
      <c r="P3778" s="148">
        <v>164.35947999999999</v>
      </c>
      <c r="Q3778" s="148">
        <v>174.29563999999999</v>
      </c>
      <c r="R3778" s="148">
        <v>106.04538296178596</v>
      </c>
    </row>
    <row r="3779" spans="2:18" ht="15.75" hidden="1" thickBot="1" x14ac:dyDescent="0.3">
      <c r="B3779" s="725" t="s">
        <v>792</v>
      </c>
      <c r="C3779" s="722" t="s">
        <v>156</v>
      </c>
      <c r="D3779" t="s">
        <v>157</v>
      </c>
      <c r="E3779" s="147">
        <v>2.3580000000000001</v>
      </c>
      <c r="F3779" s="729"/>
      <c r="G3779" s="147">
        <v>2.3580000000000001</v>
      </c>
      <c r="H3779" s="147">
        <v>0</v>
      </c>
      <c r="I3779" s="729"/>
      <c r="J3779" s="147">
        <v>2.3580000000000001</v>
      </c>
      <c r="K3779" s="147">
        <v>0</v>
      </c>
      <c r="L3779" s="147">
        <v>38.098570000000002</v>
      </c>
      <c r="M3779" s="729"/>
      <c r="N3779" s="147">
        <v>38.098570000000002</v>
      </c>
      <c r="O3779" s="147">
        <v>0</v>
      </c>
      <c r="P3779" s="147">
        <v>19.533249999999999</v>
      </c>
      <c r="Q3779" s="147">
        <v>18.56532</v>
      </c>
      <c r="R3779" s="147">
        <v>95.044705822123817</v>
      </c>
    </row>
    <row r="3780" spans="2:18" ht="15.75" hidden="1" thickBot="1" x14ac:dyDescent="0.3">
      <c r="B3780" s="725" t="s">
        <v>792</v>
      </c>
      <c r="C3780" s="722" t="s">
        <v>572</v>
      </c>
      <c r="D3780" t="s">
        <v>573</v>
      </c>
      <c r="E3780" s="728"/>
      <c r="F3780" s="728"/>
      <c r="G3780" s="728"/>
      <c r="H3780" s="728"/>
      <c r="I3780" s="728"/>
      <c r="J3780" s="728"/>
      <c r="K3780" s="728"/>
      <c r="L3780" s="148">
        <v>0.52937999999999996</v>
      </c>
      <c r="M3780" s="728"/>
      <c r="N3780" s="148">
        <v>0.52937999999999996</v>
      </c>
      <c r="O3780" s="148">
        <v>0</v>
      </c>
      <c r="P3780" s="728"/>
      <c r="Q3780" s="148">
        <v>0.52937999999999996</v>
      </c>
      <c r="R3780" s="148">
        <v>0</v>
      </c>
    </row>
    <row r="3781" spans="2:18" ht="15.75" hidden="1" thickBot="1" x14ac:dyDescent="0.3">
      <c r="B3781" s="725" t="s">
        <v>792</v>
      </c>
      <c r="C3781" s="722" t="s">
        <v>184</v>
      </c>
      <c r="D3781" t="s">
        <v>185</v>
      </c>
      <c r="E3781" s="147">
        <v>15.235099999999999</v>
      </c>
      <c r="F3781" s="729"/>
      <c r="G3781" s="147">
        <v>15.235099999999999</v>
      </c>
      <c r="H3781" s="147">
        <v>0</v>
      </c>
      <c r="I3781" s="729"/>
      <c r="J3781" s="147">
        <v>15.235099999999999</v>
      </c>
      <c r="K3781" s="147">
        <v>0</v>
      </c>
      <c r="L3781" s="147">
        <v>139.01272</v>
      </c>
      <c r="M3781" s="729"/>
      <c r="N3781" s="147">
        <v>139.01272</v>
      </c>
      <c r="O3781" s="147">
        <v>0</v>
      </c>
      <c r="P3781" s="147">
        <v>61.981169999999999</v>
      </c>
      <c r="Q3781" s="147">
        <v>77.031549999999996</v>
      </c>
      <c r="R3781" s="147">
        <v>124.28218118502765</v>
      </c>
    </row>
    <row r="3782" spans="2:18" ht="15.75" hidden="1" thickBot="1" x14ac:dyDescent="0.3">
      <c r="B3782" s="725" t="s">
        <v>792</v>
      </c>
      <c r="C3782" s="722" t="s">
        <v>161</v>
      </c>
      <c r="D3782" t="s">
        <v>162</v>
      </c>
      <c r="E3782" s="728"/>
      <c r="F3782" s="728"/>
      <c r="G3782" s="728"/>
      <c r="H3782" s="728"/>
      <c r="I3782" s="728"/>
      <c r="J3782" s="728"/>
      <c r="K3782" s="728"/>
      <c r="L3782" s="148">
        <v>0.61304000000000003</v>
      </c>
      <c r="M3782" s="728"/>
      <c r="N3782" s="148">
        <v>0.61304000000000003</v>
      </c>
      <c r="O3782" s="148">
        <v>0</v>
      </c>
      <c r="P3782" s="148">
        <v>0.56588000000000005</v>
      </c>
      <c r="Q3782" s="148">
        <v>4.7160000000000001E-2</v>
      </c>
      <c r="R3782" s="148">
        <v>8.3339223863716683</v>
      </c>
    </row>
    <row r="3783" spans="2:18" ht="15.75" hidden="1" thickBot="1" x14ac:dyDescent="0.3">
      <c r="B3783" s="725" t="s">
        <v>792</v>
      </c>
      <c r="C3783" s="722" t="s">
        <v>65</v>
      </c>
      <c r="D3783" t="s">
        <v>66</v>
      </c>
      <c r="E3783" s="147">
        <v>-22.74868</v>
      </c>
      <c r="F3783" s="147">
        <v>-24.822310000000002</v>
      </c>
      <c r="G3783" s="147">
        <v>2.0736300000000001</v>
      </c>
      <c r="H3783" s="147">
        <v>8.3538961522920303</v>
      </c>
      <c r="I3783" s="729"/>
      <c r="J3783" s="147">
        <v>-22.74868</v>
      </c>
      <c r="K3783" s="147">
        <v>0</v>
      </c>
      <c r="L3783" s="147">
        <v>-319.93671999999998</v>
      </c>
      <c r="M3783" s="147">
        <v>-296.30506000000003</v>
      </c>
      <c r="N3783" s="147">
        <v>-23.63166</v>
      </c>
      <c r="O3783" s="147">
        <v>-7.9754493561466688</v>
      </c>
      <c r="P3783" s="147">
        <v>-163.73034000000001</v>
      </c>
      <c r="Q3783" s="147">
        <v>-156.20638</v>
      </c>
      <c r="R3783" s="147">
        <v>-95.404663546169886</v>
      </c>
    </row>
    <row r="3784" spans="2:18" ht="15.75" hidden="1" thickBot="1" x14ac:dyDescent="0.3">
      <c r="B3784" s="725" t="s">
        <v>792</v>
      </c>
      <c r="C3784" s="722" t="s">
        <v>576</v>
      </c>
      <c r="D3784" t="s">
        <v>577</v>
      </c>
      <c r="E3784" s="148">
        <v>-0.93420000000000003</v>
      </c>
      <c r="F3784" s="728"/>
      <c r="G3784" s="148">
        <v>-0.93420000000000003</v>
      </c>
      <c r="H3784" s="148">
        <v>0</v>
      </c>
      <c r="I3784" s="728"/>
      <c r="J3784" s="148">
        <v>-0.93420000000000003</v>
      </c>
      <c r="K3784" s="148">
        <v>0</v>
      </c>
      <c r="L3784" s="148">
        <v>-3.9256500000000001</v>
      </c>
      <c r="M3784" s="728"/>
      <c r="N3784" s="148">
        <v>-3.9256500000000001</v>
      </c>
      <c r="O3784" s="148">
        <v>0</v>
      </c>
      <c r="P3784" s="148">
        <v>-1.1230500000000001</v>
      </c>
      <c r="Q3784" s="148">
        <v>-2.8026</v>
      </c>
      <c r="R3784" s="148">
        <v>-249.55255776679579</v>
      </c>
    </row>
    <row r="3785" spans="2:18" ht="15.75" hidden="1" thickBot="1" x14ac:dyDescent="0.3">
      <c r="B3785" s="725" t="s">
        <v>792</v>
      </c>
      <c r="C3785" s="722" t="s">
        <v>186</v>
      </c>
      <c r="D3785" t="s">
        <v>187</v>
      </c>
      <c r="E3785" s="729"/>
      <c r="F3785" s="729"/>
      <c r="G3785" s="729"/>
      <c r="H3785" s="729"/>
      <c r="I3785" s="729"/>
      <c r="J3785" s="729"/>
      <c r="K3785" s="729"/>
      <c r="L3785" s="147">
        <v>-0.28288000000000002</v>
      </c>
      <c r="M3785" s="729"/>
      <c r="N3785" s="147">
        <v>-0.28288000000000002</v>
      </c>
      <c r="O3785" s="147">
        <v>0</v>
      </c>
      <c r="P3785" s="729"/>
      <c r="Q3785" s="147">
        <v>-0.28288000000000002</v>
      </c>
      <c r="R3785" s="147">
        <v>0</v>
      </c>
    </row>
    <row r="3786" spans="2:18" ht="15.75" hidden="1" thickBot="1" x14ac:dyDescent="0.3">
      <c r="B3786" s="725" t="s">
        <v>792</v>
      </c>
      <c r="C3786" s="722" t="s">
        <v>163</v>
      </c>
      <c r="D3786" t="s">
        <v>164</v>
      </c>
      <c r="E3786" s="148">
        <v>-34.731470000000002</v>
      </c>
      <c r="F3786" s="148">
        <v>-23.638950000000001</v>
      </c>
      <c r="G3786" s="148">
        <v>-11.09252</v>
      </c>
      <c r="H3786" s="148">
        <v>-46.924757656325681</v>
      </c>
      <c r="I3786" s="728"/>
      <c r="J3786" s="148">
        <v>-34.731470000000002</v>
      </c>
      <c r="K3786" s="148">
        <v>0</v>
      </c>
      <c r="L3786" s="148">
        <v>-420.53309000000002</v>
      </c>
      <c r="M3786" s="148">
        <v>-276.09379000000001</v>
      </c>
      <c r="N3786" s="148">
        <v>-144.4393</v>
      </c>
      <c r="O3786" s="148">
        <v>-52.315301984879845</v>
      </c>
      <c r="P3786" s="148">
        <v>-217.72987000000001</v>
      </c>
      <c r="Q3786" s="148">
        <v>-202.80322000000001</v>
      </c>
      <c r="R3786" s="148">
        <v>-93.144417897277947</v>
      </c>
    </row>
    <row r="3787" spans="2:18" ht="15.75" hidden="1" thickBot="1" x14ac:dyDescent="0.3">
      <c r="B3787" s="725" t="s">
        <v>792</v>
      </c>
      <c r="C3787" s="722" t="s">
        <v>97</v>
      </c>
      <c r="D3787" t="s">
        <v>98</v>
      </c>
      <c r="E3787" s="147">
        <v>-2.8529</v>
      </c>
      <c r="F3787" s="729"/>
      <c r="G3787" s="147">
        <v>-2.8529</v>
      </c>
      <c r="H3787" s="147">
        <v>0</v>
      </c>
      <c r="I3787" s="729"/>
      <c r="J3787" s="147">
        <v>-2.8529</v>
      </c>
      <c r="K3787" s="147">
        <v>0</v>
      </c>
      <c r="L3787" s="147">
        <v>-29.137360000000001</v>
      </c>
      <c r="M3787" s="729"/>
      <c r="N3787" s="147">
        <v>-29.137360000000001</v>
      </c>
      <c r="O3787" s="147">
        <v>0</v>
      </c>
      <c r="P3787" s="147">
        <v>-14.029640000000001</v>
      </c>
      <c r="Q3787" s="147">
        <v>-15.10772</v>
      </c>
      <c r="R3787" s="147">
        <v>-107.68430266207828</v>
      </c>
    </row>
    <row r="3788" spans="2:18" ht="15.75" hidden="1" thickBot="1" x14ac:dyDescent="0.3">
      <c r="B3788" s="725" t="s">
        <v>792</v>
      </c>
      <c r="C3788" s="149" t="s">
        <v>67</v>
      </c>
      <c r="D3788" t="s">
        <v>68</v>
      </c>
      <c r="E3788" s="148">
        <v>36.531019999999998</v>
      </c>
      <c r="F3788" s="148">
        <v>43.278820000000003</v>
      </c>
      <c r="G3788" s="148">
        <v>-6.7477999999999998</v>
      </c>
      <c r="H3788" s="148">
        <v>-15.591460210791329</v>
      </c>
      <c r="I3788" s="728"/>
      <c r="J3788" s="148">
        <v>36.531019999999998</v>
      </c>
      <c r="K3788" s="148">
        <v>0</v>
      </c>
      <c r="L3788" s="148">
        <v>395.00941999999998</v>
      </c>
      <c r="M3788" s="148">
        <v>509.26472000000001</v>
      </c>
      <c r="N3788" s="148">
        <v>-114.25530000000001</v>
      </c>
      <c r="O3788" s="148">
        <v>-22.435345609646788</v>
      </c>
      <c r="P3788" s="148">
        <v>182.07777999999999</v>
      </c>
      <c r="Q3788" s="148">
        <v>212.93163999999999</v>
      </c>
      <c r="R3788" s="148">
        <v>116.94542848666103</v>
      </c>
    </row>
    <row r="3789" spans="2:18" ht="15.75" hidden="1" thickBot="1" x14ac:dyDescent="0.3">
      <c r="B3789" s="725" t="s">
        <v>792</v>
      </c>
      <c r="C3789" s="722" t="s">
        <v>69</v>
      </c>
      <c r="D3789" t="s">
        <v>70</v>
      </c>
      <c r="E3789" s="729"/>
      <c r="F3789" s="729"/>
      <c r="G3789" s="729"/>
      <c r="H3789" s="729"/>
      <c r="I3789" s="729"/>
      <c r="J3789" s="729"/>
      <c r="K3789" s="729"/>
      <c r="L3789" s="147">
        <v>0.16400000000000001</v>
      </c>
      <c r="M3789" s="729"/>
      <c r="N3789" s="147">
        <v>0.16400000000000001</v>
      </c>
      <c r="O3789" s="147">
        <v>0</v>
      </c>
      <c r="P3789" s="147">
        <v>0.16400000000000001</v>
      </c>
      <c r="Q3789" s="147">
        <v>0</v>
      </c>
      <c r="R3789" s="147">
        <v>0</v>
      </c>
    </row>
    <row r="3790" spans="2:18" ht="15.75" hidden="1" thickBot="1" x14ac:dyDescent="0.3">
      <c r="B3790" s="725" t="s">
        <v>792</v>
      </c>
      <c r="C3790" s="722" t="s">
        <v>99</v>
      </c>
      <c r="D3790" t="s">
        <v>100</v>
      </c>
      <c r="E3790" s="728"/>
      <c r="F3790" s="148">
        <v>7.5</v>
      </c>
      <c r="G3790" s="148">
        <v>-7.5</v>
      </c>
      <c r="H3790" s="148">
        <v>-100</v>
      </c>
      <c r="I3790" s="728"/>
      <c r="J3790" s="728"/>
      <c r="K3790" s="728"/>
      <c r="L3790" s="148">
        <v>14.926740000000001</v>
      </c>
      <c r="M3790" s="148">
        <v>90</v>
      </c>
      <c r="N3790" s="148">
        <v>-75.073260000000005</v>
      </c>
      <c r="O3790" s="148">
        <v>-83.414733333333331</v>
      </c>
      <c r="P3790" s="148">
        <v>3.3864299999999998</v>
      </c>
      <c r="Q3790" s="148">
        <v>11.54031</v>
      </c>
      <c r="R3790" s="148">
        <v>340.78099945960793</v>
      </c>
    </row>
    <row r="3791" spans="2:18" ht="15.75" hidden="1" thickBot="1" x14ac:dyDescent="0.3">
      <c r="B3791" s="725" t="s">
        <v>792</v>
      </c>
      <c r="C3791" s="722" t="s">
        <v>165</v>
      </c>
      <c r="D3791" t="s">
        <v>166</v>
      </c>
      <c r="E3791" s="147">
        <v>78.905330000000006</v>
      </c>
      <c r="F3791" s="729"/>
      <c r="G3791" s="147">
        <v>78.905330000000006</v>
      </c>
      <c r="H3791" s="147">
        <v>0</v>
      </c>
      <c r="I3791" s="729"/>
      <c r="J3791" s="147">
        <v>78.905330000000006</v>
      </c>
      <c r="K3791" s="147">
        <v>0</v>
      </c>
      <c r="L3791" s="147">
        <v>138.86846</v>
      </c>
      <c r="M3791" s="729"/>
      <c r="N3791" s="147">
        <v>138.86846</v>
      </c>
      <c r="O3791" s="147">
        <v>0</v>
      </c>
      <c r="P3791" s="147">
        <v>13.398770000000001</v>
      </c>
      <c r="Q3791" s="147">
        <v>125.46969</v>
      </c>
      <c r="R3791" s="147">
        <v>936.42692575512524</v>
      </c>
    </row>
    <row r="3792" spans="2:18" ht="15.75" hidden="1" thickBot="1" x14ac:dyDescent="0.3">
      <c r="B3792" s="725" t="s">
        <v>792</v>
      </c>
      <c r="C3792" s="722" t="s">
        <v>137</v>
      </c>
      <c r="D3792" t="s">
        <v>138</v>
      </c>
      <c r="E3792" s="148">
        <v>0.12071</v>
      </c>
      <c r="F3792" s="728"/>
      <c r="G3792" s="148">
        <v>0.12071</v>
      </c>
      <c r="H3792" s="148">
        <v>0</v>
      </c>
      <c r="I3792" s="728"/>
      <c r="J3792" s="148">
        <v>0.12071</v>
      </c>
      <c r="K3792" s="148">
        <v>0</v>
      </c>
      <c r="L3792" s="148">
        <v>1.0550299999999999</v>
      </c>
      <c r="M3792" s="728"/>
      <c r="N3792" s="148">
        <v>1.0550299999999999</v>
      </c>
      <c r="O3792" s="148">
        <v>0</v>
      </c>
      <c r="P3792" s="148">
        <v>0.47005000000000002</v>
      </c>
      <c r="Q3792" s="148">
        <v>0.58498000000000006</v>
      </c>
      <c r="R3792" s="148">
        <v>124.45059036272737</v>
      </c>
    </row>
    <row r="3793" spans="2:18" ht="15.75" hidden="1" thickBot="1" x14ac:dyDescent="0.3">
      <c r="B3793" s="725" t="s">
        <v>792</v>
      </c>
      <c r="C3793" s="722" t="s">
        <v>139</v>
      </c>
      <c r="D3793" t="s">
        <v>140</v>
      </c>
      <c r="E3793" s="729"/>
      <c r="F3793" s="729"/>
      <c r="G3793" s="729"/>
      <c r="H3793" s="729"/>
      <c r="I3793" s="729"/>
      <c r="J3793" s="729"/>
      <c r="K3793" s="729"/>
      <c r="L3793" s="147">
        <v>0.67</v>
      </c>
      <c r="M3793" s="729"/>
      <c r="N3793" s="147">
        <v>0.67</v>
      </c>
      <c r="O3793" s="147">
        <v>0</v>
      </c>
      <c r="P3793" s="147">
        <v>0.46</v>
      </c>
      <c r="Q3793" s="147">
        <v>0.21</v>
      </c>
      <c r="R3793" s="147">
        <v>45.652173913043477</v>
      </c>
    </row>
    <row r="3794" spans="2:18" ht="15.75" hidden="1" thickBot="1" x14ac:dyDescent="0.3">
      <c r="B3794" s="725" t="s">
        <v>792</v>
      </c>
      <c r="C3794" s="722" t="s">
        <v>101</v>
      </c>
      <c r="D3794" t="s">
        <v>102</v>
      </c>
      <c r="E3794" s="148">
        <v>19.635000000000002</v>
      </c>
      <c r="F3794" s="148">
        <v>0</v>
      </c>
      <c r="G3794" s="148">
        <v>19.635000000000002</v>
      </c>
      <c r="H3794" s="148">
        <v>0</v>
      </c>
      <c r="I3794" s="728"/>
      <c r="J3794" s="148">
        <v>19.635000000000002</v>
      </c>
      <c r="K3794" s="148">
        <v>0</v>
      </c>
      <c r="L3794" s="148">
        <v>71.660709999999995</v>
      </c>
      <c r="M3794" s="148">
        <v>57.5</v>
      </c>
      <c r="N3794" s="148">
        <v>14.16071</v>
      </c>
      <c r="O3794" s="148">
        <v>24.627321739130434</v>
      </c>
      <c r="P3794" s="148">
        <v>11.446440000000001</v>
      </c>
      <c r="Q3794" s="148">
        <v>60.214269999999999</v>
      </c>
      <c r="R3794" s="148">
        <v>526.05237960448835</v>
      </c>
    </row>
    <row r="3795" spans="2:18" ht="15.75" hidden="1" thickBot="1" x14ac:dyDescent="0.3">
      <c r="B3795" s="725" t="s">
        <v>792</v>
      </c>
      <c r="C3795" s="722" t="s">
        <v>109</v>
      </c>
      <c r="D3795" t="s">
        <v>110</v>
      </c>
      <c r="E3795" s="729"/>
      <c r="F3795" s="729"/>
      <c r="G3795" s="729"/>
      <c r="H3795" s="729"/>
      <c r="I3795" s="729"/>
      <c r="J3795" s="729"/>
      <c r="K3795" s="729"/>
      <c r="L3795" s="147">
        <v>1.8970100000000001</v>
      </c>
      <c r="M3795" s="729"/>
      <c r="N3795" s="147">
        <v>1.8970100000000001</v>
      </c>
      <c r="O3795" s="147">
        <v>0</v>
      </c>
      <c r="P3795" s="147">
        <v>0.36656</v>
      </c>
      <c r="Q3795" s="147">
        <v>1.5304500000000001</v>
      </c>
      <c r="R3795" s="147">
        <v>417.51691401134877</v>
      </c>
    </row>
    <row r="3796" spans="2:18" ht="15.75" hidden="1" thickBot="1" x14ac:dyDescent="0.3">
      <c r="B3796" s="725" t="s">
        <v>792</v>
      </c>
      <c r="C3796" s="722" t="s">
        <v>73</v>
      </c>
      <c r="D3796" t="s">
        <v>74</v>
      </c>
      <c r="E3796" s="148">
        <v>3.737E-2</v>
      </c>
      <c r="F3796" s="728"/>
      <c r="G3796" s="148">
        <v>3.737E-2</v>
      </c>
      <c r="H3796" s="148">
        <v>0</v>
      </c>
      <c r="I3796" s="728"/>
      <c r="J3796" s="148">
        <v>3.737E-2</v>
      </c>
      <c r="K3796" s="148">
        <v>0</v>
      </c>
      <c r="L3796" s="148">
        <v>5.3330000000000002E-2</v>
      </c>
      <c r="M3796" s="728"/>
      <c r="N3796" s="148">
        <v>5.3330000000000002E-2</v>
      </c>
      <c r="O3796" s="148">
        <v>0</v>
      </c>
      <c r="P3796" s="728"/>
      <c r="Q3796" s="148">
        <v>5.3330000000000002E-2</v>
      </c>
      <c r="R3796" s="148">
        <v>0</v>
      </c>
    </row>
    <row r="3797" spans="2:18" ht="15.75" hidden="1" thickBot="1" x14ac:dyDescent="0.3">
      <c r="B3797" s="725" t="s">
        <v>792</v>
      </c>
      <c r="C3797" s="722" t="s">
        <v>113</v>
      </c>
      <c r="D3797" t="s">
        <v>114</v>
      </c>
      <c r="E3797" s="729"/>
      <c r="F3797" s="729"/>
      <c r="G3797" s="729"/>
      <c r="H3797" s="729"/>
      <c r="I3797" s="729"/>
      <c r="J3797" s="729"/>
      <c r="K3797" s="729"/>
      <c r="L3797" s="147">
        <v>0.66644999999999999</v>
      </c>
      <c r="M3797" s="729"/>
      <c r="N3797" s="147">
        <v>0.66644999999999999</v>
      </c>
      <c r="O3797" s="147">
        <v>0</v>
      </c>
      <c r="P3797" s="147">
        <v>0.36686999999999997</v>
      </c>
      <c r="Q3797" s="147">
        <v>0.29958000000000001</v>
      </c>
      <c r="R3797" s="147">
        <v>81.658353095101802</v>
      </c>
    </row>
    <row r="3798" spans="2:18" ht="15.75" hidden="1" thickBot="1" x14ac:dyDescent="0.3">
      <c r="B3798" s="725" t="s">
        <v>792</v>
      </c>
      <c r="C3798" s="722" t="s">
        <v>145</v>
      </c>
      <c r="D3798" t="s">
        <v>146</v>
      </c>
      <c r="E3798" s="148">
        <v>7.4000000000000003E-3</v>
      </c>
      <c r="F3798" s="728"/>
      <c r="G3798" s="148">
        <v>7.4000000000000003E-3</v>
      </c>
      <c r="H3798" s="148">
        <v>0</v>
      </c>
      <c r="I3798" s="728"/>
      <c r="J3798" s="148">
        <v>7.4000000000000003E-3</v>
      </c>
      <c r="K3798" s="148">
        <v>0</v>
      </c>
      <c r="L3798" s="148">
        <v>0.1615</v>
      </c>
      <c r="M3798" s="728"/>
      <c r="N3798" s="148">
        <v>0.1615</v>
      </c>
      <c r="O3798" s="148">
        <v>0</v>
      </c>
      <c r="P3798" s="148">
        <v>0.1037</v>
      </c>
      <c r="Q3798" s="148">
        <v>5.7799999999999997E-2</v>
      </c>
      <c r="R3798" s="148">
        <v>55.73770491803279</v>
      </c>
    </row>
    <row r="3799" spans="2:18" ht="15.75" hidden="1" thickBot="1" x14ac:dyDescent="0.3">
      <c r="B3799" s="725" t="s">
        <v>792</v>
      </c>
      <c r="C3799" s="722" t="s">
        <v>147</v>
      </c>
      <c r="D3799" t="s">
        <v>148</v>
      </c>
      <c r="E3799" s="147">
        <v>0.11178</v>
      </c>
      <c r="F3799" s="729"/>
      <c r="G3799" s="147">
        <v>0.11178</v>
      </c>
      <c r="H3799" s="147">
        <v>0</v>
      </c>
      <c r="I3799" s="729"/>
      <c r="J3799" s="147">
        <v>0.11178</v>
      </c>
      <c r="K3799" s="147">
        <v>0</v>
      </c>
      <c r="L3799" s="147">
        <v>0.65198</v>
      </c>
      <c r="M3799" s="729"/>
      <c r="N3799" s="147">
        <v>0.65198</v>
      </c>
      <c r="O3799" s="147">
        <v>0</v>
      </c>
      <c r="P3799" s="147">
        <v>0.26607999999999998</v>
      </c>
      <c r="Q3799" s="147">
        <v>0.38590000000000002</v>
      </c>
      <c r="R3799" s="147">
        <v>145.03156945279616</v>
      </c>
    </row>
    <row r="3800" spans="2:18" ht="15.75" hidden="1" thickBot="1" x14ac:dyDescent="0.3">
      <c r="B3800" s="725" t="s">
        <v>792</v>
      </c>
      <c r="C3800" s="722" t="s">
        <v>203</v>
      </c>
      <c r="D3800" t="s">
        <v>204</v>
      </c>
      <c r="E3800" s="728"/>
      <c r="F3800" s="728"/>
      <c r="G3800" s="728"/>
      <c r="H3800" s="728"/>
      <c r="I3800" s="728"/>
      <c r="J3800" s="728"/>
      <c r="K3800" s="728"/>
      <c r="L3800" s="148">
        <v>0.1101</v>
      </c>
      <c r="M3800" s="728"/>
      <c r="N3800" s="148">
        <v>0.1101</v>
      </c>
      <c r="O3800" s="148">
        <v>0</v>
      </c>
      <c r="P3800" s="148">
        <v>4.8000000000000001E-2</v>
      </c>
      <c r="Q3800" s="148">
        <v>6.2100000000000002E-2</v>
      </c>
      <c r="R3800" s="148">
        <v>129.375</v>
      </c>
    </row>
    <row r="3801" spans="2:18" ht="15.75" hidden="1" thickBot="1" x14ac:dyDescent="0.3">
      <c r="B3801" s="725" t="s">
        <v>792</v>
      </c>
      <c r="C3801" s="722" t="s">
        <v>149</v>
      </c>
      <c r="D3801" t="s">
        <v>150</v>
      </c>
      <c r="E3801" s="729"/>
      <c r="F3801" s="729"/>
      <c r="G3801" s="729"/>
      <c r="H3801" s="729"/>
      <c r="I3801" s="729"/>
      <c r="J3801" s="729"/>
      <c r="K3801" s="729"/>
      <c r="L3801" s="147">
        <v>20.595580000000002</v>
      </c>
      <c r="M3801" s="729"/>
      <c r="N3801" s="147">
        <v>20.595580000000002</v>
      </c>
      <c r="O3801" s="147">
        <v>0</v>
      </c>
      <c r="P3801" s="147">
        <v>2.39568</v>
      </c>
      <c r="Q3801" s="147">
        <v>18.1999</v>
      </c>
      <c r="R3801" s="147">
        <v>759.69662058371739</v>
      </c>
    </row>
    <row r="3802" spans="2:18" ht="15.75" hidden="1" thickBot="1" x14ac:dyDescent="0.3">
      <c r="B3802" s="725" t="s">
        <v>792</v>
      </c>
      <c r="C3802" s="722" t="s">
        <v>173</v>
      </c>
      <c r="D3802" t="s">
        <v>174</v>
      </c>
      <c r="E3802" s="148">
        <v>4.4999999999999998E-2</v>
      </c>
      <c r="F3802" s="728"/>
      <c r="G3802" s="148">
        <v>4.4999999999999998E-2</v>
      </c>
      <c r="H3802" s="148">
        <v>0</v>
      </c>
      <c r="I3802" s="728"/>
      <c r="J3802" s="148">
        <v>4.4999999999999998E-2</v>
      </c>
      <c r="K3802" s="148">
        <v>0</v>
      </c>
      <c r="L3802" s="148">
        <v>8.7859999999999994E-2</v>
      </c>
      <c r="M3802" s="728"/>
      <c r="N3802" s="148">
        <v>8.7859999999999994E-2</v>
      </c>
      <c r="O3802" s="148">
        <v>0</v>
      </c>
      <c r="P3802" s="728"/>
      <c r="Q3802" s="148">
        <v>8.7859999999999994E-2</v>
      </c>
      <c r="R3802" s="148">
        <v>0</v>
      </c>
    </row>
    <row r="3803" spans="2:18" ht="15.75" hidden="1" thickBot="1" x14ac:dyDescent="0.3">
      <c r="B3803" s="725" t="s">
        <v>792</v>
      </c>
      <c r="C3803" s="722" t="s">
        <v>123</v>
      </c>
      <c r="D3803" t="s">
        <v>124</v>
      </c>
      <c r="E3803" s="729"/>
      <c r="F3803" s="729"/>
      <c r="G3803" s="729"/>
      <c r="H3803" s="729"/>
      <c r="I3803" s="729"/>
      <c r="J3803" s="729"/>
      <c r="K3803" s="729"/>
      <c r="L3803" s="147">
        <v>1.4E-2</v>
      </c>
      <c r="M3803" s="729"/>
      <c r="N3803" s="147">
        <v>1.4E-2</v>
      </c>
      <c r="O3803" s="147">
        <v>0</v>
      </c>
      <c r="P3803" s="729"/>
      <c r="Q3803" s="147">
        <v>1.4E-2</v>
      </c>
      <c r="R3803" s="147">
        <v>0</v>
      </c>
    </row>
    <row r="3804" spans="2:18" ht="15.75" hidden="1" thickBot="1" x14ac:dyDescent="0.3">
      <c r="B3804" s="725" t="s">
        <v>792</v>
      </c>
      <c r="C3804" s="722" t="s">
        <v>83</v>
      </c>
      <c r="D3804" t="s">
        <v>84</v>
      </c>
      <c r="E3804" s="728"/>
      <c r="F3804" s="148">
        <v>1.6</v>
      </c>
      <c r="G3804" s="148">
        <v>-1.6</v>
      </c>
      <c r="H3804" s="148">
        <v>-100</v>
      </c>
      <c r="I3804" s="728"/>
      <c r="J3804" s="728"/>
      <c r="K3804" s="728"/>
      <c r="L3804" s="728"/>
      <c r="M3804" s="148">
        <v>19.2</v>
      </c>
      <c r="N3804" s="148">
        <v>-19.2</v>
      </c>
      <c r="O3804" s="148">
        <v>-100</v>
      </c>
      <c r="P3804" s="728"/>
      <c r="Q3804" s="728"/>
      <c r="R3804" s="728"/>
    </row>
    <row r="3805" spans="2:18" ht="15.75" hidden="1" thickBot="1" x14ac:dyDescent="0.3">
      <c r="B3805" s="725" t="s">
        <v>792</v>
      </c>
      <c r="C3805" s="149" t="s">
        <v>85</v>
      </c>
      <c r="D3805" t="s">
        <v>86</v>
      </c>
      <c r="E3805" s="147">
        <v>98.862589999999997</v>
      </c>
      <c r="F3805" s="147">
        <v>9.1</v>
      </c>
      <c r="G3805" s="147">
        <v>89.762590000000003</v>
      </c>
      <c r="H3805" s="147">
        <v>986.40208791208795</v>
      </c>
      <c r="I3805" s="729"/>
      <c r="J3805" s="147">
        <v>98.862589999999997</v>
      </c>
      <c r="K3805" s="147">
        <v>0</v>
      </c>
      <c r="L3805" s="147">
        <v>251.58275</v>
      </c>
      <c r="M3805" s="147">
        <v>166.7</v>
      </c>
      <c r="N3805" s="147">
        <v>84.882750000000001</v>
      </c>
      <c r="O3805" s="147">
        <v>50.919466106778643</v>
      </c>
      <c r="P3805" s="147">
        <v>32.872579999999999</v>
      </c>
      <c r="Q3805" s="147">
        <v>218.71017000000001</v>
      </c>
      <c r="R3805" s="147">
        <v>665.32705981702679</v>
      </c>
    </row>
    <row r="3806" spans="2:18" ht="15.75" hidden="1" thickBot="1" x14ac:dyDescent="0.3">
      <c r="B3806" s="725" t="s">
        <v>792</v>
      </c>
      <c r="C3806" s="144" t="s">
        <v>87</v>
      </c>
      <c r="D3806" t="s">
        <v>87</v>
      </c>
      <c r="E3806" s="148">
        <v>135.39361</v>
      </c>
      <c r="F3806" s="148">
        <v>52.378819999999997</v>
      </c>
      <c r="G3806" s="148">
        <v>83.014790000000005</v>
      </c>
      <c r="H3806" s="148">
        <v>158.4892328616796</v>
      </c>
      <c r="I3806" s="728"/>
      <c r="J3806" s="148">
        <v>135.39361</v>
      </c>
      <c r="K3806" s="148">
        <v>0</v>
      </c>
      <c r="L3806" s="148">
        <v>646.59217000000001</v>
      </c>
      <c r="M3806" s="148">
        <v>675.96472000000006</v>
      </c>
      <c r="N3806" s="148">
        <v>-29.37255</v>
      </c>
      <c r="O3806" s="148">
        <v>-4.345278552407291</v>
      </c>
      <c r="P3806" s="148">
        <v>214.95035999999999</v>
      </c>
      <c r="Q3806" s="148">
        <v>431.64181000000002</v>
      </c>
      <c r="R3806" s="148">
        <v>200.80999631728926</v>
      </c>
    </row>
    <row r="3807" spans="2:18" ht="15.75" hidden="1" thickBot="1" x14ac:dyDescent="0.3">
      <c r="B3807" s="725" t="s">
        <v>793</v>
      </c>
      <c r="C3807" s="722" t="s">
        <v>59</v>
      </c>
      <c r="D3807" t="s">
        <v>60</v>
      </c>
      <c r="E3807" s="147">
        <v>154.29087999999999</v>
      </c>
      <c r="F3807" s="147">
        <v>179.42869999999999</v>
      </c>
      <c r="G3807" s="147">
        <v>-25.137820000000001</v>
      </c>
      <c r="H3807" s="147">
        <v>-14.009921489705938</v>
      </c>
      <c r="I3807" s="729"/>
      <c r="J3807" s="147">
        <v>154.29087999999999</v>
      </c>
      <c r="K3807" s="147">
        <v>0</v>
      </c>
      <c r="L3807" s="147">
        <v>2026.3613800000001</v>
      </c>
      <c r="M3807" s="147">
        <v>2081.24478</v>
      </c>
      <c r="N3807" s="147">
        <v>-54.883400000000002</v>
      </c>
      <c r="O3807" s="147">
        <v>-2.6370468542388368</v>
      </c>
      <c r="P3807" s="147">
        <v>1041.9551200000001</v>
      </c>
      <c r="Q3807" s="147">
        <v>984.40625999999997</v>
      </c>
      <c r="R3807" s="147">
        <v>94.476838887264165</v>
      </c>
    </row>
    <row r="3808" spans="2:18" ht="15.75" hidden="1" thickBot="1" x14ac:dyDescent="0.3">
      <c r="B3808" s="725" t="s">
        <v>793</v>
      </c>
      <c r="C3808" s="722" t="s">
        <v>91</v>
      </c>
      <c r="D3808" t="s">
        <v>92</v>
      </c>
      <c r="E3808" s="148">
        <v>2.1924800000000002</v>
      </c>
      <c r="F3808" s="148">
        <v>4.1713399999999998</v>
      </c>
      <c r="G3808" s="148">
        <v>-1.9788600000000001</v>
      </c>
      <c r="H3808" s="148">
        <v>-47.439431933143787</v>
      </c>
      <c r="I3808" s="728"/>
      <c r="J3808" s="148">
        <v>2.1924800000000002</v>
      </c>
      <c r="K3808" s="148">
        <v>0</v>
      </c>
      <c r="L3808" s="148">
        <v>48.939160000000001</v>
      </c>
      <c r="M3808" s="148">
        <v>48.71969</v>
      </c>
      <c r="N3808" s="148">
        <v>0.21947</v>
      </c>
      <c r="O3808" s="148">
        <v>0.45047495170843654</v>
      </c>
      <c r="P3808" s="148">
        <v>25.046720000000001</v>
      </c>
      <c r="Q3808" s="148">
        <v>23.892440000000001</v>
      </c>
      <c r="R3808" s="148">
        <v>95.391492379042049</v>
      </c>
    </row>
    <row r="3809" spans="2:18" ht="15.75" hidden="1" thickBot="1" x14ac:dyDescent="0.3">
      <c r="B3809" s="725" t="s">
        <v>793</v>
      </c>
      <c r="C3809" s="722" t="s">
        <v>93</v>
      </c>
      <c r="D3809" t="s">
        <v>94</v>
      </c>
      <c r="E3809" s="147">
        <v>4.1700000000000001E-2</v>
      </c>
      <c r="F3809" s="147">
        <v>0.37131999999999998</v>
      </c>
      <c r="G3809" s="147">
        <v>-0.32962000000000002</v>
      </c>
      <c r="H3809" s="147">
        <v>-88.769794247549285</v>
      </c>
      <c r="I3809" s="729"/>
      <c r="J3809" s="147">
        <v>4.1700000000000001E-2</v>
      </c>
      <c r="K3809" s="147">
        <v>0</v>
      </c>
      <c r="L3809" s="147">
        <v>0.60851</v>
      </c>
      <c r="M3809" s="147">
        <v>4.3368200000000003</v>
      </c>
      <c r="N3809" s="147">
        <v>-3.72831</v>
      </c>
      <c r="O3809" s="147">
        <v>-85.968751297033307</v>
      </c>
      <c r="P3809" s="147">
        <v>0.56681000000000004</v>
      </c>
      <c r="Q3809" s="147">
        <v>4.1700000000000001E-2</v>
      </c>
      <c r="R3809" s="147">
        <v>7.3569626506236654</v>
      </c>
    </row>
    <row r="3810" spans="2:18" ht="15.75" hidden="1" thickBot="1" x14ac:dyDescent="0.3">
      <c r="B3810" s="725" t="s">
        <v>793</v>
      </c>
      <c r="C3810" s="722" t="s">
        <v>134</v>
      </c>
      <c r="D3810" t="s">
        <v>135</v>
      </c>
      <c r="E3810" s="148">
        <v>1.25</v>
      </c>
      <c r="F3810" s="728"/>
      <c r="G3810" s="148">
        <v>1.25</v>
      </c>
      <c r="H3810" s="148">
        <v>0</v>
      </c>
      <c r="I3810" s="728"/>
      <c r="J3810" s="148">
        <v>1.25</v>
      </c>
      <c r="K3810" s="148">
        <v>0</v>
      </c>
      <c r="L3810" s="148">
        <v>9.1279900000000005</v>
      </c>
      <c r="M3810" s="728"/>
      <c r="N3810" s="148">
        <v>9.1279900000000005</v>
      </c>
      <c r="O3810" s="148">
        <v>0</v>
      </c>
      <c r="P3810" s="148">
        <v>1.62799</v>
      </c>
      <c r="Q3810" s="148">
        <v>7.5</v>
      </c>
      <c r="R3810" s="148">
        <v>460.69079048397106</v>
      </c>
    </row>
    <row r="3811" spans="2:18" ht="15.75" hidden="1" thickBot="1" x14ac:dyDescent="0.3">
      <c r="B3811" s="725" t="s">
        <v>793</v>
      </c>
      <c r="C3811" s="722" t="s">
        <v>61</v>
      </c>
      <c r="D3811" t="s">
        <v>62</v>
      </c>
      <c r="E3811" s="147">
        <v>27.663239999999998</v>
      </c>
      <c r="F3811" s="147">
        <v>28.457999999999998</v>
      </c>
      <c r="G3811" s="147">
        <v>-0.79476000000000002</v>
      </c>
      <c r="H3811" s="147">
        <v>-2.7927472064094454</v>
      </c>
      <c r="I3811" s="729"/>
      <c r="J3811" s="147">
        <v>27.663239999999998</v>
      </c>
      <c r="K3811" s="147">
        <v>0</v>
      </c>
      <c r="L3811" s="147">
        <v>324.17300999999998</v>
      </c>
      <c r="M3811" s="147">
        <v>330.14445000000001</v>
      </c>
      <c r="N3811" s="147">
        <v>-5.9714400000000003</v>
      </c>
      <c r="O3811" s="147">
        <v>-1.8087355398523284</v>
      </c>
      <c r="P3811" s="147">
        <v>158.45419999999999</v>
      </c>
      <c r="Q3811" s="147">
        <v>165.71880999999999</v>
      </c>
      <c r="R3811" s="147">
        <v>104.58467494077154</v>
      </c>
    </row>
    <row r="3812" spans="2:18" ht="15.75" hidden="1" thickBot="1" x14ac:dyDescent="0.3">
      <c r="B3812" s="725" t="s">
        <v>793</v>
      </c>
      <c r="C3812" s="722" t="s">
        <v>63</v>
      </c>
      <c r="D3812" t="s">
        <v>64</v>
      </c>
      <c r="E3812" s="148">
        <v>107.60120999999999</v>
      </c>
      <c r="F3812" s="148">
        <v>110.71081</v>
      </c>
      <c r="G3812" s="148">
        <v>-3.1095999999999999</v>
      </c>
      <c r="H3812" s="148">
        <v>-2.8087591446580511</v>
      </c>
      <c r="I3812" s="728"/>
      <c r="J3812" s="148">
        <v>107.60120999999999</v>
      </c>
      <c r="K3812" s="148">
        <v>0</v>
      </c>
      <c r="L3812" s="148">
        <v>1258.8573699999999</v>
      </c>
      <c r="M3812" s="148">
        <v>1284.3684599999999</v>
      </c>
      <c r="N3812" s="148">
        <v>-25.511089999999999</v>
      </c>
      <c r="O3812" s="148">
        <v>-1.9862750288963029</v>
      </c>
      <c r="P3812" s="148">
        <v>614.29777999999999</v>
      </c>
      <c r="Q3812" s="148">
        <v>644.55958999999996</v>
      </c>
      <c r="R3812" s="148">
        <v>104.92624440218553</v>
      </c>
    </row>
    <row r="3813" spans="2:18" ht="15.75" hidden="1" thickBot="1" x14ac:dyDescent="0.3">
      <c r="B3813" s="725" t="s">
        <v>793</v>
      </c>
      <c r="C3813" s="722" t="s">
        <v>65</v>
      </c>
      <c r="D3813" t="s">
        <v>66</v>
      </c>
      <c r="E3813" s="147">
        <v>-179.7527</v>
      </c>
      <c r="F3813" s="147">
        <v>-222.02856</v>
      </c>
      <c r="G3813" s="147">
        <v>42.275860000000002</v>
      </c>
      <c r="H3813" s="147">
        <v>19.040730615917159</v>
      </c>
      <c r="I3813" s="729"/>
      <c r="J3813" s="147">
        <v>-179.7527</v>
      </c>
      <c r="K3813" s="147">
        <v>0</v>
      </c>
      <c r="L3813" s="147">
        <v>-2462.4141800000002</v>
      </c>
      <c r="M3813" s="147">
        <v>-2575.78622</v>
      </c>
      <c r="N3813" s="147">
        <v>113.37204</v>
      </c>
      <c r="O3813" s="147">
        <v>4.4014537821387991</v>
      </c>
      <c r="P3813" s="147">
        <v>-1240.75719</v>
      </c>
      <c r="Q3813" s="147">
        <v>-1221.65699</v>
      </c>
      <c r="R3813" s="147">
        <v>-98.460601304272913</v>
      </c>
    </row>
    <row r="3814" spans="2:18" ht="15.75" hidden="1" thickBot="1" x14ac:dyDescent="0.3">
      <c r="B3814" s="725" t="s">
        <v>793</v>
      </c>
      <c r="C3814" s="722" t="s">
        <v>163</v>
      </c>
      <c r="D3814" t="s">
        <v>164</v>
      </c>
      <c r="E3814" s="148">
        <v>-3.29352</v>
      </c>
      <c r="F3814" s="148">
        <v>-5.1332500000000003</v>
      </c>
      <c r="G3814" s="148">
        <v>1.8397300000000001</v>
      </c>
      <c r="H3814" s="148">
        <v>35.839477913602494</v>
      </c>
      <c r="I3814" s="728"/>
      <c r="J3814" s="148">
        <v>-3.29352</v>
      </c>
      <c r="K3814" s="148">
        <v>0</v>
      </c>
      <c r="L3814" s="148">
        <v>-60.470640000000003</v>
      </c>
      <c r="M3814" s="148">
        <v>-59.954389999999997</v>
      </c>
      <c r="N3814" s="148">
        <v>-0.51624999999999999</v>
      </c>
      <c r="O3814" s="148">
        <v>-0.86107122430901228</v>
      </c>
      <c r="P3814" s="148">
        <v>-12.5647</v>
      </c>
      <c r="Q3814" s="148">
        <v>-47.905940000000001</v>
      </c>
      <c r="R3814" s="148">
        <v>-381.27404554028351</v>
      </c>
    </row>
    <row r="3815" spans="2:18" ht="15.75" hidden="1" thickBot="1" x14ac:dyDescent="0.3">
      <c r="B3815" s="725" t="s">
        <v>793</v>
      </c>
      <c r="C3815" s="149" t="s">
        <v>67</v>
      </c>
      <c r="D3815" t="s">
        <v>68</v>
      </c>
      <c r="E3815" s="147">
        <v>109.99329</v>
      </c>
      <c r="F3815" s="147">
        <v>95.978359999999995</v>
      </c>
      <c r="G3815" s="147">
        <v>14.01493</v>
      </c>
      <c r="H3815" s="147">
        <v>14.602176990729994</v>
      </c>
      <c r="I3815" s="729"/>
      <c r="J3815" s="147">
        <v>109.99329</v>
      </c>
      <c r="K3815" s="147">
        <v>0</v>
      </c>
      <c r="L3815" s="147">
        <v>1145.1826000000001</v>
      </c>
      <c r="M3815" s="147">
        <v>1113.07359</v>
      </c>
      <c r="N3815" s="147">
        <v>32.109009999999998</v>
      </c>
      <c r="O3815" s="147">
        <v>2.8847158254828416</v>
      </c>
      <c r="P3815" s="147">
        <v>588.62672999999995</v>
      </c>
      <c r="Q3815" s="147">
        <v>556.55587000000003</v>
      </c>
      <c r="R3815" s="147">
        <v>94.551579402450855</v>
      </c>
    </row>
    <row r="3816" spans="2:18" ht="15.75" hidden="1" thickBot="1" x14ac:dyDescent="0.3">
      <c r="B3816" s="725" t="s">
        <v>793</v>
      </c>
      <c r="C3816" s="722" t="s">
        <v>69</v>
      </c>
      <c r="D3816" t="s">
        <v>70</v>
      </c>
      <c r="E3816" s="728"/>
      <c r="F3816" s="728"/>
      <c r="G3816" s="728"/>
      <c r="H3816" s="728"/>
      <c r="I3816" s="728"/>
      <c r="J3816" s="728"/>
      <c r="K3816" s="728"/>
      <c r="L3816" s="148">
        <v>0.21753</v>
      </c>
      <c r="M3816" s="728"/>
      <c r="N3816" s="148">
        <v>0.21753</v>
      </c>
      <c r="O3816" s="148">
        <v>0</v>
      </c>
      <c r="P3816" s="728"/>
      <c r="Q3816" s="148">
        <v>0.21753</v>
      </c>
      <c r="R3816" s="148">
        <v>0</v>
      </c>
    </row>
    <row r="3817" spans="2:18" ht="15.75" hidden="1" thickBot="1" x14ac:dyDescent="0.3">
      <c r="B3817" s="725" t="s">
        <v>793</v>
      </c>
      <c r="C3817" s="722" t="s">
        <v>99</v>
      </c>
      <c r="D3817" t="s">
        <v>100</v>
      </c>
      <c r="E3817" s="147">
        <v>9.2499999999999999E-2</v>
      </c>
      <c r="F3817" s="147">
        <v>0.3</v>
      </c>
      <c r="G3817" s="147">
        <v>-0.20749999999999999</v>
      </c>
      <c r="H3817" s="147">
        <v>-69.166666666666671</v>
      </c>
      <c r="I3817" s="729"/>
      <c r="J3817" s="147">
        <v>9.2499999999999999E-2</v>
      </c>
      <c r="K3817" s="147">
        <v>0</v>
      </c>
      <c r="L3817" s="147">
        <v>1.29617</v>
      </c>
      <c r="M3817" s="147">
        <v>3.6</v>
      </c>
      <c r="N3817" s="147">
        <v>-2.30383</v>
      </c>
      <c r="O3817" s="147">
        <v>-63.99527777777778</v>
      </c>
      <c r="P3817" s="147">
        <v>0.25319999999999998</v>
      </c>
      <c r="Q3817" s="147">
        <v>1.04297</v>
      </c>
      <c r="R3817" s="147">
        <v>411.91548183254343</v>
      </c>
    </row>
    <row r="3818" spans="2:18" ht="15.75" hidden="1" thickBot="1" x14ac:dyDescent="0.3">
      <c r="B3818" s="725" t="s">
        <v>793</v>
      </c>
      <c r="C3818" s="722" t="s">
        <v>137</v>
      </c>
      <c r="D3818" t="s">
        <v>138</v>
      </c>
      <c r="E3818" s="148">
        <v>0.15151000000000001</v>
      </c>
      <c r="F3818" s="148">
        <v>0.75</v>
      </c>
      <c r="G3818" s="148">
        <v>-0.59848999999999997</v>
      </c>
      <c r="H3818" s="148">
        <v>-79.798666666666662</v>
      </c>
      <c r="I3818" s="728"/>
      <c r="J3818" s="148">
        <v>0.15151000000000001</v>
      </c>
      <c r="K3818" s="148">
        <v>0</v>
      </c>
      <c r="L3818" s="148">
        <v>1.19791</v>
      </c>
      <c r="M3818" s="148">
        <v>9</v>
      </c>
      <c r="N3818" s="148">
        <v>-7.8020899999999997</v>
      </c>
      <c r="O3818" s="148">
        <v>-86.689888888888888</v>
      </c>
      <c r="P3818" s="148">
        <v>0.81967999999999996</v>
      </c>
      <c r="Q3818" s="148">
        <v>0.37823000000000001</v>
      </c>
      <c r="R3818" s="148">
        <v>46.143617021276597</v>
      </c>
    </row>
    <row r="3819" spans="2:18" ht="15.75" hidden="1" thickBot="1" x14ac:dyDescent="0.3">
      <c r="B3819" s="725" t="s">
        <v>793</v>
      </c>
      <c r="C3819" s="722" t="s">
        <v>190</v>
      </c>
      <c r="D3819" t="s">
        <v>191</v>
      </c>
      <c r="E3819" s="729"/>
      <c r="F3819" s="729"/>
      <c r="G3819" s="729"/>
      <c r="H3819" s="729"/>
      <c r="I3819" s="729"/>
      <c r="J3819" s="729"/>
      <c r="K3819" s="729"/>
      <c r="L3819" s="147">
        <v>0.16764000000000001</v>
      </c>
      <c r="M3819" s="729"/>
      <c r="N3819" s="147">
        <v>0.16764000000000001</v>
      </c>
      <c r="O3819" s="147">
        <v>0</v>
      </c>
      <c r="P3819" s="147">
        <v>0.14463999999999999</v>
      </c>
      <c r="Q3819" s="147">
        <v>2.3E-2</v>
      </c>
      <c r="R3819" s="147">
        <v>15.901548672566372</v>
      </c>
    </row>
    <row r="3820" spans="2:18" ht="15.75" hidden="1" thickBot="1" x14ac:dyDescent="0.3">
      <c r="B3820" s="725" t="s">
        <v>793</v>
      </c>
      <c r="C3820" s="722" t="s">
        <v>36</v>
      </c>
      <c r="D3820" t="s">
        <v>192</v>
      </c>
      <c r="E3820" s="148">
        <v>2.877E-2</v>
      </c>
      <c r="F3820" s="728"/>
      <c r="G3820" s="148">
        <v>2.877E-2</v>
      </c>
      <c r="H3820" s="148">
        <v>0</v>
      </c>
      <c r="I3820" s="728"/>
      <c r="J3820" s="148">
        <v>2.877E-2</v>
      </c>
      <c r="K3820" s="148">
        <v>0</v>
      </c>
      <c r="L3820" s="148">
        <v>0.94596000000000002</v>
      </c>
      <c r="M3820" s="148">
        <v>12</v>
      </c>
      <c r="N3820" s="148">
        <v>-11.054040000000001</v>
      </c>
      <c r="O3820" s="148">
        <v>-92.117000000000004</v>
      </c>
      <c r="P3820" s="148">
        <v>0.94689000000000001</v>
      </c>
      <c r="Q3820" s="148">
        <v>-9.3000000000000005E-4</v>
      </c>
      <c r="R3820" s="148">
        <v>-9.8216265880936543E-2</v>
      </c>
    </row>
    <row r="3821" spans="2:18" ht="15.75" hidden="1" thickBot="1" x14ac:dyDescent="0.3">
      <c r="B3821" s="725" t="s">
        <v>793</v>
      </c>
      <c r="C3821" s="722" t="s">
        <v>169</v>
      </c>
      <c r="D3821" t="s">
        <v>170</v>
      </c>
      <c r="E3821" s="147">
        <v>0.32257999999999998</v>
      </c>
      <c r="F3821" s="147">
        <v>3.9166599999999998</v>
      </c>
      <c r="G3821" s="147">
        <v>-3.5940799999999999</v>
      </c>
      <c r="H3821" s="147">
        <v>-91.763900874724897</v>
      </c>
      <c r="I3821" s="729"/>
      <c r="J3821" s="147">
        <v>0.32257999999999998</v>
      </c>
      <c r="K3821" s="147">
        <v>0</v>
      </c>
      <c r="L3821" s="147">
        <v>43.423830000000002</v>
      </c>
      <c r="M3821" s="147">
        <v>46.999920000000003</v>
      </c>
      <c r="N3821" s="147">
        <v>-3.5760900000000002</v>
      </c>
      <c r="O3821" s="147">
        <v>-7.6087150786639635</v>
      </c>
      <c r="P3821" s="147">
        <v>43.10125</v>
      </c>
      <c r="Q3821" s="147">
        <v>0.32257999999999998</v>
      </c>
      <c r="R3821" s="147">
        <v>0.74842376961225021</v>
      </c>
    </row>
    <row r="3822" spans="2:18" ht="15.75" hidden="1" thickBot="1" x14ac:dyDescent="0.3">
      <c r="B3822" s="725" t="s">
        <v>793</v>
      </c>
      <c r="C3822" s="722" t="s">
        <v>101</v>
      </c>
      <c r="D3822" t="s">
        <v>102</v>
      </c>
      <c r="E3822" s="148">
        <v>1.464</v>
      </c>
      <c r="F3822" s="728"/>
      <c r="G3822" s="148">
        <v>1.464</v>
      </c>
      <c r="H3822" s="148">
        <v>0</v>
      </c>
      <c r="I3822" s="728"/>
      <c r="J3822" s="148">
        <v>1.464</v>
      </c>
      <c r="K3822" s="148">
        <v>0</v>
      </c>
      <c r="L3822" s="148">
        <v>13.04707</v>
      </c>
      <c r="M3822" s="148">
        <v>24</v>
      </c>
      <c r="N3822" s="148">
        <v>-10.95293</v>
      </c>
      <c r="O3822" s="148">
        <v>-45.637208333333334</v>
      </c>
      <c r="P3822" s="148">
        <v>7.0016100000000003</v>
      </c>
      <c r="Q3822" s="148">
        <v>6.0454600000000003</v>
      </c>
      <c r="R3822" s="148">
        <v>86.343855199018506</v>
      </c>
    </row>
    <row r="3823" spans="2:18" ht="15.75" hidden="1" thickBot="1" x14ac:dyDescent="0.3">
      <c r="B3823" s="725" t="s">
        <v>793</v>
      </c>
      <c r="C3823" s="722" t="s">
        <v>103</v>
      </c>
      <c r="D3823" t="s">
        <v>104</v>
      </c>
      <c r="E3823" s="147">
        <v>5.7689999999999998E-2</v>
      </c>
      <c r="F3823" s="729"/>
      <c r="G3823" s="147">
        <v>5.7689999999999998E-2</v>
      </c>
      <c r="H3823" s="147">
        <v>0</v>
      </c>
      <c r="I3823" s="729"/>
      <c r="J3823" s="147">
        <v>5.7689999999999998E-2</v>
      </c>
      <c r="K3823" s="147">
        <v>0</v>
      </c>
      <c r="L3823" s="147">
        <v>0.25302000000000002</v>
      </c>
      <c r="M3823" s="729"/>
      <c r="N3823" s="147">
        <v>0.25302000000000002</v>
      </c>
      <c r="O3823" s="147">
        <v>0</v>
      </c>
      <c r="P3823" s="147">
        <v>5.9159999999999997E-2</v>
      </c>
      <c r="Q3823" s="147">
        <v>0.19386</v>
      </c>
      <c r="R3823" s="147">
        <v>327.68762677484784</v>
      </c>
    </row>
    <row r="3824" spans="2:18" ht="15.75" hidden="1" thickBot="1" x14ac:dyDescent="0.3">
      <c r="B3824" s="725" t="s">
        <v>793</v>
      </c>
      <c r="C3824" s="722" t="s">
        <v>71</v>
      </c>
      <c r="D3824" t="s">
        <v>72</v>
      </c>
      <c r="E3824" s="148">
        <v>0.15418000000000001</v>
      </c>
      <c r="F3824" s="728"/>
      <c r="G3824" s="148">
        <v>0.15418000000000001</v>
      </c>
      <c r="H3824" s="148">
        <v>0</v>
      </c>
      <c r="I3824" s="728"/>
      <c r="J3824" s="148">
        <v>0.15418000000000001</v>
      </c>
      <c r="K3824" s="148">
        <v>0</v>
      </c>
      <c r="L3824" s="148">
        <v>0.15418000000000001</v>
      </c>
      <c r="M3824" s="728"/>
      <c r="N3824" s="148">
        <v>0.15418000000000001</v>
      </c>
      <c r="O3824" s="148">
        <v>0</v>
      </c>
      <c r="P3824" s="728"/>
      <c r="Q3824" s="148">
        <v>0.15418000000000001</v>
      </c>
      <c r="R3824" s="148">
        <v>0</v>
      </c>
    </row>
    <row r="3825" spans="2:18" ht="15.75" hidden="1" thickBot="1" x14ac:dyDescent="0.3">
      <c r="B3825" s="725" t="s">
        <v>793</v>
      </c>
      <c r="C3825" s="722" t="s">
        <v>73</v>
      </c>
      <c r="D3825" t="s">
        <v>74</v>
      </c>
      <c r="E3825" s="147">
        <v>2.08569</v>
      </c>
      <c r="F3825" s="147">
        <v>0.3</v>
      </c>
      <c r="G3825" s="147">
        <v>1.78569</v>
      </c>
      <c r="H3825" s="147">
        <v>595.23</v>
      </c>
      <c r="I3825" s="729"/>
      <c r="J3825" s="147">
        <v>2.08569</v>
      </c>
      <c r="K3825" s="147">
        <v>0</v>
      </c>
      <c r="L3825" s="147">
        <v>8.0230300000000003</v>
      </c>
      <c r="M3825" s="147">
        <v>3.6</v>
      </c>
      <c r="N3825" s="147">
        <v>4.4230299999999998</v>
      </c>
      <c r="O3825" s="147">
        <v>122.86194444444445</v>
      </c>
      <c r="P3825" s="147">
        <v>3.6263299999999998</v>
      </c>
      <c r="Q3825" s="147">
        <v>4.3967000000000001</v>
      </c>
      <c r="R3825" s="147">
        <v>121.24379193289083</v>
      </c>
    </row>
    <row r="3826" spans="2:18" ht="15.75" hidden="1" thickBot="1" x14ac:dyDescent="0.3">
      <c r="B3826" s="725" t="s">
        <v>793</v>
      </c>
      <c r="C3826" s="722" t="s">
        <v>141</v>
      </c>
      <c r="D3826" t="s">
        <v>142</v>
      </c>
      <c r="E3826" s="148">
        <v>9.5500000000000002E-2</v>
      </c>
      <c r="F3826" s="728"/>
      <c r="G3826" s="148">
        <v>9.5500000000000002E-2</v>
      </c>
      <c r="H3826" s="148">
        <v>0</v>
      </c>
      <c r="I3826" s="728"/>
      <c r="J3826" s="148">
        <v>9.5500000000000002E-2</v>
      </c>
      <c r="K3826" s="148">
        <v>0</v>
      </c>
      <c r="L3826" s="148">
        <v>0.1855</v>
      </c>
      <c r="M3826" s="728"/>
      <c r="N3826" s="148">
        <v>0.1855</v>
      </c>
      <c r="O3826" s="148">
        <v>0</v>
      </c>
      <c r="P3826" s="148">
        <v>0.09</v>
      </c>
      <c r="Q3826" s="148">
        <v>9.5500000000000002E-2</v>
      </c>
      <c r="R3826" s="148">
        <v>106.11111111111111</v>
      </c>
    </row>
    <row r="3827" spans="2:18" ht="15.75" hidden="1" thickBot="1" x14ac:dyDescent="0.3">
      <c r="B3827" s="725" t="s">
        <v>793</v>
      </c>
      <c r="C3827" s="722" t="s">
        <v>113</v>
      </c>
      <c r="D3827" t="s">
        <v>114</v>
      </c>
      <c r="E3827" s="147">
        <v>0.38680999999999999</v>
      </c>
      <c r="F3827" s="147">
        <v>0.35</v>
      </c>
      <c r="G3827" s="147">
        <v>3.6810000000000002E-2</v>
      </c>
      <c r="H3827" s="147">
        <v>10.517142857142858</v>
      </c>
      <c r="I3827" s="729"/>
      <c r="J3827" s="147">
        <v>0.38680999999999999</v>
      </c>
      <c r="K3827" s="147">
        <v>0</v>
      </c>
      <c r="L3827" s="147">
        <v>3.7340300000000002</v>
      </c>
      <c r="M3827" s="147">
        <v>4.2</v>
      </c>
      <c r="N3827" s="147">
        <v>-0.46597</v>
      </c>
      <c r="O3827" s="147">
        <v>-11.09452380952381</v>
      </c>
      <c r="P3827" s="147">
        <v>1.6483099999999999</v>
      </c>
      <c r="Q3827" s="147">
        <v>2.0857199999999998</v>
      </c>
      <c r="R3827" s="147">
        <v>126.53687716509637</v>
      </c>
    </row>
    <row r="3828" spans="2:18" ht="15.75" hidden="1" thickBot="1" x14ac:dyDescent="0.3">
      <c r="B3828" s="725" t="s">
        <v>793</v>
      </c>
      <c r="C3828" s="722" t="s">
        <v>201</v>
      </c>
      <c r="D3828" t="s">
        <v>202</v>
      </c>
      <c r="E3828" s="728"/>
      <c r="F3828" s="728"/>
      <c r="G3828" s="728"/>
      <c r="H3828" s="728"/>
      <c r="I3828" s="728"/>
      <c r="J3828" s="728"/>
      <c r="K3828" s="728"/>
      <c r="L3828" s="148">
        <v>3.0769999999999999E-2</v>
      </c>
      <c r="M3828" s="728"/>
      <c r="N3828" s="148">
        <v>3.0769999999999999E-2</v>
      </c>
      <c r="O3828" s="148">
        <v>0</v>
      </c>
      <c r="P3828" s="728"/>
      <c r="Q3828" s="148">
        <v>3.0769999999999999E-2</v>
      </c>
      <c r="R3828" s="148">
        <v>0</v>
      </c>
    </row>
    <row r="3829" spans="2:18" ht="15.75" hidden="1" thickBot="1" x14ac:dyDescent="0.3">
      <c r="B3829" s="725" t="s">
        <v>793</v>
      </c>
      <c r="C3829" s="722" t="s">
        <v>145</v>
      </c>
      <c r="D3829" t="s">
        <v>146</v>
      </c>
      <c r="E3829" s="147">
        <v>0.13919999999999999</v>
      </c>
      <c r="F3829" s="729"/>
      <c r="G3829" s="147">
        <v>0.13919999999999999</v>
      </c>
      <c r="H3829" s="147">
        <v>0</v>
      </c>
      <c r="I3829" s="729"/>
      <c r="J3829" s="147">
        <v>0.13919999999999999</v>
      </c>
      <c r="K3829" s="147">
        <v>0</v>
      </c>
      <c r="L3829" s="147">
        <v>0.76259999999999994</v>
      </c>
      <c r="M3829" s="729"/>
      <c r="N3829" s="147">
        <v>0.76259999999999994</v>
      </c>
      <c r="O3829" s="147">
        <v>0</v>
      </c>
      <c r="P3829" s="147">
        <v>0.35799999999999998</v>
      </c>
      <c r="Q3829" s="147">
        <v>0.40460000000000002</v>
      </c>
      <c r="R3829" s="147">
        <v>113.01675977653632</v>
      </c>
    </row>
    <row r="3830" spans="2:18" ht="15.75" hidden="1" thickBot="1" x14ac:dyDescent="0.3">
      <c r="B3830" s="725" t="s">
        <v>793</v>
      </c>
      <c r="C3830" s="722" t="s">
        <v>203</v>
      </c>
      <c r="D3830" t="s">
        <v>204</v>
      </c>
      <c r="E3830" s="728"/>
      <c r="F3830" s="728"/>
      <c r="G3830" s="728"/>
      <c r="H3830" s="728"/>
      <c r="I3830" s="728"/>
      <c r="J3830" s="728"/>
      <c r="K3830" s="728"/>
      <c r="L3830" s="148">
        <v>6.336E-2</v>
      </c>
      <c r="M3830" s="728"/>
      <c r="N3830" s="148">
        <v>6.336E-2</v>
      </c>
      <c r="O3830" s="148">
        <v>0</v>
      </c>
      <c r="P3830" s="148">
        <v>6.336E-2</v>
      </c>
      <c r="Q3830" s="148">
        <v>0</v>
      </c>
      <c r="R3830" s="148">
        <v>0</v>
      </c>
    </row>
    <row r="3831" spans="2:18" ht="15.75" hidden="1" thickBot="1" x14ac:dyDescent="0.3">
      <c r="B3831" s="725" t="s">
        <v>793</v>
      </c>
      <c r="C3831" s="722" t="s">
        <v>649</v>
      </c>
      <c r="D3831" t="s">
        <v>650</v>
      </c>
      <c r="E3831" s="147">
        <v>0.32883000000000001</v>
      </c>
      <c r="F3831" s="729"/>
      <c r="G3831" s="147">
        <v>0.32883000000000001</v>
      </c>
      <c r="H3831" s="147">
        <v>0</v>
      </c>
      <c r="I3831" s="729"/>
      <c r="J3831" s="147">
        <v>0.32883000000000001</v>
      </c>
      <c r="K3831" s="147">
        <v>0</v>
      </c>
      <c r="L3831" s="147">
        <v>0.79859000000000002</v>
      </c>
      <c r="M3831" s="729"/>
      <c r="N3831" s="147">
        <v>0.79859000000000002</v>
      </c>
      <c r="O3831" s="147">
        <v>0</v>
      </c>
      <c r="P3831" s="147">
        <v>0.32181999999999999</v>
      </c>
      <c r="Q3831" s="147">
        <v>0.47677000000000003</v>
      </c>
      <c r="R3831" s="147">
        <v>148.14803306196009</v>
      </c>
    </row>
    <row r="3832" spans="2:18" ht="15.75" hidden="1" thickBot="1" x14ac:dyDescent="0.3">
      <c r="B3832" s="725" t="s">
        <v>793</v>
      </c>
      <c r="C3832" s="722" t="s">
        <v>481</v>
      </c>
      <c r="D3832" t="s">
        <v>482</v>
      </c>
      <c r="E3832" s="728"/>
      <c r="F3832" s="728"/>
      <c r="G3832" s="728"/>
      <c r="H3832" s="728"/>
      <c r="I3832" s="728"/>
      <c r="J3832" s="728"/>
      <c r="K3832" s="728"/>
      <c r="L3832" s="148">
        <v>0.10843</v>
      </c>
      <c r="M3832" s="728"/>
      <c r="N3832" s="148">
        <v>0.10843</v>
      </c>
      <c r="O3832" s="148">
        <v>0</v>
      </c>
      <c r="P3832" s="148">
        <v>6.3479999999999995E-2</v>
      </c>
      <c r="Q3832" s="148">
        <v>4.4949999999999997E-2</v>
      </c>
      <c r="R3832" s="148">
        <v>70.809703843730304</v>
      </c>
    </row>
    <row r="3833" spans="2:18" ht="15.75" hidden="1" thickBot="1" x14ac:dyDescent="0.3">
      <c r="B3833" s="725" t="s">
        <v>793</v>
      </c>
      <c r="C3833" s="722" t="s">
        <v>661</v>
      </c>
      <c r="D3833" t="s">
        <v>662</v>
      </c>
      <c r="E3833" s="729"/>
      <c r="F3833" s="729"/>
      <c r="G3833" s="729"/>
      <c r="H3833" s="729"/>
      <c r="I3833" s="729"/>
      <c r="J3833" s="729"/>
      <c r="K3833" s="729"/>
      <c r="L3833" s="147">
        <v>16.262250000000002</v>
      </c>
      <c r="M3833" s="729"/>
      <c r="N3833" s="147">
        <v>16.262250000000002</v>
      </c>
      <c r="O3833" s="147">
        <v>0</v>
      </c>
      <c r="P3833" s="147">
        <v>16.262250000000002</v>
      </c>
      <c r="Q3833" s="147">
        <v>0</v>
      </c>
      <c r="R3833" s="147">
        <v>0</v>
      </c>
    </row>
    <row r="3834" spans="2:18" ht="15.75" hidden="1" thickBot="1" x14ac:dyDescent="0.3">
      <c r="B3834" s="725" t="s">
        <v>793</v>
      </c>
      <c r="C3834" s="722" t="s">
        <v>207</v>
      </c>
      <c r="D3834" t="s">
        <v>208</v>
      </c>
      <c r="E3834" s="728"/>
      <c r="F3834" s="728"/>
      <c r="G3834" s="728"/>
      <c r="H3834" s="728"/>
      <c r="I3834" s="728"/>
      <c r="J3834" s="728"/>
      <c r="K3834" s="728"/>
      <c r="L3834" s="148">
        <v>1.5990000000000001E-2</v>
      </c>
      <c r="M3834" s="728"/>
      <c r="N3834" s="148">
        <v>1.5990000000000001E-2</v>
      </c>
      <c r="O3834" s="148">
        <v>0</v>
      </c>
      <c r="P3834" s="728"/>
      <c r="Q3834" s="148">
        <v>1.5990000000000001E-2</v>
      </c>
      <c r="R3834" s="148">
        <v>0</v>
      </c>
    </row>
    <row r="3835" spans="2:18" ht="15.75" hidden="1" thickBot="1" x14ac:dyDescent="0.3">
      <c r="B3835" s="725" t="s">
        <v>793</v>
      </c>
      <c r="C3835" s="722" t="s">
        <v>75</v>
      </c>
      <c r="D3835" t="s">
        <v>76</v>
      </c>
      <c r="E3835" s="147">
        <v>0.49048999999999998</v>
      </c>
      <c r="F3835" s="147">
        <v>0.5</v>
      </c>
      <c r="G3835" s="147">
        <v>-9.5099999999999994E-3</v>
      </c>
      <c r="H3835" s="147">
        <v>-1.9019999999999999</v>
      </c>
      <c r="I3835" s="729"/>
      <c r="J3835" s="147">
        <v>0.49048999999999998</v>
      </c>
      <c r="K3835" s="147">
        <v>0</v>
      </c>
      <c r="L3835" s="147">
        <v>6.4592700000000001</v>
      </c>
      <c r="M3835" s="147">
        <v>6</v>
      </c>
      <c r="N3835" s="147">
        <v>0.45927000000000001</v>
      </c>
      <c r="O3835" s="147">
        <v>7.6544999999999996</v>
      </c>
      <c r="P3835" s="147">
        <v>2.8650500000000001</v>
      </c>
      <c r="Q3835" s="147">
        <v>3.59422</v>
      </c>
      <c r="R3835" s="147">
        <v>125.45051569780632</v>
      </c>
    </row>
    <row r="3836" spans="2:18" ht="15.75" hidden="1" thickBot="1" x14ac:dyDescent="0.3">
      <c r="B3836" s="725" t="s">
        <v>793</v>
      </c>
      <c r="C3836" s="722" t="s">
        <v>121</v>
      </c>
      <c r="D3836" t="s">
        <v>122</v>
      </c>
      <c r="E3836" s="148">
        <v>1.0999999999999999E-2</v>
      </c>
      <c r="F3836" s="148">
        <v>0.5</v>
      </c>
      <c r="G3836" s="148">
        <v>-0.48899999999999999</v>
      </c>
      <c r="H3836" s="148">
        <v>-97.8</v>
      </c>
      <c r="I3836" s="728"/>
      <c r="J3836" s="148">
        <v>1.0999999999999999E-2</v>
      </c>
      <c r="K3836" s="148">
        <v>0</v>
      </c>
      <c r="L3836" s="148">
        <v>1.48048</v>
      </c>
      <c r="M3836" s="148">
        <v>6</v>
      </c>
      <c r="N3836" s="148">
        <v>-4.51952</v>
      </c>
      <c r="O3836" s="148">
        <v>-75.325333333333333</v>
      </c>
      <c r="P3836" s="148">
        <v>0.45954</v>
      </c>
      <c r="Q3836" s="148">
        <v>1.02094</v>
      </c>
      <c r="R3836" s="148">
        <v>222.16564390477433</v>
      </c>
    </row>
    <row r="3837" spans="2:18" ht="15.75" hidden="1" thickBot="1" x14ac:dyDescent="0.3">
      <c r="B3837" s="725" t="s">
        <v>793</v>
      </c>
      <c r="C3837" s="722" t="s">
        <v>77</v>
      </c>
      <c r="D3837" t="s">
        <v>78</v>
      </c>
      <c r="E3837" s="147">
        <v>0.40250000000000002</v>
      </c>
      <c r="F3837" s="729"/>
      <c r="G3837" s="147">
        <v>0.40250000000000002</v>
      </c>
      <c r="H3837" s="147">
        <v>0</v>
      </c>
      <c r="I3837" s="729"/>
      <c r="J3837" s="147">
        <v>0.40250000000000002</v>
      </c>
      <c r="K3837" s="147">
        <v>0</v>
      </c>
      <c r="L3837" s="147">
        <v>5.3536799999999998</v>
      </c>
      <c r="M3837" s="147">
        <v>9.6</v>
      </c>
      <c r="N3837" s="147">
        <v>-4.2463199999999999</v>
      </c>
      <c r="O3837" s="147">
        <v>-44.232500000000002</v>
      </c>
      <c r="P3837" s="147">
        <v>2.7972000000000001</v>
      </c>
      <c r="Q3837" s="147">
        <v>2.5564800000000001</v>
      </c>
      <c r="R3837" s="147">
        <v>91.394251394251398</v>
      </c>
    </row>
    <row r="3838" spans="2:18" ht="15.75" hidden="1" thickBot="1" x14ac:dyDescent="0.3">
      <c r="B3838" s="725" t="s">
        <v>793</v>
      </c>
      <c r="C3838" s="722" t="s">
        <v>79</v>
      </c>
      <c r="D3838" t="s">
        <v>80</v>
      </c>
      <c r="E3838" s="148">
        <v>15.681620000000001</v>
      </c>
      <c r="F3838" s="728"/>
      <c r="G3838" s="148">
        <v>15.681620000000001</v>
      </c>
      <c r="H3838" s="148">
        <v>0</v>
      </c>
      <c r="I3838" s="728"/>
      <c r="J3838" s="148">
        <v>15.681620000000001</v>
      </c>
      <c r="K3838" s="148">
        <v>0</v>
      </c>
      <c r="L3838" s="148">
        <v>38.309559999999998</v>
      </c>
      <c r="M3838" s="728"/>
      <c r="N3838" s="148">
        <v>38.309559999999998</v>
      </c>
      <c r="O3838" s="148">
        <v>0</v>
      </c>
      <c r="P3838" s="148">
        <v>9.5978700000000003</v>
      </c>
      <c r="Q3838" s="148">
        <v>28.711690000000001</v>
      </c>
      <c r="R3838" s="148">
        <v>299.1464772913157</v>
      </c>
    </row>
    <row r="3839" spans="2:18" ht="15.75" hidden="1" thickBot="1" x14ac:dyDescent="0.3">
      <c r="B3839" s="725" t="s">
        <v>793</v>
      </c>
      <c r="C3839" s="722" t="s">
        <v>81</v>
      </c>
      <c r="D3839" t="s">
        <v>82</v>
      </c>
      <c r="E3839" s="147">
        <v>0.22589999999999999</v>
      </c>
      <c r="F3839" s="729"/>
      <c r="G3839" s="147">
        <v>0.22589999999999999</v>
      </c>
      <c r="H3839" s="147">
        <v>0</v>
      </c>
      <c r="I3839" s="729"/>
      <c r="J3839" s="147">
        <v>0.22589999999999999</v>
      </c>
      <c r="K3839" s="147">
        <v>0</v>
      </c>
      <c r="L3839" s="147">
        <v>0.36629</v>
      </c>
      <c r="M3839" s="729"/>
      <c r="N3839" s="147">
        <v>0.36629</v>
      </c>
      <c r="O3839" s="147">
        <v>0</v>
      </c>
      <c r="P3839" s="729"/>
      <c r="Q3839" s="147">
        <v>0.36629</v>
      </c>
      <c r="R3839" s="147">
        <v>0</v>
      </c>
    </row>
    <row r="3840" spans="2:18" ht="15.75" hidden="1" thickBot="1" x14ac:dyDescent="0.3">
      <c r="B3840" s="725" t="s">
        <v>793</v>
      </c>
      <c r="C3840" s="722" t="s">
        <v>123</v>
      </c>
      <c r="D3840" t="s">
        <v>124</v>
      </c>
      <c r="E3840" s="148">
        <v>0.67340999999999995</v>
      </c>
      <c r="F3840" s="728"/>
      <c r="G3840" s="148">
        <v>0.67340999999999995</v>
      </c>
      <c r="H3840" s="148">
        <v>0</v>
      </c>
      <c r="I3840" s="728"/>
      <c r="J3840" s="148">
        <v>0.67340999999999995</v>
      </c>
      <c r="K3840" s="148">
        <v>0</v>
      </c>
      <c r="L3840" s="148">
        <v>2.0312700000000001</v>
      </c>
      <c r="M3840" s="728"/>
      <c r="N3840" s="148">
        <v>2.0312700000000001</v>
      </c>
      <c r="O3840" s="148">
        <v>0</v>
      </c>
      <c r="P3840" s="148">
        <v>0.53186</v>
      </c>
      <c r="Q3840" s="148">
        <v>1.4994099999999999</v>
      </c>
      <c r="R3840" s="148">
        <v>281.91817395555222</v>
      </c>
    </row>
    <row r="3841" spans="1:18" ht="15.75" hidden="1" thickBot="1" x14ac:dyDescent="0.3">
      <c r="B3841" s="725" t="s">
        <v>793</v>
      </c>
      <c r="C3841" s="149" t="s">
        <v>85</v>
      </c>
      <c r="D3841" t="s">
        <v>86</v>
      </c>
      <c r="E3841" s="147">
        <v>22.792179999999998</v>
      </c>
      <c r="F3841" s="147">
        <v>6.6166600000000004</v>
      </c>
      <c r="G3841" s="147">
        <v>16.175519999999999</v>
      </c>
      <c r="H3841" s="147">
        <v>244.46654354311693</v>
      </c>
      <c r="I3841" s="729"/>
      <c r="J3841" s="147">
        <v>22.792179999999998</v>
      </c>
      <c r="K3841" s="147">
        <v>0</v>
      </c>
      <c r="L3841" s="147">
        <v>144.68841</v>
      </c>
      <c r="M3841" s="147">
        <v>124.99992</v>
      </c>
      <c r="N3841" s="147">
        <v>19.688490000000002</v>
      </c>
      <c r="O3841" s="147">
        <v>15.750802080513331</v>
      </c>
      <c r="P3841" s="147">
        <v>91.011499999999998</v>
      </c>
      <c r="Q3841" s="147">
        <v>53.676909999999999</v>
      </c>
      <c r="R3841" s="147">
        <v>58.978162100393909</v>
      </c>
    </row>
    <row r="3842" spans="1:18" ht="15.75" hidden="1" thickBot="1" x14ac:dyDescent="0.3">
      <c r="B3842" s="725" t="s">
        <v>793</v>
      </c>
      <c r="C3842" s="144" t="s">
        <v>87</v>
      </c>
      <c r="D3842" t="s">
        <v>87</v>
      </c>
      <c r="E3842" s="148">
        <v>132.78547</v>
      </c>
      <c r="F3842" s="148">
        <v>102.59502000000001</v>
      </c>
      <c r="G3842" s="148">
        <v>30.190449999999998</v>
      </c>
      <c r="H3842" s="148">
        <v>29.426818182792889</v>
      </c>
      <c r="I3842" s="728"/>
      <c r="J3842" s="148">
        <v>132.78547</v>
      </c>
      <c r="K3842" s="148">
        <v>0</v>
      </c>
      <c r="L3842" s="148">
        <v>1289.8710100000001</v>
      </c>
      <c r="M3842" s="148">
        <v>1238.0735099999999</v>
      </c>
      <c r="N3842" s="148">
        <v>51.797499999999999</v>
      </c>
      <c r="O3842" s="148">
        <v>4.1837176534049254</v>
      </c>
      <c r="P3842" s="148">
        <v>679.63823000000002</v>
      </c>
      <c r="Q3842" s="148">
        <v>610.23278000000005</v>
      </c>
      <c r="R3842" s="148">
        <v>89.787883180144235</v>
      </c>
    </row>
    <row r="3843" spans="1:18" ht="15.75" hidden="1" thickBot="1" x14ac:dyDescent="0.3">
      <c r="A3843" s="199" t="str">
        <f t="shared" ref="A3843:A3880" si="16">B3843&amp;C3843</f>
        <v>RESOURCE MGMT CTRSALARY PAYROLL</v>
      </c>
      <c r="B3843" s="725" t="s">
        <v>217</v>
      </c>
      <c r="C3843" s="722" t="s">
        <v>59</v>
      </c>
      <c r="D3843" t="s">
        <v>60</v>
      </c>
      <c r="E3843" s="147">
        <v>169.99463</v>
      </c>
      <c r="F3843" s="147">
        <v>181.91802000000001</v>
      </c>
      <c r="G3843" s="147">
        <v>-11.923389999999999</v>
      </c>
      <c r="H3843" s="147">
        <v>-6.5542654872782808</v>
      </c>
      <c r="I3843" s="729"/>
      <c r="J3843" s="147">
        <v>169.99463</v>
      </c>
      <c r="K3843" s="147">
        <v>0</v>
      </c>
      <c r="L3843" s="147">
        <v>2185.31333</v>
      </c>
      <c r="M3843" s="147">
        <v>2171.56378</v>
      </c>
      <c r="N3843" s="147">
        <v>13.749549999999999</v>
      </c>
      <c r="O3843" s="147">
        <v>0.63316353526581659</v>
      </c>
      <c r="P3843" s="147">
        <v>1117.3599300000001</v>
      </c>
      <c r="Q3843" s="147">
        <v>1067.9534000000001</v>
      </c>
      <c r="R3843" s="147">
        <v>95.578279775971566</v>
      </c>
    </row>
    <row r="3844" spans="1:18" ht="15.75" hidden="1" thickBot="1" x14ac:dyDescent="0.3">
      <c r="A3844" s="199" t="str">
        <f t="shared" si="16"/>
        <v>RESOURCE MGMT CTRHOURLY REGULAR  PAY</v>
      </c>
      <c r="B3844" s="725" t="s">
        <v>217</v>
      </c>
      <c r="C3844" s="722" t="s">
        <v>91</v>
      </c>
      <c r="D3844" t="s">
        <v>92</v>
      </c>
      <c r="E3844" s="148">
        <v>22.54447</v>
      </c>
      <c r="F3844" s="148">
        <v>25.028040000000001</v>
      </c>
      <c r="G3844" s="148">
        <v>-2.4835699999999998</v>
      </c>
      <c r="H3844" s="148">
        <v>-9.9231501947415772</v>
      </c>
      <c r="I3844" s="728"/>
      <c r="J3844" s="148">
        <v>22.54447</v>
      </c>
      <c r="K3844" s="148">
        <v>0</v>
      </c>
      <c r="L3844" s="148">
        <v>279.8809</v>
      </c>
      <c r="M3844" s="148">
        <v>292.31781000000001</v>
      </c>
      <c r="N3844" s="148">
        <v>-12.436909999999999</v>
      </c>
      <c r="O3844" s="148">
        <v>-4.2545851037950788</v>
      </c>
      <c r="P3844" s="148">
        <v>129.64668</v>
      </c>
      <c r="Q3844" s="148">
        <v>150.23421999999999</v>
      </c>
      <c r="R3844" s="148">
        <v>115.87972788813411</v>
      </c>
    </row>
    <row r="3845" spans="1:18" ht="15.75" hidden="1" thickBot="1" x14ac:dyDescent="0.3">
      <c r="A3845" s="199" t="str">
        <f t="shared" si="16"/>
        <v>RESOURCE MGMT CTRHOURLY OVERTIME PAY</v>
      </c>
      <c r="B3845" s="725" t="s">
        <v>217</v>
      </c>
      <c r="C3845" s="722" t="s">
        <v>93</v>
      </c>
      <c r="D3845" t="s">
        <v>94</v>
      </c>
      <c r="E3845" s="147">
        <v>1.1469999999999999E-2</v>
      </c>
      <c r="F3845" s="147">
        <v>1.09273</v>
      </c>
      <c r="G3845" s="147">
        <v>-1.0812600000000001</v>
      </c>
      <c r="H3845" s="147">
        <v>-98.950335398497344</v>
      </c>
      <c r="I3845" s="729"/>
      <c r="J3845" s="147">
        <v>1.1469999999999999E-2</v>
      </c>
      <c r="K3845" s="147">
        <v>0</v>
      </c>
      <c r="L3845" s="147">
        <v>0.67949000000000004</v>
      </c>
      <c r="M3845" s="147">
        <v>12.76263</v>
      </c>
      <c r="N3845" s="147">
        <v>-12.08314</v>
      </c>
      <c r="O3845" s="147">
        <v>-94.675940617255222</v>
      </c>
      <c r="P3845" s="147">
        <v>0.1822</v>
      </c>
      <c r="Q3845" s="147">
        <v>0.49729000000000001</v>
      </c>
      <c r="R3845" s="147">
        <v>272.93633369923162</v>
      </c>
    </row>
    <row r="3846" spans="1:18" ht="15.75" hidden="1" thickBot="1" x14ac:dyDescent="0.3">
      <c r="A3846" s="199" t="str">
        <f t="shared" si="16"/>
        <v>RESOURCE MGMT CTRSALARY BONUS PAYROLL</v>
      </c>
      <c r="B3846" s="725" t="s">
        <v>217</v>
      </c>
      <c r="C3846" s="722" t="s">
        <v>134</v>
      </c>
      <c r="D3846" t="s">
        <v>135</v>
      </c>
      <c r="E3846" s="728"/>
      <c r="F3846" s="728"/>
      <c r="G3846" s="728"/>
      <c r="H3846" s="728"/>
      <c r="I3846" s="728"/>
      <c r="J3846" s="728"/>
      <c r="K3846" s="728"/>
      <c r="L3846" s="148">
        <v>12</v>
      </c>
      <c r="M3846" s="728"/>
      <c r="N3846" s="148">
        <v>12</v>
      </c>
      <c r="O3846" s="148">
        <v>0</v>
      </c>
      <c r="P3846" s="148">
        <v>12</v>
      </c>
      <c r="Q3846" s="148">
        <v>0</v>
      </c>
      <c r="R3846" s="148">
        <v>0</v>
      </c>
    </row>
    <row r="3847" spans="1:18" ht="15.75" hidden="1" thickBot="1" x14ac:dyDescent="0.3">
      <c r="A3847" s="199" t="str">
        <f t="shared" si="16"/>
        <v>RESOURCE MGMT CTRVACATION, SICK &amp; HOL</v>
      </c>
      <c r="B3847" s="725" t="s">
        <v>217</v>
      </c>
      <c r="C3847" s="722" t="s">
        <v>61</v>
      </c>
      <c r="D3847" t="s">
        <v>62</v>
      </c>
      <c r="E3847" s="147">
        <v>32.875279999999997</v>
      </c>
      <c r="F3847" s="147">
        <v>32.076639999999998</v>
      </c>
      <c r="G3847" s="147">
        <v>0.79864000000000002</v>
      </c>
      <c r="H3847" s="147">
        <v>2.4897869602302487</v>
      </c>
      <c r="I3847" s="729"/>
      <c r="J3847" s="147">
        <v>32.875279999999997</v>
      </c>
      <c r="K3847" s="147">
        <v>0</v>
      </c>
      <c r="L3847" s="147">
        <v>386.97145999999998</v>
      </c>
      <c r="M3847" s="147">
        <v>381.90165000000002</v>
      </c>
      <c r="N3847" s="147">
        <v>5.0698100000000004</v>
      </c>
      <c r="O3847" s="147">
        <v>1.3275171762153948</v>
      </c>
      <c r="P3847" s="147">
        <v>189.2133</v>
      </c>
      <c r="Q3847" s="147">
        <v>197.75816</v>
      </c>
      <c r="R3847" s="147">
        <v>104.51599332605055</v>
      </c>
    </row>
    <row r="3848" spans="1:18" ht="15.75" hidden="1" thickBot="1" x14ac:dyDescent="0.3">
      <c r="A3848" s="199" t="str">
        <f t="shared" si="16"/>
        <v>RESOURCE MGMT CTRPAYROLL OVERHEAD</v>
      </c>
      <c r="B3848" s="725" t="s">
        <v>217</v>
      </c>
      <c r="C3848" s="722" t="s">
        <v>63</v>
      </c>
      <c r="D3848" t="s">
        <v>64</v>
      </c>
      <c r="E3848" s="148">
        <v>127.71776</v>
      </c>
      <c r="F3848" s="148">
        <v>124.78847</v>
      </c>
      <c r="G3848" s="148">
        <v>2.9292899999999999</v>
      </c>
      <c r="H3848" s="148">
        <v>2.3474043715737518</v>
      </c>
      <c r="I3848" s="728"/>
      <c r="J3848" s="148">
        <v>127.71776</v>
      </c>
      <c r="K3848" s="148">
        <v>0</v>
      </c>
      <c r="L3848" s="148">
        <v>1503.4111499999999</v>
      </c>
      <c r="M3848" s="148">
        <v>1485.72064</v>
      </c>
      <c r="N3848" s="148">
        <v>17.69051</v>
      </c>
      <c r="O3848" s="148">
        <v>1.190702311303961</v>
      </c>
      <c r="P3848" s="148">
        <v>735.04493000000002</v>
      </c>
      <c r="Q3848" s="148">
        <v>768.36622</v>
      </c>
      <c r="R3848" s="148">
        <v>104.53323173047394</v>
      </c>
    </row>
    <row r="3849" spans="1:18" ht="15.75" hidden="1" thickBot="1" x14ac:dyDescent="0.3">
      <c r="A3849" s="199" t="str">
        <f t="shared" si="16"/>
        <v>RESOURCE MGMT CTRNWN/580105</v>
      </c>
      <c r="B3849" s="725" t="s">
        <v>217</v>
      </c>
      <c r="C3849" s="722" t="s">
        <v>156</v>
      </c>
      <c r="D3849" t="s">
        <v>157</v>
      </c>
      <c r="E3849" s="147">
        <v>138.90634</v>
      </c>
      <c r="F3849" s="729"/>
      <c r="G3849" s="147">
        <v>138.90634</v>
      </c>
      <c r="H3849" s="147">
        <v>0</v>
      </c>
      <c r="I3849" s="729"/>
      <c r="J3849" s="147">
        <v>138.90634</v>
      </c>
      <c r="K3849" s="147">
        <v>0</v>
      </c>
      <c r="L3849" s="147">
        <v>1973.8911599999999</v>
      </c>
      <c r="M3849" s="729"/>
      <c r="N3849" s="147">
        <v>1973.8911599999999</v>
      </c>
      <c r="O3849" s="147">
        <v>0</v>
      </c>
      <c r="P3849" s="147">
        <v>1008.27692</v>
      </c>
      <c r="Q3849" s="147">
        <v>965.61424</v>
      </c>
      <c r="R3849" s="147">
        <v>95.768753687231083</v>
      </c>
    </row>
    <row r="3850" spans="1:18" ht="15.75" hidden="1" thickBot="1" x14ac:dyDescent="0.3">
      <c r="A3850" s="199" t="str">
        <f t="shared" si="16"/>
        <v>RESOURCE MGMT CTRNWN/580305</v>
      </c>
      <c r="B3850" s="725" t="s">
        <v>217</v>
      </c>
      <c r="C3850" s="722" t="s">
        <v>184</v>
      </c>
      <c r="D3850" t="s">
        <v>185</v>
      </c>
      <c r="E3850" s="148">
        <v>22.01924</v>
      </c>
      <c r="F3850" s="728"/>
      <c r="G3850" s="148">
        <v>22.01924</v>
      </c>
      <c r="H3850" s="148">
        <v>0</v>
      </c>
      <c r="I3850" s="728"/>
      <c r="J3850" s="148">
        <v>22.01924</v>
      </c>
      <c r="K3850" s="148">
        <v>0</v>
      </c>
      <c r="L3850" s="148">
        <v>275.81812000000002</v>
      </c>
      <c r="M3850" s="728"/>
      <c r="N3850" s="148">
        <v>275.81812000000002</v>
      </c>
      <c r="O3850" s="148">
        <v>0</v>
      </c>
      <c r="P3850" s="148">
        <v>139.98916</v>
      </c>
      <c r="Q3850" s="148">
        <v>135.82896</v>
      </c>
      <c r="R3850" s="148">
        <v>97.02819846908146</v>
      </c>
    </row>
    <row r="3851" spans="1:18" ht="15.75" hidden="1" thickBot="1" x14ac:dyDescent="0.3">
      <c r="A3851" s="199" t="str">
        <f t="shared" si="16"/>
        <v>RESOURCE MGMT CTRNWN/580306</v>
      </c>
      <c r="B3851" s="725" t="s">
        <v>217</v>
      </c>
      <c r="C3851" s="722" t="s">
        <v>161</v>
      </c>
      <c r="D3851" t="s">
        <v>162</v>
      </c>
      <c r="E3851" s="729"/>
      <c r="F3851" s="729"/>
      <c r="G3851" s="729"/>
      <c r="H3851" s="729"/>
      <c r="I3851" s="729"/>
      <c r="J3851" s="729"/>
      <c r="K3851" s="729"/>
      <c r="L3851" s="147">
        <v>0.21103</v>
      </c>
      <c r="M3851" s="729"/>
      <c r="N3851" s="147">
        <v>0.21103</v>
      </c>
      <c r="O3851" s="147">
        <v>0</v>
      </c>
      <c r="P3851" s="147">
        <v>0.19267000000000001</v>
      </c>
      <c r="Q3851" s="147">
        <v>1.8360000000000001E-2</v>
      </c>
      <c r="R3851" s="147">
        <v>9.5292468988425814</v>
      </c>
    </row>
    <row r="3852" spans="1:18" ht="15.75" hidden="1" thickBot="1" x14ac:dyDescent="0.3">
      <c r="A3852" s="199" t="str">
        <f t="shared" si="16"/>
        <v>RESOURCE MGMT CTRSALARY PAYROLL ZTFSO</v>
      </c>
      <c r="B3852" s="725" t="s">
        <v>217</v>
      </c>
      <c r="C3852" s="722" t="s">
        <v>65</v>
      </c>
      <c r="D3852" t="s">
        <v>66</v>
      </c>
      <c r="E3852" s="148">
        <v>-285.08147000000002</v>
      </c>
      <c r="F3852" s="148">
        <v>-153.50968</v>
      </c>
      <c r="G3852" s="148">
        <v>-131.57178999999999</v>
      </c>
      <c r="H3852" s="148">
        <v>-85.709116193845233</v>
      </c>
      <c r="I3852" s="728"/>
      <c r="J3852" s="148">
        <v>-285.08147000000002</v>
      </c>
      <c r="K3852" s="148">
        <v>0</v>
      </c>
      <c r="L3852" s="148">
        <v>-3856.4531499999998</v>
      </c>
      <c r="M3852" s="148">
        <v>-1832.4521199999999</v>
      </c>
      <c r="N3852" s="148">
        <v>-2024.0010299999999</v>
      </c>
      <c r="O3852" s="148">
        <v>-110.45314679217921</v>
      </c>
      <c r="P3852" s="148">
        <v>-1956.61275</v>
      </c>
      <c r="Q3852" s="148">
        <v>-1899.8404</v>
      </c>
      <c r="R3852" s="148">
        <v>-97.098437082146177</v>
      </c>
    </row>
    <row r="3853" spans="1:18" ht="15.75" hidden="1" thickBot="1" x14ac:dyDescent="0.3">
      <c r="A3853" s="199" t="str">
        <f t="shared" si="16"/>
        <v>RESOURCE MGMT CTRHRLY - REGULAR ZTFSO</v>
      </c>
      <c r="B3853" s="725" t="s">
        <v>217</v>
      </c>
      <c r="C3853" s="722" t="s">
        <v>163</v>
      </c>
      <c r="D3853" t="s">
        <v>164</v>
      </c>
      <c r="E3853" s="147">
        <v>-42.344639999999998</v>
      </c>
      <c r="F3853" s="147">
        <v>-21.119669999999999</v>
      </c>
      <c r="G3853" s="147">
        <v>-21.224969999999999</v>
      </c>
      <c r="H3853" s="147">
        <v>-100.49858733588167</v>
      </c>
      <c r="I3853" s="729"/>
      <c r="J3853" s="147">
        <v>-42.344639999999998</v>
      </c>
      <c r="K3853" s="147">
        <v>0</v>
      </c>
      <c r="L3853" s="147">
        <v>-480.73493000000002</v>
      </c>
      <c r="M3853" s="147">
        <v>-246.6695</v>
      </c>
      <c r="N3853" s="147">
        <v>-234.06542999999999</v>
      </c>
      <c r="O3853" s="147">
        <v>-94.890300584385173</v>
      </c>
      <c r="P3853" s="147">
        <v>-219.52548999999999</v>
      </c>
      <c r="Q3853" s="147">
        <v>-261.20943999999997</v>
      </c>
      <c r="R3853" s="147">
        <v>-118.98820496881706</v>
      </c>
    </row>
    <row r="3854" spans="1:18" ht="15.75" hidden="1" thickBot="1" x14ac:dyDescent="0.3">
      <c r="A3854" s="199" t="str">
        <f t="shared" si="16"/>
        <v>RESOURCE MGMT CTRHRLY - OT ZTFSO</v>
      </c>
      <c r="B3854" s="725" t="s">
        <v>217</v>
      </c>
      <c r="C3854" s="722" t="s">
        <v>97</v>
      </c>
      <c r="D3854" t="s">
        <v>98</v>
      </c>
      <c r="E3854" s="728"/>
      <c r="F3854" s="728"/>
      <c r="G3854" s="728"/>
      <c r="H3854" s="728"/>
      <c r="I3854" s="728"/>
      <c r="J3854" s="728"/>
      <c r="K3854" s="728"/>
      <c r="L3854" s="148">
        <v>-0.22395999999999999</v>
      </c>
      <c r="M3854" s="728"/>
      <c r="N3854" s="148">
        <v>-0.22395999999999999</v>
      </c>
      <c r="O3854" s="148">
        <v>0</v>
      </c>
      <c r="P3854" s="148">
        <v>-0.18859999999999999</v>
      </c>
      <c r="Q3854" s="148">
        <v>-3.5360000000000003E-2</v>
      </c>
      <c r="R3854" s="148">
        <v>-18.748674443266172</v>
      </c>
    </row>
    <row r="3855" spans="1:18" ht="18.75" thickBot="1" x14ac:dyDescent="0.3">
      <c r="A3855" s="199" t="str">
        <f t="shared" si="16"/>
        <v>RESOURCE MGMT CTRPayroll</v>
      </c>
      <c r="B3855" s="725" t="s">
        <v>217</v>
      </c>
      <c r="C3855" s="149" t="s">
        <v>67</v>
      </c>
      <c r="D3855" t="s">
        <v>68</v>
      </c>
      <c r="E3855" s="147">
        <v>186.64308</v>
      </c>
      <c r="F3855" s="147">
        <v>190.27455</v>
      </c>
      <c r="G3855" s="147">
        <v>-3.6314700000000002</v>
      </c>
      <c r="H3855" s="147">
        <v>-1.9085421565837366</v>
      </c>
      <c r="I3855" s="729"/>
      <c r="J3855" s="147">
        <v>186.64308</v>
      </c>
      <c r="K3855" s="147">
        <v>0</v>
      </c>
      <c r="L3855" s="739">
        <v>2280.7646</v>
      </c>
      <c r="M3855" s="147">
        <v>2265.14489</v>
      </c>
      <c r="N3855" s="147">
        <v>15.61971</v>
      </c>
      <c r="O3855" s="147">
        <v>0.68956780950113972</v>
      </c>
      <c r="P3855" s="147">
        <v>1155.5789500000001</v>
      </c>
      <c r="Q3855" s="147">
        <v>1125.1856499999999</v>
      </c>
      <c r="R3855" s="147">
        <v>97.369863824535742</v>
      </c>
    </row>
    <row r="3856" spans="1:18" ht="15.75" hidden="1" thickBot="1" x14ac:dyDescent="0.3">
      <c r="A3856" s="199" t="str">
        <f t="shared" si="16"/>
        <v>RESOURCE MGMT CTREDUCATION</v>
      </c>
      <c r="B3856" s="725" t="s">
        <v>217</v>
      </c>
      <c r="C3856" s="722" t="s">
        <v>69</v>
      </c>
      <c r="D3856" t="s">
        <v>70</v>
      </c>
      <c r="E3856" s="728"/>
      <c r="F3856" s="728"/>
      <c r="G3856" s="728"/>
      <c r="H3856" s="728"/>
      <c r="I3856" s="728"/>
      <c r="J3856" s="728"/>
      <c r="K3856" s="728"/>
      <c r="L3856" s="148">
        <v>0.73799999999999999</v>
      </c>
      <c r="M3856" s="728"/>
      <c r="N3856" s="148">
        <v>0.73799999999999999</v>
      </c>
      <c r="O3856" s="148">
        <v>0</v>
      </c>
      <c r="P3856" s="148">
        <v>0.4</v>
      </c>
      <c r="Q3856" s="148">
        <v>0.33800000000000002</v>
      </c>
      <c r="R3856" s="148">
        <v>84.5</v>
      </c>
    </row>
    <row r="3857" spans="1:18" ht="15.75" hidden="1" thickBot="1" x14ac:dyDescent="0.3">
      <c r="A3857" s="199" t="str">
        <f t="shared" si="16"/>
        <v>RESOURCE MGMT CTRMATERIALS</v>
      </c>
      <c r="B3857" s="725" t="s">
        <v>217</v>
      </c>
      <c r="C3857" s="722" t="s">
        <v>99</v>
      </c>
      <c r="D3857" t="s">
        <v>100</v>
      </c>
      <c r="E3857" s="729"/>
      <c r="F3857" s="729"/>
      <c r="G3857" s="729"/>
      <c r="H3857" s="729"/>
      <c r="I3857" s="729"/>
      <c r="J3857" s="729"/>
      <c r="K3857" s="729"/>
      <c r="L3857" s="147">
        <v>5.0959999999999998E-2</v>
      </c>
      <c r="M3857" s="729"/>
      <c r="N3857" s="147">
        <v>5.0959999999999998E-2</v>
      </c>
      <c r="O3857" s="147">
        <v>0</v>
      </c>
      <c r="P3857" s="729"/>
      <c r="Q3857" s="147">
        <v>5.0959999999999998E-2</v>
      </c>
      <c r="R3857" s="147">
        <v>0</v>
      </c>
    </row>
    <row r="3858" spans="1:18" ht="15.75" hidden="1" thickBot="1" x14ac:dyDescent="0.3">
      <c r="A3858" s="199" t="str">
        <f t="shared" si="16"/>
        <v>RESOURCE MGMT CTRMATERIALS - CONS INV</v>
      </c>
      <c r="B3858" s="725" t="s">
        <v>217</v>
      </c>
      <c r="C3858" s="722" t="s">
        <v>165</v>
      </c>
      <c r="D3858" t="s">
        <v>166</v>
      </c>
      <c r="E3858" s="728"/>
      <c r="F3858" s="728"/>
      <c r="G3858" s="728"/>
      <c r="H3858" s="728"/>
      <c r="I3858" s="728"/>
      <c r="J3858" s="728"/>
      <c r="K3858" s="728"/>
      <c r="L3858" s="148">
        <v>5.1970000000000002E-2</v>
      </c>
      <c r="M3858" s="728"/>
      <c r="N3858" s="148">
        <v>5.1970000000000002E-2</v>
      </c>
      <c r="O3858" s="148">
        <v>0</v>
      </c>
      <c r="P3858" s="148">
        <v>5.1970000000000002E-2</v>
      </c>
      <c r="Q3858" s="148">
        <v>0</v>
      </c>
      <c r="R3858" s="148">
        <v>0</v>
      </c>
    </row>
    <row r="3859" spans="1:18" ht="15.75" hidden="1" thickBot="1" x14ac:dyDescent="0.3">
      <c r="A3859" s="199" t="str">
        <f t="shared" si="16"/>
        <v>RESOURCE MGMT CTRMILEAGE REIMBURSE</v>
      </c>
      <c r="B3859" s="725" t="s">
        <v>217</v>
      </c>
      <c r="C3859" s="722" t="s">
        <v>137</v>
      </c>
      <c r="D3859" t="s">
        <v>138</v>
      </c>
      <c r="E3859" s="147">
        <v>0.50146999999999997</v>
      </c>
      <c r="F3859" s="147">
        <v>0.25</v>
      </c>
      <c r="G3859" s="147">
        <v>0.25147000000000003</v>
      </c>
      <c r="H3859" s="147">
        <v>100.58799999999999</v>
      </c>
      <c r="I3859" s="729"/>
      <c r="J3859" s="147">
        <v>0.50146999999999997</v>
      </c>
      <c r="K3859" s="147">
        <v>0</v>
      </c>
      <c r="L3859" s="147">
        <v>3.6948300000000001</v>
      </c>
      <c r="M3859" s="147">
        <v>3</v>
      </c>
      <c r="N3859" s="147">
        <v>0.69482999999999995</v>
      </c>
      <c r="O3859" s="147">
        <v>23.161000000000001</v>
      </c>
      <c r="P3859" s="147">
        <v>1.14696</v>
      </c>
      <c r="Q3859" s="147">
        <v>2.5478700000000001</v>
      </c>
      <c r="R3859" s="147">
        <v>222.14113831345469</v>
      </c>
    </row>
    <row r="3860" spans="1:18" ht="15.75" hidden="1" thickBot="1" x14ac:dyDescent="0.3">
      <c r="A3860" s="199" t="str">
        <f t="shared" si="16"/>
        <v>RESOURCE MGMT CTRTRANSPORTATION</v>
      </c>
      <c r="B3860" s="725" t="s">
        <v>217</v>
      </c>
      <c r="C3860" s="722" t="s">
        <v>190</v>
      </c>
      <c r="D3860" t="s">
        <v>191</v>
      </c>
      <c r="E3860" s="148">
        <v>6.2300000000000003E-3</v>
      </c>
      <c r="F3860" s="728"/>
      <c r="G3860" s="148">
        <v>6.2300000000000003E-3</v>
      </c>
      <c r="H3860" s="148">
        <v>0</v>
      </c>
      <c r="I3860" s="728"/>
      <c r="J3860" s="148">
        <v>6.2300000000000003E-3</v>
      </c>
      <c r="K3860" s="148">
        <v>0</v>
      </c>
      <c r="L3860" s="148">
        <v>1.04E-2</v>
      </c>
      <c r="M3860" s="728"/>
      <c r="N3860" s="148">
        <v>1.04E-2</v>
      </c>
      <c r="O3860" s="148">
        <v>0</v>
      </c>
      <c r="P3860" s="728"/>
      <c r="Q3860" s="148">
        <v>1.04E-2</v>
      </c>
      <c r="R3860" s="148">
        <v>0</v>
      </c>
    </row>
    <row r="3861" spans="1:18" ht="15.75" hidden="1" thickBot="1" x14ac:dyDescent="0.3">
      <c r="A3861" s="199" t="str">
        <f t="shared" si="16"/>
        <v>RESOURCE MGMT CTREQUIPMENT</v>
      </c>
      <c r="B3861" s="725" t="s">
        <v>217</v>
      </c>
      <c r="C3861" s="722" t="s">
        <v>36</v>
      </c>
      <c r="D3861" t="s">
        <v>192</v>
      </c>
      <c r="E3861" s="729"/>
      <c r="F3861" s="729"/>
      <c r="G3861" s="729"/>
      <c r="H3861" s="729"/>
      <c r="I3861" s="729"/>
      <c r="J3861" s="729"/>
      <c r="K3861" s="729"/>
      <c r="L3861" s="147">
        <v>0.22176999999999999</v>
      </c>
      <c r="M3861" s="729"/>
      <c r="N3861" s="147">
        <v>0.22176999999999999</v>
      </c>
      <c r="O3861" s="147">
        <v>0</v>
      </c>
      <c r="P3861" s="729"/>
      <c r="Q3861" s="147">
        <v>0.22176999999999999</v>
      </c>
      <c r="R3861" s="147">
        <v>0</v>
      </c>
    </row>
    <row r="3862" spans="1:18" ht="15.75" hidden="1" thickBot="1" x14ac:dyDescent="0.3">
      <c r="A3862" s="199" t="str">
        <f t="shared" si="16"/>
        <v>RESOURCE MGMT CTROTHER CONTRACT WORK</v>
      </c>
      <c r="B3862" s="725" t="s">
        <v>217</v>
      </c>
      <c r="C3862" s="722" t="s">
        <v>101</v>
      </c>
      <c r="D3862" t="s">
        <v>102</v>
      </c>
      <c r="E3862" s="148">
        <v>4.9200000000000001E-2</v>
      </c>
      <c r="F3862" s="728"/>
      <c r="G3862" s="148">
        <v>4.9200000000000001E-2</v>
      </c>
      <c r="H3862" s="148">
        <v>0</v>
      </c>
      <c r="I3862" s="728"/>
      <c r="J3862" s="148">
        <v>4.9200000000000001E-2</v>
      </c>
      <c r="K3862" s="148">
        <v>0</v>
      </c>
      <c r="L3862" s="148">
        <v>0.70440999999999998</v>
      </c>
      <c r="M3862" s="728"/>
      <c r="N3862" s="148">
        <v>0.70440999999999998</v>
      </c>
      <c r="O3862" s="148">
        <v>0</v>
      </c>
      <c r="P3862" s="148">
        <v>0.24088999999999999</v>
      </c>
      <c r="Q3862" s="148">
        <v>0.46351999999999999</v>
      </c>
      <c r="R3862" s="148">
        <v>192.41977666154676</v>
      </c>
    </row>
    <row r="3863" spans="1:18" ht="15.75" hidden="1" thickBot="1" x14ac:dyDescent="0.3">
      <c r="A3863" s="199" t="str">
        <f t="shared" si="16"/>
        <v>RESOURCE MGMT CTRMISCELLANEOUS</v>
      </c>
      <c r="B3863" s="725" t="s">
        <v>217</v>
      </c>
      <c r="C3863" s="722" t="s">
        <v>103</v>
      </c>
      <c r="D3863" t="s">
        <v>104</v>
      </c>
      <c r="E3863" s="729"/>
      <c r="F3863" s="729"/>
      <c r="G3863" s="729"/>
      <c r="H3863" s="729"/>
      <c r="I3863" s="729"/>
      <c r="J3863" s="729"/>
      <c r="K3863" s="729"/>
      <c r="L3863" s="147">
        <v>1.2959999999999999E-2</v>
      </c>
      <c r="M3863" s="729"/>
      <c r="N3863" s="147">
        <v>1.2959999999999999E-2</v>
      </c>
      <c r="O3863" s="147">
        <v>0</v>
      </c>
      <c r="P3863" s="729"/>
      <c r="Q3863" s="147">
        <v>1.2959999999999999E-2</v>
      </c>
      <c r="R3863" s="147">
        <v>0</v>
      </c>
    </row>
    <row r="3864" spans="1:18" ht="15.75" hidden="1" thickBot="1" x14ac:dyDescent="0.3">
      <c r="A3864" s="199" t="str">
        <f t="shared" si="16"/>
        <v>RESOURCE MGMT CTROFFICE SUPPLIES</v>
      </c>
      <c r="B3864" s="725" t="s">
        <v>217</v>
      </c>
      <c r="C3864" s="722" t="s">
        <v>73</v>
      </c>
      <c r="D3864" t="s">
        <v>74</v>
      </c>
      <c r="E3864" s="728"/>
      <c r="F3864" s="148">
        <v>0.33700000000000002</v>
      </c>
      <c r="G3864" s="148">
        <v>-0.33700000000000002</v>
      </c>
      <c r="H3864" s="148">
        <v>-100</v>
      </c>
      <c r="I3864" s="728"/>
      <c r="J3864" s="728"/>
      <c r="K3864" s="728"/>
      <c r="L3864" s="148">
        <v>0.26644000000000001</v>
      </c>
      <c r="M3864" s="148">
        <v>4</v>
      </c>
      <c r="N3864" s="148">
        <v>-3.7335600000000002</v>
      </c>
      <c r="O3864" s="148">
        <v>-93.338999999999999</v>
      </c>
      <c r="P3864" s="148">
        <v>0.23350000000000001</v>
      </c>
      <c r="Q3864" s="148">
        <v>3.2939999999999997E-2</v>
      </c>
      <c r="R3864" s="148">
        <v>14.107066381156317</v>
      </c>
    </row>
    <row r="3865" spans="1:18" ht="15.75" hidden="1" thickBot="1" x14ac:dyDescent="0.3">
      <c r="A3865" s="199" t="str">
        <f t="shared" si="16"/>
        <v>RESOURCE MGMT CTRPRINTING</v>
      </c>
      <c r="B3865" s="725" t="s">
        <v>217</v>
      </c>
      <c r="C3865" s="722" t="s">
        <v>111</v>
      </c>
      <c r="D3865" t="s">
        <v>112</v>
      </c>
      <c r="E3865" s="729"/>
      <c r="F3865" s="147">
        <v>0.25</v>
      </c>
      <c r="G3865" s="147">
        <v>-0.25</v>
      </c>
      <c r="H3865" s="147">
        <v>-100</v>
      </c>
      <c r="I3865" s="729"/>
      <c r="J3865" s="729"/>
      <c r="K3865" s="729"/>
      <c r="L3865" s="147">
        <v>7.8490000000000004E-2</v>
      </c>
      <c r="M3865" s="147">
        <v>3</v>
      </c>
      <c r="N3865" s="147">
        <v>-2.9215100000000001</v>
      </c>
      <c r="O3865" s="147">
        <v>-97.38366666666667</v>
      </c>
      <c r="P3865" s="147">
        <v>7.8490000000000004E-2</v>
      </c>
      <c r="Q3865" s="147">
        <v>0</v>
      </c>
      <c r="R3865" s="147">
        <v>0</v>
      </c>
    </row>
    <row r="3866" spans="1:18" ht="15.75" hidden="1" thickBot="1" x14ac:dyDescent="0.3">
      <c r="A3866" s="199" t="str">
        <f t="shared" si="16"/>
        <v>RESOURCE MGMT CTRREFRESHMENTS</v>
      </c>
      <c r="B3866" s="725" t="s">
        <v>217</v>
      </c>
      <c r="C3866" s="722" t="s">
        <v>113</v>
      </c>
      <c r="D3866" t="s">
        <v>114</v>
      </c>
      <c r="E3866" s="148">
        <v>0.1195</v>
      </c>
      <c r="F3866" s="728"/>
      <c r="G3866" s="148">
        <v>0.1195</v>
      </c>
      <c r="H3866" s="148">
        <v>0</v>
      </c>
      <c r="I3866" s="728"/>
      <c r="J3866" s="148">
        <v>0.1195</v>
      </c>
      <c r="K3866" s="148">
        <v>0</v>
      </c>
      <c r="L3866" s="148">
        <v>0.74665000000000004</v>
      </c>
      <c r="M3866" s="728"/>
      <c r="N3866" s="148">
        <v>0.74665000000000004</v>
      </c>
      <c r="O3866" s="148">
        <v>0</v>
      </c>
      <c r="P3866" s="148">
        <v>0.31148999999999999</v>
      </c>
      <c r="Q3866" s="148">
        <v>0.43515999999999999</v>
      </c>
      <c r="R3866" s="148">
        <v>139.70271918841695</v>
      </c>
    </row>
    <row r="3867" spans="1:18" ht="15.75" hidden="1" thickBot="1" x14ac:dyDescent="0.3">
      <c r="A3867" s="199" t="str">
        <f t="shared" si="16"/>
        <v>RESOURCE MGMT CTRPARKING</v>
      </c>
      <c r="B3867" s="725" t="s">
        <v>217</v>
      </c>
      <c r="C3867" s="722" t="s">
        <v>145</v>
      </c>
      <c r="D3867" t="s">
        <v>146</v>
      </c>
      <c r="E3867" s="147">
        <v>0.72040000000000004</v>
      </c>
      <c r="F3867" s="147">
        <v>0.5</v>
      </c>
      <c r="G3867" s="147">
        <v>0.22040000000000001</v>
      </c>
      <c r="H3867" s="147">
        <v>44.08</v>
      </c>
      <c r="I3867" s="729"/>
      <c r="J3867" s="147">
        <v>0.72040000000000004</v>
      </c>
      <c r="K3867" s="147">
        <v>0</v>
      </c>
      <c r="L3867" s="147">
        <v>6.2943699999999998</v>
      </c>
      <c r="M3867" s="147">
        <v>6</v>
      </c>
      <c r="N3867" s="147">
        <v>0.29437000000000002</v>
      </c>
      <c r="O3867" s="147">
        <v>4.9061666666666666</v>
      </c>
      <c r="P3867" s="147">
        <v>2.3151199999999998</v>
      </c>
      <c r="Q3867" s="147">
        <v>3.97925</v>
      </c>
      <c r="R3867" s="147">
        <v>171.88093921697364</v>
      </c>
    </row>
    <row r="3868" spans="1:18" ht="15.75" hidden="1" thickBot="1" x14ac:dyDescent="0.3">
      <c r="A3868" s="199" t="str">
        <f t="shared" si="16"/>
        <v>RESOURCE MGMT CTRUNIFORMS</v>
      </c>
      <c r="B3868" s="725" t="s">
        <v>217</v>
      </c>
      <c r="C3868" s="722" t="s">
        <v>203</v>
      </c>
      <c r="D3868" t="s">
        <v>204</v>
      </c>
      <c r="E3868" s="728"/>
      <c r="F3868" s="728"/>
      <c r="G3868" s="728"/>
      <c r="H3868" s="728"/>
      <c r="I3868" s="728"/>
      <c r="J3868" s="728"/>
      <c r="K3868" s="728"/>
      <c r="L3868" s="148">
        <v>0.18199000000000001</v>
      </c>
      <c r="M3868" s="728"/>
      <c r="N3868" s="148">
        <v>0.18199000000000001</v>
      </c>
      <c r="O3868" s="148">
        <v>0</v>
      </c>
      <c r="P3868" s="148">
        <v>7.8E-2</v>
      </c>
      <c r="Q3868" s="148">
        <v>0.10399</v>
      </c>
      <c r="R3868" s="148">
        <v>133.32051282051282</v>
      </c>
    </row>
    <row r="3869" spans="1:18" ht="15.75" hidden="1" thickBot="1" x14ac:dyDescent="0.3">
      <c r="A3869" s="199" t="str">
        <f t="shared" si="16"/>
        <v>RESOURCE MGMT CTRCLOTHING</v>
      </c>
      <c r="B3869" s="725" t="s">
        <v>217</v>
      </c>
      <c r="C3869" s="722" t="s">
        <v>641</v>
      </c>
      <c r="D3869" t="s">
        <v>642</v>
      </c>
      <c r="E3869" s="729"/>
      <c r="F3869" s="729"/>
      <c r="G3869" s="729"/>
      <c r="H3869" s="729"/>
      <c r="I3869" s="729"/>
      <c r="J3869" s="729"/>
      <c r="K3869" s="729"/>
      <c r="L3869" s="147">
        <v>7.2789999999999994E-2</v>
      </c>
      <c r="M3869" s="729"/>
      <c r="N3869" s="147">
        <v>7.2789999999999994E-2</v>
      </c>
      <c r="O3869" s="147">
        <v>0</v>
      </c>
      <c r="P3869" s="147">
        <v>7.2789999999999994E-2</v>
      </c>
      <c r="Q3869" s="147">
        <v>0</v>
      </c>
      <c r="R3869" s="147">
        <v>0</v>
      </c>
    </row>
    <row r="3870" spans="1:18" ht="15.75" hidden="1" thickBot="1" x14ac:dyDescent="0.3">
      <c r="A3870" s="199" t="str">
        <f t="shared" si="16"/>
        <v>RESOURCE MGMT CTRPROFESSIONAL SERVICE</v>
      </c>
      <c r="B3870" s="725" t="s">
        <v>217</v>
      </c>
      <c r="C3870" s="722" t="s">
        <v>149</v>
      </c>
      <c r="D3870" t="s">
        <v>150</v>
      </c>
      <c r="E3870" s="728"/>
      <c r="F3870" s="148">
        <v>1.667</v>
      </c>
      <c r="G3870" s="148">
        <v>-1.667</v>
      </c>
      <c r="H3870" s="148">
        <v>-100</v>
      </c>
      <c r="I3870" s="728"/>
      <c r="J3870" s="728"/>
      <c r="K3870" s="728"/>
      <c r="L3870" s="728"/>
      <c r="M3870" s="148">
        <v>20.004000000000001</v>
      </c>
      <c r="N3870" s="148">
        <v>-20.004000000000001</v>
      </c>
      <c r="O3870" s="148">
        <v>-100</v>
      </c>
      <c r="P3870" s="728"/>
      <c r="Q3870" s="728"/>
      <c r="R3870" s="728"/>
    </row>
    <row r="3871" spans="1:18" ht="15.75" hidden="1" thickBot="1" x14ac:dyDescent="0.3">
      <c r="A3871" s="199" t="str">
        <f t="shared" si="16"/>
        <v>RESOURCE MGMT CTRMEALS AND ENTERTAIN</v>
      </c>
      <c r="B3871" s="725" t="s">
        <v>217</v>
      </c>
      <c r="C3871" s="722" t="s">
        <v>75</v>
      </c>
      <c r="D3871" t="s">
        <v>76</v>
      </c>
      <c r="E3871" s="147">
        <v>0.49336999999999998</v>
      </c>
      <c r="F3871" s="147">
        <v>1</v>
      </c>
      <c r="G3871" s="147">
        <v>-0.50663000000000002</v>
      </c>
      <c r="H3871" s="147">
        <v>-50.662999999999997</v>
      </c>
      <c r="I3871" s="729"/>
      <c r="J3871" s="147">
        <v>0.49336999999999998</v>
      </c>
      <c r="K3871" s="147">
        <v>0</v>
      </c>
      <c r="L3871" s="147">
        <v>10.56672</v>
      </c>
      <c r="M3871" s="147">
        <v>12</v>
      </c>
      <c r="N3871" s="147">
        <v>-1.4332800000000001</v>
      </c>
      <c r="O3871" s="147">
        <v>-11.944000000000001</v>
      </c>
      <c r="P3871" s="147">
        <v>4.4777500000000003</v>
      </c>
      <c r="Q3871" s="147">
        <v>6.0889699999999998</v>
      </c>
      <c r="R3871" s="147">
        <v>135.98280386354753</v>
      </c>
    </row>
    <row r="3872" spans="1:18" ht="15.75" hidden="1" thickBot="1" x14ac:dyDescent="0.3">
      <c r="A3872" s="199" t="str">
        <f t="shared" si="16"/>
        <v>RESOURCE MGMT CTRTRAVEL IN TERRITORY</v>
      </c>
      <c r="B3872" s="725" t="s">
        <v>217</v>
      </c>
      <c r="C3872" s="722" t="s">
        <v>121</v>
      </c>
      <c r="D3872" t="s">
        <v>122</v>
      </c>
      <c r="E3872" s="728"/>
      <c r="F3872" s="148">
        <v>0.45383000000000001</v>
      </c>
      <c r="G3872" s="148">
        <v>-0.45383000000000001</v>
      </c>
      <c r="H3872" s="148">
        <v>-100</v>
      </c>
      <c r="I3872" s="728"/>
      <c r="J3872" s="728"/>
      <c r="K3872" s="728"/>
      <c r="L3872" s="148">
        <v>0.63702000000000003</v>
      </c>
      <c r="M3872" s="148">
        <v>5.4459600000000004</v>
      </c>
      <c r="N3872" s="148">
        <v>-4.8089399999999998</v>
      </c>
      <c r="O3872" s="148">
        <v>-88.302888746887604</v>
      </c>
      <c r="P3872" s="148">
        <v>0.39191999999999999</v>
      </c>
      <c r="Q3872" s="148">
        <v>0.24510000000000001</v>
      </c>
      <c r="R3872" s="148">
        <v>62.538273116962642</v>
      </c>
    </row>
    <row r="3873" spans="1:18" ht="15.75" hidden="1" thickBot="1" x14ac:dyDescent="0.3">
      <c r="A3873" s="199" t="str">
        <f t="shared" si="16"/>
        <v>RESOURCE MGMT CTRCONFERENCE TRAVEL</v>
      </c>
      <c r="B3873" s="725" t="s">
        <v>217</v>
      </c>
      <c r="C3873" s="722" t="s">
        <v>77</v>
      </c>
      <c r="D3873" t="s">
        <v>78</v>
      </c>
      <c r="E3873" s="147">
        <v>-0.10943</v>
      </c>
      <c r="F3873" s="147">
        <v>1.25</v>
      </c>
      <c r="G3873" s="147">
        <v>-1.3594299999999999</v>
      </c>
      <c r="H3873" s="147">
        <v>-108.7544</v>
      </c>
      <c r="I3873" s="729"/>
      <c r="J3873" s="147">
        <v>-0.10943</v>
      </c>
      <c r="K3873" s="147">
        <v>0</v>
      </c>
      <c r="L3873" s="147">
        <v>12.888059999999999</v>
      </c>
      <c r="M3873" s="147">
        <v>15</v>
      </c>
      <c r="N3873" s="147">
        <v>-2.1119400000000002</v>
      </c>
      <c r="O3873" s="147">
        <v>-14.079599999999999</v>
      </c>
      <c r="P3873" s="147">
        <v>7.0811599999999997</v>
      </c>
      <c r="Q3873" s="147">
        <v>5.8068999999999997</v>
      </c>
      <c r="R3873" s="147">
        <v>82.004925746629084</v>
      </c>
    </row>
    <row r="3874" spans="1:18" ht="15.75" hidden="1" thickBot="1" x14ac:dyDescent="0.3">
      <c r="A3874" s="199" t="str">
        <f t="shared" si="16"/>
        <v>RESOURCE MGMT CTRBUSINESS TRAVEL</v>
      </c>
      <c r="B3874" s="725" t="s">
        <v>217</v>
      </c>
      <c r="C3874" s="722" t="s">
        <v>79</v>
      </c>
      <c r="D3874" t="s">
        <v>80</v>
      </c>
      <c r="E3874" s="728"/>
      <c r="F3874" s="148">
        <v>0.4</v>
      </c>
      <c r="G3874" s="148">
        <v>-0.4</v>
      </c>
      <c r="H3874" s="148">
        <v>-100</v>
      </c>
      <c r="I3874" s="728"/>
      <c r="J3874" s="728"/>
      <c r="K3874" s="728"/>
      <c r="L3874" s="148">
        <v>1.33585</v>
      </c>
      <c r="M3874" s="148">
        <v>4.8</v>
      </c>
      <c r="N3874" s="148">
        <v>-3.4641500000000001</v>
      </c>
      <c r="O3874" s="148">
        <v>-72.169791666666669</v>
      </c>
      <c r="P3874" s="148">
        <v>0.22486999999999999</v>
      </c>
      <c r="Q3874" s="148">
        <v>1.1109800000000001</v>
      </c>
      <c r="R3874" s="148">
        <v>494.05434250900521</v>
      </c>
    </row>
    <row r="3875" spans="1:18" ht="15.75" hidden="1" thickBot="1" x14ac:dyDescent="0.3">
      <c r="A3875" s="199" t="str">
        <f t="shared" si="16"/>
        <v>RESOURCE MGMT CTREMPLOYEE AWARDS</v>
      </c>
      <c r="B3875" s="725" t="s">
        <v>217</v>
      </c>
      <c r="C3875" s="722" t="s">
        <v>81</v>
      </c>
      <c r="D3875" t="s">
        <v>82</v>
      </c>
      <c r="E3875" s="147">
        <v>1.1332</v>
      </c>
      <c r="F3875" s="147">
        <v>10</v>
      </c>
      <c r="G3875" s="147">
        <v>-8.8667999999999996</v>
      </c>
      <c r="H3875" s="147">
        <v>-88.668000000000006</v>
      </c>
      <c r="I3875" s="729"/>
      <c r="J3875" s="147">
        <v>1.1332</v>
      </c>
      <c r="K3875" s="147">
        <v>0</v>
      </c>
      <c r="L3875" s="147">
        <v>2.4125000000000001</v>
      </c>
      <c r="M3875" s="147">
        <v>12.75</v>
      </c>
      <c r="N3875" s="147">
        <v>-10.3375</v>
      </c>
      <c r="O3875" s="147">
        <v>-81.078431372549019</v>
      </c>
      <c r="P3875" s="147">
        <v>8.7980000000000003E-2</v>
      </c>
      <c r="Q3875" s="147">
        <v>2.3245200000000001</v>
      </c>
      <c r="R3875" s="147">
        <v>2642.1004773812228</v>
      </c>
    </row>
    <row r="3876" spans="1:18" ht="15.75" hidden="1" thickBot="1" x14ac:dyDescent="0.3">
      <c r="A3876" s="199" t="str">
        <f t="shared" si="16"/>
        <v>RESOURCE MGMT CTREMPLOYEE AWRDS MLS &amp;</v>
      </c>
      <c r="B3876" s="725" t="s">
        <v>217</v>
      </c>
      <c r="C3876" s="722" t="s">
        <v>123</v>
      </c>
      <c r="D3876" t="s">
        <v>124</v>
      </c>
      <c r="E3876" s="148">
        <v>0.11805</v>
      </c>
      <c r="F3876" s="728"/>
      <c r="G3876" s="148">
        <v>0.11805</v>
      </c>
      <c r="H3876" s="148">
        <v>0</v>
      </c>
      <c r="I3876" s="728"/>
      <c r="J3876" s="148">
        <v>0.11805</v>
      </c>
      <c r="K3876" s="148">
        <v>0</v>
      </c>
      <c r="L3876" s="148">
        <v>2.1691199999999999</v>
      </c>
      <c r="M3876" s="728"/>
      <c r="N3876" s="148">
        <v>2.1691199999999999</v>
      </c>
      <c r="O3876" s="148">
        <v>0</v>
      </c>
      <c r="P3876" s="148">
        <v>0.52070000000000005</v>
      </c>
      <c r="Q3876" s="148">
        <v>1.64842</v>
      </c>
      <c r="R3876" s="148">
        <v>316.57768388707507</v>
      </c>
    </row>
    <row r="3877" spans="1:18" ht="15.75" hidden="1" thickBot="1" x14ac:dyDescent="0.3">
      <c r="A3877" s="199" t="str">
        <f t="shared" si="16"/>
        <v>RESOURCE MGMT CTRMILEAGE REIMB ZTFSO</v>
      </c>
      <c r="B3877" s="725" t="s">
        <v>217</v>
      </c>
      <c r="C3877" s="722" t="s">
        <v>213</v>
      </c>
      <c r="D3877" t="s">
        <v>214</v>
      </c>
      <c r="E3877" s="729"/>
      <c r="F3877" s="729"/>
      <c r="G3877" s="729"/>
      <c r="H3877" s="729"/>
      <c r="I3877" s="729"/>
      <c r="J3877" s="729"/>
      <c r="K3877" s="729"/>
      <c r="L3877" s="147">
        <v>-2.1600000000000001E-2</v>
      </c>
      <c r="M3877" s="729"/>
      <c r="N3877" s="147">
        <v>-2.1600000000000001E-2</v>
      </c>
      <c r="O3877" s="147">
        <v>0</v>
      </c>
      <c r="P3877" s="729"/>
      <c r="Q3877" s="147">
        <v>-2.1600000000000001E-2</v>
      </c>
      <c r="R3877" s="147">
        <v>0</v>
      </c>
    </row>
    <row r="3878" spans="1:18" ht="15.75" hidden="1" thickBot="1" x14ac:dyDescent="0.3">
      <c r="A3878" s="199" t="str">
        <f t="shared" si="16"/>
        <v>RESOURCE MGMT CTRMISC. EXPENSE BUDGET</v>
      </c>
      <c r="B3878" s="725" t="s">
        <v>217</v>
      </c>
      <c r="C3878" s="722" t="s">
        <v>83</v>
      </c>
      <c r="D3878" t="s">
        <v>84</v>
      </c>
      <c r="E3878" s="728"/>
      <c r="F3878" s="148">
        <v>1</v>
      </c>
      <c r="G3878" s="148">
        <v>-1</v>
      </c>
      <c r="H3878" s="148">
        <v>-100</v>
      </c>
      <c r="I3878" s="728"/>
      <c r="J3878" s="728"/>
      <c r="K3878" s="728"/>
      <c r="L3878" s="728"/>
      <c r="M3878" s="148">
        <v>12</v>
      </c>
      <c r="N3878" s="148">
        <v>-12</v>
      </c>
      <c r="O3878" s="148">
        <v>-100</v>
      </c>
      <c r="P3878" s="728"/>
      <c r="Q3878" s="728"/>
      <c r="R3878" s="728"/>
    </row>
    <row r="3879" spans="1:18" ht="18.75" thickBot="1" x14ac:dyDescent="0.3">
      <c r="A3879" s="199" t="str">
        <f t="shared" si="16"/>
        <v>RESOURCE MGMT CTRNon-Payroll</v>
      </c>
      <c r="B3879" s="725" t="s">
        <v>217</v>
      </c>
      <c r="C3879" s="149" t="s">
        <v>85</v>
      </c>
      <c r="D3879" t="s">
        <v>86</v>
      </c>
      <c r="E3879" s="147">
        <v>3.03199</v>
      </c>
      <c r="F3879" s="147">
        <v>17.10783</v>
      </c>
      <c r="G3879" s="147">
        <v>-14.075839999999999</v>
      </c>
      <c r="H3879" s="147">
        <v>-82.277179513708049</v>
      </c>
      <c r="I3879" s="729"/>
      <c r="J3879" s="147">
        <v>3.03199</v>
      </c>
      <c r="K3879" s="147">
        <v>0</v>
      </c>
      <c r="L3879" s="739">
        <v>43.113700000000001</v>
      </c>
      <c r="M3879" s="147">
        <v>97.999960000000002</v>
      </c>
      <c r="N3879" s="147">
        <v>-54.88626</v>
      </c>
      <c r="O3879" s="147">
        <v>-56.006410614861473</v>
      </c>
      <c r="P3879" s="147">
        <v>17.71359</v>
      </c>
      <c r="Q3879" s="147">
        <v>25.400110000000002</v>
      </c>
      <c r="R3879" s="147">
        <v>143.39334940009337</v>
      </c>
    </row>
    <row r="3880" spans="1:18" ht="15.75" hidden="1" thickBot="1" x14ac:dyDescent="0.3">
      <c r="A3880" s="199" t="str">
        <f t="shared" si="16"/>
        <v>RESOURCE MGMT CTREXPENSE ACCOUNTS</v>
      </c>
      <c r="B3880" s="725" t="s">
        <v>217</v>
      </c>
      <c r="C3880" s="144" t="s">
        <v>87</v>
      </c>
      <c r="D3880" t="s">
        <v>87</v>
      </c>
      <c r="E3880" s="148">
        <v>189.67507000000001</v>
      </c>
      <c r="F3880" s="148">
        <v>207.38238000000001</v>
      </c>
      <c r="G3880" s="148">
        <v>-17.70731</v>
      </c>
      <c r="H3880" s="148">
        <v>-8.5384833562041287</v>
      </c>
      <c r="I3880" s="728"/>
      <c r="J3880" s="148">
        <v>189.67507000000001</v>
      </c>
      <c r="K3880" s="148">
        <v>0</v>
      </c>
      <c r="L3880" s="148">
        <v>2323.8782999999999</v>
      </c>
      <c r="M3880" s="148">
        <v>2363.1448500000001</v>
      </c>
      <c r="N3880" s="148">
        <v>-39.266550000000002</v>
      </c>
      <c r="O3880" s="148">
        <v>-1.6616226466185515</v>
      </c>
      <c r="P3880" s="148">
        <v>1173.2925399999999</v>
      </c>
      <c r="Q3880" s="148">
        <v>1150.5857599999999</v>
      </c>
      <c r="R3880" s="148">
        <v>98.064695783372144</v>
      </c>
    </row>
    <row r="3881" spans="1:18" ht="15.75" hidden="1" thickBot="1" x14ac:dyDescent="0.3">
      <c r="B3881" s="723" t="s">
        <v>794</v>
      </c>
      <c r="C3881" s="722" t="s">
        <v>59</v>
      </c>
      <c r="D3881" t="s">
        <v>60</v>
      </c>
      <c r="E3881" s="147">
        <v>617.23515999999995</v>
      </c>
      <c r="F3881" s="147">
        <v>696.02079000000003</v>
      </c>
      <c r="G3881" s="147">
        <v>-78.785629999999998</v>
      </c>
      <c r="H3881" s="147">
        <v>-11.319436305918391</v>
      </c>
      <c r="I3881" s="729"/>
      <c r="J3881" s="147">
        <v>617.23515999999995</v>
      </c>
      <c r="K3881" s="147">
        <v>0</v>
      </c>
      <c r="L3881" s="147">
        <v>8447.6258699999998</v>
      </c>
      <c r="M3881" s="147">
        <v>8308.4321799999998</v>
      </c>
      <c r="N3881" s="147">
        <v>139.19369</v>
      </c>
      <c r="O3881" s="147">
        <v>1.6753303990982327</v>
      </c>
      <c r="P3881" s="147">
        <v>4343.4591499999997</v>
      </c>
      <c r="Q3881" s="147">
        <v>4104.1667200000002</v>
      </c>
      <c r="R3881" s="147">
        <v>94.490740634685139</v>
      </c>
    </row>
    <row r="3882" spans="1:18" ht="15.75" hidden="1" thickBot="1" x14ac:dyDescent="0.3">
      <c r="B3882" s="723" t="s">
        <v>794</v>
      </c>
      <c r="C3882" s="722" t="s">
        <v>566</v>
      </c>
      <c r="D3882" t="s">
        <v>567</v>
      </c>
      <c r="E3882" s="728"/>
      <c r="F3882" s="728"/>
      <c r="G3882" s="728"/>
      <c r="H3882" s="728"/>
      <c r="I3882" s="728"/>
      <c r="J3882" s="728"/>
      <c r="K3882" s="728"/>
      <c r="L3882" s="148">
        <v>0.18525</v>
      </c>
      <c r="M3882" s="728"/>
      <c r="N3882" s="148">
        <v>0.18525</v>
      </c>
      <c r="O3882" s="148">
        <v>0</v>
      </c>
      <c r="P3882" s="728"/>
      <c r="Q3882" s="148">
        <v>0.18525</v>
      </c>
      <c r="R3882" s="148">
        <v>0</v>
      </c>
    </row>
    <row r="3883" spans="1:18" ht="15.75" hidden="1" thickBot="1" x14ac:dyDescent="0.3">
      <c r="B3883" s="723" t="s">
        <v>794</v>
      </c>
      <c r="C3883" s="722" t="s">
        <v>178</v>
      </c>
      <c r="D3883" t="s">
        <v>179</v>
      </c>
      <c r="E3883" s="729"/>
      <c r="F3883" s="729"/>
      <c r="G3883" s="729"/>
      <c r="H3883" s="729"/>
      <c r="I3883" s="729"/>
      <c r="J3883" s="729"/>
      <c r="K3883" s="729"/>
      <c r="L3883" s="147">
        <v>0</v>
      </c>
      <c r="M3883" s="729"/>
      <c r="N3883" s="147">
        <v>0</v>
      </c>
      <c r="O3883" s="147">
        <v>0</v>
      </c>
      <c r="P3883" s="147">
        <v>0</v>
      </c>
      <c r="Q3883" s="147">
        <v>0</v>
      </c>
      <c r="R3883" s="147">
        <v>0</v>
      </c>
    </row>
    <row r="3884" spans="1:18" ht="15.75" hidden="1" thickBot="1" x14ac:dyDescent="0.3">
      <c r="B3884" s="723" t="s">
        <v>794</v>
      </c>
      <c r="C3884" s="722" t="s">
        <v>89</v>
      </c>
      <c r="D3884" t="s">
        <v>90</v>
      </c>
      <c r="E3884" s="148">
        <v>85.537599999999998</v>
      </c>
      <c r="F3884" s="728"/>
      <c r="G3884" s="148">
        <v>85.537599999999998</v>
      </c>
      <c r="H3884" s="148">
        <v>0</v>
      </c>
      <c r="I3884" s="728"/>
      <c r="J3884" s="148">
        <v>85.537599999999998</v>
      </c>
      <c r="K3884" s="148">
        <v>0</v>
      </c>
      <c r="L3884" s="148">
        <v>797.50138000000004</v>
      </c>
      <c r="M3884" s="728"/>
      <c r="N3884" s="148">
        <v>797.50138000000004</v>
      </c>
      <c r="O3884" s="148">
        <v>0</v>
      </c>
      <c r="P3884" s="148">
        <v>344.21134999999998</v>
      </c>
      <c r="Q3884" s="148">
        <v>453.29003</v>
      </c>
      <c r="R3884" s="148">
        <v>131.68944893885688</v>
      </c>
    </row>
    <row r="3885" spans="1:18" ht="15.75" hidden="1" thickBot="1" x14ac:dyDescent="0.3">
      <c r="B3885" s="723" t="s">
        <v>794</v>
      </c>
      <c r="C3885" s="722" t="s">
        <v>91</v>
      </c>
      <c r="D3885" t="s">
        <v>92</v>
      </c>
      <c r="E3885" s="147">
        <v>1201.92345</v>
      </c>
      <c r="F3885" s="147">
        <v>1640.89626</v>
      </c>
      <c r="G3885" s="147">
        <v>-438.97280999999998</v>
      </c>
      <c r="H3885" s="147">
        <v>-26.752014780020279</v>
      </c>
      <c r="I3885" s="729"/>
      <c r="J3885" s="147">
        <v>1201.92345</v>
      </c>
      <c r="K3885" s="147">
        <v>0</v>
      </c>
      <c r="L3885" s="147">
        <v>17961.77159</v>
      </c>
      <c r="M3885" s="147">
        <v>19113.86707</v>
      </c>
      <c r="N3885" s="147">
        <v>-1152.09548</v>
      </c>
      <c r="O3885" s="147">
        <v>-6.0275373674030686</v>
      </c>
      <c r="P3885" s="147">
        <v>9188.8052700000007</v>
      </c>
      <c r="Q3885" s="147">
        <v>8772.9663199999995</v>
      </c>
      <c r="R3885" s="147">
        <v>95.474504706747368</v>
      </c>
    </row>
    <row r="3886" spans="1:18" ht="15.75" hidden="1" thickBot="1" x14ac:dyDescent="0.3">
      <c r="B3886" s="723" t="s">
        <v>794</v>
      </c>
      <c r="C3886" s="722" t="s">
        <v>93</v>
      </c>
      <c r="D3886" t="s">
        <v>94</v>
      </c>
      <c r="E3886" s="148">
        <v>171.56182999999999</v>
      </c>
      <c r="F3886" s="148">
        <v>116.62157000000001</v>
      </c>
      <c r="G3886" s="148">
        <v>54.940260000000002</v>
      </c>
      <c r="H3886" s="148">
        <v>47.109861409000068</v>
      </c>
      <c r="I3886" s="728"/>
      <c r="J3886" s="148">
        <v>171.56182999999999</v>
      </c>
      <c r="K3886" s="148">
        <v>0</v>
      </c>
      <c r="L3886" s="148">
        <v>2918.07951</v>
      </c>
      <c r="M3886" s="148">
        <v>1092.7685100000001</v>
      </c>
      <c r="N3886" s="148">
        <v>1825.3109999999999</v>
      </c>
      <c r="O3886" s="148">
        <v>167.0354684726411</v>
      </c>
      <c r="P3886" s="148">
        <v>1458.29907</v>
      </c>
      <c r="Q3886" s="148">
        <v>1459.78044</v>
      </c>
      <c r="R3886" s="148">
        <v>100.10158204379846</v>
      </c>
    </row>
    <row r="3887" spans="1:18" ht="15.75" hidden="1" thickBot="1" x14ac:dyDescent="0.3">
      <c r="B3887" s="723" t="s">
        <v>794</v>
      </c>
      <c r="C3887" s="722" t="s">
        <v>159</v>
      </c>
      <c r="D3887" t="s">
        <v>160</v>
      </c>
      <c r="E3887" s="147">
        <v>2.5417200000000002</v>
      </c>
      <c r="F3887" s="729"/>
      <c r="G3887" s="147">
        <v>2.5417200000000002</v>
      </c>
      <c r="H3887" s="147">
        <v>0</v>
      </c>
      <c r="I3887" s="729"/>
      <c r="J3887" s="147">
        <v>2.5417200000000002</v>
      </c>
      <c r="K3887" s="147">
        <v>0</v>
      </c>
      <c r="L3887" s="147">
        <v>42.702840000000002</v>
      </c>
      <c r="M3887" s="729"/>
      <c r="N3887" s="147">
        <v>42.702840000000002</v>
      </c>
      <c r="O3887" s="147">
        <v>0</v>
      </c>
      <c r="P3887" s="147">
        <v>21.079190000000001</v>
      </c>
      <c r="Q3887" s="147">
        <v>21.623650000000001</v>
      </c>
      <c r="R3887" s="147">
        <v>102.5829265735543</v>
      </c>
    </row>
    <row r="3888" spans="1:18" ht="15.75" hidden="1" thickBot="1" x14ac:dyDescent="0.3">
      <c r="B3888" s="723" t="s">
        <v>794</v>
      </c>
      <c r="C3888" s="722" t="s">
        <v>134</v>
      </c>
      <c r="D3888" t="s">
        <v>135</v>
      </c>
      <c r="E3888" s="148">
        <v>117.27186</v>
      </c>
      <c r="F3888" s="728"/>
      <c r="G3888" s="148">
        <v>117.27186</v>
      </c>
      <c r="H3888" s="148">
        <v>0</v>
      </c>
      <c r="I3888" s="728"/>
      <c r="J3888" s="148">
        <v>117.27186</v>
      </c>
      <c r="K3888" s="148">
        <v>0</v>
      </c>
      <c r="L3888" s="148">
        <v>135.84842</v>
      </c>
      <c r="M3888" s="728"/>
      <c r="N3888" s="148">
        <v>135.84842</v>
      </c>
      <c r="O3888" s="148">
        <v>0</v>
      </c>
      <c r="P3888" s="148">
        <v>7.42117</v>
      </c>
      <c r="Q3888" s="148">
        <v>128.42724999999999</v>
      </c>
      <c r="R3888" s="148">
        <v>1730.5525948064792</v>
      </c>
    </row>
    <row r="3889" spans="2:18" ht="15.75" hidden="1" thickBot="1" x14ac:dyDescent="0.3">
      <c r="B3889" s="723" t="s">
        <v>794</v>
      </c>
      <c r="C3889" s="722" t="s">
        <v>95</v>
      </c>
      <c r="D3889" t="s">
        <v>96</v>
      </c>
      <c r="E3889" s="729"/>
      <c r="F3889" s="729"/>
      <c r="G3889" s="729"/>
      <c r="H3889" s="729"/>
      <c r="I3889" s="729"/>
      <c r="J3889" s="729"/>
      <c r="K3889" s="729"/>
      <c r="L3889" s="147">
        <v>0.88200999999999996</v>
      </c>
      <c r="M3889" s="729"/>
      <c r="N3889" s="147">
        <v>0.88200999999999996</v>
      </c>
      <c r="O3889" s="147">
        <v>0</v>
      </c>
      <c r="P3889" s="147">
        <v>0.88200999999999996</v>
      </c>
      <c r="Q3889" s="147">
        <v>0</v>
      </c>
      <c r="R3889" s="147">
        <v>0</v>
      </c>
    </row>
    <row r="3890" spans="2:18" ht="15.75" hidden="1" thickBot="1" x14ac:dyDescent="0.3">
      <c r="B3890" s="723" t="s">
        <v>794</v>
      </c>
      <c r="C3890" s="722" t="s">
        <v>568</v>
      </c>
      <c r="D3890" t="s">
        <v>569</v>
      </c>
      <c r="E3890" s="148">
        <v>6.8702800000000002</v>
      </c>
      <c r="F3890" s="728"/>
      <c r="G3890" s="148">
        <v>6.8702800000000002</v>
      </c>
      <c r="H3890" s="148">
        <v>0</v>
      </c>
      <c r="I3890" s="728"/>
      <c r="J3890" s="148">
        <v>6.8702800000000002</v>
      </c>
      <c r="K3890" s="148">
        <v>0</v>
      </c>
      <c r="L3890" s="148">
        <v>35.05603</v>
      </c>
      <c r="M3890" s="728"/>
      <c r="N3890" s="148">
        <v>35.05603</v>
      </c>
      <c r="O3890" s="148">
        <v>0</v>
      </c>
      <c r="P3890" s="728"/>
      <c r="Q3890" s="148">
        <v>35.05603</v>
      </c>
      <c r="R3890" s="148">
        <v>0</v>
      </c>
    </row>
    <row r="3891" spans="2:18" ht="15.75" hidden="1" thickBot="1" x14ac:dyDescent="0.3">
      <c r="B3891" s="723" t="s">
        <v>794</v>
      </c>
      <c r="C3891" s="722" t="s">
        <v>61</v>
      </c>
      <c r="D3891" t="s">
        <v>62</v>
      </c>
      <c r="E3891" s="147">
        <v>346.03685999999999</v>
      </c>
      <c r="F3891" s="147">
        <v>362.22215999999997</v>
      </c>
      <c r="G3891" s="147">
        <v>-16.185300000000002</v>
      </c>
      <c r="H3891" s="147">
        <v>-4.4683351233949908</v>
      </c>
      <c r="I3891" s="729"/>
      <c r="J3891" s="147">
        <v>346.03685999999999</v>
      </c>
      <c r="K3891" s="147">
        <v>0</v>
      </c>
      <c r="L3891" s="147">
        <v>4098.2660699999997</v>
      </c>
      <c r="M3891" s="147">
        <v>4250.45658</v>
      </c>
      <c r="N3891" s="147">
        <v>-152.19050999999999</v>
      </c>
      <c r="O3891" s="147">
        <v>-3.5805685138889243</v>
      </c>
      <c r="P3891" s="147">
        <v>2014.90264</v>
      </c>
      <c r="Q3891" s="147">
        <v>2083.3634299999999</v>
      </c>
      <c r="R3891" s="147">
        <v>103.39772198620972</v>
      </c>
    </row>
    <row r="3892" spans="2:18" ht="15.75" hidden="1" thickBot="1" x14ac:dyDescent="0.3">
      <c r="B3892" s="723" t="s">
        <v>794</v>
      </c>
      <c r="C3892" s="722" t="s">
        <v>63</v>
      </c>
      <c r="D3892" t="s">
        <v>64</v>
      </c>
      <c r="E3892" s="148">
        <v>1395.9020700000001</v>
      </c>
      <c r="F3892" s="148">
        <v>1409.1609800000001</v>
      </c>
      <c r="G3892" s="148">
        <v>-13.25891</v>
      </c>
      <c r="H3892" s="148">
        <v>-0.94090811398992891</v>
      </c>
      <c r="I3892" s="728"/>
      <c r="J3892" s="148">
        <v>1395.9020700000001</v>
      </c>
      <c r="K3892" s="148">
        <v>0</v>
      </c>
      <c r="L3892" s="148">
        <v>16642.297340000001</v>
      </c>
      <c r="M3892" s="148">
        <v>16535.64633</v>
      </c>
      <c r="N3892" s="148">
        <v>106.65101</v>
      </c>
      <c r="O3892" s="148">
        <v>0.64497636119918145</v>
      </c>
      <c r="P3892" s="148">
        <v>8200.2340700000004</v>
      </c>
      <c r="Q3892" s="148">
        <v>8442.0632700000006</v>
      </c>
      <c r="R3892" s="148">
        <v>102.94905240430533</v>
      </c>
    </row>
    <row r="3893" spans="2:18" ht="15.75" hidden="1" thickBot="1" x14ac:dyDescent="0.3">
      <c r="B3893" s="723" t="s">
        <v>794</v>
      </c>
      <c r="C3893" s="722" t="s">
        <v>156</v>
      </c>
      <c r="D3893" t="s">
        <v>157</v>
      </c>
      <c r="E3893" s="147">
        <v>34.41133</v>
      </c>
      <c r="F3893" s="147">
        <v>1.97461</v>
      </c>
      <c r="G3893" s="147">
        <v>32.436720000000001</v>
      </c>
      <c r="H3893" s="147">
        <v>1642.6899489013019</v>
      </c>
      <c r="I3893" s="729"/>
      <c r="J3893" s="147">
        <v>34.41133</v>
      </c>
      <c r="K3893" s="147">
        <v>0</v>
      </c>
      <c r="L3893" s="147">
        <v>608.26358000000005</v>
      </c>
      <c r="M3893" s="147">
        <v>23.571020000000001</v>
      </c>
      <c r="N3893" s="147">
        <v>584.69255999999996</v>
      </c>
      <c r="O3893" s="147">
        <v>2480.5568872284693</v>
      </c>
      <c r="P3893" s="147">
        <v>317.07085000000001</v>
      </c>
      <c r="Q3893" s="147">
        <v>291.19272999999998</v>
      </c>
      <c r="R3893" s="147">
        <v>91.838379340138019</v>
      </c>
    </row>
    <row r="3894" spans="2:18" ht="15.75" hidden="1" thickBot="1" x14ac:dyDescent="0.3">
      <c r="B3894" s="723" t="s">
        <v>794</v>
      </c>
      <c r="C3894" s="722" t="s">
        <v>182</v>
      </c>
      <c r="D3894" t="s">
        <v>183</v>
      </c>
      <c r="E3894" s="148">
        <v>51.671550000000003</v>
      </c>
      <c r="F3894" s="728"/>
      <c r="G3894" s="148">
        <v>51.671550000000003</v>
      </c>
      <c r="H3894" s="148">
        <v>0</v>
      </c>
      <c r="I3894" s="728"/>
      <c r="J3894" s="148">
        <v>51.671550000000003</v>
      </c>
      <c r="K3894" s="148">
        <v>0</v>
      </c>
      <c r="L3894" s="148">
        <v>624.77023999999994</v>
      </c>
      <c r="M3894" s="728"/>
      <c r="N3894" s="148">
        <v>624.77023999999994</v>
      </c>
      <c r="O3894" s="148">
        <v>0</v>
      </c>
      <c r="P3894" s="148">
        <v>264.59867000000003</v>
      </c>
      <c r="Q3894" s="148">
        <v>360.17156999999997</v>
      </c>
      <c r="R3894" s="148">
        <v>136.11994723934174</v>
      </c>
    </row>
    <row r="3895" spans="2:18" ht="15.75" hidden="1" thickBot="1" x14ac:dyDescent="0.3">
      <c r="B3895" s="723" t="s">
        <v>794</v>
      </c>
      <c r="C3895" s="722" t="s">
        <v>184</v>
      </c>
      <c r="D3895" t="s">
        <v>185</v>
      </c>
      <c r="E3895" s="147">
        <v>576.15251999999998</v>
      </c>
      <c r="F3895" s="147">
        <v>13.12388</v>
      </c>
      <c r="G3895" s="147">
        <v>563.02864</v>
      </c>
      <c r="H3895" s="147">
        <v>4290.1081082728588</v>
      </c>
      <c r="I3895" s="729"/>
      <c r="J3895" s="147">
        <v>576.15251999999998</v>
      </c>
      <c r="K3895" s="147">
        <v>0</v>
      </c>
      <c r="L3895" s="147">
        <v>10037.678309999999</v>
      </c>
      <c r="M3895" s="147">
        <v>153.28192000000001</v>
      </c>
      <c r="N3895" s="147">
        <v>9884.3963899999999</v>
      </c>
      <c r="O3895" s="147">
        <v>6448.5076844027008</v>
      </c>
      <c r="P3895" s="147">
        <v>5365.2992700000004</v>
      </c>
      <c r="Q3895" s="147">
        <v>4672.3790399999998</v>
      </c>
      <c r="R3895" s="147">
        <v>87.085152288252502</v>
      </c>
    </row>
    <row r="3896" spans="2:18" ht="15.75" hidden="1" thickBot="1" x14ac:dyDescent="0.3">
      <c r="B3896" s="723" t="s">
        <v>794</v>
      </c>
      <c r="C3896" s="722" t="s">
        <v>161</v>
      </c>
      <c r="D3896" t="s">
        <v>162</v>
      </c>
      <c r="E3896" s="148">
        <v>87.373500000000007</v>
      </c>
      <c r="F3896" s="728"/>
      <c r="G3896" s="148">
        <v>87.373500000000007</v>
      </c>
      <c r="H3896" s="148">
        <v>0</v>
      </c>
      <c r="I3896" s="728"/>
      <c r="J3896" s="148">
        <v>87.373500000000007</v>
      </c>
      <c r="K3896" s="148">
        <v>0</v>
      </c>
      <c r="L3896" s="148">
        <v>1242.27116</v>
      </c>
      <c r="M3896" s="728"/>
      <c r="N3896" s="148">
        <v>1242.27116</v>
      </c>
      <c r="O3896" s="148">
        <v>0</v>
      </c>
      <c r="P3896" s="148">
        <v>591.66483000000005</v>
      </c>
      <c r="Q3896" s="148">
        <v>650.60632999999996</v>
      </c>
      <c r="R3896" s="148">
        <v>109.9619745861859</v>
      </c>
    </row>
    <row r="3897" spans="2:18" ht="15.75" hidden="1" thickBot="1" x14ac:dyDescent="0.3">
      <c r="B3897" s="723" t="s">
        <v>794</v>
      </c>
      <c r="C3897" s="722" t="s">
        <v>65</v>
      </c>
      <c r="D3897" t="s">
        <v>66</v>
      </c>
      <c r="E3897" s="147">
        <v>-624.19754</v>
      </c>
      <c r="F3897" s="147">
        <v>-705.51013</v>
      </c>
      <c r="G3897" s="147">
        <v>81.31259</v>
      </c>
      <c r="H3897" s="147">
        <v>11.525361088720299</v>
      </c>
      <c r="I3897" s="729"/>
      <c r="J3897" s="147">
        <v>-624.19754</v>
      </c>
      <c r="K3897" s="147">
        <v>0</v>
      </c>
      <c r="L3897" s="147">
        <v>-9024.0880400000005</v>
      </c>
      <c r="M3897" s="147">
        <v>-8421.7068799999997</v>
      </c>
      <c r="N3897" s="147">
        <v>-602.38116000000002</v>
      </c>
      <c r="O3897" s="147">
        <v>-7.1527205658337989</v>
      </c>
      <c r="P3897" s="147">
        <v>-4560.8571199999997</v>
      </c>
      <c r="Q3897" s="147">
        <v>-4463.23092</v>
      </c>
      <c r="R3897" s="147">
        <v>-97.859476904639365</v>
      </c>
    </row>
    <row r="3898" spans="2:18" ht="15.75" hidden="1" thickBot="1" x14ac:dyDescent="0.3">
      <c r="B3898" s="723" t="s">
        <v>794</v>
      </c>
      <c r="C3898" s="722" t="s">
        <v>186</v>
      </c>
      <c r="D3898" t="s">
        <v>187</v>
      </c>
      <c r="E3898" s="148">
        <v>-79.442989999999995</v>
      </c>
      <c r="F3898" s="728"/>
      <c r="G3898" s="148">
        <v>-79.442989999999995</v>
      </c>
      <c r="H3898" s="148">
        <v>0</v>
      </c>
      <c r="I3898" s="728"/>
      <c r="J3898" s="148">
        <v>-79.442989999999995</v>
      </c>
      <c r="K3898" s="148">
        <v>0</v>
      </c>
      <c r="L3898" s="148">
        <v>-922.67102999999997</v>
      </c>
      <c r="M3898" s="728"/>
      <c r="N3898" s="148">
        <v>-922.67102999999997</v>
      </c>
      <c r="O3898" s="148">
        <v>0</v>
      </c>
      <c r="P3898" s="148">
        <v>-394.65190999999999</v>
      </c>
      <c r="Q3898" s="148">
        <v>-528.01912000000004</v>
      </c>
      <c r="R3898" s="148">
        <v>-133.79363094935991</v>
      </c>
    </row>
    <row r="3899" spans="2:18" ht="15.75" hidden="1" thickBot="1" x14ac:dyDescent="0.3">
      <c r="B3899" s="723" t="s">
        <v>794</v>
      </c>
      <c r="C3899" s="722" t="s">
        <v>163</v>
      </c>
      <c r="D3899" t="s">
        <v>164</v>
      </c>
      <c r="E3899" s="147">
        <v>-2268.1186299999999</v>
      </c>
      <c r="F3899" s="147">
        <v>-1790.5277699999999</v>
      </c>
      <c r="G3899" s="147">
        <v>-477.59086000000002</v>
      </c>
      <c r="H3899" s="147">
        <v>-26.673189212809586</v>
      </c>
      <c r="I3899" s="729"/>
      <c r="J3899" s="147">
        <v>-2268.1186299999999</v>
      </c>
      <c r="K3899" s="147">
        <v>0</v>
      </c>
      <c r="L3899" s="147">
        <v>-30305.855769999998</v>
      </c>
      <c r="M3899" s="147">
        <v>-20924.17583</v>
      </c>
      <c r="N3899" s="147">
        <v>-9381.67994</v>
      </c>
      <c r="O3899" s="147">
        <v>-44.836556604294223</v>
      </c>
      <c r="P3899" s="147">
        <v>-15494.592409999999</v>
      </c>
      <c r="Q3899" s="147">
        <v>-14811.263360000001</v>
      </c>
      <c r="R3899" s="147">
        <v>-95.589886897838056</v>
      </c>
    </row>
    <row r="3900" spans="2:18" ht="15.75" hidden="1" thickBot="1" x14ac:dyDescent="0.3">
      <c r="B3900" s="723" t="s">
        <v>794</v>
      </c>
      <c r="C3900" s="722" t="s">
        <v>97</v>
      </c>
      <c r="D3900" t="s">
        <v>98</v>
      </c>
      <c r="E3900" s="148">
        <v>-231.72053</v>
      </c>
      <c r="F3900" s="728"/>
      <c r="G3900" s="148">
        <v>-231.72053</v>
      </c>
      <c r="H3900" s="148">
        <v>0</v>
      </c>
      <c r="I3900" s="728"/>
      <c r="J3900" s="148">
        <v>-231.72053</v>
      </c>
      <c r="K3900" s="148">
        <v>0</v>
      </c>
      <c r="L3900" s="148">
        <v>-3364.9005200000001</v>
      </c>
      <c r="M3900" s="728"/>
      <c r="N3900" s="148">
        <v>-3364.9005200000001</v>
      </c>
      <c r="O3900" s="148">
        <v>0</v>
      </c>
      <c r="P3900" s="148">
        <v>-1687.6357599999999</v>
      </c>
      <c r="Q3900" s="148">
        <v>-1677.26476</v>
      </c>
      <c r="R3900" s="148">
        <v>-99.385471661254684</v>
      </c>
    </row>
    <row r="3901" spans="2:18" ht="15.75" hidden="1" thickBot="1" x14ac:dyDescent="0.3">
      <c r="B3901" s="723" t="s">
        <v>794</v>
      </c>
      <c r="C3901" s="149" t="s">
        <v>67</v>
      </c>
      <c r="D3901" t="s">
        <v>68</v>
      </c>
      <c r="E3901" s="147">
        <v>1491.0100399999999</v>
      </c>
      <c r="F3901" s="147">
        <v>1743.98235</v>
      </c>
      <c r="G3901" s="147">
        <v>-252.97230999999999</v>
      </c>
      <c r="H3901" s="147">
        <v>-14.505439805626473</v>
      </c>
      <c r="I3901" s="729"/>
      <c r="J3901" s="147">
        <v>1491.0100399999999</v>
      </c>
      <c r="K3901" s="147">
        <v>0</v>
      </c>
      <c r="L3901" s="147">
        <v>19975.684239999999</v>
      </c>
      <c r="M3901" s="147">
        <v>20132.140899999999</v>
      </c>
      <c r="N3901" s="147">
        <v>-156.45666</v>
      </c>
      <c r="O3901" s="147">
        <v>-0.77714864393781391</v>
      </c>
      <c r="P3901" s="147">
        <v>9980.1903399999992</v>
      </c>
      <c r="Q3901" s="147">
        <v>9995.4938999999995</v>
      </c>
      <c r="R3901" s="147">
        <v>100.15333936005874</v>
      </c>
    </row>
    <row r="3902" spans="2:18" ht="15.75" hidden="1" thickBot="1" x14ac:dyDescent="0.3">
      <c r="B3902" s="723" t="s">
        <v>794</v>
      </c>
      <c r="C3902" s="722" t="s">
        <v>69</v>
      </c>
      <c r="D3902" t="s">
        <v>70</v>
      </c>
      <c r="E3902" s="148">
        <v>0.2</v>
      </c>
      <c r="F3902" s="148">
        <v>0.2</v>
      </c>
      <c r="G3902" s="148">
        <v>0</v>
      </c>
      <c r="H3902" s="148">
        <v>0</v>
      </c>
      <c r="I3902" s="728"/>
      <c r="J3902" s="148">
        <v>0.2</v>
      </c>
      <c r="K3902" s="148">
        <v>0</v>
      </c>
      <c r="L3902" s="148">
        <v>11.84295</v>
      </c>
      <c r="M3902" s="148">
        <v>2.4</v>
      </c>
      <c r="N3902" s="148">
        <v>9.4429499999999997</v>
      </c>
      <c r="O3902" s="148">
        <v>393.45625000000001</v>
      </c>
      <c r="P3902" s="148">
        <v>3.3338299999999998</v>
      </c>
      <c r="Q3902" s="148">
        <v>8.5091199999999994</v>
      </c>
      <c r="R3902" s="148">
        <v>255.2355699000849</v>
      </c>
    </row>
    <row r="3903" spans="2:18" ht="15.75" hidden="1" thickBot="1" x14ac:dyDescent="0.3">
      <c r="B3903" s="723" t="s">
        <v>794</v>
      </c>
      <c r="C3903" s="722" t="s">
        <v>582</v>
      </c>
      <c r="D3903" t="s">
        <v>583</v>
      </c>
      <c r="E3903" s="729"/>
      <c r="F3903" s="147">
        <v>0.52500000000000002</v>
      </c>
      <c r="G3903" s="147">
        <v>-0.52500000000000002</v>
      </c>
      <c r="H3903" s="147">
        <v>-100</v>
      </c>
      <c r="I3903" s="729"/>
      <c r="J3903" s="729"/>
      <c r="K3903" s="729"/>
      <c r="L3903" s="147">
        <v>1.3125</v>
      </c>
      <c r="M3903" s="147">
        <v>6.3</v>
      </c>
      <c r="N3903" s="147">
        <v>-4.9874999999999998</v>
      </c>
      <c r="O3903" s="147">
        <v>-79.166666666666671</v>
      </c>
      <c r="P3903" s="147">
        <v>1.3125</v>
      </c>
      <c r="Q3903" s="147">
        <v>0</v>
      </c>
      <c r="R3903" s="147">
        <v>0</v>
      </c>
    </row>
    <row r="3904" spans="2:18" ht="15.75" hidden="1" thickBot="1" x14ac:dyDescent="0.3">
      <c r="B3904" s="723" t="s">
        <v>794</v>
      </c>
      <c r="C3904" s="722" t="s">
        <v>99</v>
      </c>
      <c r="D3904" t="s">
        <v>100</v>
      </c>
      <c r="E3904" s="148">
        <v>86.005120000000005</v>
      </c>
      <c r="F3904" s="148">
        <v>76.879409999999993</v>
      </c>
      <c r="G3904" s="148">
        <v>9.1257099999999998</v>
      </c>
      <c r="H3904" s="148">
        <v>11.870161334484747</v>
      </c>
      <c r="I3904" s="728"/>
      <c r="J3904" s="148">
        <v>86.005120000000005</v>
      </c>
      <c r="K3904" s="148">
        <v>0</v>
      </c>
      <c r="L3904" s="148">
        <v>933.03408000000002</v>
      </c>
      <c r="M3904" s="148">
        <v>986.14706999999999</v>
      </c>
      <c r="N3904" s="148">
        <v>-53.112990000000003</v>
      </c>
      <c r="O3904" s="148">
        <v>-5.3859096290779425</v>
      </c>
      <c r="P3904" s="148">
        <v>436.36932999999999</v>
      </c>
      <c r="Q3904" s="148">
        <v>496.66475000000003</v>
      </c>
      <c r="R3904" s="148">
        <v>113.81752012681551</v>
      </c>
    </row>
    <row r="3905" spans="2:18" ht="15.75" hidden="1" thickBot="1" x14ac:dyDescent="0.3">
      <c r="B3905" s="723" t="s">
        <v>794</v>
      </c>
      <c r="C3905" s="722" t="s">
        <v>165</v>
      </c>
      <c r="D3905" t="s">
        <v>166</v>
      </c>
      <c r="E3905" s="147">
        <v>48.667079999999999</v>
      </c>
      <c r="F3905" s="729"/>
      <c r="G3905" s="147">
        <v>48.667079999999999</v>
      </c>
      <c r="H3905" s="147">
        <v>0</v>
      </c>
      <c r="I3905" s="729"/>
      <c r="J3905" s="147">
        <v>48.667079999999999</v>
      </c>
      <c r="K3905" s="147">
        <v>0</v>
      </c>
      <c r="L3905" s="147">
        <v>534.07309999999995</v>
      </c>
      <c r="M3905" s="729"/>
      <c r="N3905" s="147">
        <v>534.07309999999995</v>
      </c>
      <c r="O3905" s="147">
        <v>0</v>
      </c>
      <c r="P3905" s="147">
        <v>283.15428000000003</v>
      </c>
      <c r="Q3905" s="147">
        <v>250.91882000000001</v>
      </c>
      <c r="R3905" s="147">
        <v>88.615584408612861</v>
      </c>
    </row>
    <row r="3906" spans="2:18" ht="15.75" hidden="1" thickBot="1" x14ac:dyDescent="0.3">
      <c r="B3906" s="723" t="s">
        <v>794</v>
      </c>
      <c r="C3906" s="722" t="s">
        <v>188</v>
      </c>
      <c r="D3906" t="s">
        <v>189</v>
      </c>
      <c r="E3906" s="148">
        <v>2.962E-2</v>
      </c>
      <c r="F3906" s="728"/>
      <c r="G3906" s="148">
        <v>2.962E-2</v>
      </c>
      <c r="H3906" s="148">
        <v>0</v>
      </c>
      <c r="I3906" s="728"/>
      <c r="J3906" s="148">
        <v>2.962E-2</v>
      </c>
      <c r="K3906" s="148">
        <v>0</v>
      </c>
      <c r="L3906" s="148">
        <v>32.851950000000002</v>
      </c>
      <c r="M3906" s="728"/>
      <c r="N3906" s="148">
        <v>32.851950000000002</v>
      </c>
      <c r="O3906" s="148">
        <v>0</v>
      </c>
      <c r="P3906" s="148">
        <v>20.741499999999998</v>
      </c>
      <c r="Q3906" s="148">
        <v>12.11045</v>
      </c>
      <c r="R3906" s="148">
        <v>58.387532242123278</v>
      </c>
    </row>
    <row r="3907" spans="2:18" ht="15.75" hidden="1" thickBot="1" x14ac:dyDescent="0.3">
      <c r="B3907" s="723" t="s">
        <v>794</v>
      </c>
      <c r="C3907" s="722" t="s">
        <v>584</v>
      </c>
      <c r="D3907" t="s">
        <v>585</v>
      </c>
      <c r="E3907" s="147">
        <v>1.47E-3</v>
      </c>
      <c r="F3907" s="729"/>
      <c r="G3907" s="147">
        <v>1.47E-3</v>
      </c>
      <c r="H3907" s="147">
        <v>0</v>
      </c>
      <c r="I3907" s="729"/>
      <c r="J3907" s="147">
        <v>1.47E-3</v>
      </c>
      <c r="K3907" s="147">
        <v>0</v>
      </c>
      <c r="L3907" s="147">
        <v>7.6060000000000003E-2</v>
      </c>
      <c r="M3907" s="729"/>
      <c r="N3907" s="147">
        <v>7.6060000000000003E-2</v>
      </c>
      <c r="O3907" s="147">
        <v>0</v>
      </c>
      <c r="P3907" s="147">
        <v>2.342E-2</v>
      </c>
      <c r="Q3907" s="147">
        <v>5.2639999999999999E-2</v>
      </c>
      <c r="R3907" s="147">
        <v>224.76515798462853</v>
      </c>
    </row>
    <row r="3908" spans="2:18" ht="15.75" hidden="1" thickBot="1" x14ac:dyDescent="0.3">
      <c r="B3908" s="723" t="s">
        <v>794</v>
      </c>
      <c r="C3908" s="722" t="s">
        <v>586</v>
      </c>
      <c r="D3908" t="s">
        <v>587</v>
      </c>
      <c r="E3908" s="728"/>
      <c r="F3908" s="728"/>
      <c r="G3908" s="728"/>
      <c r="H3908" s="728"/>
      <c r="I3908" s="728"/>
      <c r="J3908" s="728"/>
      <c r="K3908" s="728"/>
      <c r="L3908" s="148">
        <v>3.6899099999999998</v>
      </c>
      <c r="M3908" s="728"/>
      <c r="N3908" s="148">
        <v>3.6899099999999998</v>
      </c>
      <c r="O3908" s="148">
        <v>0</v>
      </c>
      <c r="P3908" s="148">
        <v>3.6899099999999998</v>
      </c>
      <c r="Q3908" s="148">
        <v>0</v>
      </c>
      <c r="R3908" s="148">
        <v>0</v>
      </c>
    </row>
    <row r="3909" spans="2:18" ht="15.75" hidden="1" thickBot="1" x14ac:dyDescent="0.3">
      <c r="B3909" s="723" t="s">
        <v>794</v>
      </c>
      <c r="C3909" s="722" t="s">
        <v>588</v>
      </c>
      <c r="D3909" t="s">
        <v>589</v>
      </c>
      <c r="E3909" s="147">
        <v>1.3522099999999999</v>
      </c>
      <c r="F3909" s="729"/>
      <c r="G3909" s="147">
        <v>1.3522099999999999</v>
      </c>
      <c r="H3909" s="147">
        <v>0</v>
      </c>
      <c r="I3909" s="729"/>
      <c r="J3909" s="147">
        <v>1.3522099999999999</v>
      </c>
      <c r="K3909" s="147">
        <v>0</v>
      </c>
      <c r="L3909" s="147">
        <v>1.8162100000000001</v>
      </c>
      <c r="M3909" s="729"/>
      <c r="N3909" s="147">
        <v>1.8162100000000001</v>
      </c>
      <c r="O3909" s="147">
        <v>0</v>
      </c>
      <c r="P3909" s="147">
        <v>0.33900000000000002</v>
      </c>
      <c r="Q3909" s="147">
        <v>1.4772099999999999</v>
      </c>
      <c r="R3909" s="147">
        <v>435.75516224188789</v>
      </c>
    </row>
    <row r="3910" spans="2:18" ht="15.75" hidden="1" thickBot="1" x14ac:dyDescent="0.3">
      <c r="B3910" s="723" t="s">
        <v>794</v>
      </c>
      <c r="C3910" s="722" t="s">
        <v>590</v>
      </c>
      <c r="D3910" t="s">
        <v>591</v>
      </c>
      <c r="E3910" s="728"/>
      <c r="F3910" s="728"/>
      <c r="G3910" s="728"/>
      <c r="H3910" s="728"/>
      <c r="I3910" s="728"/>
      <c r="J3910" s="728"/>
      <c r="K3910" s="728"/>
      <c r="L3910" s="148">
        <v>2.7534200000000002</v>
      </c>
      <c r="M3910" s="728"/>
      <c r="N3910" s="148">
        <v>2.7534200000000002</v>
      </c>
      <c r="O3910" s="148">
        <v>0</v>
      </c>
      <c r="P3910" s="148">
        <v>2.7534200000000002</v>
      </c>
      <c r="Q3910" s="148">
        <v>0</v>
      </c>
      <c r="R3910" s="148">
        <v>0</v>
      </c>
    </row>
    <row r="3911" spans="2:18" ht="15.75" hidden="1" thickBot="1" x14ac:dyDescent="0.3">
      <c r="B3911" s="723" t="s">
        <v>794</v>
      </c>
      <c r="C3911" s="722" t="s">
        <v>592</v>
      </c>
      <c r="D3911" t="s">
        <v>593</v>
      </c>
      <c r="E3911" s="147">
        <v>2.9764900000000001</v>
      </c>
      <c r="F3911" s="729"/>
      <c r="G3911" s="147">
        <v>2.9764900000000001</v>
      </c>
      <c r="H3911" s="147">
        <v>0</v>
      </c>
      <c r="I3911" s="729"/>
      <c r="J3911" s="147">
        <v>2.9764900000000001</v>
      </c>
      <c r="K3911" s="147">
        <v>0</v>
      </c>
      <c r="L3911" s="147">
        <v>55.45402</v>
      </c>
      <c r="M3911" s="729"/>
      <c r="N3911" s="147">
        <v>55.45402</v>
      </c>
      <c r="O3911" s="147">
        <v>0</v>
      </c>
      <c r="P3911" s="147">
        <v>33.464280000000002</v>
      </c>
      <c r="Q3911" s="147">
        <v>21.989740000000001</v>
      </c>
      <c r="R3911" s="147">
        <v>65.711080591006294</v>
      </c>
    </row>
    <row r="3912" spans="2:18" ht="15.75" hidden="1" thickBot="1" x14ac:dyDescent="0.3">
      <c r="B3912" s="723" t="s">
        <v>794</v>
      </c>
      <c r="C3912" s="722" t="s">
        <v>594</v>
      </c>
      <c r="D3912" t="s">
        <v>595</v>
      </c>
      <c r="E3912" s="728"/>
      <c r="F3912" s="728"/>
      <c r="G3912" s="728"/>
      <c r="H3912" s="728"/>
      <c r="I3912" s="728"/>
      <c r="J3912" s="728"/>
      <c r="K3912" s="728"/>
      <c r="L3912" s="148">
        <v>3.5360000000000003E-2</v>
      </c>
      <c r="M3912" s="728"/>
      <c r="N3912" s="148">
        <v>3.5360000000000003E-2</v>
      </c>
      <c r="O3912" s="148">
        <v>0</v>
      </c>
      <c r="P3912" s="148">
        <v>3.5360000000000003E-2</v>
      </c>
      <c r="Q3912" s="148">
        <v>0</v>
      </c>
      <c r="R3912" s="148">
        <v>0</v>
      </c>
    </row>
    <row r="3913" spans="2:18" ht="15.75" hidden="1" thickBot="1" x14ac:dyDescent="0.3">
      <c r="B3913" s="723" t="s">
        <v>794</v>
      </c>
      <c r="C3913" s="722" t="s">
        <v>137</v>
      </c>
      <c r="D3913" t="s">
        <v>138</v>
      </c>
      <c r="E3913" s="147">
        <v>15.313969999999999</v>
      </c>
      <c r="F3913" s="147">
        <v>4.93</v>
      </c>
      <c r="G3913" s="147">
        <v>10.38397</v>
      </c>
      <c r="H3913" s="147">
        <v>210.62819472616633</v>
      </c>
      <c r="I3913" s="729"/>
      <c r="J3913" s="147">
        <v>15.313969999999999</v>
      </c>
      <c r="K3913" s="147">
        <v>0</v>
      </c>
      <c r="L3913" s="147">
        <v>91.461070000000007</v>
      </c>
      <c r="M3913" s="147">
        <v>62.03</v>
      </c>
      <c r="N3913" s="147">
        <v>29.431069999999998</v>
      </c>
      <c r="O3913" s="147">
        <v>47.446509753345154</v>
      </c>
      <c r="P3913" s="147">
        <v>42.268340000000002</v>
      </c>
      <c r="Q3913" s="147">
        <v>49.192729999999997</v>
      </c>
      <c r="R3913" s="147">
        <v>116.38197762202159</v>
      </c>
    </row>
    <row r="3914" spans="2:18" ht="15.75" hidden="1" thickBot="1" x14ac:dyDescent="0.3">
      <c r="B3914" s="723" t="s">
        <v>794</v>
      </c>
      <c r="C3914" s="722" t="s">
        <v>190</v>
      </c>
      <c r="D3914" t="s">
        <v>191</v>
      </c>
      <c r="E3914" s="148">
        <v>18.26193</v>
      </c>
      <c r="F3914" s="148">
        <v>15.44599</v>
      </c>
      <c r="G3914" s="148">
        <v>2.8159399999999999</v>
      </c>
      <c r="H3914" s="148">
        <v>18.230880636333442</v>
      </c>
      <c r="I3914" s="728"/>
      <c r="J3914" s="148">
        <v>18.26193</v>
      </c>
      <c r="K3914" s="148">
        <v>0</v>
      </c>
      <c r="L3914" s="148">
        <v>218.13018</v>
      </c>
      <c r="M3914" s="148">
        <v>185.39187999999999</v>
      </c>
      <c r="N3914" s="148">
        <v>32.738300000000002</v>
      </c>
      <c r="O3914" s="148">
        <v>17.65897190319231</v>
      </c>
      <c r="P3914" s="148">
        <v>107.20556000000001</v>
      </c>
      <c r="Q3914" s="148">
        <v>110.92462</v>
      </c>
      <c r="R3914" s="148">
        <v>103.46909246124922</v>
      </c>
    </row>
    <row r="3915" spans="2:18" ht="15.75" hidden="1" thickBot="1" x14ac:dyDescent="0.3">
      <c r="B3915" s="723" t="s">
        <v>794</v>
      </c>
      <c r="C3915" s="722" t="s">
        <v>36</v>
      </c>
      <c r="D3915" t="s">
        <v>192</v>
      </c>
      <c r="E3915" s="147">
        <v>56.15992</v>
      </c>
      <c r="F3915" s="147">
        <v>95.622219999999999</v>
      </c>
      <c r="G3915" s="147">
        <v>-39.462299999999999</v>
      </c>
      <c r="H3915" s="147">
        <v>-41.2689644729018</v>
      </c>
      <c r="I3915" s="729"/>
      <c r="J3915" s="147">
        <v>56.15992</v>
      </c>
      <c r="K3915" s="147">
        <v>0</v>
      </c>
      <c r="L3915" s="147">
        <v>1458.3045199999999</v>
      </c>
      <c r="M3915" s="147">
        <v>1218.9666400000001</v>
      </c>
      <c r="N3915" s="147">
        <v>239.33788000000001</v>
      </c>
      <c r="O3915" s="147">
        <v>19.634489751089497</v>
      </c>
      <c r="P3915" s="147">
        <v>755.78078000000005</v>
      </c>
      <c r="Q3915" s="147">
        <v>702.52373999999998</v>
      </c>
      <c r="R3915" s="147">
        <v>92.953374654486453</v>
      </c>
    </row>
    <row r="3916" spans="2:18" ht="15.75" hidden="1" thickBot="1" x14ac:dyDescent="0.3">
      <c r="B3916" s="723" t="s">
        <v>794</v>
      </c>
      <c r="C3916" s="722" t="s">
        <v>596</v>
      </c>
      <c r="D3916" t="s">
        <v>597</v>
      </c>
      <c r="E3916" s="728"/>
      <c r="F3916" s="148">
        <v>0</v>
      </c>
      <c r="G3916" s="148">
        <v>0</v>
      </c>
      <c r="H3916" s="148">
        <v>0</v>
      </c>
      <c r="I3916" s="728"/>
      <c r="J3916" s="728"/>
      <c r="K3916" s="728"/>
      <c r="L3916" s="728"/>
      <c r="M3916" s="148">
        <v>2</v>
      </c>
      <c r="N3916" s="148">
        <v>-2</v>
      </c>
      <c r="O3916" s="148">
        <v>-100</v>
      </c>
      <c r="P3916" s="728"/>
      <c r="Q3916" s="728"/>
      <c r="R3916" s="728"/>
    </row>
    <row r="3917" spans="2:18" ht="15.75" hidden="1" thickBot="1" x14ac:dyDescent="0.3">
      <c r="B3917" s="723" t="s">
        <v>794</v>
      </c>
      <c r="C3917" s="722" t="s">
        <v>139</v>
      </c>
      <c r="D3917" t="s">
        <v>140</v>
      </c>
      <c r="E3917" s="147">
        <v>3.7499999999999999E-2</v>
      </c>
      <c r="F3917" s="147">
        <v>0.85587999999999997</v>
      </c>
      <c r="G3917" s="147">
        <v>-0.81838</v>
      </c>
      <c r="H3917" s="147">
        <v>-95.618544655792874</v>
      </c>
      <c r="I3917" s="729"/>
      <c r="J3917" s="147">
        <v>3.7499999999999999E-2</v>
      </c>
      <c r="K3917" s="147">
        <v>0</v>
      </c>
      <c r="L3917" s="147">
        <v>596.29224999999997</v>
      </c>
      <c r="M3917" s="147">
        <v>10.20458</v>
      </c>
      <c r="N3917" s="147">
        <v>586.08767</v>
      </c>
      <c r="O3917" s="147">
        <v>5743.378659386276</v>
      </c>
      <c r="P3917" s="147">
        <v>594.13954000000001</v>
      </c>
      <c r="Q3917" s="147">
        <v>2.1527099999999999</v>
      </c>
      <c r="R3917" s="147">
        <v>0.36232397527355276</v>
      </c>
    </row>
    <row r="3918" spans="2:18" ht="15.75" hidden="1" thickBot="1" x14ac:dyDescent="0.3">
      <c r="B3918" s="723" t="s">
        <v>794</v>
      </c>
      <c r="C3918" s="722" t="s">
        <v>169</v>
      </c>
      <c r="D3918" t="s">
        <v>170</v>
      </c>
      <c r="E3918" s="728"/>
      <c r="F3918" s="148">
        <v>0</v>
      </c>
      <c r="G3918" s="148">
        <v>0</v>
      </c>
      <c r="H3918" s="148">
        <v>0</v>
      </c>
      <c r="I3918" s="728"/>
      <c r="J3918" s="728"/>
      <c r="K3918" s="728"/>
      <c r="L3918" s="148">
        <v>43.30885</v>
      </c>
      <c r="M3918" s="148">
        <v>0</v>
      </c>
      <c r="N3918" s="148">
        <v>43.30885</v>
      </c>
      <c r="O3918" s="148">
        <v>0</v>
      </c>
      <c r="P3918" s="148">
        <v>37.19359</v>
      </c>
      <c r="Q3918" s="148">
        <v>6.1152600000000001</v>
      </c>
      <c r="R3918" s="148">
        <v>16.441704067824592</v>
      </c>
    </row>
    <row r="3919" spans="2:18" ht="15.75" hidden="1" thickBot="1" x14ac:dyDescent="0.3">
      <c r="B3919" s="723" t="s">
        <v>794</v>
      </c>
      <c r="C3919" s="722" t="s">
        <v>101</v>
      </c>
      <c r="D3919" t="s">
        <v>102</v>
      </c>
      <c r="E3919" s="147">
        <v>708.36524999999995</v>
      </c>
      <c r="F3919" s="147">
        <v>330.63643000000002</v>
      </c>
      <c r="G3919" s="147">
        <v>377.72881999999998</v>
      </c>
      <c r="H3919" s="147">
        <v>114.24295259902243</v>
      </c>
      <c r="I3919" s="729"/>
      <c r="J3919" s="147">
        <v>708.36524999999995</v>
      </c>
      <c r="K3919" s="147">
        <v>0</v>
      </c>
      <c r="L3919" s="147">
        <v>7509.5265499999996</v>
      </c>
      <c r="M3919" s="147">
        <v>8624.9812199999997</v>
      </c>
      <c r="N3919" s="147">
        <v>-1115.4546700000001</v>
      </c>
      <c r="O3919" s="147">
        <v>-12.932835927960433</v>
      </c>
      <c r="P3919" s="147">
        <v>3442.5744500000001</v>
      </c>
      <c r="Q3919" s="147">
        <v>4066.9521</v>
      </c>
      <c r="R3919" s="147">
        <v>118.13693963829888</v>
      </c>
    </row>
    <row r="3920" spans="2:18" ht="15.75" hidden="1" thickBot="1" x14ac:dyDescent="0.3">
      <c r="B3920" s="723" t="s">
        <v>794</v>
      </c>
      <c r="C3920" s="722" t="s">
        <v>601</v>
      </c>
      <c r="D3920" t="s">
        <v>602</v>
      </c>
      <c r="E3920" s="148">
        <v>-1.32</v>
      </c>
      <c r="F3920" s="728"/>
      <c r="G3920" s="148">
        <v>-1.32</v>
      </c>
      <c r="H3920" s="148">
        <v>0</v>
      </c>
      <c r="I3920" s="728"/>
      <c r="J3920" s="148">
        <v>-1.32</v>
      </c>
      <c r="K3920" s="148">
        <v>0</v>
      </c>
      <c r="L3920" s="148">
        <v>0</v>
      </c>
      <c r="M3920" s="728"/>
      <c r="N3920" s="148">
        <v>0</v>
      </c>
      <c r="O3920" s="148">
        <v>0</v>
      </c>
      <c r="P3920" s="728"/>
      <c r="Q3920" s="148">
        <v>0</v>
      </c>
      <c r="R3920" s="148">
        <v>0</v>
      </c>
    </row>
    <row r="3921" spans="2:18" ht="15.75" hidden="1" thickBot="1" x14ac:dyDescent="0.3">
      <c r="B3921" s="723" t="s">
        <v>794</v>
      </c>
      <c r="C3921" s="722" t="s">
        <v>603</v>
      </c>
      <c r="D3921" t="s">
        <v>604</v>
      </c>
      <c r="E3921" s="729"/>
      <c r="F3921" s="729"/>
      <c r="G3921" s="729"/>
      <c r="H3921" s="729"/>
      <c r="I3921" s="729"/>
      <c r="J3921" s="729"/>
      <c r="K3921" s="729"/>
      <c r="L3921" s="147">
        <v>1.7</v>
      </c>
      <c r="M3921" s="729"/>
      <c r="N3921" s="147">
        <v>1.7</v>
      </c>
      <c r="O3921" s="147">
        <v>0</v>
      </c>
      <c r="P3921" s="147">
        <v>1.7</v>
      </c>
      <c r="Q3921" s="147">
        <v>0</v>
      </c>
      <c r="R3921" s="147">
        <v>0</v>
      </c>
    </row>
    <row r="3922" spans="2:18" ht="15.75" hidden="1" thickBot="1" x14ac:dyDescent="0.3">
      <c r="B3922" s="723" t="s">
        <v>794</v>
      </c>
      <c r="C3922" s="722" t="s">
        <v>605</v>
      </c>
      <c r="D3922" t="s">
        <v>606</v>
      </c>
      <c r="E3922" s="148">
        <v>-0.8</v>
      </c>
      <c r="F3922" s="728"/>
      <c r="G3922" s="148">
        <v>-0.8</v>
      </c>
      <c r="H3922" s="148">
        <v>0</v>
      </c>
      <c r="I3922" s="728"/>
      <c r="J3922" s="148">
        <v>-0.8</v>
      </c>
      <c r="K3922" s="148">
        <v>0</v>
      </c>
      <c r="L3922" s="148">
        <v>28.806049999999999</v>
      </c>
      <c r="M3922" s="728"/>
      <c r="N3922" s="148">
        <v>28.806049999999999</v>
      </c>
      <c r="O3922" s="148">
        <v>0</v>
      </c>
      <c r="P3922" s="148">
        <v>16.661650000000002</v>
      </c>
      <c r="Q3922" s="148">
        <v>12.144399999999999</v>
      </c>
      <c r="R3922" s="148">
        <v>72.888339390156432</v>
      </c>
    </row>
    <row r="3923" spans="2:18" ht="15.75" hidden="1" thickBot="1" x14ac:dyDescent="0.3">
      <c r="B3923" s="723" t="s">
        <v>794</v>
      </c>
      <c r="C3923" s="722" t="s">
        <v>218</v>
      </c>
      <c r="D3923" t="s">
        <v>219</v>
      </c>
      <c r="E3923" s="147">
        <v>-2.0649999999999999</v>
      </c>
      <c r="F3923" s="729"/>
      <c r="G3923" s="147">
        <v>-2.0649999999999999</v>
      </c>
      <c r="H3923" s="147">
        <v>0</v>
      </c>
      <c r="I3923" s="729"/>
      <c r="J3923" s="147">
        <v>-2.0649999999999999</v>
      </c>
      <c r="K3923" s="147">
        <v>0</v>
      </c>
      <c r="L3923" s="147">
        <v>37.681809999999999</v>
      </c>
      <c r="M3923" s="729"/>
      <c r="N3923" s="147">
        <v>37.681809999999999</v>
      </c>
      <c r="O3923" s="147">
        <v>0</v>
      </c>
      <c r="P3923" s="147">
        <v>35.282249999999998</v>
      </c>
      <c r="Q3923" s="147">
        <v>2.3995600000000001</v>
      </c>
      <c r="R3923" s="147">
        <v>6.8010401830948988</v>
      </c>
    </row>
    <row r="3924" spans="2:18" ht="15.75" hidden="1" thickBot="1" x14ac:dyDescent="0.3">
      <c r="B3924" s="723" t="s">
        <v>794</v>
      </c>
      <c r="C3924" s="722" t="s">
        <v>607</v>
      </c>
      <c r="D3924" t="s">
        <v>608</v>
      </c>
      <c r="E3924" s="728"/>
      <c r="F3924" s="728"/>
      <c r="G3924" s="728"/>
      <c r="H3924" s="728"/>
      <c r="I3924" s="728"/>
      <c r="J3924" s="728"/>
      <c r="K3924" s="728"/>
      <c r="L3924" s="148">
        <v>4.2511999999999999</v>
      </c>
      <c r="M3924" s="728"/>
      <c r="N3924" s="148">
        <v>4.2511999999999999</v>
      </c>
      <c r="O3924" s="148">
        <v>0</v>
      </c>
      <c r="P3924" s="728"/>
      <c r="Q3924" s="148">
        <v>4.2511999999999999</v>
      </c>
      <c r="R3924" s="148">
        <v>0</v>
      </c>
    </row>
    <row r="3925" spans="2:18" ht="15.75" hidden="1" thickBot="1" x14ac:dyDescent="0.3">
      <c r="B3925" s="723" t="s">
        <v>794</v>
      </c>
      <c r="C3925" s="722" t="s">
        <v>609</v>
      </c>
      <c r="D3925" t="s">
        <v>610</v>
      </c>
      <c r="E3925" s="729"/>
      <c r="F3925" s="729"/>
      <c r="G3925" s="729"/>
      <c r="H3925" s="729"/>
      <c r="I3925" s="729"/>
      <c r="J3925" s="729"/>
      <c r="K3925" s="729"/>
      <c r="L3925" s="147">
        <v>0.47049999999999997</v>
      </c>
      <c r="M3925" s="729"/>
      <c r="N3925" s="147">
        <v>0.47049999999999997</v>
      </c>
      <c r="O3925" s="147">
        <v>0</v>
      </c>
      <c r="P3925" s="729"/>
      <c r="Q3925" s="147">
        <v>0.47049999999999997</v>
      </c>
      <c r="R3925" s="147">
        <v>0</v>
      </c>
    </row>
    <row r="3926" spans="2:18" ht="15.75" hidden="1" thickBot="1" x14ac:dyDescent="0.3">
      <c r="B3926" s="723" t="s">
        <v>794</v>
      </c>
      <c r="C3926" s="722" t="s">
        <v>462</v>
      </c>
      <c r="D3926" t="s">
        <v>463</v>
      </c>
      <c r="E3926" s="148">
        <v>3.0488</v>
      </c>
      <c r="F3926" s="728"/>
      <c r="G3926" s="148">
        <v>3.0488</v>
      </c>
      <c r="H3926" s="148">
        <v>0</v>
      </c>
      <c r="I3926" s="728"/>
      <c r="J3926" s="148">
        <v>3.0488</v>
      </c>
      <c r="K3926" s="148">
        <v>0</v>
      </c>
      <c r="L3926" s="148">
        <v>83.850179999999995</v>
      </c>
      <c r="M3926" s="728"/>
      <c r="N3926" s="148">
        <v>83.850179999999995</v>
      </c>
      <c r="O3926" s="148">
        <v>0</v>
      </c>
      <c r="P3926" s="148">
        <v>36.912680000000002</v>
      </c>
      <c r="Q3926" s="148">
        <v>46.9375</v>
      </c>
      <c r="R3926" s="148">
        <v>127.15820146356211</v>
      </c>
    </row>
    <row r="3927" spans="2:18" ht="15.75" hidden="1" thickBot="1" x14ac:dyDescent="0.3">
      <c r="B3927" s="723" t="s">
        <v>794</v>
      </c>
      <c r="C3927" s="722" t="s">
        <v>611</v>
      </c>
      <c r="D3927" t="s">
        <v>612</v>
      </c>
      <c r="E3927" s="729"/>
      <c r="F3927" s="729"/>
      <c r="G3927" s="729"/>
      <c r="H3927" s="729"/>
      <c r="I3927" s="729"/>
      <c r="J3927" s="729"/>
      <c r="K3927" s="729"/>
      <c r="L3927" s="147">
        <v>0</v>
      </c>
      <c r="M3927" s="729"/>
      <c r="N3927" s="147">
        <v>0</v>
      </c>
      <c r="O3927" s="147">
        <v>0</v>
      </c>
      <c r="P3927" s="147">
        <v>0</v>
      </c>
      <c r="Q3927" s="147">
        <v>0</v>
      </c>
      <c r="R3927" s="147">
        <v>0</v>
      </c>
    </row>
    <row r="3928" spans="2:18" ht="15.75" hidden="1" thickBot="1" x14ac:dyDescent="0.3">
      <c r="B3928" s="723" t="s">
        <v>794</v>
      </c>
      <c r="C3928" s="722" t="s">
        <v>613</v>
      </c>
      <c r="D3928" t="s">
        <v>614</v>
      </c>
      <c r="E3928" s="148">
        <v>6.7050000000000001</v>
      </c>
      <c r="F3928" s="728"/>
      <c r="G3928" s="148">
        <v>6.7050000000000001</v>
      </c>
      <c r="H3928" s="148">
        <v>0</v>
      </c>
      <c r="I3928" s="728"/>
      <c r="J3928" s="148">
        <v>6.7050000000000001</v>
      </c>
      <c r="K3928" s="148">
        <v>0</v>
      </c>
      <c r="L3928" s="148">
        <v>64.850239999999999</v>
      </c>
      <c r="M3928" s="728"/>
      <c r="N3928" s="148">
        <v>64.850239999999999</v>
      </c>
      <c r="O3928" s="148">
        <v>0</v>
      </c>
      <c r="P3928" s="148">
        <v>20.242450000000002</v>
      </c>
      <c r="Q3928" s="148">
        <v>44.607790000000001</v>
      </c>
      <c r="R3928" s="148">
        <v>220.36754444249584</v>
      </c>
    </row>
    <row r="3929" spans="2:18" ht="15.75" hidden="1" thickBot="1" x14ac:dyDescent="0.3">
      <c r="B3929" s="723" t="s">
        <v>794</v>
      </c>
      <c r="C3929" s="722" t="s">
        <v>615</v>
      </c>
      <c r="D3929" t="s">
        <v>616</v>
      </c>
      <c r="E3929" s="147">
        <v>1.67197</v>
      </c>
      <c r="F3929" s="729"/>
      <c r="G3929" s="147">
        <v>1.67197</v>
      </c>
      <c r="H3929" s="147">
        <v>0</v>
      </c>
      <c r="I3929" s="729"/>
      <c r="J3929" s="147">
        <v>1.67197</v>
      </c>
      <c r="K3929" s="147">
        <v>0</v>
      </c>
      <c r="L3929" s="147">
        <v>34.474600000000002</v>
      </c>
      <c r="M3929" s="729"/>
      <c r="N3929" s="147">
        <v>34.474600000000002</v>
      </c>
      <c r="O3929" s="147">
        <v>0</v>
      </c>
      <c r="P3929" s="147">
        <v>12.127750000000001</v>
      </c>
      <c r="Q3929" s="147">
        <v>22.34685</v>
      </c>
      <c r="R3929" s="147">
        <v>184.26212611572632</v>
      </c>
    </row>
    <row r="3930" spans="2:18" ht="15.75" hidden="1" thickBot="1" x14ac:dyDescent="0.3">
      <c r="B3930" s="723" t="s">
        <v>794</v>
      </c>
      <c r="C3930" s="722" t="s">
        <v>193</v>
      </c>
      <c r="D3930" t="s">
        <v>194</v>
      </c>
      <c r="E3930" s="148">
        <v>28.554549999999999</v>
      </c>
      <c r="F3930" s="728"/>
      <c r="G3930" s="148">
        <v>28.554549999999999</v>
      </c>
      <c r="H3930" s="148">
        <v>0</v>
      </c>
      <c r="I3930" s="728"/>
      <c r="J3930" s="148">
        <v>28.554549999999999</v>
      </c>
      <c r="K3930" s="148">
        <v>0</v>
      </c>
      <c r="L3930" s="148">
        <v>492.50691999999998</v>
      </c>
      <c r="M3930" s="728"/>
      <c r="N3930" s="148">
        <v>492.50691999999998</v>
      </c>
      <c r="O3930" s="148">
        <v>0</v>
      </c>
      <c r="P3930" s="148">
        <v>213.05285000000001</v>
      </c>
      <c r="Q3930" s="148">
        <v>279.45407</v>
      </c>
      <c r="R3930" s="148">
        <v>131.16654858172515</v>
      </c>
    </row>
    <row r="3931" spans="2:18" ht="15.75" hidden="1" thickBot="1" x14ac:dyDescent="0.3">
      <c r="B3931" s="723" t="s">
        <v>794</v>
      </c>
      <c r="C3931" s="722" t="s">
        <v>617</v>
      </c>
      <c r="D3931" t="s">
        <v>618</v>
      </c>
      <c r="E3931" s="147">
        <v>0.26</v>
      </c>
      <c r="F3931" s="729"/>
      <c r="G3931" s="147">
        <v>0.26</v>
      </c>
      <c r="H3931" s="147">
        <v>0</v>
      </c>
      <c r="I3931" s="729"/>
      <c r="J3931" s="147">
        <v>0.26</v>
      </c>
      <c r="K3931" s="147">
        <v>0</v>
      </c>
      <c r="L3931" s="147">
        <v>1.3</v>
      </c>
      <c r="M3931" s="729"/>
      <c r="N3931" s="147">
        <v>1.3</v>
      </c>
      <c r="O3931" s="147">
        <v>0</v>
      </c>
      <c r="P3931" s="729"/>
      <c r="Q3931" s="147">
        <v>1.3</v>
      </c>
      <c r="R3931" s="147">
        <v>0</v>
      </c>
    </row>
    <row r="3932" spans="2:18" ht="15.75" hidden="1" thickBot="1" x14ac:dyDescent="0.3">
      <c r="B3932" s="723" t="s">
        <v>794</v>
      </c>
      <c r="C3932" s="722" t="s">
        <v>195</v>
      </c>
      <c r="D3932" t="s">
        <v>196</v>
      </c>
      <c r="E3932" s="148">
        <v>29.216270000000002</v>
      </c>
      <c r="F3932" s="728"/>
      <c r="G3932" s="148">
        <v>29.216270000000002</v>
      </c>
      <c r="H3932" s="148">
        <v>0</v>
      </c>
      <c r="I3932" s="728"/>
      <c r="J3932" s="148">
        <v>29.216270000000002</v>
      </c>
      <c r="K3932" s="148">
        <v>0</v>
      </c>
      <c r="L3932" s="148">
        <v>273.19765999999998</v>
      </c>
      <c r="M3932" s="728"/>
      <c r="N3932" s="148">
        <v>273.19765999999998</v>
      </c>
      <c r="O3932" s="148">
        <v>0</v>
      </c>
      <c r="P3932" s="148">
        <v>119.11702</v>
      </c>
      <c r="Q3932" s="148">
        <v>154.08063999999999</v>
      </c>
      <c r="R3932" s="148">
        <v>129.3523293312744</v>
      </c>
    </row>
    <row r="3933" spans="2:18" ht="15.75" hidden="1" thickBot="1" x14ac:dyDescent="0.3">
      <c r="B3933" s="723" t="s">
        <v>794</v>
      </c>
      <c r="C3933" s="722" t="s">
        <v>197</v>
      </c>
      <c r="D3933" t="s">
        <v>198</v>
      </c>
      <c r="E3933" s="147">
        <v>4.4882</v>
      </c>
      <c r="F3933" s="729"/>
      <c r="G3933" s="147">
        <v>4.4882</v>
      </c>
      <c r="H3933" s="147">
        <v>0</v>
      </c>
      <c r="I3933" s="729"/>
      <c r="J3933" s="147">
        <v>4.4882</v>
      </c>
      <c r="K3933" s="147">
        <v>0</v>
      </c>
      <c r="L3933" s="147">
        <v>95.916430000000005</v>
      </c>
      <c r="M3933" s="729"/>
      <c r="N3933" s="147">
        <v>95.916430000000005</v>
      </c>
      <c r="O3933" s="147">
        <v>0</v>
      </c>
      <c r="P3933" s="147">
        <v>50.059310000000004</v>
      </c>
      <c r="Q3933" s="147">
        <v>45.857120000000002</v>
      </c>
      <c r="R3933" s="147">
        <v>91.605577464012185</v>
      </c>
    </row>
    <row r="3934" spans="2:18" ht="15.75" hidden="1" thickBot="1" x14ac:dyDescent="0.3">
      <c r="B3934" s="723" t="s">
        <v>794</v>
      </c>
      <c r="C3934" s="722" t="s">
        <v>464</v>
      </c>
      <c r="D3934" t="s">
        <v>465</v>
      </c>
      <c r="E3934" s="148">
        <v>0.16300000000000001</v>
      </c>
      <c r="F3934" s="148">
        <v>3.6999900000000001</v>
      </c>
      <c r="G3934" s="148">
        <v>-3.5369899999999999</v>
      </c>
      <c r="H3934" s="148">
        <v>-95.594582688061323</v>
      </c>
      <c r="I3934" s="728"/>
      <c r="J3934" s="148">
        <v>0.16300000000000001</v>
      </c>
      <c r="K3934" s="148">
        <v>0</v>
      </c>
      <c r="L3934" s="148">
        <v>22.58126</v>
      </c>
      <c r="M3934" s="148">
        <v>135.79995</v>
      </c>
      <c r="N3934" s="148">
        <v>-113.21869</v>
      </c>
      <c r="O3934" s="148">
        <v>-83.37167281725803</v>
      </c>
      <c r="P3934" s="148">
        <v>6.4857199999999997</v>
      </c>
      <c r="Q3934" s="148">
        <v>16.09554</v>
      </c>
      <c r="R3934" s="148">
        <v>248.16890029171782</v>
      </c>
    </row>
    <row r="3935" spans="2:18" ht="15.75" hidden="1" thickBot="1" x14ac:dyDescent="0.3">
      <c r="B3935" s="723" t="s">
        <v>794</v>
      </c>
      <c r="C3935" s="722" t="s">
        <v>619</v>
      </c>
      <c r="D3935" t="s">
        <v>620</v>
      </c>
      <c r="E3935" s="147">
        <v>0.63444</v>
      </c>
      <c r="F3935" s="729"/>
      <c r="G3935" s="147">
        <v>0.63444</v>
      </c>
      <c r="H3935" s="147">
        <v>0</v>
      </c>
      <c r="I3935" s="729"/>
      <c r="J3935" s="147">
        <v>0.63444</v>
      </c>
      <c r="K3935" s="147">
        <v>0</v>
      </c>
      <c r="L3935" s="147">
        <v>115.84092</v>
      </c>
      <c r="M3935" s="729"/>
      <c r="N3935" s="147">
        <v>115.84092</v>
      </c>
      <c r="O3935" s="147">
        <v>0</v>
      </c>
      <c r="P3935" s="147">
        <v>80.333250000000007</v>
      </c>
      <c r="Q3935" s="147">
        <v>35.507669999999997</v>
      </c>
      <c r="R3935" s="147">
        <v>44.200464938241637</v>
      </c>
    </row>
    <row r="3936" spans="2:18" ht="15.75" hidden="1" thickBot="1" x14ac:dyDescent="0.3">
      <c r="B3936" s="723" t="s">
        <v>794</v>
      </c>
      <c r="C3936" s="722" t="s">
        <v>621</v>
      </c>
      <c r="D3936" t="s">
        <v>622</v>
      </c>
      <c r="E3936" s="728"/>
      <c r="F3936" s="728"/>
      <c r="G3936" s="728"/>
      <c r="H3936" s="728"/>
      <c r="I3936" s="728"/>
      <c r="J3936" s="728"/>
      <c r="K3936" s="728"/>
      <c r="L3936" s="148">
        <v>6.0323000000000002</v>
      </c>
      <c r="M3936" s="728"/>
      <c r="N3936" s="148">
        <v>6.0323000000000002</v>
      </c>
      <c r="O3936" s="148">
        <v>0</v>
      </c>
      <c r="P3936" s="148">
        <v>4.18865</v>
      </c>
      <c r="Q3936" s="148">
        <v>1.84365</v>
      </c>
      <c r="R3936" s="148">
        <v>44.015374882121925</v>
      </c>
    </row>
    <row r="3937" spans="2:18" ht="15.75" hidden="1" thickBot="1" x14ac:dyDescent="0.3">
      <c r="B3937" s="723" t="s">
        <v>794</v>
      </c>
      <c r="C3937" s="722" t="s">
        <v>103</v>
      </c>
      <c r="D3937" t="s">
        <v>104</v>
      </c>
      <c r="E3937" s="147">
        <v>1.1641999999999999</v>
      </c>
      <c r="F3937" s="147">
        <v>26.524999999999999</v>
      </c>
      <c r="G3937" s="147">
        <v>-25.360800000000001</v>
      </c>
      <c r="H3937" s="147">
        <v>-95.610933081998112</v>
      </c>
      <c r="I3937" s="729"/>
      <c r="J3937" s="147">
        <v>1.1641999999999999</v>
      </c>
      <c r="K3937" s="147">
        <v>0</v>
      </c>
      <c r="L3937" s="147">
        <v>14.68432</v>
      </c>
      <c r="M3937" s="147">
        <v>68.3</v>
      </c>
      <c r="N3937" s="147">
        <v>-53.615679999999998</v>
      </c>
      <c r="O3937" s="147">
        <v>-78.500263543191807</v>
      </c>
      <c r="P3937" s="147">
        <v>4.1571800000000003</v>
      </c>
      <c r="Q3937" s="147">
        <v>10.527139999999999</v>
      </c>
      <c r="R3937" s="147">
        <v>253.22790930390312</v>
      </c>
    </row>
    <row r="3938" spans="2:18" ht="15.75" hidden="1" thickBot="1" x14ac:dyDescent="0.3">
      <c r="B3938" s="723" t="s">
        <v>794</v>
      </c>
      <c r="C3938" s="722" t="s">
        <v>625</v>
      </c>
      <c r="D3938" t="s">
        <v>626</v>
      </c>
      <c r="E3938" s="728"/>
      <c r="F3938" s="728"/>
      <c r="G3938" s="728"/>
      <c r="H3938" s="728"/>
      <c r="I3938" s="728"/>
      <c r="J3938" s="728"/>
      <c r="K3938" s="728"/>
      <c r="L3938" s="148">
        <v>-0.52500000000000002</v>
      </c>
      <c r="M3938" s="728"/>
      <c r="N3938" s="148">
        <v>-0.52500000000000002</v>
      </c>
      <c r="O3938" s="148">
        <v>0</v>
      </c>
      <c r="P3938" s="148">
        <v>-0.52500000000000002</v>
      </c>
      <c r="Q3938" s="148">
        <v>0</v>
      </c>
      <c r="R3938" s="148">
        <v>0</v>
      </c>
    </row>
    <row r="3939" spans="2:18" ht="15.75" hidden="1" thickBot="1" x14ac:dyDescent="0.3">
      <c r="B3939" s="723" t="s">
        <v>794</v>
      </c>
      <c r="C3939" s="722" t="s">
        <v>71</v>
      </c>
      <c r="D3939" t="s">
        <v>72</v>
      </c>
      <c r="E3939" s="147">
        <v>0</v>
      </c>
      <c r="F3939" s="729"/>
      <c r="G3939" s="147">
        <v>0</v>
      </c>
      <c r="H3939" s="147">
        <v>0</v>
      </c>
      <c r="I3939" s="729"/>
      <c r="J3939" s="147">
        <v>0</v>
      </c>
      <c r="K3939" s="147">
        <v>0</v>
      </c>
      <c r="L3939" s="147">
        <v>0.54793999999999998</v>
      </c>
      <c r="M3939" s="729"/>
      <c r="N3939" s="147">
        <v>0.54793999999999998</v>
      </c>
      <c r="O3939" s="147">
        <v>0</v>
      </c>
      <c r="P3939" s="147">
        <v>2.1317699999999999</v>
      </c>
      <c r="Q3939" s="147">
        <v>-1.5838300000000001</v>
      </c>
      <c r="R3939" s="147">
        <v>-74.2964766367854</v>
      </c>
    </row>
    <row r="3940" spans="2:18" ht="15.75" hidden="1" thickBot="1" x14ac:dyDescent="0.3">
      <c r="B3940" s="723" t="s">
        <v>794</v>
      </c>
      <c r="C3940" s="722" t="s">
        <v>627</v>
      </c>
      <c r="D3940" t="s">
        <v>628</v>
      </c>
      <c r="E3940" s="148">
        <v>66.767849999999996</v>
      </c>
      <c r="F3940" s="148">
        <v>36.5</v>
      </c>
      <c r="G3940" s="148">
        <v>30.267849999999999</v>
      </c>
      <c r="H3940" s="148">
        <v>82.925616438356158</v>
      </c>
      <c r="I3940" s="728"/>
      <c r="J3940" s="148">
        <v>66.767849999999996</v>
      </c>
      <c r="K3940" s="148">
        <v>0</v>
      </c>
      <c r="L3940" s="148">
        <v>625.10879</v>
      </c>
      <c r="M3940" s="148">
        <v>496</v>
      </c>
      <c r="N3940" s="148">
        <v>129.10879</v>
      </c>
      <c r="O3940" s="148">
        <v>26.029997983870967</v>
      </c>
      <c r="P3940" s="148">
        <v>294.91969</v>
      </c>
      <c r="Q3940" s="148">
        <v>330.1891</v>
      </c>
      <c r="R3940" s="148">
        <v>111.95898788582072</v>
      </c>
    </row>
    <row r="3941" spans="2:18" ht="15.75" hidden="1" thickBot="1" x14ac:dyDescent="0.3">
      <c r="B3941" s="723" t="s">
        <v>794</v>
      </c>
      <c r="C3941" s="722" t="s">
        <v>107</v>
      </c>
      <c r="D3941" t="s">
        <v>108</v>
      </c>
      <c r="E3941" s="147">
        <v>3.6220000000000002E-2</v>
      </c>
      <c r="F3941" s="729"/>
      <c r="G3941" s="147">
        <v>3.6220000000000002E-2</v>
      </c>
      <c r="H3941" s="147">
        <v>0</v>
      </c>
      <c r="I3941" s="729"/>
      <c r="J3941" s="147">
        <v>3.6220000000000002E-2</v>
      </c>
      <c r="K3941" s="147">
        <v>0</v>
      </c>
      <c r="L3941" s="147">
        <v>0.80027000000000004</v>
      </c>
      <c r="M3941" s="729"/>
      <c r="N3941" s="147">
        <v>0.80027000000000004</v>
      </c>
      <c r="O3941" s="147">
        <v>0</v>
      </c>
      <c r="P3941" s="147">
        <v>0.73407999999999995</v>
      </c>
      <c r="Q3941" s="147">
        <v>6.6189999999999999E-2</v>
      </c>
      <c r="R3941" s="147">
        <v>9.0167284219703578</v>
      </c>
    </row>
    <row r="3942" spans="2:18" ht="15.75" hidden="1" thickBot="1" x14ac:dyDescent="0.3">
      <c r="B3942" s="723" t="s">
        <v>794</v>
      </c>
      <c r="C3942" s="722" t="s">
        <v>109</v>
      </c>
      <c r="D3942" t="s">
        <v>110</v>
      </c>
      <c r="E3942" s="148">
        <v>0.83658999999999994</v>
      </c>
      <c r="F3942" s="148">
        <v>0</v>
      </c>
      <c r="G3942" s="148">
        <v>0.83658999999999994</v>
      </c>
      <c r="H3942" s="148">
        <v>0</v>
      </c>
      <c r="I3942" s="728"/>
      <c r="J3942" s="148">
        <v>0.83658999999999994</v>
      </c>
      <c r="K3942" s="148">
        <v>0</v>
      </c>
      <c r="L3942" s="148">
        <v>7.6970999999999998</v>
      </c>
      <c r="M3942" s="148">
        <v>0</v>
      </c>
      <c r="N3942" s="148">
        <v>7.6970999999999998</v>
      </c>
      <c r="O3942" s="148">
        <v>0</v>
      </c>
      <c r="P3942" s="148">
        <v>5.2715399999999999</v>
      </c>
      <c r="Q3942" s="148">
        <v>2.4255599999999999</v>
      </c>
      <c r="R3942" s="148">
        <v>46.012360714326363</v>
      </c>
    </row>
    <row r="3943" spans="2:18" ht="15.75" hidden="1" thickBot="1" x14ac:dyDescent="0.3">
      <c r="B3943" s="723" t="s">
        <v>794</v>
      </c>
      <c r="C3943" s="722" t="s">
        <v>199</v>
      </c>
      <c r="D3943" t="s">
        <v>200</v>
      </c>
      <c r="E3943" s="147">
        <v>9.4315200000000008</v>
      </c>
      <c r="F3943" s="147">
        <v>28</v>
      </c>
      <c r="G3943" s="147">
        <v>-18.568480000000001</v>
      </c>
      <c r="H3943" s="147">
        <v>-66.316000000000003</v>
      </c>
      <c r="I3943" s="729"/>
      <c r="J3943" s="147">
        <v>9.4315200000000008</v>
      </c>
      <c r="K3943" s="147">
        <v>0</v>
      </c>
      <c r="L3943" s="147">
        <v>71.844149999999999</v>
      </c>
      <c r="M3943" s="147">
        <v>165</v>
      </c>
      <c r="N3943" s="147">
        <v>-93.155850000000001</v>
      </c>
      <c r="O3943" s="147">
        <v>-56.458090909090906</v>
      </c>
      <c r="P3943" s="147">
        <v>54.663350000000001</v>
      </c>
      <c r="Q3943" s="147">
        <v>17.180800000000001</v>
      </c>
      <c r="R3943" s="147">
        <v>31.430199576132821</v>
      </c>
    </row>
    <row r="3944" spans="2:18" ht="15.75" hidden="1" thickBot="1" x14ac:dyDescent="0.3">
      <c r="B3944" s="723" t="s">
        <v>794</v>
      </c>
      <c r="C3944" s="722" t="s">
        <v>73</v>
      </c>
      <c r="D3944" t="s">
        <v>74</v>
      </c>
      <c r="E3944" s="148">
        <v>2.72662</v>
      </c>
      <c r="F3944" s="148">
        <v>0.86941000000000002</v>
      </c>
      <c r="G3944" s="148">
        <v>1.85721</v>
      </c>
      <c r="H3944" s="148">
        <v>213.61728068460221</v>
      </c>
      <c r="I3944" s="728"/>
      <c r="J3944" s="148">
        <v>2.72662</v>
      </c>
      <c r="K3944" s="148">
        <v>0</v>
      </c>
      <c r="L3944" s="148">
        <v>37.668909999999997</v>
      </c>
      <c r="M3944" s="148">
        <v>10.23292</v>
      </c>
      <c r="N3944" s="148">
        <v>27.43599</v>
      </c>
      <c r="O3944" s="148">
        <v>268.11496620710415</v>
      </c>
      <c r="P3944" s="148">
        <v>20.149039999999999</v>
      </c>
      <c r="Q3944" s="148">
        <v>17.519870000000001</v>
      </c>
      <c r="R3944" s="148">
        <v>86.951388254725785</v>
      </c>
    </row>
    <row r="3945" spans="2:18" ht="15.75" hidden="1" thickBot="1" x14ac:dyDescent="0.3">
      <c r="B3945" s="723" t="s">
        <v>794</v>
      </c>
      <c r="C3945" s="722" t="s">
        <v>111</v>
      </c>
      <c r="D3945" t="s">
        <v>112</v>
      </c>
      <c r="E3945" s="729"/>
      <c r="F3945" s="147">
        <v>0</v>
      </c>
      <c r="G3945" s="147">
        <v>0</v>
      </c>
      <c r="H3945" s="147">
        <v>0</v>
      </c>
      <c r="I3945" s="729"/>
      <c r="J3945" s="729"/>
      <c r="K3945" s="729"/>
      <c r="L3945" s="147">
        <v>4.0854299999999997</v>
      </c>
      <c r="M3945" s="147">
        <v>0</v>
      </c>
      <c r="N3945" s="147">
        <v>4.0854299999999997</v>
      </c>
      <c r="O3945" s="147">
        <v>0</v>
      </c>
      <c r="P3945" s="147">
        <v>1.6867000000000001</v>
      </c>
      <c r="Q3945" s="147">
        <v>2.39873</v>
      </c>
      <c r="R3945" s="147">
        <v>142.2143831149582</v>
      </c>
    </row>
    <row r="3946" spans="2:18" ht="15.75" hidden="1" thickBot="1" x14ac:dyDescent="0.3">
      <c r="B3946" s="723" t="s">
        <v>794</v>
      </c>
      <c r="C3946" s="722" t="s">
        <v>141</v>
      </c>
      <c r="D3946" t="s">
        <v>142</v>
      </c>
      <c r="E3946" s="148">
        <v>0.26218000000000002</v>
      </c>
      <c r="F3946" s="148">
        <v>0</v>
      </c>
      <c r="G3946" s="148">
        <v>0.26218000000000002</v>
      </c>
      <c r="H3946" s="148">
        <v>0</v>
      </c>
      <c r="I3946" s="728"/>
      <c r="J3946" s="148">
        <v>0.26218000000000002</v>
      </c>
      <c r="K3946" s="148">
        <v>0</v>
      </c>
      <c r="L3946" s="148">
        <v>1.7654000000000001</v>
      </c>
      <c r="M3946" s="148">
        <v>1.6</v>
      </c>
      <c r="N3946" s="148">
        <v>0.16539999999999999</v>
      </c>
      <c r="O3946" s="148">
        <v>10.3375</v>
      </c>
      <c r="P3946" s="148">
        <v>0.48365999999999998</v>
      </c>
      <c r="Q3946" s="148">
        <v>1.2817400000000001</v>
      </c>
      <c r="R3946" s="148">
        <v>265.0084770293181</v>
      </c>
    </row>
    <row r="3947" spans="2:18" ht="15.75" hidden="1" thickBot="1" x14ac:dyDescent="0.3">
      <c r="B3947" s="723" t="s">
        <v>794</v>
      </c>
      <c r="C3947" s="722" t="s">
        <v>113</v>
      </c>
      <c r="D3947" t="s">
        <v>114</v>
      </c>
      <c r="E3947" s="147">
        <v>1.39784</v>
      </c>
      <c r="F3947" s="147">
        <v>0.41687999999999997</v>
      </c>
      <c r="G3947" s="147">
        <v>0.98096000000000005</v>
      </c>
      <c r="H3947" s="147">
        <v>235.30992132028402</v>
      </c>
      <c r="I3947" s="729"/>
      <c r="J3947" s="147">
        <v>1.39784</v>
      </c>
      <c r="K3947" s="147">
        <v>0</v>
      </c>
      <c r="L3947" s="147">
        <v>16.400749999999999</v>
      </c>
      <c r="M3947" s="147">
        <v>5.0025599999999999</v>
      </c>
      <c r="N3947" s="147">
        <v>11.39819</v>
      </c>
      <c r="O3947" s="147">
        <v>227.84714226316126</v>
      </c>
      <c r="P3947" s="147">
        <v>7.7649900000000001</v>
      </c>
      <c r="Q3947" s="147">
        <v>8.6357599999999994</v>
      </c>
      <c r="R3947" s="147">
        <v>111.21405178886258</v>
      </c>
    </row>
    <row r="3948" spans="2:18" ht="15.75" hidden="1" thickBot="1" x14ac:dyDescent="0.3">
      <c r="B3948" s="723" t="s">
        <v>794</v>
      </c>
      <c r="C3948" s="722" t="s">
        <v>201</v>
      </c>
      <c r="D3948" t="s">
        <v>202</v>
      </c>
      <c r="E3948" s="148">
        <v>0.45091999999999999</v>
      </c>
      <c r="F3948" s="148">
        <v>2.39514</v>
      </c>
      <c r="G3948" s="148">
        <v>-1.9442200000000001</v>
      </c>
      <c r="H3948" s="148">
        <v>-81.173543091426808</v>
      </c>
      <c r="I3948" s="728"/>
      <c r="J3948" s="148">
        <v>0.45091999999999999</v>
      </c>
      <c r="K3948" s="148">
        <v>0</v>
      </c>
      <c r="L3948" s="148">
        <v>15.48934</v>
      </c>
      <c r="M3948" s="148">
        <v>23.805779999999999</v>
      </c>
      <c r="N3948" s="148">
        <v>-8.3164400000000001</v>
      </c>
      <c r="O3948" s="148">
        <v>-34.934541107243703</v>
      </c>
      <c r="P3948" s="148">
        <v>11.039490000000001</v>
      </c>
      <c r="Q3948" s="148">
        <v>4.4498499999999996</v>
      </c>
      <c r="R3948" s="148">
        <v>40.308474395103396</v>
      </c>
    </row>
    <row r="3949" spans="2:18" ht="15.75" hidden="1" thickBot="1" x14ac:dyDescent="0.3">
      <c r="B3949" s="723" t="s">
        <v>794</v>
      </c>
      <c r="C3949" s="722" t="s">
        <v>629</v>
      </c>
      <c r="D3949" t="s">
        <v>630</v>
      </c>
      <c r="E3949" s="729"/>
      <c r="F3949" s="729"/>
      <c r="G3949" s="729"/>
      <c r="H3949" s="729"/>
      <c r="I3949" s="729"/>
      <c r="J3949" s="729"/>
      <c r="K3949" s="729"/>
      <c r="L3949" s="147">
        <v>12.78598</v>
      </c>
      <c r="M3949" s="729"/>
      <c r="N3949" s="147">
        <v>12.78598</v>
      </c>
      <c r="O3949" s="147">
        <v>0</v>
      </c>
      <c r="P3949" s="729"/>
      <c r="Q3949" s="147">
        <v>12.78598</v>
      </c>
      <c r="R3949" s="147">
        <v>0</v>
      </c>
    </row>
    <row r="3950" spans="2:18" ht="15.75" hidden="1" thickBot="1" x14ac:dyDescent="0.3">
      <c r="B3950" s="723" t="s">
        <v>794</v>
      </c>
      <c r="C3950" s="722" t="s">
        <v>631</v>
      </c>
      <c r="D3950" t="s">
        <v>632</v>
      </c>
      <c r="E3950" s="148">
        <v>0.21498999999999999</v>
      </c>
      <c r="F3950" s="728"/>
      <c r="G3950" s="148">
        <v>0.21498999999999999</v>
      </c>
      <c r="H3950" s="148">
        <v>0</v>
      </c>
      <c r="I3950" s="728"/>
      <c r="J3950" s="148">
        <v>0.21498999999999999</v>
      </c>
      <c r="K3950" s="148">
        <v>0</v>
      </c>
      <c r="L3950" s="148">
        <v>0.54134000000000004</v>
      </c>
      <c r="M3950" s="728"/>
      <c r="N3950" s="148">
        <v>0.54134000000000004</v>
      </c>
      <c r="O3950" s="148">
        <v>0</v>
      </c>
      <c r="P3950" s="728"/>
      <c r="Q3950" s="148">
        <v>0.54134000000000004</v>
      </c>
      <c r="R3950" s="148">
        <v>0</v>
      </c>
    </row>
    <row r="3951" spans="2:18" ht="15.75" hidden="1" thickBot="1" x14ac:dyDescent="0.3">
      <c r="B3951" s="723" t="s">
        <v>794</v>
      </c>
      <c r="C3951" s="722" t="s">
        <v>117</v>
      </c>
      <c r="D3951" t="s">
        <v>118</v>
      </c>
      <c r="E3951" s="147">
        <v>-4.17225</v>
      </c>
      <c r="F3951" s="147">
        <v>-3.7</v>
      </c>
      <c r="G3951" s="147">
        <v>-0.47225</v>
      </c>
      <c r="H3951" s="147">
        <v>-12.763513513513514</v>
      </c>
      <c r="I3951" s="729"/>
      <c r="J3951" s="147">
        <v>-4.17225</v>
      </c>
      <c r="K3951" s="147">
        <v>0</v>
      </c>
      <c r="L3951" s="147">
        <v>-64.980180000000004</v>
      </c>
      <c r="M3951" s="147">
        <v>-34.700000000000003</v>
      </c>
      <c r="N3951" s="147">
        <v>-30.280180000000001</v>
      </c>
      <c r="O3951" s="147">
        <v>-87.262766570605194</v>
      </c>
      <c r="P3951" s="147">
        <v>-45.664450000000002</v>
      </c>
      <c r="Q3951" s="147">
        <v>-19.315729999999999</v>
      </c>
      <c r="R3951" s="147">
        <v>-42.299272190949416</v>
      </c>
    </row>
    <row r="3952" spans="2:18" ht="15.75" hidden="1" thickBot="1" x14ac:dyDescent="0.3">
      <c r="B3952" s="723" t="s">
        <v>794</v>
      </c>
      <c r="C3952" s="722" t="s">
        <v>145</v>
      </c>
      <c r="D3952" t="s">
        <v>146</v>
      </c>
      <c r="E3952" s="148">
        <v>1.0362499999999999</v>
      </c>
      <c r="F3952" s="148">
        <v>0.65515000000000001</v>
      </c>
      <c r="G3952" s="148">
        <v>0.38109999999999999</v>
      </c>
      <c r="H3952" s="148">
        <v>58.169884759215449</v>
      </c>
      <c r="I3952" s="728"/>
      <c r="J3952" s="148">
        <v>1.0362499999999999</v>
      </c>
      <c r="K3952" s="148">
        <v>0</v>
      </c>
      <c r="L3952" s="148">
        <v>9.9933999999999994</v>
      </c>
      <c r="M3952" s="148">
        <v>7.5026999999999999</v>
      </c>
      <c r="N3952" s="148">
        <v>2.4906999999999999</v>
      </c>
      <c r="O3952" s="148">
        <v>33.197382275714077</v>
      </c>
      <c r="P3952" s="148">
        <v>3.8424499999999999</v>
      </c>
      <c r="Q3952" s="148">
        <v>6.1509499999999999</v>
      </c>
      <c r="R3952" s="148">
        <v>160.07885593826856</v>
      </c>
    </row>
    <row r="3953" spans="2:18" ht="15.75" hidden="1" thickBot="1" x14ac:dyDescent="0.3">
      <c r="B3953" s="723" t="s">
        <v>794</v>
      </c>
      <c r="C3953" s="722" t="s">
        <v>147</v>
      </c>
      <c r="D3953" t="s">
        <v>148</v>
      </c>
      <c r="E3953" s="147">
        <v>0.42277999999999999</v>
      </c>
      <c r="F3953" s="729"/>
      <c r="G3953" s="147">
        <v>0.42277999999999999</v>
      </c>
      <c r="H3953" s="147">
        <v>0</v>
      </c>
      <c r="I3953" s="729"/>
      <c r="J3953" s="147">
        <v>0.42277999999999999</v>
      </c>
      <c r="K3953" s="147">
        <v>0</v>
      </c>
      <c r="L3953" s="147">
        <v>2.7554599999999998</v>
      </c>
      <c r="M3953" s="729"/>
      <c r="N3953" s="147">
        <v>2.7554599999999998</v>
      </c>
      <c r="O3953" s="147">
        <v>0</v>
      </c>
      <c r="P3953" s="147">
        <v>1.01085</v>
      </c>
      <c r="Q3953" s="147">
        <v>1.74461</v>
      </c>
      <c r="R3953" s="147">
        <v>172.58841568976604</v>
      </c>
    </row>
    <row r="3954" spans="2:18" ht="15.75" hidden="1" thickBot="1" x14ac:dyDescent="0.3">
      <c r="B3954" s="723" t="s">
        <v>794</v>
      </c>
      <c r="C3954" s="722" t="s">
        <v>203</v>
      </c>
      <c r="D3954" t="s">
        <v>204</v>
      </c>
      <c r="E3954" s="148">
        <v>0.28166000000000002</v>
      </c>
      <c r="F3954" s="148">
        <v>28.166979999999999</v>
      </c>
      <c r="G3954" s="148">
        <v>-27.88532</v>
      </c>
      <c r="H3954" s="148">
        <v>-99.000034792512366</v>
      </c>
      <c r="I3954" s="728"/>
      <c r="J3954" s="148">
        <v>0.28166000000000002</v>
      </c>
      <c r="K3954" s="148">
        <v>0</v>
      </c>
      <c r="L3954" s="148">
        <v>4.8620200000000002</v>
      </c>
      <c r="M3954" s="148">
        <v>662.79097999999999</v>
      </c>
      <c r="N3954" s="148">
        <v>-657.92895999999996</v>
      </c>
      <c r="O3954" s="148">
        <v>-99.266432382649498</v>
      </c>
      <c r="P3954" s="148">
        <v>2.3856600000000001</v>
      </c>
      <c r="Q3954" s="148">
        <v>2.4763600000000001</v>
      </c>
      <c r="R3954" s="148">
        <v>103.80188291709632</v>
      </c>
    </row>
    <row r="3955" spans="2:18" ht="15.75" hidden="1" thickBot="1" x14ac:dyDescent="0.3">
      <c r="B3955" s="723" t="s">
        <v>794</v>
      </c>
      <c r="C3955" s="722" t="s">
        <v>641</v>
      </c>
      <c r="D3955" t="s">
        <v>642</v>
      </c>
      <c r="E3955" s="147">
        <v>84.305970000000002</v>
      </c>
      <c r="F3955" s="729"/>
      <c r="G3955" s="147">
        <v>84.305970000000002</v>
      </c>
      <c r="H3955" s="147">
        <v>0</v>
      </c>
      <c r="I3955" s="729"/>
      <c r="J3955" s="147">
        <v>84.305970000000002</v>
      </c>
      <c r="K3955" s="147">
        <v>0</v>
      </c>
      <c r="L3955" s="147">
        <v>608.54746</v>
      </c>
      <c r="M3955" s="729"/>
      <c r="N3955" s="147">
        <v>608.54746</v>
      </c>
      <c r="O3955" s="147">
        <v>0</v>
      </c>
      <c r="P3955" s="147">
        <v>303.71642000000003</v>
      </c>
      <c r="Q3955" s="147">
        <v>304.83103999999997</v>
      </c>
      <c r="R3955" s="147">
        <v>100.36699365809724</v>
      </c>
    </row>
    <row r="3956" spans="2:18" ht="15.75" hidden="1" thickBot="1" x14ac:dyDescent="0.3">
      <c r="B3956" s="723" t="s">
        <v>794</v>
      </c>
      <c r="C3956" s="722" t="s">
        <v>149</v>
      </c>
      <c r="D3956" t="s">
        <v>150</v>
      </c>
      <c r="E3956" s="148">
        <v>308.98518000000001</v>
      </c>
      <c r="F3956" s="148">
        <v>20.5</v>
      </c>
      <c r="G3956" s="148">
        <v>288.48518000000001</v>
      </c>
      <c r="H3956" s="148">
        <v>1407.244780487805</v>
      </c>
      <c r="I3956" s="728"/>
      <c r="J3956" s="148">
        <v>308.98518000000001</v>
      </c>
      <c r="K3956" s="148">
        <v>0</v>
      </c>
      <c r="L3956" s="148">
        <v>1268.56519</v>
      </c>
      <c r="M3956" s="148">
        <v>387.1</v>
      </c>
      <c r="N3956" s="148">
        <v>881.46519000000001</v>
      </c>
      <c r="O3956" s="148">
        <v>227.70994316714027</v>
      </c>
      <c r="P3956" s="148">
        <v>288.12052</v>
      </c>
      <c r="Q3956" s="148">
        <v>980.44466999999997</v>
      </c>
      <c r="R3956" s="148">
        <v>340.28977526487876</v>
      </c>
    </row>
    <row r="3957" spans="2:18" ht="15.75" hidden="1" thickBot="1" x14ac:dyDescent="0.3">
      <c r="B3957" s="723" t="s">
        <v>794</v>
      </c>
      <c r="C3957" s="722" t="s">
        <v>645</v>
      </c>
      <c r="D3957" t="s">
        <v>646</v>
      </c>
      <c r="E3957" s="729"/>
      <c r="F3957" s="729"/>
      <c r="G3957" s="729"/>
      <c r="H3957" s="729"/>
      <c r="I3957" s="729"/>
      <c r="J3957" s="729"/>
      <c r="K3957" s="729"/>
      <c r="L3957" s="147">
        <v>1.1034999999999999</v>
      </c>
      <c r="M3957" s="729"/>
      <c r="N3957" s="147">
        <v>1.1034999999999999</v>
      </c>
      <c r="O3957" s="147">
        <v>0</v>
      </c>
      <c r="P3957" s="147">
        <v>0.60350000000000004</v>
      </c>
      <c r="Q3957" s="147">
        <v>0.5</v>
      </c>
      <c r="R3957" s="147">
        <v>82.850041425020706</v>
      </c>
    </row>
    <row r="3958" spans="2:18" ht="15.75" hidden="1" thickBot="1" x14ac:dyDescent="0.3">
      <c r="B3958" s="723" t="s">
        <v>794</v>
      </c>
      <c r="C3958" s="722" t="s">
        <v>647</v>
      </c>
      <c r="D3958" t="s">
        <v>648</v>
      </c>
      <c r="E3958" s="148">
        <v>-7.1475900000000001</v>
      </c>
      <c r="F3958" s="728"/>
      <c r="G3958" s="148">
        <v>-7.1475900000000001</v>
      </c>
      <c r="H3958" s="148">
        <v>0</v>
      </c>
      <c r="I3958" s="728"/>
      <c r="J3958" s="148">
        <v>-7.1475900000000001</v>
      </c>
      <c r="K3958" s="148">
        <v>0</v>
      </c>
      <c r="L3958" s="148">
        <v>-98.539410000000004</v>
      </c>
      <c r="M3958" s="728"/>
      <c r="N3958" s="148">
        <v>-98.539410000000004</v>
      </c>
      <c r="O3958" s="148">
        <v>0</v>
      </c>
      <c r="P3958" s="148">
        <v>-40.750579999999999</v>
      </c>
      <c r="Q3958" s="148">
        <v>-57.788829999999997</v>
      </c>
      <c r="R3958" s="148">
        <v>-141.81106133949504</v>
      </c>
    </row>
    <row r="3959" spans="2:18" ht="15.75" hidden="1" thickBot="1" x14ac:dyDescent="0.3">
      <c r="B3959" s="723" t="s">
        <v>794</v>
      </c>
      <c r="C3959" s="722" t="s">
        <v>205</v>
      </c>
      <c r="D3959" t="s">
        <v>206</v>
      </c>
      <c r="E3959" s="147">
        <v>25.999849999999999</v>
      </c>
      <c r="F3959" s="147">
        <v>20.170000000000002</v>
      </c>
      <c r="G3959" s="147">
        <v>5.8298500000000004</v>
      </c>
      <c r="H3959" s="147">
        <v>28.903569657907784</v>
      </c>
      <c r="I3959" s="729"/>
      <c r="J3959" s="147">
        <v>25.999849999999999</v>
      </c>
      <c r="K3959" s="147">
        <v>0</v>
      </c>
      <c r="L3959" s="147">
        <v>279.14438999999999</v>
      </c>
      <c r="M3959" s="147">
        <v>242</v>
      </c>
      <c r="N3959" s="147">
        <v>37.144390000000001</v>
      </c>
      <c r="O3959" s="147">
        <v>15.348921487603306</v>
      </c>
      <c r="P3959" s="147">
        <v>127.45386000000001</v>
      </c>
      <c r="Q3959" s="147">
        <v>151.69053</v>
      </c>
      <c r="R3959" s="147">
        <v>119.01603450848802</v>
      </c>
    </row>
    <row r="3960" spans="2:18" ht="15.75" hidden="1" thickBot="1" x14ac:dyDescent="0.3">
      <c r="B3960" s="723" t="s">
        <v>794</v>
      </c>
      <c r="C3960" s="722" t="s">
        <v>649</v>
      </c>
      <c r="D3960" t="s">
        <v>650</v>
      </c>
      <c r="E3960" s="148">
        <v>0.10732</v>
      </c>
      <c r="F3960" s="728"/>
      <c r="G3960" s="148">
        <v>0.10732</v>
      </c>
      <c r="H3960" s="148">
        <v>0</v>
      </c>
      <c r="I3960" s="728"/>
      <c r="J3960" s="148">
        <v>0.10732</v>
      </c>
      <c r="K3960" s="148">
        <v>0</v>
      </c>
      <c r="L3960" s="148">
        <v>0.15731999999999999</v>
      </c>
      <c r="M3960" s="728"/>
      <c r="N3960" s="148">
        <v>0.15731999999999999</v>
      </c>
      <c r="O3960" s="148">
        <v>0</v>
      </c>
      <c r="P3960" s="728"/>
      <c r="Q3960" s="148">
        <v>0.15731999999999999</v>
      </c>
      <c r="R3960" s="148">
        <v>0</v>
      </c>
    </row>
    <row r="3961" spans="2:18" ht="15.75" hidden="1" thickBot="1" x14ac:dyDescent="0.3">
      <c r="B3961" s="723" t="s">
        <v>794</v>
      </c>
      <c r="C3961" s="722" t="s">
        <v>173</v>
      </c>
      <c r="D3961" t="s">
        <v>174</v>
      </c>
      <c r="E3961" s="147">
        <v>11.179</v>
      </c>
      <c r="F3961" s="147">
        <v>4.4885299999999999</v>
      </c>
      <c r="G3961" s="147">
        <v>6.6904700000000004</v>
      </c>
      <c r="H3961" s="147">
        <v>149.05704094659052</v>
      </c>
      <c r="I3961" s="729"/>
      <c r="J3961" s="147">
        <v>11.179</v>
      </c>
      <c r="K3961" s="147">
        <v>0</v>
      </c>
      <c r="L3961" s="147">
        <v>112.76318999999999</v>
      </c>
      <c r="M3961" s="147">
        <v>53.862360000000002</v>
      </c>
      <c r="N3961" s="147">
        <v>58.900829999999999</v>
      </c>
      <c r="O3961" s="147">
        <v>109.35434318139792</v>
      </c>
      <c r="P3961" s="147">
        <v>49.223959999999998</v>
      </c>
      <c r="Q3961" s="147">
        <v>63.539230000000003</v>
      </c>
      <c r="R3961" s="147">
        <v>129.08191457981033</v>
      </c>
    </row>
    <row r="3962" spans="2:18" ht="15.75" hidden="1" thickBot="1" x14ac:dyDescent="0.3">
      <c r="B3962" s="723" t="s">
        <v>794</v>
      </c>
      <c r="C3962" s="722" t="s">
        <v>479</v>
      </c>
      <c r="D3962" t="s">
        <v>480</v>
      </c>
      <c r="E3962" s="728"/>
      <c r="F3962" s="728"/>
      <c r="G3962" s="728"/>
      <c r="H3962" s="728"/>
      <c r="I3962" s="728"/>
      <c r="J3962" s="728"/>
      <c r="K3962" s="728"/>
      <c r="L3962" s="148">
        <v>1.9413899999999999</v>
      </c>
      <c r="M3962" s="728"/>
      <c r="N3962" s="148">
        <v>1.9413899999999999</v>
      </c>
      <c r="O3962" s="148">
        <v>0</v>
      </c>
      <c r="P3962" s="148">
        <v>1.9413899999999999</v>
      </c>
      <c r="Q3962" s="148">
        <v>0</v>
      </c>
      <c r="R3962" s="148">
        <v>0</v>
      </c>
    </row>
    <row r="3963" spans="2:18" ht="15.75" hidden="1" thickBot="1" x14ac:dyDescent="0.3">
      <c r="B3963" s="723" t="s">
        <v>794</v>
      </c>
      <c r="C3963" s="722" t="s">
        <v>653</v>
      </c>
      <c r="D3963" t="s">
        <v>654</v>
      </c>
      <c r="E3963" s="729"/>
      <c r="F3963" s="729"/>
      <c r="G3963" s="729"/>
      <c r="H3963" s="729"/>
      <c r="I3963" s="729"/>
      <c r="J3963" s="729"/>
      <c r="K3963" s="729"/>
      <c r="L3963" s="147">
        <v>0.12525</v>
      </c>
      <c r="M3963" s="729"/>
      <c r="N3963" s="147">
        <v>0.12525</v>
      </c>
      <c r="O3963" s="147">
        <v>0</v>
      </c>
      <c r="P3963" s="729"/>
      <c r="Q3963" s="147">
        <v>0.12525</v>
      </c>
      <c r="R3963" s="147">
        <v>0</v>
      </c>
    </row>
    <row r="3964" spans="2:18" ht="15.75" hidden="1" thickBot="1" x14ac:dyDescent="0.3">
      <c r="B3964" s="723" t="s">
        <v>794</v>
      </c>
      <c r="C3964" s="722" t="s">
        <v>151</v>
      </c>
      <c r="D3964" t="s">
        <v>152</v>
      </c>
      <c r="E3964" s="728"/>
      <c r="F3964" s="148">
        <v>0.16941000000000001</v>
      </c>
      <c r="G3964" s="148">
        <v>-0.16941000000000001</v>
      </c>
      <c r="H3964" s="148">
        <v>-100</v>
      </c>
      <c r="I3964" s="728"/>
      <c r="J3964" s="728"/>
      <c r="K3964" s="728"/>
      <c r="L3964" s="148">
        <v>100.24881999999999</v>
      </c>
      <c r="M3964" s="148">
        <v>93.274100000000004</v>
      </c>
      <c r="N3964" s="148">
        <v>6.9747199999999996</v>
      </c>
      <c r="O3964" s="148">
        <v>7.4776599291764807</v>
      </c>
      <c r="P3964" s="148">
        <v>26.369869999999999</v>
      </c>
      <c r="Q3964" s="148">
        <v>73.878950000000003</v>
      </c>
      <c r="R3964" s="148">
        <v>280.16425564479459</v>
      </c>
    </row>
    <row r="3965" spans="2:18" ht="15.75" hidden="1" thickBot="1" x14ac:dyDescent="0.3">
      <c r="B3965" s="723" t="s">
        <v>794</v>
      </c>
      <c r="C3965" s="722" t="s">
        <v>481</v>
      </c>
      <c r="D3965" t="s">
        <v>482</v>
      </c>
      <c r="E3965" s="147">
        <v>5.4050000000000001E-2</v>
      </c>
      <c r="F3965" s="729"/>
      <c r="G3965" s="147">
        <v>5.4050000000000001E-2</v>
      </c>
      <c r="H3965" s="147">
        <v>0</v>
      </c>
      <c r="I3965" s="729"/>
      <c r="J3965" s="147">
        <v>5.4050000000000001E-2</v>
      </c>
      <c r="K3965" s="147">
        <v>0</v>
      </c>
      <c r="L3965" s="147">
        <v>0.98480000000000001</v>
      </c>
      <c r="M3965" s="729"/>
      <c r="N3965" s="147">
        <v>0.98480000000000001</v>
      </c>
      <c r="O3965" s="147">
        <v>0</v>
      </c>
      <c r="P3965" s="147">
        <v>0.73606000000000005</v>
      </c>
      <c r="Q3965" s="147">
        <v>0.24873999999999999</v>
      </c>
      <c r="R3965" s="147">
        <v>33.793440752112602</v>
      </c>
    </row>
    <row r="3966" spans="2:18" ht="15.75" hidden="1" thickBot="1" x14ac:dyDescent="0.3">
      <c r="B3966" s="723" t="s">
        <v>794</v>
      </c>
      <c r="C3966" s="722" t="s">
        <v>483</v>
      </c>
      <c r="D3966" t="s">
        <v>484</v>
      </c>
      <c r="E3966" s="148">
        <v>0.5</v>
      </c>
      <c r="F3966" s="728"/>
      <c r="G3966" s="148">
        <v>0.5</v>
      </c>
      <c r="H3966" s="148">
        <v>0</v>
      </c>
      <c r="I3966" s="728"/>
      <c r="J3966" s="148">
        <v>0.5</v>
      </c>
      <c r="K3966" s="148">
        <v>0</v>
      </c>
      <c r="L3966" s="148">
        <v>1.1000000000000001</v>
      </c>
      <c r="M3966" s="728"/>
      <c r="N3966" s="148">
        <v>1.1000000000000001</v>
      </c>
      <c r="O3966" s="148">
        <v>0</v>
      </c>
      <c r="P3966" s="148">
        <v>0.6</v>
      </c>
      <c r="Q3966" s="148">
        <v>0.5</v>
      </c>
      <c r="R3966" s="148">
        <v>83.333333333333329</v>
      </c>
    </row>
    <row r="3967" spans="2:18" ht="15.75" hidden="1" thickBot="1" x14ac:dyDescent="0.3">
      <c r="B3967" s="723" t="s">
        <v>794</v>
      </c>
      <c r="C3967" s="722" t="s">
        <v>175</v>
      </c>
      <c r="D3967" t="s">
        <v>176</v>
      </c>
      <c r="E3967" s="147">
        <v>0.10036</v>
      </c>
      <c r="F3967" s="147">
        <v>0</v>
      </c>
      <c r="G3967" s="147">
        <v>0.10036</v>
      </c>
      <c r="H3967" s="147">
        <v>0</v>
      </c>
      <c r="I3967" s="729"/>
      <c r="J3967" s="147">
        <v>0.10036</v>
      </c>
      <c r="K3967" s="147">
        <v>0</v>
      </c>
      <c r="L3967" s="147">
        <v>15.759539999999999</v>
      </c>
      <c r="M3967" s="147">
        <v>0</v>
      </c>
      <c r="N3967" s="147">
        <v>15.759539999999999</v>
      </c>
      <c r="O3967" s="147">
        <v>0</v>
      </c>
      <c r="P3967" s="147">
        <v>12.41015</v>
      </c>
      <c r="Q3967" s="147">
        <v>3.3493900000000001</v>
      </c>
      <c r="R3967" s="147">
        <v>26.989117778592522</v>
      </c>
    </row>
    <row r="3968" spans="2:18" ht="15.75" hidden="1" thickBot="1" x14ac:dyDescent="0.3">
      <c r="B3968" s="723" t="s">
        <v>794</v>
      </c>
      <c r="C3968" s="722" t="s">
        <v>655</v>
      </c>
      <c r="D3968" t="s">
        <v>656</v>
      </c>
      <c r="E3968" s="728"/>
      <c r="F3968" s="148">
        <v>0</v>
      </c>
      <c r="G3968" s="148">
        <v>0</v>
      </c>
      <c r="H3968" s="148">
        <v>0</v>
      </c>
      <c r="I3968" s="728"/>
      <c r="J3968" s="728"/>
      <c r="K3968" s="728"/>
      <c r="L3968" s="148">
        <v>0.78273000000000004</v>
      </c>
      <c r="M3968" s="148">
        <v>0</v>
      </c>
      <c r="N3968" s="148">
        <v>0.78273000000000004</v>
      </c>
      <c r="O3968" s="148">
        <v>0</v>
      </c>
      <c r="P3968" s="148">
        <v>0.91861000000000004</v>
      </c>
      <c r="Q3968" s="148">
        <v>-0.13588</v>
      </c>
      <c r="R3968" s="148">
        <v>-14.791913869868607</v>
      </c>
    </row>
    <row r="3969" spans="2:18" ht="15.75" hidden="1" thickBot="1" x14ac:dyDescent="0.3">
      <c r="B3969" s="723" t="s">
        <v>794</v>
      </c>
      <c r="C3969" s="722" t="s">
        <v>657</v>
      </c>
      <c r="D3969" t="s">
        <v>658</v>
      </c>
      <c r="E3969" s="147">
        <v>3.2280000000000003E-2</v>
      </c>
      <c r="F3969" s="729"/>
      <c r="G3969" s="147">
        <v>3.2280000000000003E-2</v>
      </c>
      <c r="H3969" s="147">
        <v>0</v>
      </c>
      <c r="I3969" s="729"/>
      <c r="J3969" s="147">
        <v>3.2280000000000003E-2</v>
      </c>
      <c r="K3969" s="147">
        <v>0</v>
      </c>
      <c r="L3969" s="147">
        <v>3.2280000000000003E-2</v>
      </c>
      <c r="M3969" s="729"/>
      <c r="N3969" s="147">
        <v>3.2280000000000003E-2</v>
      </c>
      <c r="O3969" s="147">
        <v>0</v>
      </c>
      <c r="P3969" s="729"/>
      <c r="Q3969" s="147">
        <v>3.2280000000000003E-2</v>
      </c>
      <c r="R3969" s="147">
        <v>0</v>
      </c>
    </row>
    <row r="3970" spans="2:18" ht="15.75" hidden="1" thickBot="1" x14ac:dyDescent="0.3">
      <c r="B3970" s="723" t="s">
        <v>794</v>
      </c>
      <c r="C3970" s="722" t="s">
        <v>661</v>
      </c>
      <c r="D3970" t="s">
        <v>662</v>
      </c>
      <c r="E3970" s="148">
        <v>-178.13567</v>
      </c>
      <c r="F3970" s="728"/>
      <c r="G3970" s="148">
        <v>-178.13567</v>
      </c>
      <c r="H3970" s="148">
        <v>0</v>
      </c>
      <c r="I3970" s="728"/>
      <c r="J3970" s="148">
        <v>-178.13567</v>
      </c>
      <c r="K3970" s="148">
        <v>0</v>
      </c>
      <c r="L3970" s="148">
        <v>-261.29347999999999</v>
      </c>
      <c r="M3970" s="728"/>
      <c r="N3970" s="148">
        <v>-261.29347999999999</v>
      </c>
      <c r="O3970" s="148">
        <v>0</v>
      </c>
      <c r="P3970" s="148">
        <v>-74.574250000000006</v>
      </c>
      <c r="Q3970" s="148">
        <v>-186.71923000000001</v>
      </c>
      <c r="R3970" s="148">
        <v>-250.38029882968988</v>
      </c>
    </row>
    <row r="3971" spans="2:18" ht="15.75" hidden="1" thickBot="1" x14ac:dyDescent="0.3">
      <c r="B3971" s="723" t="s">
        <v>794</v>
      </c>
      <c r="C3971" s="722" t="s">
        <v>663</v>
      </c>
      <c r="D3971" t="s">
        <v>664</v>
      </c>
      <c r="E3971" s="729"/>
      <c r="F3971" s="729"/>
      <c r="G3971" s="729"/>
      <c r="H3971" s="729"/>
      <c r="I3971" s="729"/>
      <c r="J3971" s="729"/>
      <c r="K3971" s="729"/>
      <c r="L3971" s="147">
        <v>-3.0007199999999998</v>
      </c>
      <c r="M3971" s="729"/>
      <c r="N3971" s="147">
        <v>-3.0007199999999998</v>
      </c>
      <c r="O3971" s="147">
        <v>0</v>
      </c>
      <c r="P3971" s="147">
        <v>-3.0007199999999998</v>
      </c>
      <c r="Q3971" s="147">
        <v>0</v>
      </c>
      <c r="R3971" s="147">
        <v>0</v>
      </c>
    </row>
    <row r="3972" spans="2:18" ht="15.75" hidden="1" thickBot="1" x14ac:dyDescent="0.3">
      <c r="B3972" s="723" t="s">
        <v>794</v>
      </c>
      <c r="C3972" s="722" t="s">
        <v>667</v>
      </c>
      <c r="D3972" t="s">
        <v>668</v>
      </c>
      <c r="E3972" s="148">
        <v>68.438460000000006</v>
      </c>
      <c r="F3972" s="148">
        <v>10</v>
      </c>
      <c r="G3972" s="148">
        <v>58.438459999999999</v>
      </c>
      <c r="H3972" s="148">
        <v>584.38459999999998</v>
      </c>
      <c r="I3972" s="728"/>
      <c r="J3972" s="148">
        <v>68.438460000000006</v>
      </c>
      <c r="K3972" s="148">
        <v>0</v>
      </c>
      <c r="L3972" s="148">
        <v>169.81845999999999</v>
      </c>
      <c r="M3972" s="148">
        <v>770</v>
      </c>
      <c r="N3972" s="148">
        <v>-600.18154000000004</v>
      </c>
      <c r="O3972" s="148">
        <v>-77.945654545454545</v>
      </c>
      <c r="P3972" s="728"/>
      <c r="Q3972" s="148">
        <v>169.81845999999999</v>
      </c>
      <c r="R3972" s="148">
        <v>0</v>
      </c>
    </row>
    <row r="3973" spans="2:18" ht="15.75" hidden="1" thickBot="1" x14ac:dyDescent="0.3">
      <c r="B3973" s="723" t="s">
        <v>794</v>
      </c>
      <c r="C3973" s="722" t="s">
        <v>153</v>
      </c>
      <c r="D3973" t="s">
        <v>154</v>
      </c>
      <c r="E3973" s="729"/>
      <c r="F3973" s="729"/>
      <c r="G3973" s="729"/>
      <c r="H3973" s="729"/>
      <c r="I3973" s="729"/>
      <c r="J3973" s="729"/>
      <c r="K3973" s="729"/>
      <c r="L3973" s="147">
        <v>1.0740099999999999</v>
      </c>
      <c r="M3973" s="729"/>
      <c r="N3973" s="147">
        <v>1.0740099999999999</v>
      </c>
      <c r="O3973" s="147">
        <v>0</v>
      </c>
      <c r="P3973" s="147">
        <v>1.0740099999999999</v>
      </c>
      <c r="Q3973" s="147">
        <v>0</v>
      </c>
      <c r="R3973" s="147">
        <v>0</v>
      </c>
    </row>
    <row r="3974" spans="2:18" ht="15.75" hidden="1" thickBot="1" x14ac:dyDescent="0.3">
      <c r="B3974" s="723" t="s">
        <v>794</v>
      </c>
      <c r="C3974" s="722" t="s">
        <v>207</v>
      </c>
      <c r="D3974" t="s">
        <v>208</v>
      </c>
      <c r="E3974" s="148">
        <v>0.11065999999999999</v>
      </c>
      <c r="F3974" s="728"/>
      <c r="G3974" s="148">
        <v>0.11065999999999999</v>
      </c>
      <c r="H3974" s="148">
        <v>0</v>
      </c>
      <c r="I3974" s="728"/>
      <c r="J3974" s="148">
        <v>0.11065999999999999</v>
      </c>
      <c r="K3974" s="148">
        <v>0</v>
      </c>
      <c r="L3974" s="148">
        <v>3.36951</v>
      </c>
      <c r="M3974" s="728"/>
      <c r="N3974" s="148">
        <v>3.36951</v>
      </c>
      <c r="O3974" s="148">
        <v>0</v>
      </c>
      <c r="P3974" s="148">
        <v>1.24471</v>
      </c>
      <c r="Q3974" s="148">
        <v>2.1248</v>
      </c>
      <c r="R3974" s="148">
        <v>170.70642961010998</v>
      </c>
    </row>
    <row r="3975" spans="2:18" ht="15.75" hidden="1" thickBot="1" x14ac:dyDescent="0.3">
      <c r="B3975" s="723" t="s">
        <v>794</v>
      </c>
      <c r="C3975" s="722" t="s">
        <v>673</v>
      </c>
      <c r="D3975" t="s">
        <v>674</v>
      </c>
      <c r="E3975" s="147">
        <v>1.12948</v>
      </c>
      <c r="F3975" s="147">
        <v>3</v>
      </c>
      <c r="G3975" s="147">
        <v>-1.87052</v>
      </c>
      <c r="H3975" s="147">
        <v>-62.350666666666669</v>
      </c>
      <c r="I3975" s="729"/>
      <c r="J3975" s="147">
        <v>1.12948</v>
      </c>
      <c r="K3975" s="147">
        <v>0</v>
      </c>
      <c r="L3975" s="147">
        <v>27.936229999999998</v>
      </c>
      <c r="M3975" s="147">
        <v>36</v>
      </c>
      <c r="N3975" s="147">
        <v>-8.0637699999999999</v>
      </c>
      <c r="O3975" s="147">
        <v>-22.399361111111112</v>
      </c>
      <c r="P3975" s="147">
        <v>14.197559999999999</v>
      </c>
      <c r="Q3975" s="147">
        <v>13.738670000000001</v>
      </c>
      <c r="R3975" s="147">
        <v>96.767824893855007</v>
      </c>
    </row>
    <row r="3976" spans="2:18" ht="15.75" hidden="1" thickBot="1" x14ac:dyDescent="0.3">
      <c r="B3976" s="723" t="s">
        <v>794</v>
      </c>
      <c r="C3976" s="722" t="s">
        <v>75</v>
      </c>
      <c r="D3976" t="s">
        <v>76</v>
      </c>
      <c r="E3976" s="148">
        <v>4.6821299999999999</v>
      </c>
      <c r="F3976" s="148">
        <v>5.5785299999999998</v>
      </c>
      <c r="G3976" s="148">
        <v>-0.89639999999999997</v>
      </c>
      <c r="H3976" s="148">
        <v>-16.068749294168892</v>
      </c>
      <c r="I3976" s="728"/>
      <c r="J3976" s="148">
        <v>4.6821299999999999</v>
      </c>
      <c r="K3976" s="148">
        <v>0</v>
      </c>
      <c r="L3976" s="148">
        <v>80.583359999999999</v>
      </c>
      <c r="M3976" s="148">
        <v>65.507980000000003</v>
      </c>
      <c r="N3976" s="148">
        <v>15.075379999999999</v>
      </c>
      <c r="O3976" s="148">
        <v>23.013043601710816</v>
      </c>
      <c r="P3976" s="148">
        <v>36.31532</v>
      </c>
      <c r="Q3976" s="148">
        <v>44.268039999999999</v>
      </c>
      <c r="R3976" s="148">
        <v>121.89907730401384</v>
      </c>
    </row>
    <row r="3977" spans="2:18" ht="15.75" hidden="1" thickBot="1" x14ac:dyDescent="0.3">
      <c r="B3977" s="723" t="s">
        <v>794</v>
      </c>
      <c r="C3977" s="722" t="s">
        <v>121</v>
      </c>
      <c r="D3977" t="s">
        <v>122</v>
      </c>
      <c r="E3977" s="147">
        <v>1.47339</v>
      </c>
      <c r="F3977" s="147">
        <v>1.7250000000000001</v>
      </c>
      <c r="G3977" s="147">
        <v>-0.25161</v>
      </c>
      <c r="H3977" s="147">
        <v>-14.58608695652174</v>
      </c>
      <c r="I3977" s="729"/>
      <c r="J3977" s="147">
        <v>1.47339</v>
      </c>
      <c r="K3977" s="147">
        <v>0</v>
      </c>
      <c r="L3977" s="147">
        <v>38.907980000000002</v>
      </c>
      <c r="M3977" s="147">
        <v>17.2</v>
      </c>
      <c r="N3977" s="147">
        <v>21.707979999999999</v>
      </c>
      <c r="O3977" s="147">
        <v>126.20918604651163</v>
      </c>
      <c r="P3977" s="147">
        <v>18.181660000000001</v>
      </c>
      <c r="Q3977" s="147">
        <v>20.726320000000001</v>
      </c>
      <c r="R3977" s="147">
        <v>113.99575176304033</v>
      </c>
    </row>
    <row r="3978" spans="2:18" ht="15.75" hidden="1" thickBot="1" x14ac:dyDescent="0.3">
      <c r="B3978" s="723" t="s">
        <v>794</v>
      </c>
      <c r="C3978" s="722" t="s">
        <v>77</v>
      </c>
      <c r="D3978" t="s">
        <v>78</v>
      </c>
      <c r="E3978" s="148">
        <v>-0.17843000000000001</v>
      </c>
      <c r="F3978" s="148">
        <v>6.45</v>
      </c>
      <c r="G3978" s="148">
        <v>-6.6284299999999998</v>
      </c>
      <c r="H3978" s="148">
        <v>-102.76635658914729</v>
      </c>
      <c r="I3978" s="728"/>
      <c r="J3978" s="148">
        <v>-0.17843000000000001</v>
      </c>
      <c r="K3978" s="148">
        <v>0</v>
      </c>
      <c r="L3978" s="148">
        <v>49.633769999999998</v>
      </c>
      <c r="M3978" s="148">
        <v>80.5</v>
      </c>
      <c r="N3978" s="148">
        <v>-30.866230000000002</v>
      </c>
      <c r="O3978" s="148">
        <v>-38.343142857142858</v>
      </c>
      <c r="P3978" s="148">
        <v>25.289829999999998</v>
      </c>
      <c r="Q3978" s="148">
        <v>24.34394</v>
      </c>
      <c r="R3978" s="148">
        <v>96.259800876478806</v>
      </c>
    </row>
    <row r="3979" spans="2:18" ht="15.75" hidden="1" thickBot="1" x14ac:dyDescent="0.3">
      <c r="B3979" s="723" t="s">
        <v>794</v>
      </c>
      <c r="C3979" s="722" t="s">
        <v>79</v>
      </c>
      <c r="D3979" t="s">
        <v>80</v>
      </c>
      <c r="E3979" s="147">
        <v>0.94569000000000003</v>
      </c>
      <c r="F3979" s="147">
        <v>1.35</v>
      </c>
      <c r="G3979" s="147">
        <v>-0.40431</v>
      </c>
      <c r="H3979" s="147">
        <v>-29.948888888888888</v>
      </c>
      <c r="I3979" s="729"/>
      <c r="J3979" s="147">
        <v>0.94569000000000003</v>
      </c>
      <c r="K3979" s="147">
        <v>0</v>
      </c>
      <c r="L3979" s="147">
        <v>30.899709999999999</v>
      </c>
      <c r="M3979" s="147">
        <v>16</v>
      </c>
      <c r="N3979" s="147">
        <v>14.899710000000001</v>
      </c>
      <c r="O3979" s="147">
        <v>93.1231875</v>
      </c>
      <c r="P3979" s="147">
        <v>10.09995</v>
      </c>
      <c r="Q3979" s="147">
        <v>20.799759999999999</v>
      </c>
      <c r="R3979" s="147">
        <v>205.93923732295704</v>
      </c>
    </row>
    <row r="3980" spans="2:18" ht="15.75" hidden="1" thickBot="1" x14ac:dyDescent="0.3">
      <c r="B3980" s="723" t="s">
        <v>794</v>
      </c>
      <c r="C3980" s="722" t="s">
        <v>81</v>
      </c>
      <c r="D3980" t="s">
        <v>82</v>
      </c>
      <c r="E3980" s="148">
        <v>11.407170000000001</v>
      </c>
      <c r="F3980" s="148">
        <v>4.8147099999999998</v>
      </c>
      <c r="G3980" s="148">
        <v>6.59246</v>
      </c>
      <c r="H3980" s="148">
        <v>136.923303791921</v>
      </c>
      <c r="I3980" s="728"/>
      <c r="J3980" s="148">
        <v>11.407170000000001</v>
      </c>
      <c r="K3980" s="148">
        <v>0</v>
      </c>
      <c r="L3980" s="148">
        <v>13.233499999999999</v>
      </c>
      <c r="M3980" s="148">
        <v>10.87847</v>
      </c>
      <c r="N3980" s="148">
        <v>2.3550300000000002</v>
      </c>
      <c r="O3980" s="148">
        <v>21.648540649558257</v>
      </c>
      <c r="P3980" s="148">
        <v>1.65133</v>
      </c>
      <c r="Q3980" s="148">
        <v>11.58217</v>
      </c>
      <c r="R3980" s="148">
        <v>701.38433868457548</v>
      </c>
    </row>
    <row r="3981" spans="2:18" ht="15.75" hidden="1" thickBot="1" x14ac:dyDescent="0.3">
      <c r="B3981" s="723" t="s">
        <v>794</v>
      </c>
      <c r="C3981" s="722" t="s">
        <v>123</v>
      </c>
      <c r="D3981" t="s">
        <v>124</v>
      </c>
      <c r="E3981" s="147">
        <v>1.2962199999999999</v>
      </c>
      <c r="F3981" s="147">
        <v>1.01471</v>
      </c>
      <c r="G3981" s="147">
        <v>0.28150999999999998</v>
      </c>
      <c r="H3981" s="147">
        <v>27.742901912861804</v>
      </c>
      <c r="I3981" s="729"/>
      <c r="J3981" s="147">
        <v>1.2962199999999999</v>
      </c>
      <c r="K3981" s="147">
        <v>0</v>
      </c>
      <c r="L3981" s="147">
        <v>10.20693</v>
      </c>
      <c r="M3981" s="147">
        <v>8.7976399999999995</v>
      </c>
      <c r="N3981" s="147">
        <v>1.4092899999999999</v>
      </c>
      <c r="O3981" s="147">
        <v>16.018955083408731</v>
      </c>
      <c r="P3981" s="147">
        <v>7.5099299999999998</v>
      </c>
      <c r="Q3981" s="147">
        <v>2.6970000000000001</v>
      </c>
      <c r="R3981" s="147">
        <v>35.912451913666303</v>
      </c>
    </row>
    <row r="3982" spans="2:18" ht="15.75" hidden="1" thickBot="1" x14ac:dyDescent="0.3">
      <c r="B3982" s="723" t="s">
        <v>794</v>
      </c>
      <c r="C3982" s="722" t="s">
        <v>125</v>
      </c>
      <c r="D3982" t="s">
        <v>126</v>
      </c>
      <c r="E3982" s="148">
        <v>7.9000000000000001E-2</v>
      </c>
      <c r="F3982" s="728"/>
      <c r="G3982" s="148">
        <v>7.9000000000000001E-2</v>
      </c>
      <c r="H3982" s="148">
        <v>0</v>
      </c>
      <c r="I3982" s="728"/>
      <c r="J3982" s="148">
        <v>7.9000000000000001E-2</v>
      </c>
      <c r="K3982" s="148">
        <v>0</v>
      </c>
      <c r="L3982" s="148">
        <v>0.51749999999999996</v>
      </c>
      <c r="M3982" s="728"/>
      <c r="N3982" s="148">
        <v>0.51749999999999996</v>
      </c>
      <c r="O3982" s="148">
        <v>0</v>
      </c>
      <c r="P3982" s="148">
        <v>0.2135</v>
      </c>
      <c r="Q3982" s="148">
        <v>0.30399999999999999</v>
      </c>
      <c r="R3982" s="148">
        <v>142.38875878220139</v>
      </c>
    </row>
    <row r="3983" spans="2:18" ht="15.75" hidden="1" thickBot="1" x14ac:dyDescent="0.3">
      <c r="B3983" s="723" t="s">
        <v>794</v>
      </c>
      <c r="C3983" s="722" t="s">
        <v>681</v>
      </c>
      <c r="D3983" t="s">
        <v>682</v>
      </c>
      <c r="E3983" s="147">
        <v>0.41971999999999998</v>
      </c>
      <c r="F3983" s="729"/>
      <c r="G3983" s="147">
        <v>0.41971999999999998</v>
      </c>
      <c r="H3983" s="147">
        <v>0</v>
      </c>
      <c r="I3983" s="729"/>
      <c r="J3983" s="147">
        <v>0.41971999999999998</v>
      </c>
      <c r="K3983" s="147">
        <v>0</v>
      </c>
      <c r="L3983" s="147">
        <v>1.0495300000000001</v>
      </c>
      <c r="M3983" s="729"/>
      <c r="N3983" s="147">
        <v>1.0495300000000001</v>
      </c>
      <c r="O3983" s="147">
        <v>0</v>
      </c>
      <c r="P3983" s="729"/>
      <c r="Q3983" s="147">
        <v>1.0495300000000001</v>
      </c>
      <c r="R3983" s="147">
        <v>0</v>
      </c>
    </row>
    <row r="3984" spans="2:18" ht="15.75" hidden="1" thickBot="1" x14ac:dyDescent="0.3">
      <c r="B3984" s="723" t="s">
        <v>794</v>
      </c>
      <c r="C3984" s="722" t="s">
        <v>683</v>
      </c>
      <c r="D3984" t="s">
        <v>684</v>
      </c>
      <c r="E3984" s="148">
        <v>0.37440000000000001</v>
      </c>
      <c r="F3984" s="728"/>
      <c r="G3984" s="148">
        <v>0.37440000000000001</v>
      </c>
      <c r="H3984" s="148">
        <v>0</v>
      </c>
      <c r="I3984" s="728"/>
      <c r="J3984" s="148">
        <v>0.37440000000000001</v>
      </c>
      <c r="K3984" s="148">
        <v>0</v>
      </c>
      <c r="L3984" s="148">
        <v>0.92517000000000005</v>
      </c>
      <c r="M3984" s="728"/>
      <c r="N3984" s="148">
        <v>0.92517000000000005</v>
      </c>
      <c r="O3984" s="148">
        <v>0</v>
      </c>
      <c r="P3984" s="728"/>
      <c r="Q3984" s="148">
        <v>0.92517000000000005</v>
      </c>
      <c r="R3984" s="148">
        <v>0</v>
      </c>
    </row>
    <row r="3985" spans="2:18" ht="15.75" hidden="1" thickBot="1" x14ac:dyDescent="0.3">
      <c r="B3985" s="723" t="s">
        <v>794</v>
      </c>
      <c r="C3985" s="722" t="s">
        <v>685</v>
      </c>
      <c r="D3985" t="s">
        <v>686</v>
      </c>
      <c r="E3985" s="147">
        <v>-0.29038000000000003</v>
      </c>
      <c r="F3985" s="729"/>
      <c r="G3985" s="147">
        <v>-0.29038000000000003</v>
      </c>
      <c r="H3985" s="147">
        <v>0</v>
      </c>
      <c r="I3985" s="729"/>
      <c r="J3985" s="147">
        <v>-0.29038000000000003</v>
      </c>
      <c r="K3985" s="147">
        <v>0</v>
      </c>
      <c r="L3985" s="147">
        <v>-3.42733</v>
      </c>
      <c r="M3985" s="729"/>
      <c r="N3985" s="147">
        <v>-3.42733</v>
      </c>
      <c r="O3985" s="147">
        <v>0</v>
      </c>
      <c r="P3985" s="147">
        <v>-2.2319499999999999</v>
      </c>
      <c r="Q3985" s="147">
        <v>-1.1953800000000001</v>
      </c>
      <c r="R3985" s="147">
        <v>-53.557651381079324</v>
      </c>
    </row>
    <row r="3986" spans="2:18" ht="15.75" hidden="1" thickBot="1" x14ac:dyDescent="0.3">
      <c r="B3986" s="723" t="s">
        <v>794</v>
      </c>
      <c r="C3986" s="722" t="s">
        <v>687</v>
      </c>
      <c r="D3986" t="s">
        <v>688</v>
      </c>
      <c r="E3986" s="148">
        <v>-17.145879999999998</v>
      </c>
      <c r="F3986" s="728"/>
      <c r="G3986" s="148">
        <v>-17.145879999999998</v>
      </c>
      <c r="H3986" s="148">
        <v>0</v>
      </c>
      <c r="I3986" s="728"/>
      <c r="J3986" s="148">
        <v>-17.145879999999998</v>
      </c>
      <c r="K3986" s="148">
        <v>0</v>
      </c>
      <c r="L3986" s="148">
        <v>-85.006990000000002</v>
      </c>
      <c r="M3986" s="728"/>
      <c r="N3986" s="148">
        <v>-85.006990000000002</v>
      </c>
      <c r="O3986" s="148">
        <v>0</v>
      </c>
      <c r="P3986" s="148">
        <v>-42.937730000000002</v>
      </c>
      <c r="Q3986" s="148">
        <v>-42.06926</v>
      </c>
      <c r="R3986" s="148">
        <v>-97.977373279863656</v>
      </c>
    </row>
    <row r="3987" spans="2:18" ht="15.75" hidden="1" thickBot="1" x14ac:dyDescent="0.3">
      <c r="B3987" s="723" t="s">
        <v>794</v>
      </c>
      <c r="C3987" s="722" t="s">
        <v>691</v>
      </c>
      <c r="D3987" t="s">
        <v>692</v>
      </c>
      <c r="E3987" s="147">
        <v>5.0939100000000002</v>
      </c>
      <c r="F3987" s="147">
        <v>1.6</v>
      </c>
      <c r="G3987" s="147">
        <v>3.4939100000000001</v>
      </c>
      <c r="H3987" s="147">
        <v>218.36937499999999</v>
      </c>
      <c r="I3987" s="729"/>
      <c r="J3987" s="147">
        <v>5.0939100000000002</v>
      </c>
      <c r="K3987" s="147">
        <v>0</v>
      </c>
      <c r="L3987" s="147">
        <v>-33.261369999999999</v>
      </c>
      <c r="M3987" s="147">
        <v>19</v>
      </c>
      <c r="N3987" s="147">
        <v>-52.261369999999999</v>
      </c>
      <c r="O3987" s="147">
        <v>-275.05984210526316</v>
      </c>
      <c r="P3987" s="147">
        <v>-34.284480000000002</v>
      </c>
      <c r="Q3987" s="147">
        <v>1.02311</v>
      </c>
      <c r="R3987" s="147">
        <v>2.9841782637508283</v>
      </c>
    </row>
    <row r="3988" spans="2:18" ht="15.75" hidden="1" thickBot="1" x14ac:dyDescent="0.3">
      <c r="B3988" s="723" t="s">
        <v>794</v>
      </c>
      <c r="C3988" s="722" t="s">
        <v>209</v>
      </c>
      <c r="D3988" t="s">
        <v>210</v>
      </c>
      <c r="E3988" s="148">
        <v>1.90083</v>
      </c>
      <c r="F3988" s="728"/>
      <c r="G3988" s="148">
        <v>1.90083</v>
      </c>
      <c r="H3988" s="148">
        <v>0</v>
      </c>
      <c r="I3988" s="728"/>
      <c r="J3988" s="148">
        <v>1.90083</v>
      </c>
      <c r="K3988" s="148">
        <v>0</v>
      </c>
      <c r="L3988" s="148">
        <v>15.933120000000001</v>
      </c>
      <c r="M3988" s="728"/>
      <c r="N3988" s="148">
        <v>15.933120000000001</v>
      </c>
      <c r="O3988" s="148">
        <v>0</v>
      </c>
      <c r="P3988" s="148">
        <v>8.7033799999999992</v>
      </c>
      <c r="Q3988" s="148">
        <v>7.2297399999999996</v>
      </c>
      <c r="R3988" s="148">
        <v>83.068187301944761</v>
      </c>
    </row>
    <row r="3989" spans="2:18" ht="15.75" hidden="1" thickBot="1" x14ac:dyDescent="0.3">
      <c r="B3989" s="723" t="s">
        <v>794</v>
      </c>
      <c r="C3989" s="722" t="s">
        <v>211</v>
      </c>
      <c r="D3989" t="s">
        <v>212</v>
      </c>
      <c r="E3989" s="147">
        <v>0.57004999999999995</v>
      </c>
      <c r="F3989" s="729"/>
      <c r="G3989" s="147">
        <v>0.57004999999999995</v>
      </c>
      <c r="H3989" s="147">
        <v>0</v>
      </c>
      <c r="I3989" s="729"/>
      <c r="J3989" s="147">
        <v>0.57004999999999995</v>
      </c>
      <c r="K3989" s="147">
        <v>0</v>
      </c>
      <c r="L3989" s="147">
        <v>16.145330000000001</v>
      </c>
      <c r="M3989" s="729"/>
      <c r="N3989" s="147">
        <v>16.145330000000001</v>
      </c>
      <c r="O3989" s="147">
        <v>0</v>
      </c>
      <c r="P3989" s="147">
        <v>7.3118600000000002</v>
      </c>
      <c r="Q3989" s="147">
        <v>8.8334700000000002</v>
      </c>
      <c r="R3989" s="147">
        <v>120.81016321428474</v>
      </c>
    </row>
    <row r="3990" spans="2:18" ht="15.75" hidden="1" thickBot="1" x14ac:dyDescent="0.3">
      <c r="B3990" s="723" t="s">
        <v>794</v>
      </c>
      <c r="C3990" s="722" t="s">
        <v>697</v>
      </c>
      <c r="D3990" t="s">
        <v>698</v>
      </c>
      <c r="E3990" s="728"/>
      <c r="F3990" s="728"/>
      <c r="G3990" s="728"/>
      <c r="H3990" s="728"/>
      <c r="I3990" s="728"/>
      <c r="J3990" s="728"/>
      <c r="K3990" s="728"/>
      <c r="L3990" s="148">
        <v>1.8635999999999999</v>
      </c>
      <c r="M3990" s="728"/>
      <c r="N3990" s="148">
        <v>1.8635999999999999</v>
      </c>
      <c r="O3990" s="148">
        <v>0</v>
      </c>
      <c r="P3990" s="148">
        <v>1.44472</v>
      </c>
      <c r="Q3990" s="148">
        <v>0.41887999999999997</v>
      </c>
      <c r="R3990" s="148">
        <v>28.993853480259151</v>
      </c>
    </row>
    <row r="3991" spans="2:18" ht="15.75" hidden="1" thickBot="1" x14ac:dyDescent="0.3">
      <c r="B3991" s="723" t="s">
        <v>794</v>
      </c>
      <c r="C3991" s="722" t="s">
        <v>213</v>
      </c>
      <c r="D3991" t="s">
        <v>214</v>
      </c>
      <c r="E3991" s="147">
        <v>-7.3129400000000002</v>
      </c>
      <c r="F3991" s="729"/>
      <c r="G3991" s="147">
        <v>-7.3129400000000002</v>
      </c>
      <c r="H3991" s="147">
        <v>0</v>
      </c>
      <c r="I3991" s="729"/>
      <c r="J3991" s="147">
        <v>-7.3129400000000002</v>
      </c>
      <c r="K3991" s="147">
        <v>0</v>
      </c>
      <c r="L3991" s="147">
        <v>-61.583480000000002</v>
      </c>
      <c r="M3991" s="729"/>
      <c r="N3991" s="147">
        <v>-61.583480000000002</v>
      </c>
      <c r="O3991" s="147">
        <v>0</v>
      </c>
      <c r="P3991" s="147">
        <v>-30.474360000000001</v>
      </c>
      <c r="Q3991" s="147">
        <v>-31.109120000000001</v>
      </c>
      <c r="R3991" s="147">
        <v>-102.08293135606458</v>
      </c>
    </row>
    <row r="3992" spans="2:18" ht="15.75" hidden="1" thickBot="1" x14ac:dyDescent="0.3">
      <c r="B3992" s="723" t="s">
        <v>794</v>
      </c>
      <c r="C3992" s="722" t="s">
        <v>215</v>
      </c>
      <c r="D3992" t="s">
        <v>216</v>
      </c>
      <c r="E3992" s="148">
        <v>-2.1215700000000002</v>
      </c>
      <c r="F3992" s="728"/>
      <c r="G3992" s="148">
        <v>-2.1215700000000002</v>
      </c>
      <c r="H3992" s="148">
        <v>0</v>
      </c>
      <c r="I3992" s="728"/>
      <c r="J3992" s="148">
        <v>-2.1215700000000002</v>
      </c>
      <c r="K3992" s="148">
        <v>0</v>
      </c>
      <c r="L3992" s="148">
        <v>-44.874420000000001</v>
      </c>
      <c r="M3992" s="728"/>
      <c r="N3992" s="148">
        <v>-44.874420000000001</v>
      </c>
      <c r="O3992" s="148">
        <v>0</v>
      </c>
      <c r="P3992" s="148">
        <v>-19.779890000000002</v>
      </c>
      <c r="Q3992" s="148">
        <v>-25.094529999999999</v>
      </c>
      <c r="R3992" s="148">
        <v>-126.86890574214517</v>
      </c>
    </row>
    <row r="3993" spans="2:18" ht="15.75" hidden="1" thickBot="1" x14ac:dyDescent="0.3">
      <c r="B3993" s="723" t="s">
        <v>794</v>
      </c>
      <c r="C3993" s="722" t="s">
        <v>83</v>
      </c>
      <c r="D3993" t="s">
        <v>84</v>
      </c>
      <c r="E3993" s="729"/>
      <c r="F3993" s="147">
        <v>6.11</v>
      </c>
      <c r="G3993" s="147">
        <v>-6.11</v>
      </c>
      <c r="H3993" s="147">
        <v>-100</v>
      </c>
      <c r="I3993" s="729"/>
      <c r="J3993" s="729"/>
      <c r="K3993" s="729"/>
      <c r="L3993" s="729"/>
      <c r="M3993" s="147">
        <v>67.399540000000002</v>
      </c>
      <c r="N3993" s="147">
        <v>-67.399540000000002</v>
      </c>
      <c r="O3993" s="147">
        <v>-100</v>
      </c>
      <c r="P3993" s="729"/>
      <c r="Q3993" s="729"/>
      <c r="R3993" s="729"/>
    </row>
    <row r="3994" spans="2:18" ht="15.75" hidden="1" thickBot="1" x14ac:dyDescent="0.3">
      <c r="B3994" s="723" t="s">
        <v>794</v>
      </c>
      <c r="C3994" s="149" t="s">
        <v>85</v>
      </c>
      <c r="D3994" t="s">
        <v>86</v>
      </c>
      <c r="E3994" s="148">
        <v>1405.6378199999999</v>
      </c>
      <c r="F3994" s="148">
        <v>735.59437000000003</v>
      </c>
      <c r="G3994" s="148">
        <v>670.04345000000001</v>
      </c>
      <c r="H3994" s="148">
        <v>91.088713743146243</v>
      </c>
      <c r="I3994" s="728"/>
      <c r="J3994" s="148">
        <v>1405.6378199999999</v>
      </c>
      <c r="K3994" s="148">
        <v>0</v>
      </c>
      <c r="L3994" s="148">
        <v>15781.314839999999</v>
      </c>
      <c r="M3994" s="148">
        <v>14507.27637</v>
      </c>
      <c r="N3994" s="148">
        <v>1274.03847</v>
      </c>
      <c r="O3994" s="148">
        <v>8.7820652030495516</v>
      </c>
      <c r="P3994" s="148">
        <v>7421.8918100000001</v>
      </c>
      <c r="Q3994" s="148">
        <v>8359.4230299999999</v>
      </c>
      <c r="R3994" s="148">
        <v>112.63197098530597</v>
      </c>
    </row>
    <row r="3995" spans="2:18" ht="15.75" hidden="1" thickBot="1" x14ac:dyDescent="0.3">
      <c r="B3995" s="723" t="s">
        <v>794</v>
      </c>
      <c r="C3995" s="144" t="s">
        <v>87</v>
      </c>
      <c r="D3995" t="s">
        <v>87</v>
      </c>
      <c r="E3995" s="147">
        <v>2896.64786</v>
      </c>
      <c r="F3995" s="147">
        <v>2479.57672</v>
      </c>
      <c r="G3995" s="147">
        <v>417.07114000000001</v>
      </c>
      <c r="H3995" s="147">
        <v>16.820255515223582</v>
      </c>
      <c r="I3995" s="729"/>
      <c r="J3995" s="147">
        <v>2896.64786</v>
      </c>
      <c r="K3995" s="147">
        <v>0</v>
      </c>
      <c r="L3995" s="147">
        <v>35756.999080000001</v>
      </c>
      <c r="M3995" s="147">
        <v>34639.417269999998</v>
      </c>
      <c r="N3995" s="147">
        <v>1117.5818099999999</v>
      </c>
      <c r="O3995" s="147">
        <v>3.2263297078265198</v>
      </c>
      <c r="P3995" s="147">
        <v>17402.082149999998</v>
      </c>
      <c r="Q3995" s="147">
        <v>18354.916929999999</v>
      </c>
      <c r="R3995" s="147">
        <v>105.47540674608297</v>
      </c>
    </row>
    <row r="3996" spans="2:18" ht="15.75" hidden="1" thickBot="1" x14ac:dyDescent="0.3">
      <c r="B3996" s="724" t="s">
        <v>795</v>
      </c>
      <c r="C3996" s="722" t="s">
        <v>36</v>
      </c>
      <c r="D3996" t="s">
        <v>192</v>
      </c>
      <c r="E3996" s="728"/>
      <c r="F3996" s="728"/>
      <c r="G3996" s="728"/>
      <c r="H3996" s="728"/>
      <c r="I3996" s="728"/>
      <c r="J3996" s="728"/>
      <c r="K3996" s="728"/>
      <c r="L3996" s="148">
        <v>25</v>
      </c>
      <c r="M3996" s="728"/>
      <c r="N3996" s="148">
        <v>25</v>
      </c>
      <c r="O3996" s="148">
        <v>0</v>
      </c>
      <c r="P3996" s="148">
        <v>25</v>
      </c>
      <c r="Q3996" s="148">
        <v>0</v>
      </c>
      <c r="R3996" s="148">
        <v>0</v>
      </c>
    </row>
    <row r="3997" spans="2:18" ht="15.75" hidden="1" thickBot="1" x14ac:dyDescent="0.3">
      <c r="B3997" s="724" t="s">
        <v>795</v>
      </c>
      <c r="C3997" s="722" t="s">
        <v>139</v>
      </c>
      <c r="D3997" t="s">
        <v>140</v>
      </c>
      <c r="E3997" s="729"/>
      <c r="F3997" s="729"/>
      <c r="G3997" s="729"/>
      <c r="H3997" s="729"/>
      <c r="I3997" s="729"/>
      <c r="J3997" s="729"/>
      <c r="K3997" s="729"/>
      <c r="L3997" s="147">
        <v>585</v>
      </c>
      <c r="M3997" s="729"/>
      <c r="N3997" s="147">
        <v>585</v>
      </c>
      <c r="O3997" s="147">
        <v>0</v>
      </c>
      <c r="P3997" s="147">
        <v>585</v>
      </c>
      <c r="Q3997" s="147">
        <v>0</v>
      </c>
      <c r="R3997" s="147">
        <v>0</v>
      </c>
    </row>
    <row r="3998" spans="2:18" ht="15.75" hidden="1" thickBot="1" x14ac:dyDescent="0.3">
      <c r="B3998" s="724" t="s">
        <v>795</v>
      </c>
      <c r="C3998" s="722" t="s">
        <v>667</v>
      </c>
      <c r="D3998" t="s">
        <v>668</v>
      </c>
      <c r="E3998" s="148">
        <v>68.438460000000006</v>
      </c>
      <c r="F3998" s="148">
        <v>10</v>
      </c>
      <c r="G3998" s="148">
        <v>58.438459999999999</v>
      </c>
      <c r="H3998" s="148">
        <v>584.38459999999998</v>
      </c>
      <c r="I3998" s="728"/>
      <c r="J3998" s="148">
        <v>68.438460000000006</v>
      </c>
      <c r="K3998" s="148">
        <v>0</v>
      </c>
      <c r="L3998" s="148">
        <v>169.81845999999999</v>
      </c>
      <c r="M3998" s="148">
        <v>770</v>
      </c>
      <c r="N3998" s="148">
        <v>-600.18154000000004</v>
      </c>
      <c r="O3998" s="148">
        <v>-77.945654545454545</v>
      </c>
      <c r="P3998" s="728"/>
      <c r="Q3998" s="148">
        <v>169.81845999999999</v>
      </c>
      <c r="R3998" s="148">
        <v>0</v>
      </c>
    </row>
    <row r="3999" spans="2:18" ht="15.75" hidden="1" thickBot="1" x14ac:dyDescent="0.3">
      <c r="B3999" s="724" t="s">
        <v>795</v>
      </c>
      <c r="C3999" s="149" t="s">
        <v>85</v>
      </c>
      <c r="D3999" t="s">
        <v>86</v>
      </c>
      <c r="E3999" s="147">
        <v>68.438460000000006</v>
      </c>
      <c r="F3999" s="147">
        <v>10</v>
      </c>
      <c r="G3999" s="147">
        <v>58.438459999999999</v>
      </c>
      <c r="H3999" s="147">
        <v>584.38459999999998</v>
      </c>
      <c r="I3999" s="729"/>
      <c r="J3999" s="147">
        <v>68.438460000000006</v>
      </c>
      <c r="K3999" s="147">
        <v>0</v>
      </c>
      <c r="L3999" s="147">
        <v>779.81845999999996</v>
      </c>
      <c r="M3999" s="147">
        <v>770</v>
      </c>
      <c r="N3999" s="147">
        <v>9.81846</v>
      </c>
      <c r="O3999" s="147">
        <v>1.2751246753246752</v>
      </c>
      <c r="P3999" s="147">
        <v>610</v>
      </c>
      <c r="Q3999" s="147">
        <v>169.81845999999999</v>
      </c>
      <c r="R3999" s="147">
        <v>27.839091803278688</v>
      </c>
    </row>
    <row r="4000" spans="2:18" ht="15.75" hidden="1" thickBot="1" x14ac:dyDescent="0.3">
      <c r="B4000" s="724" t="s">
        <v>795</v>
      </c>
      <c r="C4000" s="144" t="s">
        <v>87</v>
      </c>
      <c r="D4000" t="s">
        <v>87</v>
      </c>
      <c r="E4000" s="148">
        <v>68.438460000000006</v>
      </c>
      <c r="F4000" s="148">
        <v>10</v>
      </c>
      <c r="G4000" s="148">
        <v>58.438459999999999</v>
      </c>
      <c r="H4000" s="148">
        <v>584.38459999999998</v>
      </c>
      <c r="I4000" s="728"/>
      <c r="J4000" s="148">
        <v>68.438460000000006</v>
      </c>
      <c r="K4000" s="148">
        <v>0</v>
      </c>
      <c r="L4000" s="148">
        <v>779.81845999999996</v>
      </c>
      <c r="M4000" s="148">
        <v>770</v>
      </c>
      <c r="N4000" s="148">
        <v>9.81846</v>
      </c>
      <c r="O4000" s="148">
        <v>1.2751246753246752</v>
      </c>
      <c r="P4000" s="148">
        <v>610</v>
      </c>
      <c r="Q4000" s="148">
        <v>169.81845999999999</v>
      </c>
      <c r="R4000" s="148">
        <v>27.839091803278688</v>
      </c>
    </row>
    <row r="4001" spans="2:18" ht="15.75" hidden="1" thickBot="1" x14ac:dyDescent="0.3">
      <c r="B4001" s="724" t="s">
        <v>796</v>
      </c>
      <c r="C4001" s="722" t="s">
        <v>59</v>
      </c>
      <c r="D4001" t="s">
        <v>60</v>
      </c>
      <c r="E4001" s="147">
        <v>36.709829999999997</v>
      </c>
      <c r="F4001" s="147">
        <v>37.924480000000003</v>
      </c>
      <c r="G4001" s="147">
        <v>-1.21465</v>
      </c>
      <c r="H4001" s="147">
        <v>-3.2028125369154701</v>
      </c>
      <c r="I4001" s="729"/>
      <c r="J4001" s="147">
        <v>36.709829999999997</v>
      </c>
      <c r="K4001" s="147">
        <v>0</v>
      </c>
      <c r="L4001" s="147">
        <v>521.30133999999998</v>
      </c>
      <c r="M4001" s="147">
        <v>452.70625999999999</v>
      </c>
      <c r="N4001" s="147">
        <v>68.595079999999996</v>
      </c>
      <c r="O4001" s="147">
        <v>15.152226965008172</v>
      </c>
      <c r="P4001" s="147">
        <v>287.40636999999998</v>
      </c>
      <c r="Q4001" s="147">
        <v>233.89497</v>
      </c>
      <c r="R4001" s="147">
        <v>81.381275578547545</v>
      </c>
    </row>
    <row r="4002" spans="2:18" ht="15.75" hidden="1" thickBot="1" x14ac:dyDescent="0.3">
      <c r="B4002" s="724" t="s">
        <v>796</v>
      </c>
      <c r="C4002" s="722" t="s">
        <v>568</v>
      </c>
      <c r="D4002" t="s">
        <v>569</v>
      </c>
      <c r="E4002" s="148">
        <v>6.8702800000000002</v>
      </c>
      <c r="F4002" s="728"/>
      <c r="G4002" s="148">
        <v>6.8702800000000002</v>
      </c>
      <c r="H4002" s="148">
        <v>0</v>
      </c>
      <c r="I4002" s="728"/>
      <c r="J4002" s="148">
        <v>6.8702800000000002</v>
      </c>
      <c r="K4002" s="148">
        <v>0</v>
      </c>
      <c r="L4002" s="148">
        <v>35.05603</v>
      </c>
      <c r="M4002" s="728"/>
      <c r="N4002" s="148">
        <v>35.05603</v>
      </c>
      <c r="O4002" s="148">
        <v>0</v>
      </c>
      <c r="P4002" s="728"/>
      <c r="Q4002" s="148">
        <v>35.05603</v>
      </c>
      <c r="R4002" s="148">
        <v>0</v>
      </c>
    </row>
    <row r="4003" spans="2:18" ht="15.75" hidden="1" thickBot="1" x14ac:dyDescent="0.3">
      <c r="B4003" s="724" t="s">
        <v>796</v>
      </c>
      <c r="C4003" s="722" t="s">
        <v>61</v>
      </c>
      <c r="D4003" t="s">
        <v>62</v>
      </c>
      <c r="E4003" s="147">
        <v>7.2066100000000004</v>
      </c>
      <c r="F4003" s="147">
        <v>5.8782899999999998</v>
      </c>
      <c r="G4003" s="147">
        <v>1.3283199999999999</v>
      </c>
      <c r="H4003" s="147">
        <v>22.597047780902269</v>
      </c>
      <c r="I4003" s="729"/>
      <c r="J4003" s="147">
        <v>7.2066100000000004</v>
      </c>
      <c r="K4003" s="147">
        <v>0</v>
      </c>
      <c r="L4003" s="147">
        <v>85.313829999999996</v>
      </c>
      <c r="M4003" s="147">
        <v>70.169420000000002</v>
      </c>
      <c r="N4003" s="147">
        <v>15.144410000000001</v>
      </c>
      <c r="O4003" s="147">
        <v>21.582635284715195</v>
      </c>
      <c r="P4003" s="147">
        <v>42.11636</v>
      </c>
      <c r="Q4003" s="147">
        <v>43.197470000000003</v>
      </c>
      <c r="R4003" s="147">
        <v>102.56695972776375</v>
      </c>
    </row>
    <row r="4004" spans="2:18" ht="15.75" hidden="1" thickBot="1" x14ac:dyDescent="0.3">
      <c r="B4004" s="724" t="s">
        <v>796</v>
      </c>
      <c r="C4004" s="722" t="s">
        <v>63</v>
      </c>
      <c r="D4004" t="s">
        <v>64</v>
      </c>
      <c r="E4004" s="148">
        <v>27.997129999999999</v>
      </c>
      <c r="F4004" s="148">
        <v>22.868459999999999</v>
      </c>
      <c r="G4004" s="148">
        <v>5.1286699999999996</v>
      </c>
      <c r="H4004" s="148">
        <v>22.426827167198841</v>
      </c>
      <c r="I4004" s="728"/>
      <c r="J4004" s="148">
        <v>27.997129999999999</v>
      </c>
      <c r="K4004" s="148">
        <v>0</v>
      </c>
      <c r="L4004" s="148">
        <v>331.43925999999999</v>
      </c>
      <c r="M4004" s="148">
        <v>272.98185999999998</v>
      </c>
      <c r="N4004" s="148">
        <v>58.4574</v>
      </c>
      <c r="O4004" s="148">
        <v>21.414389952504536</v>
      </c>
      <c r="P4004" s="148">
        <v>163.61947000000001</v>
      </c>
      <c r="Q4004" s="148">
        <v>167.81979000000001</v>
      </c>
      <c r="R4004" s="148">
        <v>102.5671272495871</v>
      </c>
    </row>
    <row r="4005" spans="2:18" ht="15.75" hidden="1" thickBot="1" x14ac:dyDescent="0.3">
      <c r="B4005" s="724" t="s">
        <v>796</v>
      </c>
      <c r="C4005" s="722" t="s">
        <v>65</v>
      </c>
      <c r="D4005" t="s">
        <v>66</v>
      </c>
      <c r="E4005" s="147">
        <v>-1.24336</v>
      </c>
      <c r="F4005" s="147">
        <v>-4.0085800000000003</v>
      </c>
      <c r="G4005" s="147">
        <v>2.7652199999999998</v>
      </c>
      <c r="H4005" s="147">
        <v>68.982532467856444</v>
      </c>
      <c r="I4005" s="729"/>
      <c r="J4005" s="147">
        <v>-1.24336</v>
      </c>
      <c r="K4005" s="147">
        <v>0</v>
      </c>
      <c r="L4005" s="147">
        <v>-35.947400000000002</v>
      </c>
      <c r="M4005" s="147">
        <v>-47.8506</v>
      </c>
      <c r="N4005" s="147">
        <v>11.9032</v>
      </c>
      <c r="O4005" s="147">
        <v>24.875759133636777</v>
      </c>
      <c r="P4005" s="147">
        <v>-27.545359999999999</v>
      </c>
      <c r="Q4005" s="147">
        <v>-8.4020399999999995</v>
      </c>
      <c r="R4005" s="147">
        <v>-30.502560140800483</v>
      </c>
    </row>
    <row r="4006" spans="2:18" ht="15.75" hidden="1" thickBot="1" x14ac:dyDescent="0.3">
      <c r="B4006" s="724" t="s">
        <v>796</v>
      </c>
      <c r="C4006" s="149" t="s">
        <v>67</v>
      </c>
      <c r="D4006" t="s">
        <v>68</v>
      </c>
      <c r="E4006" s="148">
        <v>77.540490000000005</v>
      </c>
      <c r="F4006" s="148">
        <v>62.662649999999999</v>
      </c>
      <c r="G4006" s="148">
        <v>14.877840000000001</v>
      </c>
      <c r="H4006" s="148">
        <v>23.742755852170312</v>
      </c>
      <c r="I4006" s="728"/>
      <c r="J4006" s="148">
        <v>77.540490000000005</v>
      </c>
      <c r="K4006" s="148">
        <v>0</v>
      </c>
      <c r="L4006" s="148">
        <v>937.16305999999997</v>
      </c>
      <c r="M4006" s="148">
        <v>748.00693999999999</v>
      </c>
      <c r="N4006" s="148">
        <v>189.15611999999999</v>
      </c>
      <c r="O4006" s="148">
        <v>25.288016712786114</v>
      </c>
      <c r="P4006" s="148">
        <v>465.59683999999999</v>
      </c>
      <c r="Q4006" s="148">
        <v>471.56621999999999</v>
      </c>
      <c r="R4006" s="148">
        <v>101.28209203481707</v>
      </c>
    </row>
    <row r="4007" spans="2:18" ht="15.75" hidden="1" thickBot="1" x14ac:dyDescent="0.3">
      <c r="B4007" s="724" t="s">
        <v>796</v>
      </c>
      <c r="C4007" s="722" t="s">
        <v>69</v>
      </c>
      <c r="D4007" t="s">
        <v>70</v>
      </c>
      <c r="E4007" s="729"/>
      <c r="F4007" s="729"/>
      <c r="G4007" s="729"/>
      <c r="H4007" s="729"/>
      <c r="I4007" s="729"/>
      <c r="J4007" s="729"/>
      <c r="K4007" s="729"/>
      <c r="L4007" s="147">
        <v>2.1949999999999998</v>
      </c>
      <c r="M4007" s="729"/>
      <c r="N4007" s="147">
        <v>2.1949999999999998</v>
      </c>
      <c r="O4007" s="147">
        <v>0</v>
      </c>
      <c r="P4007" s="147">
        <v>2.1949999999999998</v>
      </c>
      <c r="Q4007" s="147">
        <v>0</v>
      </c>
      <c r="R4007" s="147">
        <v>0</v>
      </c>
    </row>
    <row r="4008" spans="2:18" ht="15.75" hidden="1" thickBot="1" x14ac:dyDescent="0.3">
      <c r="B4008" s="724" t="s">
        <v>796</v>
      </c>
      <c r="C4008" s="722" t="s">
        <v>165</v>
      </c>
      <c r="D4008" t="s">
        <v>166</v>
      </c>
      <c r="E4008" s="728"/>
      <c r="F4008" s="728"/>
      <c r="G4008" s="728"/>
      <c r="H4008" s="728"/>
      <c r="I4008" s="728"/>
      <c r="J4008" s="728"/>
      <c r="K4008" s="728"/>
      <c r="L4008" s="148">
        <v>0.91586000000000001</v>
      </c>
      <c r="M4008" s="728"/>
      <c r="N4008" s="148">
        <v>0.91586000000000001</v>
      </c>
      <c r="O4008" s="148">
        <v>0</v>
      </c>
      <c r="P4008" s="728"/>
      <c r="Q4008" s="148">
        <v>0.91586000000000001</v>
      </c>
      <c r="R4008" s="148">
        <v>0</v>
      </c>
    </row>
    <row r="4009" spans="2:18" ht="15.75" hidden="1" thickBot="1" x14ac:dyDescent="0.3">
      <c r="B4009" s="724" t="s">
        <v>796</v>
      </c>
      <c r="C4009" s="722" t="s">
        <v>137</v>
      </c>
      <c r="D4009" t="s">
        <v>138</v>
      </c>
      <c r="E4009" s="147">
        <v>0.41910999999999998</v>
      </c>
      <c r="F4009" s="147">
        <v>0.2</v>
      </c>
      <c r="G4009" s="147">
        <v>0.21911</v>
      </c>
      <c r="H4009" s="147">
        <v>109.55500000000001</v>
      </c>
      <c r="I4009" s="729"/>
      <c r="J4009" s="147">
        <v>0.41910999999999998</v>
      </c>
      <c r="K4009" s="147">
        <v>0</v>
      </c>
      <c r="L4009" s="147">
        <v>5.6517200000000001</v>
      </c>
      <c r="M4009" s="147">
        <v>1.6</v>
      </c>
      <c r="N4009" s="147">
        <v>4.0517200000000004</v>
      </c>
      <c r="O4009" s="147">
        <v>253.23249999999999</v>
      </c>
      <c r="P4009" s="147">
        <v>3.2684199999999999</v>
      </c>
      <c r="Q4009" s="147">
        <v>2.3833000000000002</v>
      </c>
      <c r="R4009" s="147">
        <v>72.919025094694078</v>
      </c>
    </row>
    <row r="4010" spans="2:18" ht="15.75" hidden="1" thickBot="1" x14ac:dyDescent="0.3">
      <c r="B4010" s="724" t="s">
        <v>796</v>
      </c>
      <c r="C4010" s="722" t="s">
        <v>190</v>
      </c>
      <c r="D4010" t="s">
        <v>191</v>
      </c>
      <c r="E4010" s="728"/>
      <c r="F4010" s="728"/>
      <c r="G4010" s="728"/>
      <c r="H4010" s="728"/>
      <c r="I4010" s="728"/>
      <c r="J4010" s="728"/>
      <c r="K4010" s="728"/>
      <c r="L4010" s="148">
        <v>0.3231</v>
      </c>
      <c r="M4010" s="728"/>
      <c r="N4010" s="148">
        <v>0.3231</v>
      </c>
      <c r="O4010" s="148">
        <v>0</v>
      </c>
      <c r="P4010" s="148">
        <v>0.12631000000000001</v>
      </c>
      <c r="Q4010" s="148">
        <v>0.19678999999999999</v>
      </c>
      <c r="R4010" s="148">
        <v>155.799224131106</v>
      </c>
    </row>
    <row r="4011" spans="2:18" ht="15.75" hidden="1" thickBot="1" x14ac:dyDescent="0.3">
      <c r="B4011" s="724" t="s">
        <v>796</v>
      </c>
      <c r="C4011" s="722" t="s">
        <v>139</v>
      </c>
      <c r="D4011" t="s">
        <v>140</v>
      </c>
      <c r="E4011" s="729"/>
      <c r="F4011" s="729"/>
      <c r="G4011" s="729"/>
      <c r="H4011" s="729"/>
      <c r="I4011" s="729"/>
      <c r="J4011" s="729"/>
      <c r="K4011" s="729"/>
      <c r="L4011" s="147">
        <v>1.4989399999999999</v>
      </c>
      <c r="M4011" s="729"/>
      <c r="N4011" s="147">
        <v>1.4989399999999999</v>
      </c>
      <c r="O4011" s="147">
        <v>0</v>
      </c>
      <c r="P4011" s="147">
        <v>1.2389699999999999</v>
      </c>
      <c r="Q4011" s="147">
        <v>0.25996999999999998</v>
      </c>
      <c r="R4011" s="147">
        <v>20.982751801899965</v>
      </c>
    </row>
    <row r="4012" spans="2:18" ht="15.75" hidden="1" thickBot="1" x14ac:dyDescent="0.3">
      <c r="B4012" s="724" t="s">
        <v>796</v>
      </c>
      <c r="C4012" s="722" t="s">
        <v>71</v>
      </c>
      <c r="D4012" t="s">
        <v>72</v>
      </c>
      <c r="E4012" s="728"/>
      <c r="F4012" s="728"/>
      <c r="G4012" s="728"/>
      <c r="H4012" s="728"/>
      <c r="I4012" s="728"/>
      <c r="J4012" s="728"/>
      <c r="K4012" s="728"/>
      <c r="L4012" s="148">
        <v>8.8020000000000001E-2</v>
      </c>
      <c r="M4012" s="728"/>
      <c r="N4012" s="148">
        <v>8.8020000000000001E-2</v>
      </c>
      <c r="O4012" s="148">
        <v>0</v>
      </c>
      <c r="P4012" s="728"/>
      <c r="Q4012" s="148">
        <v>8.8020000000000001E-2</v>
      </c>
      <c r="R4012" s="148">
        <v>0</v>
      </c>
    </row>
    <row r="4013" spans="2:18" ht="15.75" hidden="1" thickBot="1" x14ac:dyDescent="0.3">
      <c r="B4013" s="724" t="s">
        <v>796</v>
      </c>
      <c r="C4013" s="722" t="s">
        <v>107</v>
      </c>
      <c r="D4013" t="s">
        <v>108</v>
      </c>
      <c r="E4013" s="729"/>
      <c r="F4013" s="729"/>
      <c r="G4013" s="729"/>
      <c r="H4013" s="729"/>
      <c r="I4013" s="729"/>
      <c r="J4013" s="729"/>
      <c r="K4013" s="729"/>
      <c r="L4013" s="147">
        <v>0.33883999999999997</v>
      </c>
      <c r="M4013" s="729"/>
      <c r="N4013" s="147">
        <v>0.33883999999999997</v>
      </c>
      <c r="O4013" s="147">
        <v>0</v>
      </c>
      <c r="P4013" s="147">
        <v>0.33883999999999997</v>
      </c>
      <c r="Q4013" s="147">
        <v>0</v>
      </c>
      <c r="R4013" s="147">
        <v>0</v>
      </c>
    </row>
    <row r="4014" spans="2:18" ht="15.75" hidden="1" thickBot="1" x14ac:dyDescent="0.3">
      <c r="B4014" s="724" t="s">
        <v>796</v>
      </c>
      <c r="C4014" s="722" t="s">
        <v>73</v>
      </c>
      <c r="D4014" t="s">
        <v>74</v>
      </c>
      <c r="E4014" s="728"/>
      <c r="F4014" s="728"/>
      <c r="G4014" s="728"/>
      <c r="H4014" s="728"/>
      <c r="I4014" s="728"/>
      <c r="J4014" s="728"/>
      <c r="K4014" s="728"/>
      <c r="L4014" s="148">
        <v>2.6872600000000002</v>
      </c>
      <c r="M4014" s="728"/>
      <c r="N4014" s="148">
        <v>2.6872600000000002</v>
      </c>
      <c r="O4014" s="148">
        <v>0</v>
      </c>
      <c r="P4014" s="148">
        <v>2.3334000000000001</v>
      </c>
      <c r="Q4014" s="148">
        <v>0.35386000000000001</v>
      </c>
      <c r="R4014" s="148">
        <v>15.164995285848976</v>
      </c>
    </row>
    <row r="4015" spans="2:18" ht="15.75" hidden="1" thickBot="1" x14ac:dyDescent="0.3">
      <c r="B4015" s="724" t="s">
        <v>796</v>
      </c>
      <c r="C4015" s="722" t="s">
        <v>111</v>
      </c>
      <c r="D4015" t="s">
        <v>112</v>
      </c>
      <c r="E4015" s="729"/>
      <c r="F4015" s="729"/>
      <c r="G4015" s="729"/>
      <c r="H4015" s="729"/>
      <c r="I4015" s="729"/>
      <c r="J4015" s="729"/>
      <c r="K4015" s="729"/>
      <c r="L4015" s="147">
        <v>6.198E-2</v>
      </c>
      <c r="M4015" s="729"/>
      <c r="N4015" s="147">
        <v>6.198E-2</v>
      </c>
      <c r="O4015" s="147">
        <v>0</v>
      </c>
      <c r="P4015" s="147">
        <v>6.198E-2</v>
      </c>
      <c r="Q4015" s="147">
        <v>0</v>
      </c>
      <c r="R4015" s="147">
        <v>0</v>
      </c>
    </row>
    <row r="4016" spans="2:18" ht="15.75" hidden="1" thickBot="1" x14ac:dyDescent="0.3">
      <c r="B4016" s="724" t="s">
        <v>796</v>
      </c>
      <c r="C4016" s="722" t="s">
        <v>141</v>
      </c>
      <c r="D4016" t="s">
        <v>142</v>
      </c>
      <c r="E4016" s="148">
        <v>0.10349999999999999</v>
      </c>
      <c r="F4016" s="728"/>
      <c r="G4016" s="148">
        <v>0.10349999999999999</v>
      </c>
      <c r="H4016" s="148">
        <v>0</v>
      </c>
      <c r="I4016" s="728"/>
      <c r="J4016" s="148">
        <v>0.10349999999999999</v>
      </c>
      <c r="K4016" s="148">
        <v>0</v>
      </c>
      <c r="L4016" s="148">
        <v>0.2165</v>
      </c>
      <c r="M4016" s="148">
        <v>1</v>
      </c>
      <c r="N4016" s="148">
        <v>-0.78349999999999997</v>
      </c>
      <c r="O4016" s="148">
        <v>-78.349999999999994</v>
      </c>
      <c r="P4016" s="728"/>
      <c r="Q4016" s="148">
        <v>0.2165</v>
      </c>
      <c r="R4016" s="148">
        <v>0</v>
      </c>
    </row>
    <row r="4017" spans="2:18" ht="15.75" hidden="1" thickBot="1" x14ac:dyDescent="0.3">
      <c r="B4017" s="724" t="s">
        <v>796</v>
      </c>
      <c r="C4017" s="722" t="s">
        <v>113</v>
      </c>
      <c r="D4017" t="s">
        <v>114</v>
      </c>
      <c r="E4017" s="729"/>
      <c r="F4017" s="729"/>
      <c r="G4017" s="729"/>
      <c r="H4017" s="729"/>
      <c r="I4017" s="729"/>
      <c r="J4017" s="729"/>
      <c r="K4017" s="729"/>
      <c r="L4017" s="147">
        <v>0.49348999999999998</v>
      </c>
      <c r="M4017" s="729"/>
      <c r="N4017" s="147">
        <v>0.49348999999999998</v>
      </c>
      <c r="O4017" s="147">
        <v>0</v>
      </c>
      <c r="P4017" s="147">
        <v>0.31103999999999998</v>
      </c>
      <c r="Q4017" s="147">
        <v>0.18245</v>
      </c>
      <c r="R4017" s="147">
        <v>58.65805041152263</v>
      </c>
    </row>
    <row r="4018" spans="2:18" ht="15.75" hidden="1" thickBot="1" x14ac:dyDescent="0.3">
      <c r="B4018" s="724" t="s">
        <v>796</v>
      </c>
      <c r="C4018" s="722" t="s">
        <v>145</v>
      </c>
      <c r="D4018" t="s">
        <v>146</v>
      </c>
      <c r="E4018" s="148">
        <v>8.9999999999999993E-3</v>
      </c>
      <c r="F4018" s="728"/>
      <c r="G4018" s="148">
        <v>8.9999999999999993E-3</v>
      </c>
      <c r="H4018" s="148">
        <v>0</v>
      </c>
      <c r="I4018" s="728"/>
      <c r="J4018" s="148">
        <v>8.9999999999999993E-3</v>
      </c>
      <c r="K4018" s="148">
        <v>0</v>
      </c>
      <c r="L4018" s="148">
        <v>0.17100000000000001</v>
      </c>
      <c r="M4018" s="728"/>
      <c r="N4018" s="148">
        <v>0.17100000000000001</v>
      </c>
      <c r="O4018" s="148">
        <v>0</v>
      </c>
      <c r="P4018" s="148">
        <v>8.1000000000000003E-2</v>
      </c>
      <c r="Q4018" s="148">
        <v>0.09</v>
      </c>
      <c r="R4018" s="148">
        <v>111.11111111111111</v>
      </c>
    </row>
    <row r="4019" spans="2:18" ht="15.75" hidden="1" thickBot="1" x14ac:dyDescent="0.3">
      <c r="B4019" s="724" t="s">
        <v>796</v>
      </c>
      <c r="C4019" s="722" t="s">
        <v>641</v>
      </c>
      <c r="D4019" t="s">
        <v>642</v>
      </c>
      <c r="E4019" s="147">
        <v>1.1404300000000001</v>
      </c>
      <c r="F4019" s="729"/>
      <c r="G4019" s="147">
        <v>1.1404300000000001</v>
      </c>
      <c r="H4019" s="147">
        <v>0</v>
      </c>
      <c r="I4019" s="729"/>
      <c r="J4019" s="147">
        <v>1.1404300000000001</v>
      </c>
      <c r="K4019" s="147">
        <v>0</v>
      </c>
      <c r="L4019" s="147">
        <v>1.2604200000000001</v>
      </c>
      <c r="M4019" s="729"/>
      <c r="N4019" s="147">
        <v>1.2604200000000001</v>
      </c>
      <c r="O4019" s="147">
        <v>0</v>
      </c>
      <c r="P4019" s="147">
        <v>0.11999</v>
      </c>
      <c r="Q4019" s="147">
        <v>1.1404300000000001</v>
      </c>
      <c r="R4019" s="147">
        <v>950.43753646137179</v>
      </c>
    </row>
    <row r="4020" spans="2:18" ht="15.75" hidden="1" thickBot="1" x14ac:dyDescent="0.3">
      <c r="B4020" s="724" t="s">
        <v>796</v>
      </c>
      <c r="C4020" s="722" t="s">
        <v>645</v>
      </c>
      <c r="D4020" t="s">
        <v>646</v>
      </c>
      <c r="E4020" s="728"/>
      <c r="F4020" s="728"/>
      <c r="G4020" s="728"/>
      <c r="H4020" s="728"/>
      <c r="I4020" s="728"/>
      <c r="J4020" s="728"/>
      <c r="K4020" s="728"/>
      <c r="L4020" s="148">
        <v>0.5</v>
      </c>
      <c r="M4020" s="728"/>
      <c r="N4020" s="148">
        <v>0.5</v>
      </c>
      <c r="O4020" s="148">
        <v>0</v>
      </c>
      <c r="P4020" s="728"/>
      <c r="Q4020" s="148">
        <v>0.5</v>
      </c>
      <c r="R4020" s="148">
        <v>0</v>
      </c>
    </row>
    <row r="4021" spans="2:18" ht="15.75" hidden="1" thickBot="1" x14ac:dyDescent="0.3">
      <c r="B4021" s="724" t="s">
        <v>796</v>
      </c>
      <c r="C4021" s="722" t="s">
        <v>151</v>
      </c>
      <c r="D4021" t="s">
        <v>152</v>
      </c>
      <c r="E4021" s="729"/>
      <c r="F4021" s="729"/>
      <c r="G4021" s="729"/>
      <c r="H4021" s="729"/>
      <c r="I4021" s="729"/>
      <c r="J4021" s="729"/>
      <c r="K4021" s="729"/>
      <c r="L4021" s="147">
        <v>0.13524</v>
      </c>
      <c r="M4021" s="729"/>
      <c r="N4021" s="147">
        <v>0.13524</v>
      </c>
      <c r="O4021" s="147">
        <v>0</v>
      </c>
      <c r="P4021" s="729"/>
      <c r="Q4021" s="147">
        <v>0.13524</v>
      </c>
      <c r="R4021" s="147">
        <v>0</v>
      </c>
    </row>
    <row r="4022" spans="2:18" ht="15.75" hidden="1" thickBot="1" x14ac:dyDescent="0.3">
      <c r="B4022" s="724" t="s">
        <v>796</v>
      </c>
      <c r="C4022" s="722" t="s">
        <v>75</v>
      </c>
      <c r="D4022" t="s">
        <v>76</v>
      </c>
      <c r="E4022" s="148">
        <v>1.2340199999999999</v>
      </c>
      <c r="F4022" s="148">
        <v>0.1</v>
      </c>
      <c r="G4022" s="148">
        <v>1.13402</v>
      </c>
      <c r="H4022" s="148">
        <v>1134.02</v>
      </c>
      <c r="I4022" s="728"/>
      <c r="J4022" s="148">
        <v>1.2340199999999999</v>
      </c>
      <c r="K4022" s="148">
        <v>0</v>
      </c>
      <c r="L4022" s="148">
        <v>11.05457</v>
      </c>
      <c r="M4022" s="148">
        <v>3.2</v>
      </c>
      <c r="N4022" s="148">
        <v>7.8545699999999998</v>
      </c>
      <c r="O4022" s="148">
        <v>245.45531249999999</v>
      </c>
      <c r="P4022" s="148">
        <v>4.6300800000000004</v>
      </c>
      <c r="Q4022" s="148">
        <v>6.4244899999999996</v>
      </c>
      <c r="R4022" s="148">
        <v>138.75548586633494</v>
      </c>
    </row>
    <row r="4023" spans="2:18" ht="15.75" hidden="1" thickBot="1" x14ac:dyDescent="0.3">
      <c r="B4023" s="724" t="s">
        <v>796</v>
      </c>
      <c r="C4023" s="722" t="s">
        <v>121</v>
      </c>
      <c r="D4023" t="s">
        <v>122</v>
      </c>
      <c r="E4023" s="729"/>
      <c r="F4023" s="147">
        <v>0.6</v>
      </c>
      <c r="G4023" s="147">
        <v>-0.6</v>
      </c>
      <c r="H4023" s="147">
        <v>-100</v>
      </c>
      <c r="I4023" s="729"/>
      <c r="J4023" s="729"/>
      <c r="K4023" s="729"/>
      <c r="L4023" s="147">
        <v>1.30433</v>
      </c>
      <c r="M4023" s="147">
        <v>2.4</v>
      </c>
      <c r="N4023" s="147">
        <v>-1.0956699999999999</v>
      </c>
      <c r="O4023" s="147">
        <v>-45.65291666666667</v>
      </c>
      <c r="P4023" s="147">
        <v>0.21342</v>
      </c>
      <c r="Q4023" s="147">
        <v>1.09091</v>
      </c>
      <c r="R4023" s="147">
        <v>511.1564052103833</v>
      </c>
    </row>
    <row r="4024" spans="2:18" ht="15.75" hidden="1" thickBot="1" x14ac:dyDescent="0.3">
      <c r="B4024" s="724" t="s">
        <v>796</v>
      </c>
      <c r="C4024" s="722" t="s">
        <v>77</v>
      </c>
      <c r="D4024" t="s">
        <v>78</v>
      </c>
      <c r="E4024" s="148">
        <v>-0.17843000000000001</v>
      </c>
      <c r="F4024" s="148">
        <v>1.2</v>
      </c>
      <c r="G4024" s="148">
        <v>-1.37843</v>
      </c>
      <c r="H4024" s="148">
        <v>-114.86916666666667</v>
      </c>
      <c r="I4024" s="728"/>
      <c r="J4024" s="148">
        <v>-0.17843000000000001</v>
      </c>
      <c r="K4024" s="148">
        <v>0</v>
      </c>
      <c r="L4024" s="148">
        <v>7.55436</v>
      </c>
      <c r="M4024" s="148">
        <v>15.5</v>
      </c>
      <c r="N4024" s="148">
        <v>-7.94564</v>
      </c>
      <c r="O4024" s="148">
        <v>-51.262193548387096</v>
      </c>
      <c r="P4024" s="148">
        <v>5.7123900000000001</v>
      </c>
      <c r="Q4024" s="148">
        <v>1.8419700000000001</v>
      </c>
      <c r="R4024" s="148">
        <v>32.24517233592244</v>
      </c>
    </row>
    <row r="4025" spans="2:18" ht="15.75" hidden="1" thickBot="1" x14ac:dyDescent="0.3">
      <c r="B4025" s="724" t="s">
        <v>796</v>
      </c>
      <c r="C4025" s="722" t="s">
        <v>79</v>
      </c>
      <c r="D4025" t="s">
        <v>80</v>
      </c>
      <c r="E4025" s="147">
        <v>0.53808</v>
      </c>
      <c r="F4025" s="729"/>
      <c r="G4025" s="147">
        <v>0.53808</v>
      </c>
      <c r="H4025" s="147">
        <v>0</v>
      </c>
      <c r="I4025" s="729"/>
      <c r="J4025" s="147">
        <v>0.53808</v>
      </c>
      <c r="K4025" s="147">
        <v>0</v>
      </c>
      <c r="L4025" s="147">
        <v>11.452249999999999</v>
      </c>
      <c r="M4025" s="729"/>
      <c r="N4025" s="147">
        <v>11.452249999999999</v>
      </c>
      <c r="O4025" s="147">
        <v>0</v>
      </c>
      <c r="P4025" s="147">
        <v>2.2957200000000002</v>
      </c>
      <c r="Q4025" s="147">
        <v>9.1565300000000001</v>
      </c>
      <c r="R4025" s="147">
        <v>398.85221194222294</v>
      </c>
    </row>
    <row r="4026" spans="2:18" ht="15.75" hidden="1" thickBot="1" x14ac:dyDescent="0.3">
      <c r="B4026" s="724" t="s">
        <v>796</v>
      </c>
      <c r="C4026" s="722" t="s">
        <v>81</v>
      </c>
      <c r="D4026" t="s">
        <v>82</v>
      </c>
      <c r="E4026" s="728"/>
      <c r="F4026" s="728"/>
      <c r="G4026" s="728"/>
      <c r="H4026" s="728"/>
      <c r="I4026" s="728"/>
      <c r="J4026" s="728"/>
      <c r="K4026" s="728"/>
      <c r="L4026" s="148">
        <v>0.4</v>
      </c>
      <c r="M4026" s="728"/>
      <c r="N4026" s="148">
        <v>0.4</v>
      </c>
      <c r="O4026" s="148">
        <v>0</v>
      </c>
      <c r="P4026" s="148">
        <v>0.4</v>
      </c>
      <c r="Q4026" s="148">
        <v>0</v>
      </c>
      <c r="R4026" s="148">
        <v>0</v>
      </c>
    </row>
    <row r="4027" spans="2:18" ht="15.75" hidden="1" thickBot="1" x14ac:dyDescent="0.3">
      <c r="B4027" s="724" t="s">
        <v>796</v>
      </c>
      <c r="C4027" s="722" t="s">
        <v>123</v>
      </c>
      <c r="D4027" t="s">
        <v>124</v>
      </c>
      <c r="E4027" s="729"/>
      <c r="F4027" s="729"/>
      <c r="G4027" s="729"/>
      <c r="H4027" s="729"/>
      <c r="I4027" s="729"/>
      <c r="J4027" s="729"/>
      <c r="K4027" s="729"/>
      <c r="L4027" s="147">
        <v>5.7499999999999999E-3</v>
      </c>
      <c r="M4027" s="729"/>
      <c r="N4027" s="147">
        <v>5.7499999999999999E-3</v>
      </c>
      <c r="O4027" s="147">
        <v>0</v>
      </c>
      <c r="P4027" s="147">
        <v>5.7499999999999999E-3</v>
      </c>
      <c r="Q4027" s="147">
        <v>0</v>
      </c>
      <c r="R4027" s="147">
        <v>0</v>
      </c>
    </row>
    <row r="4028" spans="2:18" ht="15.75" hidden="1" thickBot="1" x14ac:dyDescent="0.3">
      <c r="B4028" s="724" t="s">
        <v>796</v>
      </c>
      <c r="C4028" s="149" t="s">
        <v>85</v>
      </c>
      <c r="D4028" t="s">
        <v>86</v>
      </c>
      <c r="E4028" s="148">
        <v>3.2657099999999999</v>
      </c>
      <c r="F4028" s="148">
        <v>2.1</v>
      </c>
      <c r="G4028" s="148">
        <v>1.16571</v>
      </c>
      <c r="H4028" s="148">
        <v>55.51</v>
      </c>
      <c r="I4028" s="728"/>
      <c r="J4028" s="148">
        <v>3.2657099999999999</v>
      </c>
      <c r="K4028" s="148">
        <v>0</v>
      </c>
      <c r="L4028" s="148">
        <v>48.308630000000001</v>
      </c>
      <c r="M4028" s="148">
        <v>23.7</v>
      </c>
      <c r="N4028" s="148">
        <v>24.608630000000002</v>
      </c>
      <c r="O4028" s="148">
        <v>103.83388185654009</v>
      </c>
      <c r="P4028" s="148">
        <v>23.33231</v>
      </c>
      <c r="Q4028" s="148">
        <v>24.976320000000001</v>
      </c>
      <c r="R4028" s="148">
        <v>107.04606616318745</v>
      </c>
    </row>
    <row r="4029" spans="2:18" ht="15.75" hidden="1" thickBot="1" x14ac:dyDescent="0.3">
      <c r="B4029" s="724" t="s">
        <v>796</v>
      </c>
      <c r="C4029" s="144" t="s">
        <v>87</v>
      </c>
      <c r="D4029" t="s">
        <v>87</v>
      </c>
      <c r="E4029" s="147">
        <v>80.806200000000004</v>
      </c>
      <c r="F4029" s="147">
        <v>64.762649999999994</v>
      </c>
      <c r="G4029" s="147">
        <v>16.04355</v>
      </c>
      <c r="H4029" s="147">
        <v>24.772843606615851</v>
      </c>
      <c r="I4029" s="729"/>
      <c r="J4029" s="147">
        <v>80.806200000000004</v>
      </c>
      <c r="K4029" s="147">
        <v>0</v>
      </c>
      <c r="L4029" s="147">
        <v>985.47168999999997</v>
      </c>
      <c r="M4029" s="147">
        <v>771.70694000000003</v>
      </c>
      <c r="N4029" s="147">
        <v>213.76474999999999</v>
      </c>
      <c r="O4029" s="147">
        <v>27.700249786531661</v>
      </c>
      <c r="P4029" s="147">
        <v>488.92914999999999</v>
      </c>
      <c r="Q4029" s="147">
        <v>496.54253999999997</v>
      </c>
      <c r="R4029" s="147">
        <v>101.5571560828394</v>
      </c>
    </row>
    <row r="4030" spans="2:18" ht="15.75" hidden="1" thickBot="1" x14ac:dyDescent="0.3">
      <c r="B4030" s="724" t="s">
        <v>797</v>
      </c>
      <c r="C4030" s="722" t="s">
        <v>69</v>
      </c>
      <c r="D4030" t="s">
        <v>70</v>
      </c>
      <c r="E4030" s="148">
        <v>0.2</v>
      </c>
      <c r="F4030" s="728"/>
      <c r="G4030" s="148">
        <v>0.2</v>
      </c>
      <c r="H4030" s="148">
        <v>0</v>
      </c>
      <c r="I4030" s="728"/>
      <c r="J4030" s="148">
        <v>0.2</v>
      </c>
      <c r="K4030" s="148">
        <v>0</v>
      </c>
      <c r="L4030" s="148">
        <v>0.2</v>
      </c>
      <c r="M4030" s="728"/>
      <c r="N4030" s="148">
        <v>0.2</v>
      </c>
      <c r="O4030" s="148">
        <v>0</v>
      </c>
      <c r="P4030" s="728"/>
      <c r="Q4030" s="148">
        <v>0.2</v>
      </c>
      <c r="R4030" s="148">
        <v>0</v>
      </c>
    </row>
    <row r="4031" spans="2:18" ht="15.75" hidden="1" thickBot="1" x14ac:dyDescent="0.3">
      <c r="B4031" s="724" t="s">
        <v>797</v>
      </c>
      <c r="C4031" s="722" t="s">
        <v>101</v>
      </c>
      <c r="D4031" t="s">
        <v>102</v>
      </c>
      <c r="E4031" s="729"/>
      <c r="F4031" s="729"/>
      <c r="G4031" s="729"/>
      <c r="H4031" s="729"/>
      <c r="I4031" s="729"/>
      <c r="J4031" s="729"/>
      <c r="K4031" s="729"/>
      <c r="L4031" s="147">
        <v>-6.1577999999999999</v>
      </c>
      <c r="M4031" s="729"/>
      <c r="N4031" s="147">
        <v>-6.1577999999999999</v>
      </c>
      <c r="O4031" s="147">
        <v>0</v>
      </c>
      <c r="P4031" s="147">
        <v>-6.1577999999999999</v>
      </c>
      <c r="Q4031" s="147">
        <v>0</v>
      </c>
      <c r="R4031" s="147">
        <v>0</v>
      </c>
    </row>
    <row r="4032" spans="2:18" ht="15.75" hidden="1" thickBot="1" x14ac:dyDescent="0.3">
      <c r="B4032" s="724" t="s">
        <v>797</v>
      </c>
      <c r="C4032" s="722" t="s">
        <v>147</v>
      </c>
      <c r="D4032" t="s">
        <v>148</v>
      </c>
      <c r="E4032" s="148">
        <v>0.20069999999999999</v>
      </c>
      <c r="F4032" s="728"/>
      <c r="G4032" s="148">
        <v>0.20069999999999999</v>
      </c>
      <c r="H4032" s="148">
        <v>0</v>
      </c>
      <c r="I4032" s="728"/>
      <c r="J4032" s="148">
        <v>0.20069999999999999</v>
      </c>
      <c r="K4032" s="148">
        <v>0</v>
      </c>
      <c r="L4032" s="148">
        <v>1.0472300000000001</v>
      </c>
      <c r="M4032" s="728"/>
      <c r="N4032" s="148">
        <v>1.0472300000000001</v>
      </c>
      <c r="O4032" s="148">
        <v>0</v>
      </c>
      <c r="P4032" s="148">
        <v>0.15629999999999999</v>
      </c>
      <c r="Q4032" s="148">
        <v>0.89093</v>
      </c>
      <c r="R4032" s="148">
        <v>570.01279590531033</v>
      </c>
    </row>
    <row r="4033" spans="2:18" ht="15.75" hidden="1" thickBot="1" x14ac:dyDescent="0.3">
      <c r="B4033" s="724" t="s">
        <v>797</v>
      </c>
      <c r="C4033" s="722" t="s">
        <v>203</v>
      </c>
      <c r="D4033" t="s">
        <v>204</v>
      </c>
      <c r="E4033" s="729"/>
      <c r="F4033" s="147">
        <v>28.166979999999999</v>
      </c>
      <c r="G4033" s="147">
        <v>-28.166979999999999</v>
      </c>
      <c r="H4033" s="147">
        <v>-100</v>
      </c>
      <c r="I4033" s="729"/>
      <c r="J4033" s="729"/>
      <c r="K4033" s="729"/>
      <c r="L4033" s="147">
        <v>0.93908000000000003</v>
      </c>
      <c r="M4033" s="147">
        <v>662.79097999999999</v>
      </c>
      <c r="N4033" s="147">
        <v>-661.8519</v>
      </c>
      <c r="O4033" s="147">
        <v>-99.85831430596717</v>
      </c>
      <c r="P4033" s="147">
        <v>0.76729999999999998</v>
      </c>
      <c r="Q4033" s="147">
        <v>0.17177999999999999</v>
      </c>
      <c r="R4033" s="147">
        <v>22.387592858073766</v>
      </c>
    </row>
    <row r="4034" spans="2:18" ht="15.75" hidden="1" thickBot="1" x14ac:dyDescent="0.3">
      <c r="B4034" s="724" t="s">
        <v>797</v>
      </c>
      <c r="C4034" s="722" t="s">
        <v>641</v>
      </c>
      <c r="D4034" t="s">
        <v>642</v>
      </c>
      <c r="E4034" s="148">
        <v>83.165539999999993</v>
      </c>
      <c r="F4034" s="728"/>
      <c r="G4034" s="148">
        <v>83.165539999999993</v>
      </c>
      <c r="H4034" s="148">
        <v>0</v>
      </c>
      <c r="I4034" s="728"/>
      <c r="J4034" s="148">
        <v>83.165539999999993</v>
      </c>
      <c r="K4034" s="148">
        <v>0</v>
      </c>
      <c r="L4034" s="148">
        <v>607.28704000000005</v>
      </c>
      <c r="M4034" s="728"/>
      <c r="N4034" s="148">
        <v>607.28704000000005</v>
      </c>
      <c r="O4034" s="148">
        <v>0</v>
      </c>
      <c r="P4034" s="148">
        <v>303.59643</v>
      </c>
      <c r="Q4034" s="148">
        <v>303.69060999999999</v>
      </c>
      <c r="R4034" s="148">
        <v>100.03102144514676</v>
      </c>
    </row>
    <row r="4035" spans="2:18" ht="15.75" hidden="1" thickBot="1" x14ac:dyDescent="0.3">
      <c r="B4035" s="724" t="s">
        <v>797</v>
      </c>
      <c r="C4035" s="149" t="s">
        <v>85</v>
      </c>
      <c r="D4035" t="s">
        <v>86</v>
      </c>
      <c r="E4035" s="147">
        <v>83.566239999999993</v>
      </c>
      <c r="F4035" s="147">
        <v>28.166979999999999</v>
      </c>
      <c r="G4035" s="147">
        <v>55.399259999999998</v>
      </c>
      <c r="H4035" s="147">
        <v>196.68157537655793</v>
      </c>
      <c r="I4035" s="729"/>
      <c r="J4035" s="147">
        <v>83.566239999999993</v>
      </c>
      <c r="K4035" s="147">
        <v>0</v>
      </c>
      <c r="L4035" s="147">
        <v>603.31555000000003</v>
      </c>
      <c r="M4035" s="147">
        <v>662.79097999999999</v>
      </c>
      <c r="N4035" s="147">
        <v>-59.475430000000003</v>
      </c>
      <c r="O4035" s="147">
        <v>-8.9734821074360429</v>
      </c>
      <c r="P4035" s="147">
        <v>298.36223000000001</v>
      </c>
      <c r="Q4035" s="147">
        <v>304.95332000000002</v>
      </c>
      <c r="R4035" s="147">
        <v>102.2090899374227</v>
      </c>
    </row>
    <row r="4036" spans="2:18" ht="15.75" hidden="1" thickBot="1" x14ac:dyDescent="0.3">
      <c r="B4036" s="724" t="s">
        <v>797</v>
      </c>
      <c r="C4036" s="144" t="s">
        <v>87</v>
      </c>
      <c r="D4036" t="s">
        <v>87</v>
      </c>
      <c r="E4036" s="148">
        <v>83.566239999999993</v>
      </c>
      <c r="F4036" s="148">
        <v>28.166979999999999</v>
      </c>
      <c r="G4036" s="148">
        <v>55.399259999999998</v>
      </c>
      <c r="H4036" s="148">
        <v>196.68157537655793</v>
      </c>
      <c r="I4036" s="728"/>
      <c r="J4036" s="148">
        <v>83.566239999999993</v>
      </c>
      <c r="K4036" s="148">
        <v>0</v>
      </c>
      <c r="L4036" s="148">
        <v>603.31555000000003</v>
      </c>
      <c r="M4036" s="148">
        <v>662.79097999999999</v>
      </c>
      <c r="N4036" s="148">
        <v>-59.475430000000003</v>
      </c>
      <c r="O4036" s="148">
        <v>-8.9734821074360429</v>
      </c>
      <c r="P4036" s="148">
        <v>298.36223000000001</v>
      </c>
      <c r="Q4036" s="148">
        <v>304.95332000000002</v>
      </c>
      <c r="R4036" s="148">
        <v>102.2090899374227</v>
      </c>
    </row>
    <row r="4037" spans="2:18" ht="15.75" hidden="1" thickBot="1" x14ac:dyDescent="0.3">
      <c r="B4037" s="724" t="s">
        <v>798</v>
      </c>
      <c r="C4037" s="722" t="s">
        <v>59</v>
      </c>
      <c r="D4037" t="s">
        <v>60</v>
      </c>
      <c r="E4037" s="147">
        <v>10.73259</v>
      </c>
      <c r="F4037" s="147">
        <v>12.89715</v>
      </c>
      <c r="G4037" s="147">
        <v>-2.1645599999999998</v>
      </c>
      <c r="H4037" s="147">
        <v>-16.783242809457903</v>
      </c>
      <c r="I4037" s="729"/>
      <c r="J4037" s="147">
        <v>10.73259</v>
      </c>
      <c r="K4037" s="147">
        <v>0</v>
      </c>
      <c r="L4037" s="147">
        <v>139.40493000000001</v>
      </c>
      <c r="M4037" s="147">
        <v>153.95388</v>
      </c>
      <c r="N4037" s="147">
        <v>-14.54895</v>
      </c>
      <c r="O4037" s="147">
        <v>-9.4502002807594074</v>
      </c>
      <c r="P4037" s="147">
        <v>77.689639999999997</v>
      </c>
      <c r="Q4037" s="147">
        <v>61.715290000000003</v>
      </c>
      <c r="R4037" s="147">
        <v>79.438249424247559</v>
      </c>
    </row>
    <row r="4038" spans="2:18" ht="15.75" hidden="1" thickBot="1" x14ac:dyDescent="0.3">
      <c r="B4038" s="724" t="s">
        <v>798</v>
      </c>
      <c r="C4038" s="722" t="s">
        <v>61</v>
      </c>
      <c r="D4038" t="s">
        <v>62</v>
      </c>
      <c r="E4038" s="148">
        <v>1.7867999999999999</v>
      </c>
      <c r="F4038" s="148">
        <v>1.9990600000000001</v>
      </c>
      <c r="G4038" s="148">
        <v>-0.21226</v>
      </c>
      <c r="H4038" s="148">
        <v>-10.617990455514091</v>
      </c>
      <c r="I4038" s="728"/>
      <c r="J4038" s="148">
        <v>1.7867999999999999</v>
      </c>
      <c r="K4038" s="148">
        <v>0</v>
      </c>
      <c r="L4038" s="148">
        <v>21.54983</v>
      </c>
      <c r="M4038" s="148">
        <v>23.862860000000001</v>
      </c>
      <c r="N4038" s="148">
        <v>-2.3130299999999999</v>
      </c>
      <c r="O4038" s="148">
        <v>-9.693012488863447</v>
      </c>
      <c r="P4038" s="148">
        <v>10.99919</v>
      </c>
      <c r="Q4038" s="148">
        <v>10.55064</v>
      </c>
      <c r="R4038" s="148">
        <v>95.921972436152117</v>
      </c>
    </row>
    <row r="4039" spans="2:18" ht="15.75" hidden="1" thickBot="1" x14ac:dyDescent="0.3">
      <c r="B4039" s="724" t="s">
        <v>798</v>
      </c>
      <c r="C4039" s="722" t="s">
        <v>63</v>
      </c>
      <c r="D4039" t="s">
        <v>64</v>
      </c>
      <c r="E4039" s="147">
        <v>6.9415800000000001</v>
      </c>
      <c r="F4039" s="147">
        <v>7.77698</v>
      </c>
      <c r="G4039" s="147">
        <v>-0.83540000000000003</v>
      </c>
      <c r="H4039" s="147">
        <v>-10.741958960933422</v>
      </c>
      <c r="I4039" s="729"/>
      <c r="J4039" s="147">
        <v>6.9415800000000001</v>
      </c>
      <c r="K4039" s="147">
        <v>0</v>
      </c>
      <c r="L4039" s="147">
        <v>83.719449999999995</v>
      </c>
      <c r="M4039" s="147">
        <v>92.834180000000003</v>
      </c>
      <c r="N4039" s="147">
        <v>-9.1147299999999998</v>
      </c>
      <c r="O4039" s="147">
        <v>-9.8182910647780801</v>
      </c>
      <c r="P4039" s="147">
        <v>42.731079999999999</v>
      </c>
      <c r="Q4039" s="147">
        <v>40.988370000000003</v>
      </c>
      <c r="R4039" s="147">
        <v>95.921680425582508</v>
      </c>
    </row>
    <row r="4040" spans="2:18" ht="15.75" hidden="1" thickBot="1" x14ac:dyDescent="0.3">
      <c r="B4040" s="724" t="s">
        <v>798</v>
      </c>
      <c r="C4040" s="722" t="s">
        <v>184</v>
      </c>
      <c r="D4040" t="s">
        <v>185</v>
      </c>
      <c r="E4040" s="728"/>
      <c r="F4040" s="728"/>
      <c r="G4040" s="728"/>
      <c r="H4040" s="728"/>
      <c r="I4040" s="728"/>
      <c r="J4040" s="728"/>
      <c r="K4040" s="728"/>
      <c r="L4040" s="148">
        <v>0.68349000000000004</v>
      </c>
      <c r="M4040" s="728"/>
      <c r="N4040" s="148">
        <v>0.68349000000000004</v>
      </c>
      <c r="O4040" s="148">
        <v>0</v>
      </c>
      <c r="P4040" s="148">
        <v>0.68349000000000004</v>
      </c>
      <c r="Q4040" s="148">
        <v>0</v>
      </c>
      <c r="R4040" s="148">
        <v>0</v>
      </c>
    </row>
    <row r="4041" spans="2:18" ht="15.75" hidden="1" thickBot="1" x14ac:dyDescent="0.3">
      <c r="B4041" s="724" t="s">
        <v>798</v>
      </c>
      <c r="C4041" s="722" t="s">
        <v>65</v>
      </c>
      <c r="D4041" t="s">
        <v>66</v>
      </c>
      <c r="E4041" s="147">
        <v>-10.92726</v>
      </c>
      <c r="F4041" s="147">
        <v>-11.336600000000001</v>
      </c>
      <c r="G4041" s="147">
        <v>0.40933999999999998</v>
      </c>
      <c r="H4041" s="147">
        <v>3.6107827743767973</v>
      </c>
      <c r="I4041" s="729"/>
      <c r="J4041" s="147">
        <v>-10.92726</v>
      </c>
      <c r="K4041" s="147">
        <v>0</v>
      </c>
      <c r="L4041" s="147">
        <v>-137.73802000000001</v>
      </c>
      <c r="M4041" s="147">
        <v>-135.32552000000001</v>
      </c>
      <c r="N4041" s="147">
        <v>-2.4125000000000001</v>
      </c>
      <c r="O4041" s="147">
        <v>-1.7827383925810889</v>
      </c>
      <c r="P4041" s="147">
        <v>-71.649739999999994</v>
      </c>
      <c r="Q4041" s="147">
        <v>-66.088279999999997</v>
      </c>
      <c r="R4041" s="147">
        <v>-92.23798997735372</v>
      </c>
    </row>
    <row r="4042" spans="2:18" ht="15.75" hidden="1" thickBot="1" x14ac:dyDescent="0.3">
      <c r="B4042" s="724" t="s">
        <v>798</v>
      </c>
      <c r="C4042" s="149" t="s">
        <v>67</v>
      </c>
      <c r="D4042" t="s">
        <v>68</v>
      </c>
      <c r="E4042" s="148">
        <v>8.5337099999999992</v>
      </c>
      <c r="F4042" s="148">
        <v>11.336589999999999</v>
      </c>
      <c r="G4042" s="148">
        <v>-2.80288</v>
      </c>
      <c r="H4042" s="148">
        <v>-24.724189549061933</v>
      </c>
      <c r="I4042" s="728"/>
      <c r="J4042" s="148">
        <v>8.5337099999999992</v>
      </c>
      <c r="K4042" s="148">
        <v>0</v>
      </c>
      <c r="L4042" s="148">
        <v>107.61968</v>
      </c>
      <c r="M4042" s="148">
        <v>135.3254</v>
      </c>
      <c r="N4042" s="148">
        <v>-27.705719999999999</v>
      </c>
      <c r="O4042" s="148">
        <v>-20.473407061793278</v>
      </c>
      <c r="P4042" s="148">
        <v>60.453659999999999</v>
      </c>
      <c r="Q4042" s="148">
        <v>47.166020000000003</v>
      </c>
      <c r="R4042" s="148">
        <v>78.020123181954574</v>
      </c>
    </row>
    <row r="4043" spans="2:18" ht="15.75" hidden="1" thickBot="1" x14ac:dyDescent="0.3">
      <c r="B4043" s="724" t="s">
        <v>798</v>
      </c>
      <c r="C4043" s="722" t="s">
        <v>582</v>
      </c>
      <c r="D4043" t="s">
        <v>583</v>
      </c>
      <c r="E4043" s="729"/>
      <c r="F4043" s="147">
        <v>0.52500000000000002</v>
      </c>
      <c r="G4043" s="147">
        <v>-0.52500000000000002</v>
      </c>
      <c r="H4043" s="147">
        <v>-100</v>
      </c>
      <c r="I4043" s="729"/>
      <c r="J4043" s="729"/>
      <c r="K4043" s="729"/>
      <c r="L4043" s="147">
        <v>1.3125</v>
      </c>
      <c r="M4043" s="147">
        <v>6.3</v>
      </c>
      <c r="N4043" s="147">
        <v>-4.9874999999999998</v>
      </c>
      <c r="O4043" s="147">
        <v>-79.166666666666671</v>
      </c>
      <c r="P4043" s="147">
        <v>1.3125</v>
      </c>
      <c r="Q4043" s="147">
        <v>0</v>
      </c>
      <c r="R4043" s="147">
        <v>0</v>
      </c>
    </row>
    <row r="4044" spans="2:18" ht="15.75" hidden="1" thickBot="1" x14ac:dyDescent="0.3">
      <c r="B4044" s="724" t="s">
        <v>798</v>
      </c>
      <c r="C4044" s="722" t="s">
        <v>165</v>
      </c>
      <c r="D4044" t="s">
        <v>166</v>
      </c>
      <c r="E4044" s="728"/>
      <c r="F4044" s="728"/>
      <c r="G4044" s="728"/>
      <c r="H4044" s="728"/>
      <c r="I4044" s="728"/>
      <c r="J4044" s="728"/>
      <c r="K4044" s="728"/>
      <c r="L4044" s="148">
        <v>0.34659000000000001</v>
      </c>
      <c r="M4044" s="728"/>
      <c r="N4044" s="148">
        <v>0.34659000000000001</v>
      </c>
      <c r="O4044" s="148">
        <v>0</v>
      </c>
      <c r="P4044" s="148">
        <v>0.34659000000000001</v>
      </c>
      <c r="Q4044" s="148">
        <v>0</v>
      </c>
      <c r="R4044" s="148">
        <v>0</v>
      </c>
    </row>
    <row r="4045" spans="2:18" ht="15.75" hidden="1" thickBot="1" x14ac:dyDescent="0.3">
      <c r="B4045" s="724" t="s">
        <v>798</v>
      </c>
      <c r="C4045" s="722" t="s">
        <v>36</v>
      </c>
      <c r="D4045" t="s">
        <v>192</v>
      </c>
      <c r="E4045" s="729"/>
      <c r="F4045" s="729"/>
      <c r="G4045" s="729"/>
      <c r="H4045" s="729"/>
      <c r="I4045" s="729"/>
      <c r="J4045" s="729"/>
      <c r="K4045" s="729"/>
      <c r="L4045" s="147">
        <v>9.5729999999999996E-2</v>
      </c>
      <c r="M4045" s="729"/>
      <c r="N4045" s="147">
        <v>9.5729999999999996E-2</v>
      </c>
      <c r="O4045" s="147">
        <v>0</v>
      </c>
      <c r="P4045" s="147">
        <v>9.5729999999999996E-2</v>
      </c>
      <c r="Q4045" s="147">
        <v>0</v>
      </c>
      <c r="R4045" s="147">
        <v>0</v>
      </c>
    </row>
    <row r="4046" spans="2:18" ht="15.75" hidden="1" thickBot="1" x14ac:dyDescent="0.3">
      <c r="B4046" s="724" t="s">
        <v>798</v>
      </c>
      <c r="C4046" s="722" t="s">
        <v>139</v>
      </c>
      <c r="D4046" t="s">
        <v>140</v>
      </c>
      <c r="E4046" s="728"/>
      <c r="F4046" s="728"/>
      <c r="G4046" s="728"/>
      <c r="H4046" s="728"/>
      <c r="I4046" s="728"/>
      <c r="J4046" s="728"/>
      <c r="K4046" s="728"/>
      <c r="L4046" s="148">
        <v>0.25</v>
      </c>
      <c r="M4046" s="728"/>
      <c r="N4046" s="148">
        <v>0.25</v>
      </c>
      <c r="O4046" s="148">
        <v>0</v>
      </c>
      <c r="P4046" s="148">
        <v>0.25</v>
      </c>
      <c r="Q4046" s="148">
        <v>0</v>
      </c>
      <c r="R4046" s="148">
        <v>0</v>
      </c>
    </row>
    <row r="4047" spans="2:18" ht="15.75" hidden="1" thickBot="1" x14ac:dyDescent="0.3">
      <c r="B4047" s="724" t="s">
        <v>798</v>
      </c>
      <c r="C4047" s="722" t="s">
        <v>101</v>
      </c>
      <c r="D4047" t="s">
        <v>102</v>
      </c>
      <c r="E4047" s="147">
        <v>0.78</v>
      </c>
      <c r="F4047" s="729"/>
      <c r="G4047" s="147">
        <v>0.78</v>
      </c>
      <c r="H4047" s="147">
        <v>0</v>
      </c>
      <c r="I4047" s="729"/>
      <c r="J4047" s="147">
        <v>0.78</v>
      </c>
      <c r="K4047" s="147">
        <v>0</v>
      </c>
      <c r="L4047" s="147">
        <v>1.49725</v>
      </c>
      <c r="M4047" s="729"/>
      <c r="N4047" s="147">
        <v>1.49725</v>
      </c>
      <c r="O4047" s="147">
        <v>0</v>
      </c>
      <c r="P4047" s="147">
        <v>0.61599999999999999</v>
      </c>
      <c r="Q4047" s="147">
        <v>0.88124999999999998</v>
      </c>
      <c r="R4047" s="147">
        <v>143.06006493506493</v>
      </c>
    </row>
    <row r="4048" spans="2:18" ht="15.75" hidden="1" thickBot="1" x14ac:dyDescent="0.3">
      <c r="B4048" s="724" t="s">
        <v>798</v>
      </c>
      <c r="C4048" s="722" t="s">
        <v>103</v>
      </c>
      <c r="D4048" t="s">
        <v>104</v>
      </c>
      <c r="E4048" s="728"/>
      <c r="F4048" s="728"/>
      <c r="G4048" s="728"/>
      <c r="H4048" s="728"/>
      <c r="I4048" s="728"/>
      <c r="J4048" s="728"/>
      <c r="K4048" s="728"/>
      <c r="L4048" s="148">
        <v>0.1</v>
      </c>
      <c r="M4048" s="728"/>
      <c r="N4048" s="148">
        <v>0.1</v>
      </c>
      <c r="O4048" s="148">
        <v>0</v>
      </c>
      <c r="P4048" s="148">
        <v>0.1</v>
      </c>
      <c r="Q4048" s="148">
        <v>0</v>
      </c>
      <c r="R4048" s="148">
        <v>0</v>
      </c>
    </row>
    <row r="4049" spans="2:18" ht="15.75" hidden="1" thickBot="1" x14ac:dyDescent="0.3">
      <c r="B4049" s="724" t="s">
        <v>798</v>
      </c>
      <c r="C4049" s="722" t="s">
        <v>73</v>
      </c>
      <c r="D4049" t="s">
        <v>74</v>
      </c>
      <c r="E4049" s="729"/>
      <c r="F4049" s="729"/>
      <c r="G4049" s="729"/>
      <c r="H4049" s="729"/>
      <c r="I4049" s="729"/>
      <c r="J4049" s="729"/>
      <c r="K4049" s="729"/>
      <c r="L4049" s="147">
        <v>8.8999999999999996E-2</v>
      </c>
      <c r="M4049" s="729"/>
      <c r="N4049" s="147">
        <v>8.8999999999999996E-2</v>
      </c>
      <c r="O4049" s="147">
        <v>0</v>
      </c>
      <c r="P4049" s="147">
        <v>6.3020000000000007E-2</v>
      </c>
      <c r="Q4049" s="147">
        <v>2.598E-2</v>
      </c>
      <c r="R4049" s="147">
        <v>41.225007933989211</v>
      </c>
    </row>
    <row r="4050" spans="2:18" ht="15.75" hidden="1" thickBot="1" x14ac:dyDescent="0.3">
      <c r="B4050" s="724" t="s">
        <v>798</v>
      </c>
      <c r="C4050" s="722" t="s">
        <v>113</v>
      </c>
      <c r="D4050" t="s">
        <v>114</v>
      </c>
      <c r="E4050" s="148">
        <v>8.3999999999999995E-3</v>
      </c>
      <c r="F4050" s="728"/>
      <c r="G4050" s="148">
        <v>8.3999999999999995E-3</v>
      </c>
      <c r="H4050" s="148">
        <v>0</v>
      </c>
      <c r="I4050" s="728"/>
      <c r="J4050" s="148">
        <v>8.3999999999999995E-3</v>
      </c>
      <c r="K4050" s="148">
        <v>0</v>
      </c>
      <c r="L4050" s="148">
        <v>0.24815000000000001</v>
      </c>
      <c r="M4050" s="728"/>
      <c r="N4050" s="148">
        <v>0.24815000000000001</v>
      </c>
      <c r="O4050" s="148">
        <v>0</v>
      </c>
      <c r="P4050" s="148">
        <v>2.7199999999999998E-2</v>
      </c>
      <c r="Q4050" s="148">
        <v>0.22095000000000001</v>
      </c>
      <c r="R4050" s="148">
        <v>812.31617647058829</v>
      </c>
    </row>
    <row r="4051" spans="2:18" ht="15.75" hidden="1" thickBot="1" x14ac:dyDescent="0.3">
      <c r="B4051" s="724" t="s">
        <v>798</v>
      </c>
      <c r="C4051" s="722" t="s">
        <v>145</v>
      </c>
      <c r="D4051" t="s">
        <v>146</v>
      </c>
      <c r="E4051" s="147">
        <v>1.005E-2</v>
      </c>
      <c r="F4051" s="729"/>
      <c r="G4051" s="147">
        <v>1.005E-2</v>
      </c>
      <c r="H4051" s="147">
        <v>0</v>
      </c>
      <c r="I4051" s="729"/>
      <c r="J4051" s="147">
        <v>1.005E-2</v>
      </c>
      <c r="K4051" s="147">
        <v>0</v>
      </c>
      <c r="L4051" s="147">
        <v>0.44005</v>
      </c>
      <c r="M4051" s="729"/>
      <c r="N4051" s="147">
        <v>0.44005</v>
      </c>
      <c r="O4051" s="147">
        <v>0</v>
      </c>
      <c r="P4051" s="147">
        <v>0.21</v>
      </c>
      <c r="Q4051" s="147">
        <v>0.23005</v>
      </c>
      <c r="R4051" s="147">
        <v>109.54761904761905</v>
      </c>
    </row>
    <row r="4052" spans="2:18" ht="15.75" hidden="1" thickBot="1" x14ac:dyDescent="0.3">
      <c r="B4052" s="724" t="s">
        <v>798</v>
      </c>
      <c r="C4052" s="722" t="s">
        <v>147</v>
      </c>
      <c r="D4052" t="s">
        <v>148</v>
      </c>
      <c r="E4052" s="728"/>
      <c r="F4052" s="728"/>
      <c r="G4052" s="728"/>
      <c r="H4052" s="728"/>
      <c r="I4052" s="728"/>
      <c r="J4052" s="728"/>
      <c r="K4052" s="728"/>
      <c r="L4052" s="148">
        <v>5.6000000000000001E-2</v>
      </c>
      <c r="M4052" s="728"/>
      <c r="N4052" s="148">
        <v>5.6000000000000001E-2</v>
      </c>
      <c r="O4052" s="148">
        <v>0</v>
      </c>
      <c r="P4052" s="148">
        <v>3.6999999999999998E-2</v>
      </c>
      <c r="Q4052" s="148">
        <v>1.9E-2</v>
      </c>
      <c r="R4052" s="148">
        <v>51.351351351351354</v>
      </c>
    </row>
    <row r="4053" spans="2:18" ht="15.75" hidden="1" thickBot="1" x14ac:dyDescent="0.3">
      <c r="B4053" s="724" t="s">
        <v>798</v>
      </c>
      <c r="C4053" s="722" t="s">
        <v>75</v>
      </c>
      <c r="D4053" t="s">
        <v>76</v>
      </c>
      <c r="E4053" s="147">
        <v>6.4899999999999999E-2</v>
      </c>
      <c r="F4053" s="729"/>
      <c r="G4053" s="147">
        <v>6.4899999999999999E-2</v>
      </c>
      <c r="H4053" s="147">
        <v>0</v>
      </c>
      <c r="I4053" s="729"/>
      <c r="J4053" s="147">
        <v>6.4899999999999999E-2</v>
      </c>
      <c r="K4053" s="147">
        <v>0</v>
      </c>
      <c r="L4053" s="147">
        <v>3.7906300000000002</v>
      </c>
      <c r="M4053" s="729"/>
      <c r="N4053" s="147">
        <v>3.7906300000000002</v>
      </c>
      <c r="O4053" s="147">
        <v>0</v>
      </c>
      <c r="P4053" s="147">
        <v>1.65804</v>
      </c>
      <c r="Q4053" s="147">
        <v>2.13259</v>
      </c>
      <c r="R4053" s="147">
        <v>128.62114303635619</v>
      </c>
    </row>
    <row r="4054" spans="2:18" ht="15.75" hidden="1" thickBot="1" x14ac:dyDescent="0.3">
      <c r="B4054" s="724" t="s">
        <v>798</v>
      </c>
      <c r="C4054" s="722" t="s">
        <v>121</v>
      </c>
      <c r="D4054" t="s">
        <v>122</v>
      </c>
      <c r="E4054" s="728"/>
      <c r="F4054" s="728"/>
      <c r="G4054" s="728"/>
      <c r="H4054" s="728"/>
      <c r="I4054" s="728"/>
      <c r="J4054" s="728"/>
      <c r="K4054" s="728"/>
      <c r="L4054" s="148">
        <v>0.37852999999999998</v>
      </c>
      <c r="M4054" s="728"/>
      <c r="N4054" s="148">
        <v>0.37852999999999998</v>
      </c>
      <c r="O4054" s="148">
        <v>0</v>
      </c>
      <c r="P4054" s="148">
        <v>0.1191</v>
      </c>
      <c r="Q4054" s="148">
        <v>0.25942999999999999</v>
      </c>
      <c r="R4054" s="148">
        <v>217.82535684298909</v>
      </c>
    </row>
    <row r="4055" spans="2:18" ht="15.75" hidden="1" thickBot="1" x14ac:dyDescent="0.3">
      <c r="B4055" s="724" t="s">
        <v>798</v>
      </c>
      <c r="C4055" s="722" t="s">
        <v>77</v>
      </c>
      <c r="D4055" t="s">
        <v>78</v>
      </c>
      <c r="E4055" s="729"/>
      <c r="F4055" s="729"/>
      <c r="G4055" s="729"/>
      <c r="H4055" s="729"/>
      <c r="I4055" s="729"/>
      <c r="J4055" s="729"/>
      <c r="K4055" s="729"/>
      <c r="L4055" s="147">
        <v>6.6289300000000004</v>
      </c>
      <c r="M4055" s="729"/>
      <c r="N4055" s="147">
        <v>6.6289300000000004</v>
      </c>
      <c r="O4055" s="147">
        <v>0</v>
      </c>
      <c r="P4055" s="147">
        <v>1.55854</v>
      </c>
      <c r="Q4055" s="147">
        <v>5.0703899999999997</v>
      </c>
      <c r="R4055" s="147">
        <v>325.32947502149449</v>
      </c>
    </row>
    <row r="4056" spans="2:18" ht="15.75" hidden="1" thickBot="1" x14ac:dyDescent="0.3">
      <c r="B4056" s="724" t="s">
        <v>798</v>
      </c>
      <c r="C4056" s="722" t="s">
        <v>81</v>
      </c>
      <c r="D4056" t="s">
        <v>82</v>
      </c>
      <c r="E4056" s="728"/>
      <c r="F4056" s="728"/>
      <c r="G4056" s="728"/>
      <c r="H4056" s="728"/>
      <c r="I4056" s="728"/>
      <c r="J4056" s="728"/>
      <c r="K4056" s="728"/>
      <c r="L4056" s="148">
        <v>0.20707999999999999</v>
      </c>
      <c r="M4056" s="728"/>
      <c r="N4056" s="148">
        <v>0.20707999999999999</v>
      </c>
      <c r="O4056" s="148">
        <v>0</v>
      </c>
      <c r="P4056" s="148">
        <v>0.18207999999999999</v>
      </c>
      <c r="Q4056" s="148">
        <v>2.5000000000000001E-2</v>
      </c>
      <c r="R4056" s="148">
        <v>13.730228471001757</v>
      </c>
    </row>
    <row r="4057" spans="2:18" ht="15.75" hidden="1" thickBot="1" x14ac:dyDescent="0.3">
      <c r="B4057" s="724" t="s">
        <v>798</v>
      </c>
      <c r="C4057" s="722" t="s">
        <v>123</v>
      </c>
      <c r="D4057" t="s">
        <v>124</v>
      </c>
      <c r="E4057" s="729"/>
      <c r="F4057" s="729"/>
      <c r="G4057" s="729"/>
      <c r="H4057" s="729"/>
      <c r="I4057" s="729"/>
      <c r="J4057" s="729"/>
      <c r="K4057" s="729"/>
      <c r="L4057" s="147">
        <v>0.64</v>
      </c>
      <c r="M4057" s="729"/>
      <c r="N4057" s="147">
        <v>0.64</v>
      </c>
      <c r="O4057" s="147">
        <v>0</v>
      </c>
      <c r="P4057" s="147">
        <v>0.64</v>
      </c>
      <c r="Q4057" s="147">
        <v>0</v>
      </c>
      <c r="R4057" s="147">
        <v>0</v>
      </c>
    </row>
    <row r="4058" spans="2:18" ht="15.75" hidden="1" thickBot="1" x14ac:dyDescent="0.3">
      <c r="B4058" s="724" t="s">
        <v>798</v>
      </c>
      <c r="C4058" s="149" t="s">
        <v>85</v>
      </c>
      <c r="D4058" t="s">
        <v>86</v>
      </c>
      <c r="E4058" s="148">
        <v>0.86334999999999995</v>
      </c>
      <c r="F4058" s="148">
        <v>0.52500000000000002</v>
      </c>
      <c r="G4058" s="148">
        <v>0.33834999999999998</v>
      </c>
      <c r="H4058" s="148">
        <v>64.447619047619042</v>
      </c>
      <c r="I4058" s="728"/>
      <c r="J4058" s="148">
        <v>0.86334999999999995</v>
      </c>
      <c r="K4058" s="148">
        <v>0</v>
      </c>
      <c r="L4058" s="148">
        <v>16.080439999999999</v>
      </c>
      <c r="M4058" s="148">
        <v>6.3</v>
      </c>
      <c r="N4058" s="148">
        <v>9.7804400000000005</v>
      </c>
      <c r="O4058" s="148">
        <v>155.24507936507936</v>
      </c>
      <c r="P4058" s="148">
        <v>7.2157999999999998</v>
      </c>
      <c r="Q4058" s="148">
        <v>8.8646399999999996</v>
      </c>
      <c r="R4058" s="148">
        <v>122.85041159677375</v>
      </c>
    </row>
    <row r="4059" spans="2:18" ht="15.75" hidden="1" thickBot="1" x14ac:dyDescent="0.3">
      <c r="B4059" s="724" t="s">
        <v>798</v>
      </c>
      <c r="C4059" s="144" t="s">
        <v>87</v>
      </c>
      <c r="D4059" t="s">
        <v>87</v>
      </c>
      <c r="E4059" s="147">
        <v>9.3970599999999997</v>
      </c>
      <c r="F4059" s="147">
        <v>11.86159</v>
      </c>
      <c r="G4059" s="147">
        <v>-2.4645299999999999</v>
      </c>
      <c r="H4059" s="147">
        <v>-20.777399994435822</v>
      </c>
      <c r="I4059" s="729"/>
      <c r="J4059" s="147">
        <v>9.3970599999999997</v>
      </c>
      <c r="K4059" s="147">
        <v>0</v>
      </c>
      <c r="L4059" s="147">
        <v>123.70012</v>
      </c>
      <c r="M4059" s="147">
        <v>141.62540000000001</v>
      </c>
      <c r="N4059" s="147">
        <v>-17.925280000000001</v>
      </c>
      <c r="O4059" s="147">
        <v>-12.656825682398779</v>
      </c>
      <c r="P4059" s="147">
        <v>67.669460000000001</v>
      </c>
      <c r="Q4059" s="147">
        <v>56.030659999999997</v>
      </c>
      <c r="R4059" s="147">
        <v>82.800512964046121</v>
      </c>
    </row>
    <row r="4060" spans="2:18" ht="15.75" hidden="1" thickBot="1" x14ac:dyDescent="0.3">
      <c r="B4060" s="724" t="s">
        <v>799</v>
      </c>
      <c r="C4060" s="722" t="s">
        <v>59</v>
      </c>
      <c r="D4060" t="s">
        <v>60</v>
      </c>
      <c r="E4060" s="148">
        <v>86.387780000000006</v>
      </c>
      <c r="F4060" s="148">
        <v>95.891779999999997</v>
      </c>
      <c r="G4060" s="148">
        <v>-9.5039999999999996</v>
      </c>
      <c r="H4060" s="148">
        <v>-9.9111727824845879</v>
      </c>
      <c r="I4060" s="728"/>
      <c r="J4060" s="148">
        <v>86.387780000000006</v>
      </c>
      <c r="K4060" s="148">
        <v>0</v>
      </c>
      <c r="L4060" s="148">
        <v>1167.1471799999999</v>
      </c>
      <c r="M4060" s="148">
        <v>1144.6645799999999</v>
      </c>
      <c r="N4060" s="148">
        <v>22.482600000000001</v>
      </c>
      <c r="O4060" s="148">
        <v>1.964121227547724</v>
      </c>
      <c r="P4060" s="148">
        <v>609.14534000000003</v>
      </c>
      <c r="Q4060" s="148">
        <v>558.00184000000002</v>
      </c>
      <c r="R4060" s="148">
        <v>91.604056266768779</v>
      </c>
    </row>
    <row r="4061" spans="2:18" ht="15.75" hidden="1" thickBot="1" x14ac:dyDescent="0.3">
      <c r="B4061" s="724" t="s">
        <v>799</v>
      </c>
      <c r="C4061" s="722" t="s">
        <v>134</v>
      </c>
      <c r="D4061" t="s">
        <v>135</v>
      </c>
      <c r="E4061" s="729"/>
      <c r="F4061" s="729"/>
      <c r="G4061" s="729"/>
      <c r="H4061" s="729"/>
      <c r="I4061" s="729"/>
      <c r="J4061" s="729"/>
      <c r="K4061" s="729"/>
      <c r="L4061" s="147">
        <v>1.6836199999999999</v>
      </c>
      <c r="M4061" s="729"/>
      <c r="N4061" s="147">
        <v>1.6836199999999999</v>
      </c>
      <c r="O4061" s="147">
        <v>0</v>
      </c>
      <c r="P4061" s="147">
        <v>0.126</v>
      </c>
      <c r="Q4061" s="147">
        <v>1.55762</v>
      </c>
      <c r="R4061" s="147">
        <v>1236.2063492063492</v>
      </c>
    </row>
    <row r="4062" spans="2:18" ht="15.75" hidden="1" thickBot="1" x14ac:dyDescent="0.3">
      <c r="B4062" s="724" t="s">
        <v>799</v>
      </c>
      <c r="C4062" s="722" t="s">
        <v>61</v>
      </c>
      <c r="D4062" t="s">
        <v>62</v>
      </c>
      <c r="E4062" s="148">
        <v>15.103339999999999</v>
      </c>
      <c r="F4062" s="148">
        <v>14.86323</v>
      </c>
      <c r="G4062" s="148">
        <v>0.24010999999999999</v>
      </c>
      <c r="H4062" s="148">
        <v>1.6154631261172705</v>
      </c>
      <c r="I4062" s="728"/>
      <c r="J4062" s="148">
        <v>15.103339999999999</v>
      </c>
      <c r="K4062" s="148">
        <v>0</v>
      </c>
      <c r="L4062" s="148">
        <v>179.38315</v>
      </c>
      <c r="M4062" s="148">
        <v>177.42305999999999</v>
      </c>
      <c r="N4062" s="148">
        <v>1.9600900000000001</v>
      </c>
      <c r="O4062" s="148">
        <v>1.1047549286997982</v>
      </c>
      <c r="P4062" s="148">
        <v>89.124510000000001</v>
      </c>
      <c r="Q4062" s="148">
        <v>90.25864</v>
      </c>
      <c r="R4062" s="148">
        <v>101.27252312523233</v>
      </c>
    </row>
    <row r="4063" spans="2:18" ht="15.75" hidden="1" thickBot="1" x14ac:dyDescent="0.3">
      <c r="B4063" s="724" t="s">
        <v>799</v>
      </c>
      <c r="C4063" s="722" t="s">
        <v>63</v>
      </c>
      <c r="D4063" t="s">
        <v>64</v>
      </c>
      <c r="E4063" s="147">
        <v>58.675600000000003</v>
      </c>
      <c r="F4063" s="147">
        <v>57.822740000000003</v>
      </c>
      <c r="G4063" s="147">
        <v>0.85285999999999995</v>
      </c>
      <c r="H4063" s="147">
        <v>1.4749560467041167</v>
      </c>
      <c r="I4063" s="729"/>
      <c r="J4063" s="147">
        <v>58.675600000000003</v>
      </c>
      <c r="K4063" s="147">
        <v>0</v>
      </c>
      <c r="L4063" s="147">
        <v>696.89092000000005</v>
      </c>
      <c r="M4063" s="147">
        <v>690.23270000000002</v>
      </c>
      <c r="N4063" s="147">
        <v>6.65822</v>
      </c>
      <c r="O4063" s="147">
        <v>0.96463410093436608</v>
      </c>
      <c r="P4063" s="147">
        <v>346.24243999999999</v>
      </c>
      <c r="Q4063" s="147">
        <v>350.64848000000001</v>
      </c>
      <c r="R4063" s="147">
        <v>101.27253031141994</v>
      </c>
    </row>
    <row r="4064" spans="2:18" ht="15.75" hidden="1" thickBot="1" x14ac:dyDescent="0.3">
      <c r="B4064" s="724" t="s">
        <v>799</v>
      </c>
      <c r="C4064" s="149" t="s">
        <v>67</v>
      </c>
      <c r="D4064" t="s">
        <v>68</v>
      </c>
      <c r="E4064" s="148">
        <v>160.16672</v>
      </c>
      <c r="F4064" s="148">
        <v>168.57775000000001</v>
      </c>
      <c r="G4064" s="148">
        <v>-8.4110300000000002</v>
      </c>
      <c r="H4064" s="148">
        <v>-4.9894069650354211</v>
      </c>
      <c r="I4064" s="728"/>
      <c r="J4064" s="148">
        <v>160.16672</v>
      </c>
      <c r="K4064" s="148">
        <v>0</v>
      </c>
      <c r="L4064" s="148">
        <v>2045.1048699999999</v>
      </c>
      <c r="M4064" s="148">
        <v>2012.32034</v>
      </c>
      <c r="N4064" s="148">
        <v>32.784529999999997</v>
      </c>
      <c r="O4064" s="148">
        <v>1.6291904101113444</v>
      </c>
      <c r="P4064" s="148">
        <v>1044.6382900000001</v>
      </c>
      <c r="Q4064" s="148">
        <v>1000.46658</v>
      </c>
      <c r="R4064" s="148">
        <v>95.771578504938773</v>
      </c>
    </row>
    <row r="4065" spans="2:18" ht="15.75" hidden="1" thickBot="1" x14ac:dyDescent="0.3">
      <c r="B4065" s="724" t="s">
        <v>799</v>
      </c>
      <c r="C4065" s="722" t="s">
        <v>69</v>
      </c>
      <c r="D4065" t="s">
        <v>70</v>
      </c>
      <c r="E4065" s="729"/>
      <c r="F4065" s="729"/>
      <c r="G4065" s="729"/>
      <c r="H4065" s="729"/>
      <c r="I4065" s="729"/>
      <c r="J4065" s="729"/>
      <c r="K4065" s="729"/>
      <c r="L4065" s="147">
        <v>1.1399999999999999</v>
      </c>
      <c r="M4065" s="729"/>
      <c r="N4065" s="147">
        <v>1.1399999999999999</v>
      </c>
      <c r="O4065" s="147">
        <v>0</v>
      </c>
      <c r="P4065" s="729"/>
      <c r="Q4065" s="147">
        <v>1.1399999999999999</v>
      </c>
      <c r="R4065" s="147">
        <v>0</v>
      </c>
    </row>
    <row r="4066" spans="2:18" ht="15.75" hidden="1" thickBot="1" x14ac:dyDescent="0.3">
      <c r="B4066" s="724" t="s">
        <v>799</v>
      </c>
      <c r="C4066" s="722" t="s">
        <v>137</v>
      </c>
      <c r="D4066" t="s">
        <v>138</v>
      </c>
      <c r="E4066" s="728"/>
      <c r="F4066" s="148">
        <v>0.7</v>
      </c>
      <c r="G4066" s="148">
        <v>-0.7</v>
      </c>
      <c r="H4066" s="148">
        <v>-100</v>
      </c>
      <c r="I4066" s="728"/>
      <c r="J4066" s="728"/>
      <c r="K4066" s="728"/>
      <c r="L4066" s="148">
        <v>6.8669999999999995E-2</v>
      </c>
      <c r="M4066" s="148">
        <v>8.5500000000000007</v>
      </c>
      <c r="N4066" s="148">
        <v>-8.4813299999999998</v>
      </c>
      <c r="O4066" s="148">
        <v>-99.196842105263158</v>
      </c>
      <c r="P4066" s="728"/>
      <c r="Q4066" s="148">
        <v>6.8669999999999995E-2</v>
      </c>
      <c r="R4066" s="148">
        <v>0</v>
      </c>
    </row>
    <row r="4067" spans="2:18" ht="15.75" hidden="1" thickBot="1" x14ac:dyDescent="0.3">
      <c r="B4067" s="724" t="s">
        <v>799</v>
      </c>
      <c r="C4067" s="722" t="s">
        <v>190</v>
      </c>
      <c r="D4067" t="s">
        <v>191</v>
      </c>
      <c r="E4067" s="147">
        <v>0.79400000000000004</v>
      </c>
      <c r="F4067" s="729"/>
      <c r="G4067" s="147">
        <v>0.79400000000000004</v>
      </c>
      <c r="H4067" s="147">
        <v>0</v>
      </c>
      <c r="I4067" s="729"/>
      <c r="J4067" s="147">
        <v>0.79400000000000004</v>
      </c>
      <c r="K4067" s="147">
        <v>0</v>
      </c>
      <c r="L4067" s="147">
        <v>8.3390000000000004</v>
      </c>
      <c r="M4067" s="729"/>
      <c r="N4067" s="147">
        <v>8.3390000000000004</v>
      </c>
      <c r="O4067" s="147">
        <v>0</v>
      </c>
      <c r="P4067" s="147">
        <v>3.77</v>
      </c>
      <c r="Q4067" s="147">
        <v>4.569</v>
      </c>
      <c r="R4067" s="147">
        <v>121.19363395225464</v>
      </c>
    </row>
    <row r="4068" spans="2:18" ht="15.75" hidden="1" thickBot="1" x14ac:dyDescent="0.3">
      <c r="B4068" s="724" t="s">
        <v>799</v>
      </c>
      <c r="C4068" s="722" t="s">
        <v>139</v>
      </c>
      <c r="D4068" t="s">
        <v>140</v>
      </c>
      <c r="E4068" s="728"/>
      <c r="F4068" s="728"/>
      <c r="G4068" s="728"/>
      <c r="H4068" s="728"/>
      <c r="I4068" s="728"/>
      <c r="J4068" s="728"/>
      <c r="K4068" s="728"/>
      <c r="L4068" s="148">
        <v>0.19</v>
      </c>
      <c r="M4068" s="728"/>
      <c r="N4068" s="148">
        <v>0.19</v>
      </c>
      <c r="O4068" s="148">
        <v>0</v>
      </c>
      <c r="P4068" s="148">
        <v>0.19</v>
      </c>
      <c r="Q4068" s="148">
        <v>0</v>
      </c>
      <c r="R4068" s="148">
        <v>0</v>
      </c>
    </row>
    <row r="4069" spans="2:18" ht="15.75" hidden="1" thickBot="1" x14ac:dyDescent="0.3">
      <c r="B4069" s="724" t="s">
        <v>799</v>
      </c>
      <c r="C4069" s="722" t="s">
        <v>169</v>
      </c>
      <c r="D4069" t="s">
        <v>170</v>
      </c>
      <c r="E4069" s="729"/>
      <c r="F4069" s="729"/>
      <c r="G4069" s="729"/>
      <c r="H4069" s="729"/>
      <c r="I4069" s="729"/>
      <c r="J4069" s="729"/>
      <c r="K4069" s="729"/>
      <c r="L4069" s="147">
        <v>13.10859</v>
      </c>
      <c r="M4069" s="729"/>
      <c r="N4069" s="147">
        <v>13.10859</v>
      </c>
      <c r="O4069" s="147">
        <v>0</v>
      </c>
      <c r="P4069" s="147">
        <v>6.9933300000000003</v>
      </c>
      <c r="Q4069" s="147">
        <v>6.1152600000000001</v>
      </c>
      <c r="R4069" s="147">
        <v>87.444178953374148</v>
      </c>
    </row>
    <row r="4070" spans="2:18" ht="15.75" hidden="1" thickBot="1" x14ac:dyDescent="0.3">
      <c r="B4070" s="724" t="s">
        <v>799</v>
      </c>
      <c r="C4070" s="722" t="s">
        <v>101</v>
      </c>
      <c r="D4070" t="s">
        <v>102</v>
      </c>
      <c r="E4070" s="728"/>
      <c r="F4070" s="728"/>
      <c r="G4070" s="728"/>
      <c r="H4070" s="728"/>
      <c r="I4070" s="728"/>
      <c r="J4070" s="728"/>
      <c r="K4070" s="728"/>
      <c r="L4070" s="148">
        <v>12</v>
      </c>
      <c r="M4070" s="728"/>
      <c r="N4070" s="148">
        <v>12</v>
      </c>
      <c r="O4070" s="148">
        <v>0</v>
      </c>
      <c r="P4070" s="148">
        <v>12</v>
      </c>
      <c r="Q4070" s="148">
        <v>0</v>
      </c>
      <c r="R4070" s="148">
        <v>0</v>
      </c>
    </row>
    <row r="4071" spans="2:18" ht="15.75" hidden="1" thickBot="1" x14ac:dyDescent="0.3">
      <c r="B4071" s="724" t="s">
        <v>799</v>
      </c>
      <c r="C4071" s="722" t="s">
        <v>73</v>
      </c>
      <c r="D4071" t="s">
        <v>74</v>
      </c>
      <c r="E4071" s="147">
        <v>0.26939999999999997</v>
      </c>
      <c r="F4071" s="729"/>
      <c r="G4071" s="147">
        <v>0.26939999999999997</v>
      </c>
      <c r="H4071" s="147">
        <v>0</v>
      </c>
      <c r="I4071" s="729"/>
      <c r="J4071" s="147">
        <v>0.26939999999999997</v>
      </c>
      <c r="K4071" s="147">
        <v>0</v>
      </c>
      <c r="L4071" s="147">
        <v>2.9266200000000002</v>
      </c>
      <c r="M4071" s="729"/>
      <c r="N4071" s="147">
        <v>2.9266200000000002</v>
      </c>
      <c r="O4071" s="147">
        <v>0</v>
      </c>
      <c r="P4071" s="147">
        <v>1.37521</v>
      </c>
      <c r="Q4071" s="147">
        <v>1.55141</v>
      </c>
      <c r="R4071" s="147">
        <v>112.81258862282851</v>
      </c>
    </row>
    <row r="4072" spans="2:18" ht="15.75" hidden="1" thickBot="1" x14ac:dyDescent="0.3">
      <c r="B4072" s="724" t="s">
        <v>799</v>
      </c>
      <c r="C4072" s="722" t="s">
        <v>141</v>
      </c>
      <c r="D4072" t="s">
        <v>142</v>
      </c>
      <c r="E4072" s="148">
        <v>3.184E-2</v>
      </c>
      <c r="F4072" s="728"/>
      <c r="G4072" s="148">
        <v>3.184E-2</v>
      </c>
      <c r="H4072" s="148">
        <v>0</v>
      </c>
      <c r="I4072" s="728"/>
      <c r="J4072" s="148">
        <v>3.184E-2</v>
      </c>
      <c r="K4072" s="148">
        <v>0</v>
      </c>
      <c r="L4072" s="148">
        <v>0.49271999999999999</v>
      </c>
      <c r="M4072" s="728"/>
      <c r="N4072" s="148">
        <v>0.49271999999999999</v>
      </c>
      <c r="O4072" s="148">
        <v>0</v>
      </c>
      <c r="P4072" s="148">
        <v>0.12748999999999999</v>
      </c>
      <c r="Q4072" s="148">
        <v>0.36523</v>
      </c>
      <c r="R4072" s="148">
        <v>286.47737077417838</v>
      </c>
    </row>
    <row r="4073" spans="2:18" ht="15.75" hidden="1" thickBot="1" x14ac:dyDescent="0.3">
      <c r="B4073" s="724" t="s">
        <v>799</v>
      </c>
      <c r="C4073" s="722" t="s">
        <v>113</v>
      </c>
      <c r="D4073" t="s">
        <v>114</v>
      </c>
      <c r="E4073" s="729"/>
      <c r="F4073" s="729"/>
      <c r="G4073" s="729"/>
      <c r="H4073" s="729"/>
      <c r="I4073" s="729"/>
      <c r="J4073" s="729"/>
      <c r="K4073" s="729"/>
      <c r="L4073" s="147">
        <v>0.12352</v>
      </c>
      <c r="M4073" s="729"/>
      <c r="N4073" s="147">
        <v>0.12352</v>
      </c>
      <c r="O4073" s="147">
        <v>0</v>
      </c>
      <c r="P4073" s="729"/>
      <c r="Q4073" s="147">
        <v>0.12352</v>
      </c>
      <c r="R4073" s="147">
        <v>0</v>
      </c>
    </row>
    <row r="4074" spans="2:18" ht="15.75" hidden="1" thickBot="1" x14ac:dyDescent="0.3">
      <c r="B4074" s="724" t="s">
        <v>799</v>
      </c>
      <c r="C4074" s="722" t="s">
        <v>145</v>
      </c>
      <c r="D4074" t="s">
        <v>146</v>
      </c>
      <c r="E4074" s="728"/>
      <c r="F4074" s="728"/>
      <c r="G4074" s="728"/>
      <c r="H4074" s="728"/>
      <c r="I4074" s="728"/>
      <c r="J4074" s="728"/>
      <c r="K4074" s="728"/>
      <c r="L4074" s="148">
        <v>2.7E-2</v>
      </c>
      <c r="M4074" s="728"/>
      <c r="N4074" s="148">
        <v>2.7E-2</v>
      </c>
      <c r="O4074" s="148">
        <v>0</v>
      </c>
      <c r="P4074" s="728"/>
      <c r="Q4074" s="148">
        <v>2.7E-2</v>
      </c>
      <c r="R4074" s="148">
        <v>0</v>
      </c>
    </row>
    <row r="4075" spans="2:18" ht="15.75" hidden="1" thickBot="1" x14ac:dyDescent="0.3">
      <c r="B4075" s="724" t="s">
        <v>799</v>
      </c>
      <c r="C4075" s="722" t="s">
        <v>149</v>
      </c>
      <c r="D4075" t="s">
        <v>150</v>
      </c>
      <c r="E4075" s="729"/>
      <c r="F4075" s="147">
        <v>2.5</v>
      </c>
      <c r="G4075" s="147">
        <v>-2.5</v>
      </c>
      <c r="H4075" s="147">
        <v>-100</v>
      </c>
      <c r="I4075" s="729"/>
      <c r="J4075" s="729"/>
      <c r="K4075" s="729"/>
      <c r="L4075" s="147">
        <v>32.270000000000003</v>
      </c>
      <c r="M4075" s="147">
        <v>30</v>
      </c>
      <c r="N4075" s="147">
        <v>2.27</v>
      </c>
      <c r="O4075" s="147">
        <v>7.5666666666666664</v>
      </c>
      <c r="P4075" s="147">
        <v>21.56</v>
      </c>
      <c r="Q4075" s="147">
        <v>10.71</v>
      </c>
      <c r="R4075" s="147">
        <v>49.675324675324674</v>
      </c>
    </row>
    <row r="4076" spans="2:18" ht="15.75" hidden="1" thickBot="1" x14ac:dyDescent="0.3">
      <c r="B4076" s="724" t="s">
        <v>799</v>
      </c>
      <c r="C4076" s="722" t="s">
        <v>649</v>
      </c>
      <c r="D4076" t="s">
        <v>650</v>
      </c>
      <c r="E4076" s="148">
        <v>0.10732</v>
      </c>
      <c r="F4076" s="728"/>
      <c r="G4076" s="148">
        <v>0.10732</v>
      </c>
      <c r="H4076" s="148">
        <v>0</v>
      </c>
      <c r="I4076" s="728"/>
      <c r="J4076" s="148">
        <v>0.10732</v>
      </c>
      <c r="K4076" s="148">
        <v>0</v>
      </c>
      <c r="L4076" s="148">
        <v>0.10732</v>
      </c>
      <c r="M4076" s="728"/>
      <c r="N4076" s="148">
        <v>0.10732</v>
      </c>
      <c r="O4076" s="148">
        <v>0</v>
      </c>
      <c r="P4076" s="728"/>
      <c r="Q4076" s="148">
        <v>0.10732</v>
      </c>
      <c r="R4076" s="148">
        <v>0</v>
      </c>
    </row>
    <row r="4077" spans="2:18" ht="15.75" hidden="1" thickBot="1" x14ac:dyDescent="0.3">
      <c r="B4077" s="724" t="s">
        <v>799</v>
      </c>
      <c r="C4077" s="722" t="s">
        <v>151</v>
      </c>
      <c r="D4077" t="s">
        <v>152</v>
      </c>
      <c r="E4077" s="729"/>
      <c r="F4077" s="729"/>
      <c r="G4077" s="729"/>
      <c r="H4077" s="729"/>
      <c r="I4077" s="729"/>
      <c r="J4077" s="729"/>
      <c r="K4077" s="729"/>
      <c r="L4077" s="147">
        <v>0.24917</v>
      </c>
      <c r="M4077" s="729"/>
      <c r="N4077" s="147">
        <v>0.24917</v>
      </c>
      <c r="O4077" s="147">
        <v>0</v>
      </c>
      <c r="P4077" s="147">
        <v>0.15634999999999999</v>
      </c>
      <c r="Q4077" s="147">
        <v>9.282E-2</v>
      </c>
      <c r="R4077" s="147">
        <v>59.36680524464343</v>
      </c>
    </row>
    <row r="4078" spans="2:18" ht="15.75" hidden="1" thickBot="1" x14ac:dyDescent="0.3">
      <c r="B4078" s="724" t="s">
        <v>799</v>
      </c>
      <c r="C4078" s="722" t="s">
        <v>483</v>
      </c>
      <c r="D4078" t="s">
        <v>484</v>
      </c>
      <c r="E4078" s="728"/>
      <c r="F4078" s="728"/>
      <c r="G4078" s="728"/>
      <c r="H4078" s="728"/>
      <c r="I4078" s="728"/>
      <c r="J4078" s="728"/>
      <c r="K4078" s="728"/>
      <c r="L4078" s="148">
        <v>0.6</v>
      </c>
      <c r="M4078" s="728"/>
      <c r="N4078" s="148">
        <v>0.6</v>
      </c>
      <c r="O4078" s="148">
        <v>0</v>
      </c>
      <c r="P4078" s="148">
        <v>0.6</v>
      </c>
      <c r="Q4078" s="148">
        <v>0</v>
      </c>
      <c r="R4078" s="148">
        <v>0</v>
      </c>
    </row>
    <row r="4079" spans="2:18" ht="15.75" hidden="1" thickBot="1" x14ac:dyDescent="0.3">
      <c r="B4079" s="724" t="s">
        <v>799</v>
      </c>
      <c r="C4079" s="722" t="s">
        <v>75</v>
      </c>
      <c r="D4079" t="s">
        <v>76</v>
      </c>
      <c r="E4079" s="147">
        <v>0.34647</v>
      </c>
      <c r="F4079" s="147">
        <v>0.5</v>
      </c>
      <c r="G4079" s="147">
        <v>-0.15353</v>
      </c>
      <c r="H4079" s="147">
        <v>-30.706</v>
      </c>
      <c r="I4079" s="729"/>
      <c r="J4079" s="147">
        <v>0.34647</v>
      </c>
      <c r="K4079" s="147">
        <v>0</v>
      </c>
      <c r="L4079" s="147">
        <v>5.7436699999999998</v>
      </c>
      <c r="M4079" s="147">
        <v>6</v>
      </c>
      <c r="N4079" s="147">
        <v>-0.25633</v>
      </c>
      <c r="O4079" s="147">
        <v>-4.2721666666666662</v>
      </c>
      <c r="P4079" s="147">
        <v>2.5161600000000002</v>
      </c>
      <c r="Q4079" s="147">
        <v>3.2275100000000001</v>
      </c>
      <c r="R4079" s="147">
        <v>128.27125461019966</v>
      </c>
    </row>
    <row r="4080" spans="2:18" ht="15.75" hidden="1" thickBot="1" x14ac:dyDescent="0.3">
      <c r="B4080" s="724" t="s">
        <v>799</v>
      </c>
      <c r="C4080" s="722" t="s">
        <v>121</v>
      </c>
      <c r="D4080" t="s">
        <v>122</v>
      </c>
      <c r="E4080" s="728"/>
      <c r="F4080" s="728"/>
      <c r="G4080" s="728"/>
      <c r="H4080" s="728"/>
      <c r="I4080" s="728"/>
      <c r="J4080" s="728"/>
      <c r="K4080" s="728"/>
      <c r="L4080" s="148">
        <v>0.47849999999999998</v>
      </c>
      <c r="M4080" s="728"/>
      <c r="N4080" s="148">
        <v>0.47849999999999998</v>
      </c>
      <c r="O4080" s="148">
        <v>0</v>
      </c>
      <c r="P4080" s="148">
        <v>0.47849999999999998</v>
      </c>
      <c r="Q4080" s="148">
        <v>0</v>
      </c>
      <c r="R4080" s="148">
        <v>0</v>
      </c>
    </row>
    <row r="4081" spans="2:18" ht="15.75" hidden="1" thickBot="1" x14ac:dyDescent="0.3">
      <c r="B4081" s="724" t="s">
        <v>799</v>
      </c>
      <c r="C4081" s="722" t="s">
        <v>77</v>
      </c>
      <c r="D4081" t="s">
        <v>78</v>
      </c>
      <c r="E4081" s="729"/>
      <c r="F4081" s="729"/>
      <c r="G4081" s="729"/>
      <c r="H4081" s="729"/>
      <c r="I4081" s="729"/>
      <c r="J4081" s="729"/>
      <c r="K4081" s="729"/>
      <c r="L4081" s="147">
        <v>2.8153100000000002</v>
      </c>
      <c r="M4081" s="729"/>
      <c r="N4081" s="147">
        <v>2.8153100000000002</v>
      </c>
      <c r="O4081" s="147">
        <v>0</v>
      </c>
      <c r="P4081" s="147">
        <v>0.15</v>
      </c>
      <c r="Q4081" s="147">
        <v>2.6653099999999998</v>
      </c>
      <c r="R4081" s="147">
        <v>1776.8733333333332</v>
      </c>
    </row>
    <row r="4082" spans="2:18" ht="15.75" hidden="1" thickBot="1" x14ac:dyDescent="0.3">
      <c r="B4082" s="724" t="s">
        <v>799</v>
      </c>
      <c r="C4082" s="722" t="s">
        <v>81</v>
      </c>
      <c r="D4082" t="s">
        <v>82</v>
      </c>
      <c r="E4082" s="148">
        <v>3.04549</v>
      </c>
      <c r="F4082" s="728"/>
      <c r="G4082" s="148">
        <v>3.04549</v>
      </c>
      <c r="H4082" s="148">
        <v>0</v>
      </c>
      <c r="I4082" s="728"/>
      <c r="J4082" s="148">
        <v>3.04549</v>
      </c>
      <c r="K4082" s="148">
        <v>0</v>
      </c>
      <c r="L4082" s="148">
        <v>3.04549</v>
      </c>
      <c r="M4082" s="728"/>
      <c r="N4082" s="148">
        <v>3.04549</v>
      </c>
      <c r="O4082" s="148">
        <v>0</v>
      </c>
      <c r="P4082" s="728"/>
      <c r="Q4082" s="148">
        <v>3.04549</v>
      </c>
      <c r="R4082" s="148">
        <v>0</v>
      </c>
    </row>
    <row r="4083" spans="2:18" ht="15.75" hidden="1" thickBot="1" x14ac:dyDescent="0.3">
      <c r="B4083" s="724" t="s">
        <v>799</v>
      </c>
      <c r="C4083" s="722" t="s">
        <v>123</v>
      </c>
      <c r="D4083" t="s">
        <v>124</v>
      </c>
      <c r="E4083" s="147">
        <v>0.37731999999999999</v>
      </c>
      <c r="F4083" s="729"/>
      <c r="G4083" s="147">
        <v>0.37731999999999999</v>
      </c>
      <c r="H4083" s="147">
        <v>0</v>
      </c>
      <c r="I4083" s="729"/>
      <c r="J4083" s="147">
        <v>0.37731999999999999</v>
      </c>
      <c r="K4083" s="147">
        <v>0</v>
      </c>
      <c r="L4083" s="147">
        <v>0.76993999999999996</v>
      </c>
      <c r="M4083" s="729"/>
      <c r="N4083" s="147">
        <v>0.76993999999999996</v>
      </c>
      <c r="O4083" s="147">
        <v>0</v>
      </c>
      <c r="P4083" s="147">
        <v>0.17962</v>
      </c>
      <c r="Q4083" s="147">
        <v>0.59031999999999996</v>
      </c>
      <c r="R4083" s="147">
        <v>328.64937089410978</v>
      </c>
    </row>
    <row r="4084" spans="2:18" ht="15.75" hidden="1" thickBot="1" x14ac:dyDescent="0.3">
      <c r="B4084" s="724" t="s">
        <v>799</v>
      </c>
      <c r="C4084" s="722" t="s">
        <v>83</v>
      </c>
      <c r="D4084" t="s">
        <v>84</v>
      </c>
      <c r="E4084" s="728"/>
      <c r="F4084" s="148">
        <v>0.3</v>
      </c>
      <c r="G4084" s="148">
        <v>-0.3</v>
      </c>
      <c r="H4084" s="148">
        <v>-100</v>
      </c>
      <c r="I4084" s="728"/>
      <c r="J4084" s="728"/>
      <c r="K4084" s="728"/>
      <c r="L4084" s="728"/>
      <c r="M4084" s="148">
        <v>3.6</v>
      </c>
      <c r="N4084" s="148">
        <v>-3.6</v>
      </c>
      <c r="O4084" s="148">
        <v>-100</v>
      </c>
      <c r="P4084" s="728"/>
      <c r="Q4084" s="728"/>
      <c r="R4084" s="728"/>
    </row>
    <row r="4085" spans="2:18" ht="15.75" hidden="1" thickBot="1" x14ac:dyDescent="0.3">
      <c r="B4085" s="724" t="s">
        <v>799</v>
      </c>
      <c r="C4085" s="149" t="s">
        <v>85</v>
      </c>
      <c r="D4085" t="s">
        <v>86</v>
      </c>
      <c r="E4085" s="147">
        <v>4.9718400000000003</v>
      </c>
      <c r="F4085" s="147">
        <v>4</v>
      </c>
      <c r="G4085" s="147">
        <v>0.97184000000000004</v>
      </c>
      <c r="H4085" s="147">
        <v>24.295999999999999</v>
      </c>
      <c r="I4085" s="729"/>
      <c r="J4085" s="147">
        <v>4.9718400000000003</v>
      </c>
      <c r="K4085" s="147">
        <v>0</v>
      </c>
      <c r="L4085" s="147">
        <v>84.495519999999999</v>
      </c>
      <c r="M4085" s="147">
        <v>48.15</v>
      </c>
      <c r="N4085" s="147">
        <v>36.34552</v>
      </c>
      <c r="O4085" s="147">
        <v>75.483946002076848</v>
      </c>
      <c r="P4085" s="147">
        <v>50.09666</v>
      </c>
      <c r="Q4085" s="147">
        <v>34.398859999999999</v>
      </c>
      <c r="R4085" s="147">
        <v>68.664976866721261</v>
      </c>
    </row>
    <row r="4086" spans="2:18" ht="15.75" hidden="1" thickBot="1" x14ac:dyDescent="0.3">
      <c r="B4086" s="724" t="s">
        <v>799</v>
      </c>
      <c r="C4086" s="144" t="s">
        <v>87</v>
      </c>
      <c r="D4086" t="s">
        <v>87</v>
      </c>
      <c r="E4086" s="148">
        <v>165.13856000000001</v>
      </c>
      <c r="F4086" s="148">
        <v>172.57775000000001</v>
      </c>
      <c r="G4086" s="148">
        <v>-7.43919</v>
      </c>
      <c r="H4086" s="148">
        <v>-4.310631005445372</v>
      </c>
      <c r="I4086" s="728"/>
      <c r="J4086" s="148">
        <v>165.13856000000001</v>
      </c>
      <c r="K4086" s="148">
        <v>0</v>
      </c>
      <c r="L4086" s="148">
        <v>2129.6003900000001</v>
      </c>
      <c r="M4086" s="148">
        <v>2060.4703399999999</v>
      </c>
      <c r="N4086" s="148">
        <v>69.130049999999997</v>
      </c>
      <c r="O4086" s="148">
        <v>3.3550616409261198</v>
      </c>
      <c r="P4086" s="148">
        <v>1094.73495</v>
      </c>
      <c r="Q4086" s="148">
        <v>1034.86544</v>
      </c>
      <c r="R4086" s="148">
        <v>94.531141076659694</v>
      </c>
    </row>
    <row r="4087" spans="2:18" ht="15.75" hidden="1" thickBot="1" x14ac:dyDescent="0.3">
      <c r="B4087" s="724" t="s">
        <v>800</v>
      </c>
      <c r="C4087" s="722" t="s">
        <v>59</v>
      </c>
      <c r="D4087" t="s">
        <v>60</v>
      </c>
      <c r="E4087" s="147">
        <v>19.544</v>
      </c>
      <c r="F4087" s="147">
        <v>23.73715</v>
      </c>
      <c r="G4087" s="147">
        <v>-4.1931500000000002</v>
      </c>
      <c r="H4087" s="147">
        <v>-17.664926075792586</v>
      </c>
      <c r="I4087" s="729"/>
      <c r="J4087" s="147">
        <v>19.544</v>
      </c>
      <c r="K4087" s="147">
        <v>0</v>
      </c>
      <c r="L4087" s="147">
        <v>299.18306000000001</v>
      </c>
      <c r="M4087" s="147">
        <v>283.35144000000003</v>
      </c>
      <c r="N4087" s="147">
        <v>15.831619999999999</v>
      </c>
      <c r="O4087" s="147">
        <v>5.5872735285905026</v>
      </c>
      <c r="P4087" s="147">
        <v>156.22022000000001</v>
      </c>
      <c r="Q4087" s="147">
        <v>142.96284</v>
      </c>
      <c r="R4087" s="147">
        <v>91.513659371366913</v>
      </c>
    </row>
    <row r="4088" spans="2:18" ht="15.75" hidden="1" thickBot="1" x14ac:dyDescent="0.3">
      <c r="B4088" s="724" t="s">
        <v>800</v>
      </c>
      <c r="C4088" s="722" t="s">
        <v>89</v>
      </c>
      <c r="D4088" t="s">
        <v>90</v>
      </c>
      <c r="E4088" s="148">
        <v>30.51925</v>
      </c>
      <c r="F4088" s="728"/>
      <c r="G4088" s="148">
        <v>30.51925</v>
      </c>
      <c r="H4088" s="148">
        <v>0</v>
      </c>
      <c r="I4088" s="728"/>
      <c r="J4088" s="148">
        <v>30.51925</v>
      </c>
      <c r="K4088" s="148">
        <v>0</v>
      </c>
      <c r="L4088" s="148">
        <v>179.84114</v>
      </c>
      <c r="M4088" s="728"/>
      <c r="N4088" s="148">
        <v>179.84114</v>
      </c>
      <c r="O4088" s="148">
        <v>0</v>
      </c>
      <c r="P4088" s="148">
        <v>68.814930000000004</v>
      </c>
      <c r="Q4088" s="148">
        <v>111.02621000000001</v>
      </c>
      <c r="R4088" s="148">
        <v>161.34029345085435</v>
      </c>
    </row>
    <row r="4089" spans="2:18" ht="15.75" hidden="1" thickBot="1" x14ac:dyDescent="0.3">
      <c r="B4089" s="724" t="s">
        <v>800</v>
      </c>
      <c r="C4089" s="722" t="s">
        <v>91</v>
      </c>
      <c r="D4089" t="s">
        <v>92</v>
      </c>
      <c r="E4089" s="147">
        <v>90.207340000000002</v>
      </c>
      <c r="F4089" s="147">
        <v>153.13473999999999</v>
      </c>
      <c r="G4089" s="147">
        <v>-62.927399999999999</v>
      </c>
      <c r="H4089" s="147">
        <v>-41.092831058452184</v>
      </c>
      <c r="I4089" s="729"/>
      <c r="J4089" s="147">
        <v>90.207340000000002</v>
      </c>
      <c r="K4089" s="147">
        <v>0</v>
      </c>
      <c r="L4089" s="147">
        <v>1509.20541</v>
      </c>
      <c r="M4089" s="147">
        <v>1716.05573</v>
      </c>
      <c r="N4089" s="147">
        <v>-206.85032000000001</v>
      </c>
      <c r="O4089" s="147">
        <v>-12.05382298394237</v>
      </c>
      <c r="P4089" s="147">
        <v>815.93275000000006</v>
      </c>
      <c r="Q4089" s="147">
        <v>693.27265999999997</v>
      </c>
      <c r="R4089" s="147">
        <v>84.96688728329633</v>
      </c>
    </row>
    <row r="4090" spans="2:18" ht="15.75" hidden="1" thickBot="1" x14ac:dyDescent="0.3">
      <c r="B4090" s="724" t="s">
        <v>800</v>
      </c>
      <c r="C4090" s="722" t="s">
        <v>93</v>
      </c>
      <c r="D4090" t="s">
        <v>94</v>
      </c>
      <c r="E4090" s="148">
        <v>40.762900000000002</v>
      </c>
      <c r="F4090" s="148">
        <v>32.463540000000002</v>
      </c>
      <c r="G4090" s="148">
        <v>8.2993600000000001</v>
      </c>
      <c r="H4090" s="148">
        <v>25.565172498131751</v>
      </c>
      <c r="I4090" s="728"/>
      <c r="J4090" s="148">
        <v>40.762900000000002</v>
      </c>
      <c r="K4090" s="148">
        <v>0</v>
      </c>
      <c r="L4090" s="148">
        <v>524.13486</v>
      </c>
      <c r="M4090" s="148">
        <v>372.98154</v>
      </c>
      <c r="N4090" s="148">
        <v>151.15332000000001</v>
      </c>
      <c r="O4090" s="148">
        <v>40.525683925268794</v>
      </c>
      <c r="P4090" s="148">
        <v>249.57106999999999</v>
      </c>
      <c r="Q4090" s="148">
        <v>274.56378999999998</v>
      </c>
      <c r="R4090" s="148">
        <v>110.01426968278014</v>
      </c>
    </row>
    <row r="4091" spans="2:18" ht="15.75" hidden="1" thickBot="1" x14ac:dyDescent="0.3">
      <c r="B4091" s="724" t="s">
        <v>800</v>
      </c>
      <c r="C4091" s="722" t="s">
        <v>159</v>
      </c>
      <c r="D4091" t="s">
        <v>160</v>
      </c>
      <c r="E4091" s="147">
        <v>2.5417200000000002</v>
      </c>
      <c r="F4091" s="729"/>
      <c r="G4091" s="147">
        <v>2.5417200000000002</v>
      </c>
      <c r="H4091" s="147">
        <v>0</v>
      </c>
      <c r="I4091" s="729"/>
      <c r="J4091" s="147">
        <v>2.5417200000000002</v>
      </c>
      <c r="K4091" s="147">
        <v>0</v>
      </c>
      <c r="L4091" s="147">
        <v>42.702840000000002</v>
      </c>
      <c r="M4091" s="729"/>
      <c r="N4091" s="147">
        <v>42.702840000000002</v>
      </c>
      <c r="O4091" s="147">
        <v>0</v>
      </c>
      <c r="P4091" s="147">
        <v>21.079190000000001</v>
      </c>
      <c r="Q4091" s="147">
        <v>21.623650000000001</v>
      </c>
      <c r="R4091" s="147">
        <v>102.5829265735543</v>
      </c>
    </row>
    <row r="4092" spans="2:18" ht="15.75" hidden="1" thickBot="1" x14ac:dyDescent="0.3">
      <c r="B4092" s="724" t="s">
        <v>800</v>
      </c>
      <c r="C4092" s="722" t="s">
        <v>134</v>
      </c>
      <c r="D4092" t="s">
        <v>135</v>
      </c>
      <c r="E4092" s="148">
        <v>6.8651099999999996</v>
      </c>
      <c r="F4092" s="728"/>
      <c r="G4092" s="148">
        <v>6.8651099999999996</v>
      </c>
      <c r="H4092" s="148">
        <v>0</v>
      </c>
      <c r="I4092" s="728"/>
      <c r="J4092" s="148">
        <v>6.8651099999999996</v>
      </c>
      <c r="K4092" s="148">
        <v>0</v>
      </c>
      <c r="L4092" s="148">
        <v>6.6562799999999998</v>
      </c>
      <c r="M4092" s="728"/>
      <c r="N4092" s="148">
        <v>6.6562799999999998</v>
      </c>
      <c r="O4092" s="148">
        <v>0</v>
      </c>
      <c r="P4092" s="148">
        <v>-0.20882999999999999</v>
      </c>
      <c r="Q4092" s="148">
        <v>6.8651099999999996</v>
      </c>
      <c r="R4092" s="148">
        <v>3287.4156012067233</v>
      </c>
    </row>
    <row r="4093" spans="2:18" ht="15.75" hidden="1" thickBot="1" x14ac:dyDescent="0.3">
      <c r="B4093" s="724" t="s">
        <v>800</v>
      </c>
      <c r="C4093" s="722" t="s">
        <v>61</v>
      </c>
      <c r="D4093" t="s">
        <v>62</v>
      </c>
      <c r="E4093" s="147">
        <v>19.50067</v>
      </c>
      <c r="F4093" s="147">
        <v>27.415150000000001</v>
      </c>
      <c r="G4093" s="147">
        <v>-7.9144800000000002</v>
      </c>
      <c r="H4093" s="147">
        <v>-28.869001263899705</v>
      </c>
      <c r="I4093" s="729"/>
      <c r="J4093" s="147">
        <v>19.50067</v>
      </c>
      <c r="K4093" s="147">
        <v>0</v>
      </c>
      <c r="L4093" s="147">
        <v>248.34627</v>
      </c>
      <c r="M4093" s="147">
        <v>309.90814</v>
      </c>
      <c r="N4093" s="147">
        <v>-61.561869999999999</v>
      </c>
      <c r="O4093" s="147">
        <v>-19.864554057857273</v>
      </c>
      <c r="P4093" s="147">
        <v>126.63566</v>
      </c>
      <c r="Q4093" s="147">
        <v>121.71061</v>
      </c>
      <c r="R4093" s="147">
        <v>96.110850608746389</v>
      </c>
    </row>
    <row r="4094" spans="2:18" ht="15.75" hidden="1" thickBot="1" x14ac:dyDescent="0.3">
      <c r="B4094" s="724" t="s">
        <v>800</v>
      </c>
      <c r="C4094" s="722" t="s">
        <v>63</v>
      </c>
      <c r="D4094" t="s">
        <v>64</v>
      </c>
      <c r="E4094" s="148">
        <v>99.409809999999993</v>
      </c>
      <c r="F4094" s="148">
        <v>106.65375</v>
      </c>
      <c r="G4094" s="148">
        <v>-7.2439400000000003</v>
      </c>
      <c r="H4094" s="148">
        <v>-6.7920162207142267</v>
      </c>
      <c r="I4094" s="728"/>
      <c r="J4094" s="148">
        <v>99.409809999999993</v>
      </c>
      <c r="K4094" s="148">
        <v>0</v>
      </c>
      <c r="L4094" s="148">
        <v>1229.95631</v>
      </c>
      <c r="M4094" s="148">
        <v>1205.64248</v>
      </c>
      <c r="N4094" s="148">
        <v>24.313829999999999</v>
      </c>
      <c r="O4094" s="148">
        <v>2.0166699832938866</v>
      </c>
      <c r="P4094" s="148">
        <v>621.19728999999995</v>
      </c>
      <c r="Q4094" s="148">
        <v>608.75901999999996</v>
      </c>
      <c r="R4094" s="148">
        <v>97.997694098118174</v>
      </c>
    </row>
    <row r="4095" spans="2:18" ht="15.75" hidden="1" thickBot="1" x14ac:dyDescent="0.3">
      <c r="B4095" s="724" t="s">
        <v>800</v>
      </c>
      <c r="C4095" s="722" t="s">
        <v>156</v>
      </c>
      <c r="D4095" t="s">
        <v>157</v>
      </c>
      <c r="E4095" s="147">
        <v>6.2748900000000001</v>
      </c>
      <c r="F4095" s="729"/>
      <c r="G4095" s="147">
        <v>6.2748900000000001</v>
      </c>
      <c r="H4095" s="147">
        <v>0</v>
      </c>
      <c r="I4095" s="729"/>
      <c r="J4095" s="147">
        <v>6.2748900000000001</v>
      </c>
      <c r="K4095" s="147">
        <v>0</v>
      </c>
      <c r="L4095" s="147">
        <v>165.73859999999999</v>
      </c>
      <c r="M4095" s="729"/>
      <c r="N4095" s="147">
        <v>165.73859999999999</v>
      </c>
      <c r="O4095" s="147">
        <v>0</v>
      </c>
      <c r="P4095" s="147">
        <v>83.471490000000003</v>
      </c>
      <c r="Q4095" s="147">
        <v>82.267110000000002</v>
      </c>
      <c r="R4095" s="147">
        <v>98.557136095210467</v>
      </c>
    </row>
    <row r="4096" spans="2:18" ht="15.75" hidden="1" thickBot="1" x14ac:dyDescent="0.3">
      <c r="B4096" s="724" t="s">
        <v>800</v>
      </c>
      <c r="C4096" s="722" t="s">
        <v>182</v>
      </c>
      <c r="D4096" t="s">
        <v>183</v>
      </c>
      <c r="E4096" s="148">
        <v>25.008400000000002</v>
      </c>
      <c r="F4096" s="728"/>
      <c r="G4096" s="148">
        <v>25.008400000000002</v>
      </c>
      <c r="H4096" s="148">
        <v>0</v>
      </c>
      <c r="I4096" s="728"/>
      <c r="J4096" s="148">
        <v>25.008400000000002</v>
      </c>
      <c r="K4096" s="148">
        <v>0</v>
      </c>
      <c r="L4096" s="148">
        <v>192.51742999999999</v>
      </c>
      <c r="M4096" s="728"/>
      <c r="N4096" s="148">
        <v>192.51742999999999</v>
      </c>
      <c r="O4096" s="148">
        <v>0</v>
      </c>
      <c r="P4096" s="148">
        <v>66.508979999999994</v>
      </c>
      <c r="Q4096" s="148">
        <v>126.00845</v>
      </c>
      <c r="R4096" s="148">
        <v>189.46080664595968</v>
      </c>
    </row>
    <row r="4097" spans="2:18" ht="15.75" hidden="1" thickBot="1" x14ac:dyDescent="0.3">
      <c r="B4097" s="724" t="s">
        <v>800</v>
      </c>
      <c r="C4097" s="722" t="s">
        <v>184</v>
      </c>
      <c r="D4097" t="s">
        <v>185</v>
      </c>
      <c r="E4097" s="147">
        <v>174.56611000000001</v>
      </c>
      <c r="F4097" s="729"/>
      <c r="G4097" s="147">
        <v>174.56611000000001</v>
      </c>
      <c r="H4097" s="147">
        <v>0</v>
      </c>
      <c r="I4097" s="729"/>
      <c r="J4097" s="147">
        <v>174.56611000000001</v>
      </c>
      <c r="K4097" s="147">
        <v>0</v>
      </c>
      <c r="L4097" s="147">
        <v>2331.1690600000002</v>
      </c>
      <c r="M4097" s="729"/>
      <c r="N4097" s="147">
        <v>2331.1690600000002</v>
      </c>
      <c r="O4097" s="147">
        <v>0</v>
      </c>
      <c r="P4097" s="147">
        <v>1309.15994</v>
      </c>
      <c r="Q4097" s="147">
        <v>1022.0091200000001</v>
      </c>
      <c r="R4097" s="147">
        <v>78.066024537842182</v>
      </c>
    </row>
    <row r="4098" spans="2:18" ht="15.75" hidden="1" thickBot="1" x14ac:dyDescent="0.3">
      <c r="B4098" s="724" t="s">
        <v>800</v>
      </c>
      <c r="C4098" s="722" t="s">
        <v>161</v>
      </c>
      <c r="D4098" t="s">
        <v>162</v>
      </c>
      <c r="E4098" s="148">
        <v>47.568530000000003</v>
      </c>
      <c r="F4098" s="728"/>
      <c r="G4098" s="148">
        <v>47.568530000000003</v>
      </c>
      <c r="H4098" s="148">
        <v>0</v>
      </c>
      <c r="I4098" s="728"/>
      <c r="J4098" s="148">
        <v>47.568530000000003</v>
      </c>
      <c r="K4098" s="148">
        <v>0</v>
      </c>
      <c r="L4098" s="148">
        <v>521.07324000000006</v>
      </c>
      <c r="M4098" s="728"/>
      <c r="N4098" s="148">
        <v>521.07324000000006</v>
      </c>
      <c r="O4098" s="148">
        <v>0</v>
      </c>
      <c r="P4098" s="148">
        <v>248.55276000000001</v>
      </c>
      <c r="Q4098" s="148">
        <v>272.52048000000002</v>
      </c>
      <c r="R4098" s="148">
        <v>109.64291042272072</v>
      </c>
    </row>
    <row r="4099" spans="2:18" ht="15.75" hidden="1" thickBot="1" x14ac:dyDescent="0.3">
      <c r="B4099" s="724" t="s">
        <v>800</v>
      </c>
      <c r="C4099" s="722" t="s">
        <v>186</v>
      </c>
      <c r="D4099" t="s">
        <v>187</v>
      </c>
      <c r="E4099" s="147">
        <v>-25.008400000000002</v>
      </c>
      <c r="F4099" s="729"/>
      <c r="G4099" s="147">
        <v>-25.008400000000002</v>
      </c>
      <c r="H4099" s="147">
        <v>0</v>
      </c>
      <c r="I4099" s="729"/>
      <c r="J4099" s="147">
        <v>-25.008400000000002</v>
      </c>
      <c r="K4099" s="147">
        <v>0</v>
      </c>
      <c r="L4099" s="147">
        <v>-209.36503999999999</v>
      </c>
      <c r="M4099" s="729"/>
      <c r="N4099" s="147">
        <v>-209.36503999999999</v>
      </c>
      <c r="O4099" s="147">
        <v>0</v>
      </c>
      <c r="P4099" s="147">
        <v>-78.654560000000004</v>
      </c>
      <c r="Q4099" s="147">
        <v>-130.71047999999999</v>
      </c>
      <c r="R4099" s="147">
        <v>-166.18296510717244</v>
      </c>
    </row>
    <row r="4100" spans="2:18" ht="15.75" hidden="1" thickBot="1" x14ac:dyDescent="0.3">
      <c r="B4100" s="724" t="s">
        <v>800</v>
      </c>
      <c r="C4100" s="722" t="s">
        <v>163</v>
      </c>
      <c r="D4100" t="s">
        <v>164</v>
      </c>
      <c r="E4100" s="148">
        <v>-180.99188000000001</v>
      </c>
      <c r="F4100" s="148">
        <v>-9.4352400000000003</v>
      </c>
      <c r="G4100" s="148">
        <v>-171.55663999999999</v>
      </c>
      <c r="H4100" s="148">
        <v>-1818.254119662033</v>
      </c>
      <c r="I4100" s="728"/>
      <c r="J4100" s="148">
        <v>-180.99188000000001</v>
      </c>
      <c r="K4100" s="148">
        <v>0</v>
      </c>
      <c r="L4100" s="148">
        <v>-2576.5486099999998</v>
      </c>
      <c r="M4100" s="148">
        <v>-110.19996999999999</v>
      </c>
      <c r="N4100" s="148">
        <v>-2466.3486400000002</v>
      </c>
      <c r="O4100" s="148">
        <v>-2238.0665257894352</v>
      </c>
      <c r="P4100" s="148">
        <v>-1416.4008200000001</v>
      </c>
      <c r="Q4100" s="148">
        <v>-1160.14779</v>
      </c>
      <c r="R4100" s="148">
        <v>-81.908155771895139</v>
      </c>
    </row>
    <row r="4101" spans="2:18" ht="15.75" hidden="1" thickBot="1" x14ac:dyDescent="0.3">
      <c r="B4101" s="724" t="s">
        <v>800</v>
      </c>
      <c r="C4101" s="722" t="s">
        <v>97</v>
      </c>
      <c r="D4101" t="s">
        <v>98</v>
      </c>
      <c r="E4101" s="147">
        <v>-47.621189999999999</v>
      </c>
      <c r="F4101" s="729"/>
      <c r="G4101" s="147">
        <v>-47.621189999999999</v>
      </c>
      <c r="H4101" s="147">
        <v>0</v>
      </c>
      <c r="I4101" s="729"/>
      <c r="J4101" s="147">
        <v>-47.621189999999999</v>
      </c>
      <c r="K4101" s="147">
        <v>0</v>
      </c>
      <c r="L4101" s="147">
        <v>-563.48316999999997</v>
      </c>
      <c r="M4101" s="729"/>
      <c r="N4101" s="147">
        <v>-563.48316999999997</v>
      </c>
      <c r="O4101" s="147">
        <v>0</v>
      </c>
      <c r="P4101" s="147">
        <v>-276.6123</v>
      </c>
      <c r="Q4101" s="147">
        <v>-286.87087000000002</v>
      </c>
      <c r="R4101" s="147">
        <v>-103.70864563867912</v>
      </c>
    </row>
    <row r="4102" spans="2:18" ht="15.75" hidden="1" thickBot="1" x14ac:dyDescent="0.3">
      <c r="B4102" s="724" t="s">
        <v>800</v>
      </c>
      <c r="C4102" s="149" t="s">
        <v>67</v>
      </c>
      <c r="D4102" t="s">
        <v>68</v>
      </c>
      <c r="E4102" s="148">
        <v>309.14726000000002</v>
      </c>
      <c r="F4102" s="148">
        <v>333.96908999999999</v>
      </c>
      <c r="G4102" s="148">
        <v>-24.821829999999999</v>
      </c>
      <c r="H4102" s="148">
        <v>-7.4323734570765216</v>
      </c>
      <c r="I4102" s="728"/>
      <c r="J4102" s="148">
        <v>309.14726000000002</v>
      </c>
      <c r="K4102" s="148">
        <v>0</v>
      </c>
      <c r="L4102" s="148">
        <v>3901.1276800000001</v>
      </c>
      <c r="M4102" s="148">
        <v>3777.73936</v>
      </c>
      <c r="N4102" s="148">
        <v>123.38831999999999</v>
      </c>
      <c r="O4102" s="148">
        <v>3.266194627042772</v>
      </c>
      <c r="P4102" s="148">
        <v>1995.2677699999999</v>
      </c>
      <c r="Q4102" s="148">
        <v>1905.8599099999999</v>
      </c>
      <c r="R4102" s="148">
        <v>95.519004449212346</v>
      </c>
    </row>
    <row r="4103" spans="2:18" ht="15.75" hidden="1" thickBot="1" x14ac:dyDescent="0.3">
      <c r="B4103" s="724" t="s">
        <v>800</v>
      </c>
      <c r="C4103" s="722" t="s">
        <v>69</v>
      </c>
      <c r="D4103" t="s">
        <v>70</v>
      </c>
      <c r="E4103" s="729"/>
      <c r="F4103" s="729"/>
      <c r="G4103" s="729"/>
      <c r="H4103" s="729"/>
      <c r="I4103" s="729"/>
      <c r="J4103" s="729"/>
      <c r="K4103" s="729"/>
      <c r="L4103" s="147">
        <v>0.84691000000000005</v>
      </c>
      <c r="M4103" s="729"/>
      <c r="N4103" s="147">
        <v>0.84691000000000005</v>
      </c>
      <c r="O4103" s="147">
        <v>0</v>
      </c>
      <c r="P4103" s="729"/>
      <c r="Q4103" s="147">
        <v>0.84691000000000005</v>
      </c>
      <c r="R4103" s="147">
        <v>0</v>
      </c>
    </row>
    <row r="4104" spans="2:18" ht="15.75" hidden="1" thickBot="1" x14ac:dyDescent="0.3">
      <c r="B4104" s="724" t="s">
        <v>800</v>
      </c>
      <c r="C4104" s="722" t="s">
        <v>99</v>
      </c>
      <c r="D4104" t="s">
        <v>100</v>
      </c>
      <c r="E4104" s="148">
        <v>21.681239999999999</v>
      </c>
      <c r="F4104" s="148">
        <v>22.5</v>
      </c>
      <c r="G4104" s="148">
        <v>-0.81876000000000004</v>
      </c>
      <c r="H4104" s="148">
        <v>-3.6389333333333331</v>
      </c>
      <c r="I4104" s="728"/>
      <c r="J4104" s="148">
        <v>21.681239999999999</v>
      </c>
      <c r="K4104" s="148">
        <v>0</v>
      </c>
      <c r="L4104" s="148">
        <v>362.02703000000002</v>
      </c>
      <c r="M4104" s="148">
        <v>270</v>
      </c>
      <c r="N4104" s="148">
        <v>92.027029999999996</v>
      </c>
      <c r="O4104" s="148">
        <v>34.084085185185188</v>
      </c>
      <c r="P4104" s="148">
        <v>154.36054999999999</v>
      </c>
      <c r="Q4104" s="148">
        <v>207.66648000000001</v>
      </c>
      <c r="R4104" s="148">
        <v>134.53338952212854</v>
      </c>
    </row>
    <row r="4105" spans="2:18" ht="15.75" hidden="1" thickBot="1" x14ac:dyDescent="0.3">
      <c r="B4105" s="724" t="s">
        <v>800</v>
      </c>
      <c r="C4105" s="722" t="s">
        <v>165</v>
      </c>
      <c r="D4105" t="s">
        <v>166</v>
      </c>
      <c r="E4105" s="147">
        <v>1.04576</v>
      </c>
      <c r="F4105" s="729"/>
      <c r="G4105" s="147">
        <v>1.04576</v>
      </c>
      <c r="H4105" s="147">
        <v>0</v>
      </c>
      <c r="I4105" s="729"/>
      <c r="J4105" s="147">
        <v>1.04576</v>
      </c>
      <c r="K4105" s="147">
        <v>0</v>
      </c>
      <c r="L4105" s="147">
        <v>30.5166</v>
      </c>
      <c r="M4105" s="729"/>
      <c r="N4105" s="147">
        <v>30.5166</v>
      </c>
      <c r="O4105" s="147">
        <v>0</v>
      </c>
      <c r="P4105" s="147">
        <v>19.44828</v>
      </c>
      <c r="Q4105" s="147">
        <v>11.06832</v>
      </c>
      <c r="R4105" s="147">
        <v>56.911562359242055</v>
      </c>
    </row>
    <row r="4106" spans="2:18" ht="15.75" hidden="1" thickBot="1" x14ac:dyDescent="0.3">
      <c r="B4106" s="724" t="s">
        <v>800</v>
      </c>
      <c r="C4106" s="722" t="s">
        <v>188</v>
      </c>
      <c r="D4106" t="s">
        <v>189</v>
      </c>
      <c r="E4106" s="728"/>
      <c r="F4106" s="728"/>
      <c r="G4106" s="728"/>
      <c r="H4106" s="728"/>
      <c r="I4106" s="728"/>
      <c r="J4106" s="728"/>
      <c r="K4106" s="728"/>
      <c r="L4106" s="148">
        <v>1.6000000000000001E-3</v>
      </c>
      <c r="M4106" s="728"/>
      <c r="N4106" s="148">
        <v>1.6000000000000001E-3</v>
      </c>
      <c r="O4106" s="148">
        <v>0</v>
      </c>
      <c r="P4106" s="148">
        <v>1.6000000000000001E-3</v>
      </c>
      <c r="Q4106" s="148">
        <v>0</v>
      </c>
      <c r="R4106" s="148">
        <v>0</v>
      </c>
    </row>
    <row r="4107" spans="2:18" ht="15.75" hidden="1" thickBot="1" x14ac:dyDescent="0.3">
      <c r="B4107" s="724" t="s">
        <v>800</v>
      </c>
      <c r="C4107" s="722" t="s">
        <v>137</v>
      </c>
      <c r="D4107" t="s">
        <v>138</v>
      </c>
      <c r="E4107" s="147">
        <v>1.4257200000000001</v>
      </c>
      <c r="F4107" s="147">
        <v>0.54</v>
      </c>
      <c r="G4107" s="147">
        <v>0.88571999999999995</v>
      </c>
      <c r="H4107" s="147">
        <v>164.02222222222221</v>
      </c>
      <c r="I4107" s="729"/>
      <c r="J4107" s="147">
        <v>1.4257200000000001</v>
      </c>
      <c r="K4107" s="147">
        <v>0</v>
      </c>
      <c r="L4107" s="147">
        <v>6.3613</v>
      </c>
      <c r="M4107" s="147">
        <v>6.48</v>
      </c>
      <c r="N4107" s="147">
        <v>-0.1187</v>
      </c>
      <c r="O4107" s="147">
        <v>-1.8317901234567902</v>
      </c>
      <c r="P4107" s="147">
        <v>1.6906099999999999</v>
      </c>
      <c r="Q4107" s="147">
        <v>4.6706899999999996</v>
      </c>
      <c r="R4107" s="147">
        <v>276.27246970028568</v>
      </c>
    </row>
    <row r="4108" spans="2:18" ht="15.75" hidden="1" thickBot="1" x14ac:dyDescent="0.3">
      <c r="B4108" s="724" t="s">
        <v>800</v>
      </c>
      <c r="C4108" s="722" t="s">
        <v>190</v>
      </c>
      <c r="D4108" t="s">
        <v>191</v>
      </c>
      <c r="E4108" s="148">
        <v>9.8069299999999995</v>
      </c>
      <c r="F4108" s="148">
        <v>7.7499900000000004</v>
      </c>
      <c r="G4108" s="148">
        <v>2.05694</v>
      </c>
      <c r="H4108" s="148">
        <v>26.5411955370265</v>
      </c>
      <c r="I4108" s="728"/>
      <c r="J4108" s="148">
        <v>9.8069299999999995</v>
      </c>
      <c r="K4108" s="148">
        <v>0</v>
      </c>
      <c r="L4108" s="148">
        <v>115.69363</v>
      </c>
      <c r="M4108" s="148">
        <v>92.999880000000005</v>
      </c>
      <c r="N4108" s="148">
        <v>22.693750000000001</v>
      </c>
      <c r="O4108" s="148">
        <v>24.401913206769731</v>
      </c>
      <c r="P4108" s="148">
        <v>56.751249999999999</v>
      </c>
      <c r="Q4108" s="148">
        <v>58.94238</v>
      </c>
      <c r="R4108" s="148">
        <v>103.86093698376688</v>
      </c>
    </row>
    <row r="4109" spans="2:18" ht="15.75" hidden="1" thickBot="1" x14ac:dyDescent="0.3">
      <c r="B4109" s="724" t="s">
        <v>800</v>
      </c>
      <c r="C4109" s="722" t="s">
        <v>36</v>
      </c>
      <c r="D4109" t="s">
        <v>192</v>
      </c>
      <c r="E4109" s="729"/>
      <c r="F4109" s="147">
        <v>0.72221999999999997</v>
      </c>
      <c r="G4109" s="147">
        <v>-0.72221999999999997</v>
      </c>
      <c r="H4109" s="147">
        <v>-100</v>
      </c>
      <c r="I4109" s="729"/>
      <c r="J4109" s="729"/>
      <c r="K4109" s="729"/>
      <c r="L4109" s="147">
        <v>6.7380100000000001</v>
      </c>
      <c r="M4109" s="147">
        <v>8.6666399999999992</v>
      </c>
      <c r="N4109" s="147">
        <v>-1.9286300000000001</v>
      </c>
      <c r="O4109" s="147">
        <v>-22.253491549204767</v>
      </c>
      <c r="P4109" s="147">
        <v>1.64683</v>
      </c>
      <c r="Q4109" s="147">
        <v>5.0911799999999996</v>
      </c>
      <c r="R4109" s="147">
        <v>309.15030695335889</v>
      </c>
    </row>
    <row r="4110" spans="2:18" ht="15.75" hidden="1" thickBot="1" x14ac:dyDescent="0.3">
      <c r="B4110" s="724" t="s">
        <v>800</v>
      </c>
      <c r="C4110" s="722" t="s">
        <v>139</v>
      </c>
      <c r="D4110" t="s">
        <v>140</v>
      </c>
      <c r="E4110" s="728"/>
      <c r="F4110" s="728"/>
      <c r="G4110" s="728"/>
      <c r="H4110" s="728"/>
      <c r="I4110" s="728"/>
      <c r="J4110" s="728"/>
      <c r="K4110" s="728"/>
      <c r="L4110" s="148">
        <v>0.3</v>
      </c>
      <c r="M4110" s="728"/>
      <c r="N4110" s="148">
        <v>0.3</v>
      </c>
      <c r="O4110" s="148">
        <v>0</v>
      </c>
      <c r="P4110" s="728"/>
      <c r="Q4110" s="148">
        <v>0.3</v>
      </c>
      <c r="R4110" s="148">
        <v>0</v>
      </c>
    </row>
    <row r="4111" spans="2:18" ht="15.75" hidden="1" thickBot="1" x14ac:dyDescent="0.3">
      <c r="B4111" s="724" t="s">
        <v>800</v>
      </c>
      <c r="C4111" s="722" t="s">
        <v>169</v>
      </c>
      <c r="D4111" t="s">
        <v>170</v>
      </c>
      <c r="E4111" s="729"/>
      <c r="F4111" s="729"/>
      <c r="G4111" s="729"/>
      <c r="H4111" s="729"/>
      <c r="I4111" s="729"/>
      <c r="J4111" s="729"/>
      <c r="K4111" s="729"/>
      <c r="L4111" s="147">
        <v>4.5001699999999998</v>
      </c>
      <c r="M4111" s="729"/>
      <c r="N4111" s="147">
        <v>4.5001699999999998</v>
      </c>
      <c r="O4111" s="147">
        <v>0</v>
      </c>
      <c r="P4111" s="147">
        <v>4.5001699999999998</v>
      </c>
      <c r="Q4111" s="147">
        <v>0</v>
      </c>
      <c r="R4111" s="147">
        <v>0</v>
      </c>
    </row>
    <row r="4112" spans="2:18" ht="15.75" hidden="1" thickBot="1" x14ac:dyDescent="0.3">
      <c r="B4112" s="724" t="s">
        <v>800</v>
      </c>
      <c r="C4112" s="722" t="s">
        <v>101</v>
      </c>
      <c r="D4112" t="s">
        <v>102</v>
      </c>
      <c r="E4112" s="148">
        <v>45.911320000000003</v>
      </c>
      <c r="F4112" s="148">
        <v>26.666640000000001</v>
      </c>
      <c r="G4112" s="148">
        <v>19.244679999999999</v>
      </c>
      <c r="H4112" s="148">
        <v>72.16762216762217</v>
      </c>
      <c r="I4112" s="728"/>
      <c r="J4112" s="148">
        <v>45.911320000000003</v>
      </c>
      <c r="K4112" s="148">
        <v>0</v>
      </c>
      <c r="L4112" s="148">
        <v>400.67950000000002</v>
      </c>
      <c r="M4112" s="148">
        <v>540</v>
      </c>
      <c r="N4112" s="148">
        <v>-139.32050000000001</v>
      </c>
      <c r="O4112" s="148">
        <v>-25.800092592592591</v>
      </c>
      <c r="P4112" s="148">
        <v>139.68055000000001</v>
      </c>
      <c r="Q4112" s="148">
        <v>260.99894999999998</v>
      </c>
      <c r="R4112" s="148">
        <v>186.8541826331583</v>
      </c>
    </row>
    <row r="4113" spans="2:18" ht="15.75" hidden="1" thickBot="1" x14ac:dyDescent="0.3">
      <c r="B4113" s="724" t="s">
        <v>800</v>
      </c>
      <c r="C4113" s="722" t="s">
        <v>462</v>
      </c>
      <c r="D4113" t="s">
        <v>463</v>
      </c>
      <c r="E4113" s="729"/>
      <c r="F4113" s="729"/>
      <c r="G4113" s="729"/>
      <c r="H4113" s="729"/>
      <c r="I4113" s="729"/>
      <c r="J4113" s="729"/>
      <c r="K4113" s="729"/>
      <c r="L4113" s="147">
        <v>13.121</v>
      </c>
      <c r="M4113" s="729"/>
      <c r="N4113" s="147">
        <v>13.121</v>
      </c>
      <c r="O4113" s="147">
        <v>0</v>
      </c>
      <c r="P4113" s="729"/>
      <c r="Q4113" s="147">
        <v>13.121</v>
      </c>
      <c r="R4113" s="147">
        <v>0</v>
      </c>
    </row>
    <row r="4114" spans="2:18" ht="15.75" hidden="1" thickBot="1" x14ac:dyDescent="0.3">
      <c r="B4114" s="724" t="s">
        <v>800</v>
      </c>
      <c r="C4114" s="722" t="s">
        <v>617</v>
      </c>
      <c r="D4114" t="s">
        <v>618</v>
      </c>
      <c r="E4114" s="148">
        <v>0.26</v>
      </c>
      <c r="F4114" s="728"/>
      <c r="G4114" s="148">
        <v>0.26</v>
      </c>
      <c r="H4114" s="148">
        <v>0</v>
      </c>
      <c r="I4114" s="728"/>
      <c r="J4114" s="148">
        <v>0.26</v>
      </c>
      <c r="K4114" s="148">
        <v>0</v>
      </c>
      <c r="L4114" s="148">
        <v>1.3</v>
      </c>
      <c r="M4114" s="728"/>
      <c r="N4114" s="148">
        <v>1.3</v>
      </c>
      <c r="O4114" s="148">
        <v>0</v>
      </c>
      <c r="P4114" s="728"/>
      <c r="Q4114" s="148">
        <v>1.3</v>
      </c>
      <c r="R4114" s="148">
        <v>0</v>
      </c>
    </row>
    <row r="4115" spans="2:18" ht="15.75" hidden="1" thickBot="1" x14ac:dyDescent="0.3">
      <c r="B4115" s="724" t="s">
        <v>800</v>
      </c>
      <c r="C4115" s="722" t="s">
        <v>195</v>
      </c>
      <c r="D4115" t="s">
        <v>196</v>
      </c>
      <c r="E4115" s="147">
        <v>-0.85085</v>
      </c>
      <c r="F4115" s="729"/>
      <c r="G4115" s="147">
        <v>-0.85085</v>
      </c>
      <c r="H4115" s="147">
        <v>0</v>
      </c>
      <c r="I4115" s="729"/>
      <c r="J4115" s="147">
        <v>-0.85085</v>
      </c>
      <c r="K4115" s="147">
        <v>0</v>
      </c>
      <c r="L4115" s="147">
        <v>0.15</v>
      </c>
      <c r="M4115" s="729"/>
      <c r="N4115" s="147">
        <v>0.15</v>
      </c>
      <c r="O4115" s="147">
        <v>0</v>
      </c>
      <c r="P4115" s="729"/>
      <c r="Q4115" s="147">
        <v>0.15</v>
      </c>
      <c r="R4115" s="147">
        <v>0</v>
      </c>
    </row>
    <row r="4116" spans="2:18" ht="15.75" hidden="1" thickBot="1" x14ac:dyDescent="0.3">
      <c r="B4116" s="724" t="s">
        <v>800</v>
      </c>
      <c r="C4116" s="722" t="s">
        <v>464</v>
      </c>
      <c r="D4116" t="s">
        <v>465</v>
      </c>
      <c r="E4116" s="148">
        <v>0.16300000000000001</v>
      </c>
      <c r="F4116" s="148">
        <v>1.2</v>
      </c>
      <c r="G4116" s="148">
        <v>-1.0369999999999999</v>
      </c>
      <c r="H4116" s="148">
        <v>-86.416666666666671</v>
      </c>
      <c r="I4116" s="728"/>
      <c r="J4116" s="148">
        <v>0.16300000000000001</v>
      </c>
      <c r="K4116" s="148">
        <v>0</v>
      </c>
      <c r="L4116" s="148">
        <v>18.994530000000001</v>
      </c>
      <c r="M4116" s="148">
        <v>20.8</v>
      </c>
      <c r="N4116" s="148">
        <v>-1.8054699999999999</v>
      </c>
      <c r="O4116" s="148">
        <v>-8.6801442307692316</v>
      </c>
      <c r="P4116" s="148">
        <v>8.6488300000000002</v>
      </c>
      <c r="Q4116" s="148">
        <v>10.345700000000001</v>
      </c>
      <c r="R4116" s="148">
        <v>119.61964797550651</v>
      </c>
    </row>
    <row r="4117" spans="2:18" ht="15.75" hidden="1" thickBot="1" x14ac:dyDescent="0.3">
      <c r="B4117" s="724" t="s">
        <v>800</v>
      </c>
      <c r="C4117" s="722" t="s">
        <v>621</v>
      </c>
      <c r="D4117" t="s">
        <v>622</v>
      </c>
      <c r="E4117" s="729"/>
      <c r="F4117" s="729"/>
      <c r="G4117" s="729"/>
      <c r="H4117" s="729"/>
      <c r="I4117" s="729"/>
      <c r="J4117" s="729"/>
      <c r="K4117" s="729"/>
      <c r="L4117" s="147">
        <v>0.68837000000000004</v>
      </c>
      <c r="M4117" s="729"/>
      <c r="N4117" s="147">
        <v>0.68837000000000004</v>
      </c>
      <c r="O4117" s="147">
        <v>0</v>
      </c>
      <c r="P4117" s="729"/>
      <c r="Q4117" s="147">
        <v>0.68837000000000004</v>
      </c>
      <c r="R4117" s="147">
        <v>0</v>
      </c>
    </row>
    <row r="4118" spans="2:18" ht="15.75" hidden="1" thickBot="1" x14ac:dyDescent="0.3">
      <c r="B4118" s="724" t="s">
        <v>800</v>
      </c>
      <c r="C4118" s="722" t="s">
        <v>103</v>
      </c>
      <c r="D4118" t="s">
        <v>104</v>
      </c>
      <c r="E4118" s="728"/>
      <c r="F4118" s="148">
        <v>25</v>
      </c>
      <c r="G4118" s="148">
        <v>-25</v>
      </c>
      <c r="H4118" s="148">
        <v>-100</v>
      </c>
      <c r="I4118" s="728"/>
      <c r="J4118" s="728"/>
      <c r="K4118" s="728"/>
      <c r="L4118" s="148">
        <v>2.17632</v>
      </c>
      <c r="M4118" s="148">
        <v>50</v>
      </c>
      <c r="N4118" s="148">
        <v>-47.823680000000003</v>
      </c>
      <c r="O4118" s="148">
        <v>-95.647360000000006</v>
      </c>
      <c r="P4118" s="148">
        <v>1.1855199999999999</v>
      </c>
      <c r="Q4118" s="148">
        <v>0.99080000000000001</v>
      </c>
      <c r="R4118" s="148">
        <v>83.575140022943515</v>
      </c>
    </row>
    <row r="4119" spans="2:18" ht="15.75" hidden="1" thickBot="1" x14ac:dyDescent="0.3">
      <c r="B4119" s="724" t="s">
        <v>800</v>
      </c>
      <c r="C4119" s="722" t="s">
        <v>71</v>
      </c>
      <c r="D4119" t="s">
        <v>72</v>
      </c>
      <c r="E4119" s="729"/>
      <c r="F4119" s="729"/>
      <c r="G4119" s="729"/>
      <c r="H4119" s="729"/>
      <c r="I4119" s="729"/>
      <c r="J4119" s="729"/>
      <c r="K4119" s="729"/>
      <c r="L4119" s="147">
        <v>0.45992</v>
      </c>
      <c r="M4119" s="729"/>
      <c r="N4119" s="147">
        <v>0.45992</v>
      </c>
      <c r="O4119" s="147">
        <v>0</v>
      </c>
      <c r="P4119" s="147">
        <v>0.18859999999999999</v>
      </c>
      <c r="Q4119" s="147">
        <v>0.27132000000000001</v>
      </c>
      <c r="R4119" s="147">
        <v>143.86002120890774</v>
      </c>
    </row>
    <row r="4120" spans="2:18" ht="15.75" hidden="1" thickBot="1" x14ac:dyDescent="0.3">
      <c r="B4120" s="724" t="s">
        <v>800</v>
      </c>
      <c r="C4120" s="722" t="s">
        <v>627</v>
      </c>
      <c r="D4120" t="s">
        <v>628</v>
      </c>
      <c r="E4120" s="148">
        <v>59.059780000000003</v>
      </c>
      <c r="F4120" s="148">
        <v>28</v>
      </c>
      <c r="G4120" s="148">
        <v>31.05978</v>
      </c>
      <c r="H4120" s="148">
        <v>110.92778571428572</v>
      </c>
      <c r="I4120" s="728"/>
      <c r="J4120" s="148">
        <v>59.059780000000003</v>
      </c>
      <c r="K4120" s="148">
        <v>0</v>
      </c>
      <c r="L4120" s="148">
        <v>538.90774999999996</v>
      </c>
      <c r="M4120" s="148">
        <v>396</v>
      </c>
      <c r="N4120" s="148">
        <v>142.90774999999999</v>
      </c>
      <c r="O4120" s="148">
        <v>36.08781565656566</v>
      </c>
      <c r="P4120" s="148">
        <v>252.97003000000001</v>
      </c>
      <c r="Q4120" s="148">
        <v>285.93772000000001</v>
      </c>
      <c r="R4120" s="148">
        <v>113.0322512907952</v>
      </c>
    </row>
    <row r="4121" spans="2:18" ht="15.75" hidden="1" thickBot="1" x14ac:dyDescent="0.3">
      <c r="B4121" s="724" t="s">
        <v>800</v>
      </c>
      <c r="C4121" s="722" t="s">
        <v>107</v>
      </c>
      <c r="D4121" t="s">
        <v>108</v>
      </c>
      <c r="E4121" s="729"/>
      <c r="F4121" s="729"/>
      <c r="G4121" s="729"/>
      <c r="H4121" s="729"/>
      <c r="I4121" s="729"/>
      <c r="J4121" s="729"/>
      <c r="K4121" s="729"/>
      <c r="L4121" s="147">
        <v>0.35770000000000002</v>
      </c>
      <c r="M4121" s="729"/>
      <c r="N4121" s="147">
        <v>0.35770000000000002</v>
      </c>
      <c r="O4121" s="147">
        <v>0</v>
      </c>
      <c r="P4121" s="147">
        <v>0.35770000000000002</v>
      </c>
      <c r="Q4121" s="147">
        <v>0</v>
      </c>
      <c r="R4121" s="147">
        <v>0</v>
      </c>
    </row>
    <row r="4122" spans="2:18" ht="15.75" hidden="1" thickBot="1" x14ac:dyDescent="0.3">
      <c r="B4122" s="724" t="s">
        <v>800</v>
      </c>
      <c r="C4122" s="722" t="s">
        <v>109</v>
      </c>
      <c r="D4122" t="s">
        <v>110</v>
      </c>
      <c r="E4122" s="148">
        <v>0.73180000000000001</v>
      </c>
      <c r="F4122" s="148">
        <v>0</v>
      </c>
      <c r="G4122" s="148">
        <v>0.73180000000000001</v>
      </c>
      <c r="H4122" s="148">
        <v>0</v>
      </c>
      <c r="I4122" s="728"/>
      <c r="J4122" s="148">
        <v>0.73180000000000001</v>
      </c>
      <c r="K4122" s="148">
        <v>0</v>
      </c>
      <c r="L4122" s="148">
        <v>5.13354</v>
      </c>
      <c r="M4122" s="148">
        <v>0</v>
      </c>
      <c r="N4122" s="148">
        <v>5.13354</v>
      </c>
      <c r="O4122" s="148">
        <v>0</v>
      </c>
      <c r="P4122" s="148">
        <v>3.4641999999999999</v>
      </c>
      <c r="Q4122" s="148">
        <v>1.66934</v>
      </c>
      <c r="R4122" s="148">
        <v>48.188326309104554</v>
      </c>
    </row>
    <row r="4123" spans="2:18" ht="15.75" hidden="1" thickBot="1" x14ac:dyDescent="0.3">
      <c r="B4123" s="724" t="s">
        <v>800</v>
      </c>
      <c r="C4123" s="722" t="s">
        <v>199</v>
      </c>
      <c r="D4123" t="s">
        <v>200</v>
      </c>
      <c r="E4123" s="147">
        <v>1.3999999999999999E-4</v>
      </c>
      <c r="F4123" s="147">
        <v>0</v>
      </c>
      <c r="G4123" s="147">
        <v>1.3999999999999999E-4</v>
      </c>
      <c r="H4123" s="147">
        <v>0</v>
      </c>
      <c r="I4123" s="729"/>
      <c r="J4123" s="147">
        <v>1.3999999999999999E-4</v>
      </c>
      <c r="K4123" s="147">
        <v>0</v>
      </c>
      <c r="L4123" s="147">
        <v>2.0500000000000002E-3</v>
      </c>
      <c r="M4123" s="147">
        <v>0</v>
      </c>
      <c r="N4123" s="147">
        <v>2.0500000000000002E-3</v>
      </c>
      <c r="O4123" s="147">
        <v>0</v>
      </c>
      <c r="P4123" s="147">
        <v>1.0499999999999999E-3</v>
      </c>
      <c r="Q4123" s="147">
        <v>1E-3</v>
      </c>
      <c r="R4123" s="147">
        <v>95.238095238095241</v>
      </c>
    </row>
    <row r="4124" spans="2:18" ht="15.75" hidden="1" thickBot="1" x14ac:dyDescent="0.3">
      <c r="B4124" s="724" t="s">
        <v>800</v>
      </c>
      <c r="C4124" s="722" t="s">
        <v>73</v>
      </c>
      <c r="D4124" t="s">
        <v>74</v>
      </c>
      <c r="E4124" s="148">
        <v>1.13371</v>
      </c>
      <c r="F4124" s="148">
        <v>0</v>
      </c>
      <c r="G4124" s="148">
        <v>1.13371</v>
      </c>
      <c r="H4124" s="148">
        <v>0</v>
      </c>
      <c r="I4124" s="728"/>
      <c r="J4124" s="148">
        <v>1.13371</v>
      </c>
      <c r="K4124" s="148">
        <v>0</v>
      </c>
      <c r="L4124" s="148">
        <v>14.27886</v>
      </c>
      <c r="M4124" s="148">
        <v>0</v>
      </c>
      <c r="N4124" s="148">
        <v>14.27886</v>
      </c>
      <c r="O4124" s="148">
        <v>0</v>
      </c>
      <c r="P4124" s="148">
        <v>7.3996500000000003</v>
      </c>
      <c r="Q4124" s="148">
        <v>6.8792099999999996</v>
      </c>
      <c r="R4124" s="148">
        <v>92.96669437067969</v>
      </c>
    </row>
    <row r="4125" spans="2:18" ht="15.75" hidden="1" thickBot="1" x14ac:dyDescent="0.3">
      <c r="B4125" s="724" t="s">
        <v>800</v>
      </c>
      <c r="C4125" s="722" t="s">
        <v>111</v>
      </c>
      <c r="D4125" t="s">
        <v>112</v>
      </c>
      <c r="E4125" s="729"/>
      <c r="F4125" s="147">
        <v>0</v>
      </c>
      <c r="G4125" s="147">
        <v>0</v>
      </c>
      <c r="H4125" s="147">
        <v>0</v>
      </c>
      <c r="I4125" s="729"/>
      <c r="J4125" s="729"/>
      <c r="K4125" s="729"/>
      <c r="L4125" s="729"/>
      <c r="M4125" s="147">
        <v>0</v>
      </c>
      <c r="N4125" s="147">
        <v>0</v>
      </c>
      <c r="O4125" s="147">
        <v>0</v>
      </c>
      <c r="P4125" s="729"/>
      <c r="Q4125" s="729"/>
      <c r="R4125" s="729"/>
    </row>
    <row r="4126" spans="2:18" ht="15.75" hidden="1" thickBot="1" x14ac:dyDescent="0.3">
      <c r="B4126" s="724" t="s">
        <v>800</v>
      </c>
      <c r="C4126" s="722" t="s">
        <v>141</v>
      </c>
      <c r="D4126" t="s">
        <v>142</v>
      </c>
      <c r="E4126" s="148">
        <v>9.5000000000000001E-2</v>
      </c>
      <c r="F4126" s="148">
        <v>0</v>
      </c>
      <c r="G4126" s="148">
        <v>9.5000000000000001E-2</v>
      </c>
      <c r="H4126" s="148">
        <v>0</v>
      </c>
      <c r="I4126" s="728"/>
      <c r="J4126" s="148">
        <v>9.5000000000000001E-2</v>
      </c>
      <c r="K4126" s="148">
        <v>0</v>
      </c>
      <c r="L4126" s="148">
        <v>0.66542000000000001</v>
      </c>
      <c r="M4126" s="148">
        <v>0</v>
      </c>
      <c r="N4126" s="148">
        <v>0.66542000000000001</v>
      </c>
      <c r="O4126" s="148">
        <v>0</v>
      </c>
      <c r="P4126" s="148">
        <v>0.19192000000000001</v>
      </c>
      <c r="Q4126" s="148">
        <v>0.47349999999999998</v>
      </c>
      <c r="R4126" s="148">
        <v>246.71738224260108</v>
      </c>
    </row>
    <row r="4127" spans="2:18" ht="15.75" hidden="1" thickBot="1" x14ac:dyDescent="0.3">
      <c r="B4127" s="724" t="s">
        <v>800</v>
      </c>
      <c r="C4127" s="722" t="s">
        <v>113</v>
      </c>
      <c r="D4127" t="s">
        <v>114</v>
      </c>
      <c r="E4127" s="147">
        <v>0.60287000000000002</v>
      </c>
      <c r="F4127" s="147">
        <v>0</v>
      </c>
      <c r="G4127" s="147">
        <v>0.60287000000000002</v>
      </c>
      <c r="H4127" s="147">
        <v>0</v>
      </c>
      <c r="I4127" s="729"/>
      <c r="J4127" s="147">
        <v>0.60287000000000002</v>
      </c>
      <c r="K4127" s="147">
        <v>0</v>
      </c>
      <c r="L4127" s="147">
        <v>4.1572699999999996</v>
      </c>
      <c r="M4127" s="147">
        <v>0</v>
      </c>
      <c r="N4127" s="147">
        <v>4.1572699999999996</v>
      </c>
      <c r="O4127" s="147">
        <v>0</v>
      </c>
      <c r="P4127" s="147">
        <v>2.00413</v>
      </c>
      <c r="Q4127" s="147">
        <v>2.1531400000000001</v>
      </c>
      <c r="R4127" s="147">
        <v>107.43514642263726</v>
      </c>
    </row>
    <row r="4128" spans="2:18" ht="15.75" hidden="1" thickBot="1" x14ac:dyDescent="0.3">
      <c r="B4128" s="724" t="s">
        <v>800</v>
      </c>
      <c r="C4128" s="722" t="s">
        <v>201</v>
      </c>
      <c r="D4128" t="s">
        <v>202</v>
      </c>
      <c r="E4128" s="148">
        <v>3.1980000000000001E-2</v>
      </c>
      <c r="F4128" s="148">
        <v>0.99999000000000005</v>
      </c>
      <c r="G4128" s="148">
        <v>-0.96801000000000004</v>
      </c>
      <c r="H4128" s="148">
        <v>-96.801968019680203</v>
      </c>
      <c r="I4128" s="728"/>
      <c r="J4128" s="148">
        <v>3.1980000000000001E-2</v>
      </c>
      <c r="K4128" s="148">
        <v>0</v>
      </c>
      <c r="L4128" s="148">
        <v>4.9648300000000001</v>
      </c>
      <c r="M4128" s="148">
        <v>11.999879999999999</v>
      </c>
      <c r="N4128" s="148">
        <v>-7.03505</v>
      </c>
      <c r="O4128" s="148">
        <v>-58.626002926695932</v>
      </c>
      <c r="P4128" s="148">
        <v>4.04915</v>
      </c>
      <c r="Q4128" s="148">
        <v>0.91568000000000005</v>
      </c>
      <c r="R4128" s="148">
        <v>22.614128891248782</v>
      </c>
    </row>
    <row r="4129" spans="2:18" ht="15.75" hidden="1" thickBot="1" x14ac:dyDescent="0.3">
      <c r="B4129" s="724" t="s">
        <v>800</v>
      </c>
      <c r="C4129" s="722" t="s">
        <v>629</v>
      </c>
      <c r="D4129" t="s">
        <v>630</v>
      </c>
      <c r="E4129" s="729"/>
      <c r="F4129" s="729"/>
      <c r="G4129" s="729"/>
      <c r="H4129" s="729"/>
      <c r="I4129" s="729"/>
      <c r="J4129" s="729"/>
      <c r="K4129" s="729"/>
      <c r="L4129" s="147">
        <v>12.78598</v>
      </c>
      <c r="M4129" s="729"/>
      <c r="N4129" s="147">
        <v>12.78598</v>
      </c>
      <c r="O4129" s="147">
        <v>0</v>
      </c>
      <c r="P4129" s="729"/>
      <c r="Q4129" s="147">
        <v>12.78598</v>
      </c>
      <c r="R4129" s="147">
        <v>0</v>
      </c>
    </row>
    <row r="4130" spans="2:18" ht="15.75" hidden="1" thickBot="1" x14ac:dyDescent="0.3">
      <c r="B4130" s="724" t="s">
        <v>800</v>
      </c>
      <c r="C4130" s="722" t="s">
        <v>117</v>
      </c>
      <c r="D4130" t="s">
        <v>118</v>
      </c>
      <c r="E4130" s="148">
        <v>-1.5890000000000001E-2</v>
      </c>
      <c r="F4130" s="148">
        <v>0</v>
      </c>
      <c r="G4130" s="148">
        <v>-1.5890000000000001E-2</v>
      </c>
      <c r="H4130" s="148">
        <v>0</v>
      </c>
      <c r="I4130" s="728"/>
      <c r="J4130" s="148">
        <v>-1.5890000000000001E-2</v>
      </c>
      <c r="K4130" s="148">
        <v>0</v>
      </c>
      <c r="L4130" s="148">
        <v>-4.4231299999999996</v>
      </c>
      <c r="M4130" s="148">
        <v>0</v>
      </c>
      <c r="N4130" s="148">
        <v>-4.4231299999999996</v>
      </c>
      <c r="O4130" s="148">
        <v>0</v>
      </c>
      <c r="P4130" s="148">
        <v>-3.10643</v>
      </c>
      <c r="Q4130" s="148">
        <v>-1.3167</v>
      </c>
      <c r="R4130" s="148">
        <v>-42.386276207736856</v>
      </c>
    </row>
    <row r="4131" spans="2:18" ht="15.75" hidden="1" thickBot="1" x14ac:dyDescent="0.3">
      <c r="B4131" s="724" t="s">
        <v>800</v>
      </c>
      <c r="C4131" s="722" t="s">
        <v>145</v>
      </c>
      <c r="D4131" t="s">
        <v>146</v>
      </c>
      <c r="E4131" s="147">
        <v>3.32E-2</v>
      </c>
      <c r="F4131" s="147">
        <v>0</v>
      </c>
      <c r="G4131" s="147">
        <v>3.32E-2</v>
      </c>
      <c r="H4131" s="147">
        <v>0</v>
      </c>
      <c r="I4131" s="729"/>
      <c r="J4131" s="147">
        <v>3.32E-2</v>
      </c>
      <c r="K4131" s="147">
        <v>0</v>
      </c>
      <c r="L4131" s="147">
        <v>0.19900000000000001</v>
      </c>
      <c r="M4131" s="147">
        <v>0</v>
      </c>
      <c r="N4131" s="147">
        <v>0.19900000000000001</v>
      </c>
      <c r="O4131" s="147">
        <v>0</v>
      </c>
      <c r="P4131" s="147">
        <v>6.9400000000000003E-2</v>
      </c>
      <c r="Q4131" s="147">
        <v>0.12959999999999999</v>
      </c>
      <c r="R4131" s="147">
        <v>186.74351585014409</v>
      </c>
    </row>
    <row r="4132" spans="2:18" ht="15.75" hidden="1" thickBot="1" x14ac:dyDescent="0.3">
      <c r="B4132" s="724" t="s">
        <v>800</v>
      </c>
      <c r="C4132" s="722" t="s">
        <v>147</v>
      </c>
      <c r="D4132" t="s">
        <v>148</v>
      </c>
      <c r="E4132" s="148">
        <v>0.22208</v>
      </c>
      <c r="F4132" s="728"/>
      <c r="G4132" s="148">
        <v>0.22208</v>
      </c>
      <c r="H4132" s="148">
        <v>0</v>
      </c>
      <c r="I4132" s="728"/>
      <c r="J4132" s="148">
        <v>0.22208</v>
      </c>
      <c r="K4132" s="148">
        <v>0</v>
      </c>
      <c r="L4132" s="148">
        <v>1.65038</v>
      </c>
      <c r="M4132" s="728"/>
      <c r="N4132" s="148">
        <v>1.65038</v>
      </c>
      <c r="O4132" s="148">
        <v>0</v>
      </c>
      <c r="P4132" s="148">
        <v>0.81755</v>
      </c>
      <c r="Q4132" s="148">
        <v>0.83282999999999996</v>
      </c>
      <c r="R4132" s="148">
        <v>101.86899883799155</v>
      </c>
    </row>
    <row r="4133" spans="2:18" ht="15.75" hidden="1" thickBot="1" x14ac:dyDescent="0.3">
      <c r="B4133" s="724" t="s">
        <v>800</v>
      </c>
      <c r="C4133" s="722" t="s">
        <v>203</v>
      </c>
      <c r="D4133" t="s">
        <v>204</v>
      </c>
      <c r="E4133" s="147">
        <v>0.14599999999999999</v>
      </c>
      <c r="F4133" s="729"/>
      <c r="G4133" s="147">
        <v>0.14599999999999999</v>
      </c>
      <c r="H4133" s="147">
        <v>0</v>
      </c>
      <c r="I4133" s="729"/>
      <c r="J4133" s="147">
        <v>0.14599999999999999</v>
      </c>
      <c r="K4133" s="147">
        <v>0</v>
      </c>
      <c r="L4133" s="147">
        <v>3.4067699999999999</v>
      </c>
      <c r="M4133" s="729"/>
      <c r="N4133" s="147">
        <v>3.4067699999999999</v>
      </c>
      <c r="O4133" s="147">
        <v>0</v>
      </c>
      <c r="P4133" s="147">
        <v>1.30535</v>
      </c>
      <c r="Q4133" s="147">
        <v>2.1014200000000001</v>
      </c>
      <c r="R4133" s="147">
        <v>160.98517638947408</v>
      </c>
    </row>
    <row r="4134" spans="2:18" ht="15.75" hidden="1" thickBot="1" x14ac:dyDescent="0.3">
      <c r="B4134" s="724" t="s">
        <v>800</v>
      </c>
      <c r="C4134" s="722" t="s">
        <v>149</v>
      </c>
      <c r="D4134" t="s">
        <v>150</v>
      </c>
      <c r="E4134" s="148">
        <v>106.42915000000001</v>
      </c>
      <c r="F4134" s="148">
        <v>12</v>
      </c>
      <c r="G4134" s="148">
        <v>94.429150000000007</v>
      </c>
      <c r="H4134" s="148">
        <v>786.90958333333333</v>
      </c>
      <c r="I4134" s="728"/>
      <c r="J4134" s="148">
        <v>106.42915000000001</v>
      </c>
      <c r="K4134" s="148">
        <v>0</v>
      </c>
      <c r="L4134" s="148">
        <v>354.99119999999999</v>
      </c>
      <c r="M4134" s="148">
        <v>144</v>
      </c>
      <c r="N4134" s="148">
        <v>210.99119999999999</v>
      </c>
      <c r="O4134" s="148">
        <v>146.52166666666668</v>
      </c>
      <c r="P4134" s="148">
        <v>74.021810000000002</v>
      </c>
      <c r="Q4134" s="148">
        <v>280.96938999999998</v>
      </c>
      <c r="R4134" s="148">
        <v>379.57649238785166</v>
      </c>
    </row>
    <row r="4135" spans="2:18" ht="15.75" hidden="1" thickBot="1" x14ac:dyDescent="0.3">
      <c r="B4135" s="724" t="s">
        <v>800</v>
      </c>
      <c r="C4135" s="722" t="s">
        <v>205</v>
      </c>
      <c r="D4135" t="s">
        <v>206</v>
      </c>
      <c r="E4135" s="147">
        <v>25.999849999999999</v>
      </c>
      <c r="F4135" s="147">
        <v>20</v>
      </c>
      <c r="G4135" s="147">
        <v>5.9998500000000003</v>
      </c>
      <c r="H4135" s="147">
        <v>29.99925</v>
      </c>
      <c r="I4135" s="729"/>
      <c r="J4135" s="147">
        <v>25.999849999999999</v>
      </c>
      <c r="K4135" s="147">
        <v>0</v>
      </c>
      <c r="L4135" s="147">
        <v>278.35451</v>
      </c>
      <c r="M4135" s="147">
        <v>240</v>
      </c>
      <c r="N4135" s="147">
        <v>38.354509999999998</v>
      </c>
      <c r="O4135" s="147">
        <v>15.981045833333333</v>
      </c>
      <c r="P4135" s="147">
        <v>126.84617</v>
      </c>
      <c r="Q4135" s="147">
        <v>151.50834</v>
      </c>
      <c r="R4135" s="147">
        <v>119.44258151428616</v>
      </c>
    </row>
    <row r="4136" spans="2:18" ht="15.75" hidden="1" thickBot="1" x14ac:dyDescent="0.3">
      <c r="B4136" s="724" t="s">
        <v>800</v>
      </c>
      <c r="C4136" s="722" t="s">
        <v>173</v>
      </c>
      <c r="D4136" t="s">
        <v>174</v>
      </c>
      <c r="E4136" s="148">
        <v>1.5525</v>
      </c>
      <c r="F4136" s="148">
        <v>0.82499999999999996</v>
      </c>
      <c r="G4136" s="148">
        <v>0.72750000000000004</v>
      </c>
      <c r="H4136" s="148">
        <v>88.181818181818187</v>
      </c>
      <c r="I4136" s="728"/>
      <c r="J4136" s="148">
        <v>1.5525</v>
      </c>
      <c r="K4136" s="148">
        <v>0</v>
      </c>
      <c r="L4136" s="148">
        <v>7.7349199999999998</v>
      </c>
      <c r="M4136" s="148">
        <v>9.9</v>
      </c>
      <c r="N4136" s="148">
        <v>-2.1650800000000001</v>
      </c>
      <c r="O4136" s="148">
        <v>-21.86949494949495</v>
      </c>
      <c r="P4136" s="148">
        <v>2.2244100000000002</v>
      </c>
      <c r="Q4136" s="148">
        <v>5.51051</v>
      </c>
      <c r="R4136" s="148">
        <v>247.72906073970177</v>
      </c>
    </row>
    <row r="4137" spans="2:18" ht="15.75" hidden="1" thickBot="1" x14ac:dyDescent="0.3">
      <c r="B4137" s="724" t="s">
        <v>800</v>
      </c>
      <c r="C4137" s="722" t="s">
        <v>479</v>
      </c>
      <c r="D4137" t="s">
        <v>480</v>
      </c>
      <c r="E4137" s="729"/>
      <c r="F4137" s="729"/>
      <c r="G4137" s="729"/>
      <c r="H4137" s="729"/>
      <c r="I4137" s="729"/>
      <c r="J4137" s="729"/>
      <c r="K4137" s="729"/>
      <c r="L4137" s="147">
        <v>1.9413899999999999</v>
      </c>
      <c r="M4137" s="729"/>
      <c r="N4137" s="147">
        <v>1.9413899999999999</v>
      </c>
      <c r="O4137" s="147">
        <v>0</v>
      </c>
      <c r="P4137" s="147">
        <v>1.9413899999999999</v>
      </c>
      <c r="Q4137" s="147">
        <v>0</v>
      </c>
      <c r="R4137" s="147">
        <v>0</v>
      </c>
    </row>
    <row r="4138" spans="2:18" ht="15.75" hidden="1" thickBot="1" x14ac:dyDescent="0.3">
      <c r="B4138" s="724" t="s">
        <v>800</v>
      </c>
      <c r="C4138" s="722" t="s">
        <v>151</v>
      </c>
      <c r="D4138" t="s">
        <v>152</v>
      </c>
      <c r="E4138" s="728"/>
      <c r="F4138" s="148">
        <v>0</v>
      </c>
      <c r="G4138" s="148">
        <v>0</v>
      </c>
      <c r="H4138" s="148">
        <v>0</v>
      </c>
      <c r="I4138" s="728"/>
      <c r="J4138" s="728"/>
      <c r="K4138" s="728"/>
      <c r="L4138" s="148">
        <v>95.042209999999997</v>
      </c>
      <c r="M4138" s="148">
        <v>90.2</v>
      </c>
      <c r="N4138" s="148">
        <v>4.8422099999999997</v>
      </c>
      <c r="O4138" s="148">
        <v>5.3683037694013302</v>
      </c>
      <c r="P4138" s="148">
        <v>26.256419999999999</v>
      </c>
      <c r="Q4138" s="148">
        <v>68.785790000000006</v>
      </c>
      <c r="R4138" s="148">
        <v>261.97703266477305</v>
      </c>
    </row>
    <row r="4139" spans="2:18" ht="15.75" hidden="1" thickBot="1" x14ac:dyDescent="0.3">
      <c r="B4139" s="724" t="s">
        <v>800</v>
      </c>
      <c r="C4139" s="722" t="s">
        <v>175</v>
      </c>
      <c r="D4139" t="s">
        <v>176</v>
      </c>
      <c r="E4139" s="147">
        <v>0.10036</v>
      </c>
      <c r="F4139" s="147">
        <v>0</v>
      </c>
      <c r="G4139" s="147">
        <v>0.10036</v>
      </c>
      <c r="H4139" s="147">
        <v>0</v>
      </c>
      <c r="I4139" s="729"/>
      <c r="J4139" s="147">
        <v>0.10036</v>
      </c>
      <c r="K4139" s="147">
        <v>0</v>
      </c>
      <c r="L4139" s="147">
        <v>15.70768</v>
      </c>
      <c r="M4139" s="147">
        <v>0</v>
      </c>
      <c r="N4139" s="147">
        <v>15.70768</v>
      </c>
      <c r="O4139" s="147">
        <v>0</v>
      </c>
      <c r="P4139" s="147">
        <v>12.41015</v>
      </c>
      <c r="Q4139" s="147">
        <v>3.2975300000000001</v>
      </c>
      <c r="R4139" s="147">
        <v>26.571234030209144</v>
      </c>
    </row>
    <row r="4140" spans="2:18" ht="15.75" hidden="1" thickBot="1" x14ac:dyDescent="0.3">
      <c r="B4140" s="724" t="s">
        <v>800</v>
      </c>
      <c r="C4140" s="722" t="s">
        <v>655</v>
      </c>
      <c r="D4140" t="s">
        <v>656</v>
      </c>
      <c r="E4140" s="728"/>
      <c r="F4140" s="148">
        <v>0</v>
      </c>
      <c r="G4140" s="148">
        <v>0</v>
      </c>
      <c r="H4140" s="148">
        <v>0</v>
      </c>
      <c r="I4140" s="728"/>
      <c r="J4140" s="728"/>
      <c r="K4140" s="728"/>
      <c r="L4140" s="148">
        <v>0.78273000000000004</v>
      </c>
      <c r="M4140" s="148">
        <v>0</v>
      </c>
      <c r="N4140" s="148">
        <v>0.78273000000000004</v>
      </c>
      <c r="O4140" s="148">
        <v>0</v>
      </c>
      <c r="P4140" s="148">
        <v>0.91861000000000004</v>
      </c>
      <c r="Q4140" s="148">
        <v>-0.13588</v>
      </c>
      <c r="R4140" s="148">
        <v>-14.791913869868607</v>
      </c>
    </row>
    <row r="4141" spans="2:18" ht="15.75" hidden="1" thickBot="1" x14ac:dyDescent="0.3">
      <c r="B4141" s="724" t="s">
        <v>800</v>
      </c>
      <c r="C4141" s="722" t="s">
        <v>207</v>
      </c>
      <c r="D4141" t="s">
        <v>208</v>
      </c>
      <c r="E4141" s="729"/>
      <c r="F4141" s="729"/>
      <c r="G4141" s="729"/>
      <c r="H4141" s="729"/>
      <c r="I4141" s="729"/>
      <c r="J4141" s="729"/>
      <c r="K4141" s="729"/>
      <c r="L4141" s="147">
        <v>0.77627000000000002</v>
      </c>
      <c r="M4141" s="729"/>
      <c r="N4141" s="147">
        <v>0.77627000000000002</v>
      </c>
      <c r="O4141" s="147">
        <v>0</v>
      </c>
      <c r="P4141" s="147">
        <v>0.34727000000000002</v>
      </c>
      <c r="Q4141" s="147">
        <v>0.42899999999999999</v>
      </c>
      <c r="R4141" s="147">
        <v>123.53500158378208</v>
      </c>
    </row>
    <row r="4142" spans="2:18" ht="15.75" hidden="1" thickBot="1" x14ac:dyDescent="0.3">
      <c r="B4142" s="724" t="s">
        <v>800</v>
      </c>
      <c r="C4142" s="722" t="s">
        <v>673</v>
      </c>
      <c r="D4142" t="s">
        <v>674</v>
      </c>
      <c r="E4142" s="148">
        <v>1.12948</v>
      </c>
      <c r="F4142" s="148">
        <v>3</v>
      </c>
      <c r="G4142" s="148">
        <v>-1.87052</v>
      </c>
      <c r="H4142" s="148">
        <v>-62.350666666666669</v>
      </c>
      <c r="I4142" s="728"/>
      <c r="J4142" s="148">
        <v>1.12948</v>
      </c>
      <c r="K4142" s="148">
        <v>0</v>
      </c>
      <c r="L4142" s="148">
        <v>27.936229999999998</v>
      </c>
      <c r="M4142" s="148">
        <v>36</v>
      </c>
      <c r="N4142" s="148">
        <v>-8.0637699999999999</v>
      </c>
      <c r="O4142" s="148">
        <v>-22.399361111111112</v>
      </c>
      <c r="P4142" s="148">
        <v>14.197559999999999</v>
      </c>
      <c r="Q4142" s="148">
        <v>13.738670000000001</v>
      </c>
      <c r="R4142" s="148">
        <v>96.767824893855007</v>
      </c>
    </row>
    <row r="4143" spans="2:18" ht="15.75" hidden="1" thickBot="1" x14ac:dyDescent="0.3">
      <c r="B4143" s="724" t="s">
        <v>800</v>
      </c>
      <c r="C4143" s="722" t="s">
        <v>75</v>
      </c>
      <c r="D4143" t="s">
        <v>76</v>
      </c>
      <c r="E4143" s="147">
        <v>0.35516999999999999</v>
      </c>
      <c r="F4143" s="147">
        <v>1</v>
      </c>
      <c r="G4143" s="147">
        <v>-0.64483000000000001</v>
      </c>
      <c r="H4143" s="147">
        <v>-64.483000000000004</v>
      </c>
      <c r="I4143" s="729"/>
      <c r="J4143" s="147">
        <v>0.35516999999999999</v>
      </c>
      <c r="K4143" s="147">
        <v>0</v>
      </c>
      <c r="L4143" s="147">
        <v>4.9174699999999998</v>
      </c>
      <c r="M4143" s="147">
        <v>12</v>
      </c>
      <c r="N4143" s="147">
        <v>-7.0825300000000002</v>
      </c>
      <c r="O4143" s="147">
        <v>-59.02108333333333</v>
      </c>
      <c r="P4143" s="147">
        <v>2.2117200000000001</v>
      </c>
      <c r="Q4143" s="147">
        <v>2.7057500000000001</v>
      </c>
      <c r="R4143" s="147">
        <v>122.33691425677753</v>
      </c>
    </row>
    <row r="4144" spans="2:18" ht="15.75" hidden="1" thickBot="1" x14ac:dyDescent="0.3">
      <c r="B4144" s="724" t="s">
        <v>800</v>
      </c>
      <c r="C4144" s="722" t="s">
        <v>121</v>
      </c>
      <c r="D4144" t="s">
        <v>122</v>
      </c>
      <c r="E4144" s="728"/>
      <c r="F4144" s="148">
        <v>0</v>
      </c>
      <c r="G4144" s="148">
        <v>0</v>
      </c>
      <c r="H4144" s="148">
        <v>0</v>
      </c>
      <c r="I4144" s="728"/>
      <c r="J4144" s="728"/>
      <c r="K4144" s="728"/>
      <c r="L4144" s="148">
        <v>0.78293999999999997</v>
      </c>
      <c r="M4144" s="148">
        <v>0</v>
      </c>
      <c r="N4144" s="148">
        <v>0.78293999999999997</v>
      </c>
      <c r="O4144" s="148">
        <v>0</v>
      </c>
      <c r="P4144" s="148">
        <v>0.35124</v>
      </c>
      <c r="Q4144" s="148">
        <v>0.43169999999999997</v>
      </c>
      <c r="R4144" s="148">
        <v>122.90741373419884</v>
      </c>
    </row>
    <row r="4145" spans="2:18" ht="15.75" hidden="1" thickBot="1" x14ac:dyDescent="0.3">
      <c r="B4145" s="724" t="s">
        <v>800</v>
      </c>
      <c r="C4145" s="722" t="s">
        <v>77</v>
      </c>
      <c r="D4145" t="s">
        <v>78</v>
      </c>
      <c r="E4145" s="729"/>
      <c r="F4145" s="147">
        <v>0</v>
      </c>
      <c r="G4145" s="147">
        <v>0</v>
      </c>
      <c r="H4145" s="147">
        <v>0</v>
      </c>
      <c r="I4145" s="729"/>
      <c r="J4145" s="729"/>
      <c r="K4145" s="729"/>
      <c r="L4145" s="147">
        <v>1.7745599999999999</v>
      </c>
      <c r="M4145" s="147">
        <v>0</v>
      </c>
      <c r="N4145" s="147">
        <v>1.7745599999999999</v>
      </c>
      <c r="O4145" s="147">
        <v>0</v>
      </c>
      <c r="P4145" s="147">
        <v>1.1451</v>
      </c>
      <c r="Q4145" s="147">
        <v>0.62946000000000002</v>
      </c>
      <c r="R4145" s="147">
        <v>54.969871626932147</v>
      </c>
    </row>
    <row r="4146" spans="2:18" ht="15.75" hidden="1" thickBot="1" x14ac:dyDescent="0.3">
      <c r="B4146" s="724" t="s">
        <v>800</v>
      </c>
      <c r="C4146" s="722" t="s">
        <v>79</v>
      </c>
      <c r="D4146" t="s">
        <v>80</v>
      </c>
      <c r="E4146" s="148">
        <v>2.1350000000000001E-2</v>
      </c>
      <c r="F4146" s="148">
        <v>0</v>
      </c>
      <c r="G4146" s="148">
        <v>2.1350000000000001E-2</v>
      </c>
      <c r="H4146" s="148">
        <v>0</v>
      </c>
      <c r="I4146" s="728"/>
      <c r="J4146" s="148">
        <v>2.1350000000000001E-2</v>
      </c>
      <c r="K4146" s="148">
        <v>0</v>
      </c>
      <c r="L4146" s="148">
        <v>3.7057899999999999</v>
      </c>
      <c r="M4146" s="148">
        <v>0</v>
      </c>
      <c r="N4146" s="148">
        <v>3.7057899999999999</v>
      </c>
      <c r="O4146" s="148">
        <v>0</v>
      </c>
      <c r="P4146" s="728"/>
      <c r="Q4146" s="148">
        <v>3.7057899999999999</v>
      </c>
      <c r="R4146" s="148">
        <v>0</v>
      </c>
    </row>
    <row r="4147" spans="2:18" ht="15.75" hidden="1" thickBot="1" x14ac:dyDescent="0.3">
      <c r="B4147" s="724" t="s">
        <v>800</v>
      </c>
      <c r="C4147" s="722" t="s">
        <v>81</v>
      </c>
      <c r="D4147" t="s">
        <v>82</v>
      </c>
      <c r="E4147" s="147">
        <v>2.3843000000000001</v>
      </c>
      <c r="F4147" s="147">
        <v>0</v>
      </c>
      <c r="G4147" s="147">
        <v>2.3843000000000001</v>
      </c>
      <c r="H4147" s="147">
        <v>0</v>
      </c>
      <c r="I4147" s="729"/>
      <c r="J4147" s="147">
        <v>2.3843000000000001</v>
      </c>
      <c r="K4147" s="147">
        <v>0</v>
      </c>
      <c r="L4147" s="147">
        <v>2.92807</v>
      </c>
      <c r="M4147" s="147">
        <v>0</v>
      </c>
      <c r="N4147" s="147">
        <v>2.92807</v>
      </c>
      <c r="O4147" s="147">
        <v>0</v>
      </c>
      <c r="P4147" s="147">
        <v>0.54376999999999998</v>
      </c>
      <c r="Q4147" s="147">
        <v>2.3843000000000001</v>
      </c>
      <c r="R4147" s="147">
        <v>438.47582617650846</v>
      </c>
    </row>
    <row r="4148" spans="2:18" ht="15.75" hidden="1" thickBot="1" x14ac:dyDescent="0.3">
      <c r="B4148" s="724" t="s">
        <v>800</v>
      </c>
      <c r="C4148" s="722" t="s">
        <v>123</v>
      </c>
      <c r="D4148" t="s">
        <v>124</v>
      </c>
      <c r="E4148" s="148">
        <v>0.24951000000000001</v>
      </c>
      <c r="F4148" s="148">
        <v>0</v>
      </c>
      <c r="G4148" s="148">
        <v>0.24951000000000001</v>
      </c>
      <c r="H4148" s="148">
        <v>0</v>
      </c>
      <c r="I4148" s="728"/>
      <c r="J4148" s="148">
        <v>0.24951000000000001</v>
      </c>
      <c r="K4148" s="148">
        <v>0</v>
      </c>
      <c r="L4148" s="148">
        <v>0.53873000000000004</v>
      </c>
      <c r="M4148" s="148">
        <v>0</v>
      </c>
      <c r="N4148" s="148">
        <v>0.53873000000000004</v>
      </c>
      <c r="O4148" s="148">
        <v>0</v>
      </c>
      <c r="P4148" s="728"/>
      <c r="Q4148" s="148">
        <v>0.53873000000000004</v>
      </c>
      <c r="R4148" s="148">
        <v>0</v>
      </c>
    </row>
    <row r="4149" spans="2:18" ht="15.75" hidden="1" thickBot="1" x14ac:dyDescent="0.3">
      <c r="B4149" s="724" t="s">
        <v>800</v>
      </c>
      <c r="C4149" s="722" t="s">
        <v>687</v>
      </c>
      <c r="D4149" t="s">
        <v>688</v>
      </c>
      <c r="E4149" s="147">
        <v>-17.145879999999998</v>
      </c>
      <c r="F4149" s="729"/>
      <c r="G4149" s="147">
        <v>-17.145879999999998</v>
      </c>
      <c r="H4149" s="147">
        <v>0</v>
      </c>
      <c r="I4149" s="729"/>
      <c r="J4149" s="147">
        <v>-17.145879999999998</v>
      </c>
      <c r="K4149" s="147">
        <v>0</v>
      </c>
      <c r="L4149" s="147">
        <v>-85.006990000000002</v>
      </c>
      <c r="M4149" s="729"/>
      <c r="N4149" s="147">
        <v>-85.006990000000002</v>
      </c>
      <c r="O4149" s="147">
        <v>0</v>
      </c>
      <c r="P4149" s="147">
        <v>-42.937730000000002</v>
      </c>
      <c r="Q4149" s="147">
        <v>-42.06926</v>
      </c>
      <c r="R4149" s="147">
        <v>-97.977373279863656</v>
      </c>
    </row>
    <row r="4150" spans="2:18" ht="15.75" hidden="1" thickBot="1" x14ac:dyDescent="0.3">
      <c r="B4150" s="724" t="s">
        <v>800</v>
      </c>
      <c r="C4150" s="722" t="s">
        <v>209</v>
      </c>
      <c r="D4150" t="s">
        <v>210</v>
      </c>
      <c r="E4150" s="148">
        <v>6.2640000000000001E-2</v>
      </c>
      <c r="F4150" s="728"/>
      <c r="G4150" s="148">
        <v>6.2640000000000001E-2</v>
      </c>
      <c r="H4150" s="148">
        <v>0</v>
      </c>
      <c r="I4150" s="728"/>
      <c r="J4150" s="148">
        <v>6.2640000000000001E-2</v>
      </c>
      <c r="K4150" s="148">
        <v>0</v>
      </c>
      <c r="L4150" s="148">
        <v>0.11015999999999999</v>
      </c>
      <c r="M4150" s="728"/>
      <c r="N4150" s="148">
        <v>0.11015999999999999</v>
      </c>
      <c r="O4150" s="148">
        <v>0</v>
      </c>
      <c r="P4150" s="728"/>
      <c r="Q4150" s="148">
        <v>0.11015999999999999</v>
      </c>
      <c r="R4150" s="148">
        <v>0</v>
      </c>
    </row>
    <row r="4151" spans="2:18" ht="15.75" hidden="1" thickBot="1" x14ac:dyDescent="0.3">
      <c r="B4151" s="724" t="s">
        <v>800</v>
      </c>
      <c r="C4151" s="722" t="s">
        <v>211</v>
      </c>
      <c r="D4151" t="s">
        <v>212</v>
      </c>
      <c r="E4151" s="729"/>
      <c r="F4151" s="729"/>
      <c r="G4151" s="729"/>
      <c r="H4151" s="729"/>
      <c r="I4151" s="729"/>
      <c r="J4151" s="729"/>
      <c r="K4151" s="729"/>
      <c r="L4151" s="147">
        <v>0</v>
      </c>
      <c r="M4151" s="729"/>
      <c r="N4151" s="147">
        <v>0</v>
      </c>
      <c r="O4151" s="147">
        <v>0</v>
      </c>
      <c r="P4151" s="729"/>
      <c r="Q4151" s="147">
        <v>0</v>
      </c>
      <c r="R4151" s="147">
        <v>0</v>
      </c>
    </row>
    <row r="4152" spans="2:18" ht="15.75" hidden="1" thickBot="1" x14ac:dyDescent="0.3">
      <c r="B4152" s="724" t="s">
        <v>800</v>
      </c>
      <c r="C4152" s="722" t="s">
        <v>213</v>
      </c>
      <c r="D4152" t="s">
        <v>214</v>
      </c>
      <c r="E4152" s="148">
        <v>-6.2640000000000001E-2</v>
      </c>
      <c r="F4152" s="728"/>
      <c r="G4152" s="148">
        <v>-6.2640000000000001E-2</v>
      </c>
      <c r="H4152" s="148">
        <v>0</v>
      </c>
      <c r="I4152" s="728"/>
      <c r="J4152" s="148">
        <v>-6.2640000000000001E-2</v>
      </c>
      <c r="K4152" s="148">
        <v>0</v>
      </c>
      <c r="L4152" s="148">
        <v>-0.70577999999999996</v>
      </c>
      <c r="M4152" s="728"/>
      <c r="N4152" s="148">
        <v>-0.70577999999999996</v>
      </c>
      <c r="O4152" s="148">
        <v>0</v>
      </c>
      <c r="P4152" s="148">
        <v>-6.9120000000000001E-2</v>
      </c>
      <c r="Q4152" s="148">
        <v>-0.63666</v>
      </c>
      <c r="R4152" s="148">
        <v>-921.09375</v>
      </c>
    </row>
    <row r="4153" spans="2:18" ht="15.75" hidden="1" thickBot="1" x14ac:dyDescent="0.3">
      <c r="B4153" s="724" t="s">
        <v>800</v>
      </c>
      <c r="C4153" s="722" t="s">
        <v>215</v>
      </c>
      <c r="D4153" t="s">
        <v>216</v>
      </c>
      <c r="E4153" s="729"/>
      <c r="F4153" s="729"/>
      <c r="G4153" s="729"/>
      <c r="H4153" s="729"/>
      <c r="I4153" s="729"/>
      <c r="J4153" s="729"/>
      <c r="K4153" s="729"/>
      <c r="L4153" s="147">
        <v>-4.2860000000000002E-2</v>
      </c>
      <c r="M4153" s="729"/>
      <c r="N4153" s="147">
        <v>-4.2860000000000002E-2</v>
      </c>
      <c r="O4153" s="147">
        <v>0</v>
      </c>
      <c r="P4153" s="729"/>
      <c r="Q4153" s="147">
        <v>-4.2860000000000002E-2</v>
      </c>
      <c r="R4153" s="147">
        <v>0</v>
      </c>
    </row>
    <row r="4154" spans="2:18" ht="15.75" hidden="1" thickBot="1" x14ac:dyDescent="0.3">
      <c r="B4154" s="724" t="s">
        <v>800</v>
      </c>
      <c r="C4154" s="722" t="s">
        <v>83</v>
      </c>
      <c r="D4154" t="s">
        <v>84</v>
      </c>
      <c r="E4154" s="728"/>
      <c r="F4154" s="148">
        <v>0.9</v>
      </c>
      <c r="G4154" s="148">
        <v>-0.9</v>
      </c>
      <c r="H4154" s="148">
        <v>-100</v>
      </c>
      <c r="I4154" s="728"/>
      <c r="J4154" s="728"/>
      <c r="K4154" s="728"/>
      <c r="L4154" s="728"/>
      <c r="M4154" s="148">
        <v>10.8</v>
      </c>
      <c r="N4154" s="148">
        <v>-10.8</v>
      </c>
      <c r="O4154" s="148">
        <v>-100</v>
      </c>
      <c r="P4154" s="728"/>
      <c r="Q4154" s="728"/>
      <c r="R4154" s="728"/>
    </row>
    <row r="4155" spans="2:18" ht="15.75" hidden="1" thickBot="1" x14ac:dyDescent="0.3">
      <c r="B4155" s="724" t="s">
        <v>800</v>
      </c>
      <c r="C4155" s="149" t="s">
        <v>85</v>
      </c>
      <c r="D4155" t="s">
        <v>86</v>
      </c>
      <c r="E4155" s="147">
        <v>262.55957999999998</v>
      </c>
      <c r="F4155" s="147">
        <v>151.10383999999999</v>
      </c>
      <c r="G4155" s="147">
        <v>111.45574000000001</v>
      </c>
      <c r="H4155" s="147">
        <v>73.761024206929491</v>
      </c>
      <c r="I4155" s="729"/>
      <c r="J4155" s="147">
        <v>262.55957999999998</v>
      </c>
      <c r="K4155" s="147">
        <v>0</v>
      </c>
      <c r="L4155" s="147">
        <v>2258.9105399999999</v>
      </c>
      <c r="M4155" s="147">
        <v>1939.8463999999999</v>
      </c>
      <c r="N4155" s="147">
        <v>319.06414000000001</v>
      </c>
      <c r="O4155" s="147">
        <v>16.447907421948461</v>
      </c>
      <c r="P4155" s="147">
        <v>878.03525999999999</v>
      </c>
      <c r="Q4155" s="147">
        <v>1380.87528</v>
      </c>
      <c r="R4155" s="147">
        <v>157.26877301032306</v>
      </c>
    </row>
    <row r="4156" spans="2:18" ht="15.75" hidden="1" thickBot="1" x14ac:dyDescent="0.3">
      <c r="B4156" s="724" t="s">
        <v>800</v>
      </c>
      <c r="C4156" s="144" t="s">
        <v>87</v>
      </c>
      <c r="D4156" t="s">
        <v>87</v>
      </c>
      <c r="E4156" s="148">
        <v>571.70684000000006</v>
      </c>
      <c r="F4156" s="148">
        <v>485.07292999999999</v>
      </c>
      <c r="G4156" s="148">
        <v>86.63391</v>
      </c>
      <c r="H4156" s="148">
        <v>17.859976230790696</v>
      </c>
      <c r="I4156" s="728"/>
      <c r="J4156" s="148">
        <v>571.70684000000006</v>
      </c>
      <c r="K4156" s="148">
        <v>0</v>
      </c>
      <c r="L4156" s="148">
        <v>6160.0382200000004</v>
      </c>
      <c r="M4156" s="148">
        <v>5717.5857599999999</v>
      </c>
      <c r="N4156" s="148">
        <v>442.45245999999997</v>
      </c>
      <c r="O4156" s="148">
        <v>7.7384490337754022</v>
      </c>
      <c r="P4156" s="148">
        <v>2873.30303</v>
      </c>
      <c r="Q4156" s="148">
        <v>3286.7351899999999</v>
      </c>
      <c r="R4156" s="148">
        <v>114.38874200470251</v>
      </c>
    </row>
    <row r="4157" spans="2:18" ht="15.75" hidden="1" thickBot="1" x14ac:dyDescent="0.3">
      <c r="B4157" s="725" t="s">
        <v>801</v>
      </c>
      <c r="C4157" s="722" t="s">
        <v>59</v>
      </c>
      <c r="D4157" t="s">
        <v>60</v>
      </c>
      <c r="E4157" s="729"/>
      <c r="F4157" s="729"/>
      <c r="G4157" s="729"/>
      <c r="H4157" s="729"/>
      <c r="I4157" s="729"/>
      <c r="J4157" s="729"/>
      <c r="K4157" s="729"/>
      <c r="L4157" s="147">
        <v>0.1295</v>
      </c>
      <c r="M4157" s="729"/>
      <c r="N4157" s="147">
        <v>0.1295</v>
      </c>
      <c r="O4157" s="147">
        <v>0</v>
      </c>
      <c r="P4157" s="147">
        <v>0.1295</v>
      </c>
      <c r="Q4157" s="147">
        <v>0</v>
      </c>
      <c r="R4157" s="147">
        <v>0</v>
      </c>
    </row>
    <row r="4158" spans="2:18" ht="15.75" hidden="1" thickBot="1" x14ac:dyDescent="0.3">
      <c r="B4158" s="725" t="s">
        <v>801</v>
      </c>
      <c r="C4158" s="722" t="s">
        <v>89</v>
      </c>
      <c r="D4158" t="s">
        <v>90</v>
      </c>
      <c r="E4158" s="728"/>
      <c r="F4158" s="728"/>
      <c r="G4158" s="728"/>
      <c r="H4158" s="728"/>
      <c r="I4158" s="728"/>
      <c r="J4158" s="728"/>
      <c r="K4158" s="728"/>
      <c r="L4158" s="148">
        <v>3.9710000000000002E-2</v>
      </c>
      <c r="M4158" s="728"/>
      <c r="N4158" s="148">
        <v>3.9710000000000002E-2</v>
      </c>
      <c r="O4158" s="148">
        <v>0</v>
      </c>
      <c r="P4158" s="148">
        <v>3.9710000000000002E-2</v>
      </c>
      <c r="Q4158" s="148">
        <v>0</v>
      </c>
      <c r="R4158" s="148">
        <v>0</v>
      </c>
    </row>
    <row r="4159" spans="2:18" ht="15.75" hidden="1" thickBot="1" x14ac:dyDescent="0.3">
      <c r="B4159" s="725" t="s">
        <v>801</v>
      </c>
      <c r="C4159" s="722" t="s">
        <v>91</v>
      </c>
      <c r="D4159" t="s">
        <v>92</v>
      </c>
      <c r="E4159" s="729"/>
      <c r="F4159" s="729"/>
      <c r="G4159" s="729"/>
      <c r="H4159" s="729"/>
      <c r="I4159" s="729"/>
      <c r="J4159" s="729"/>
      <c r="K4159" s="729"/>
      <c r="L4159" s="147">
        <v>-5.4852600000000002</v>
      </c>
      <c r="M4159" s="729"/>
      <c r="N4159" s="147">
        <v>-5.4852600000000002</v>
      </c>
      <c r="O4159" s="147">
        <v>0</v>
      </c>
      <c r="P4159" s="147">
        <v>-5.4852600000000002</v>
      </c>
      <c r="Q4159" s="147">
        <v>0</v>
      </c>
      <c r="R4159" s="147">
        <v>0</v>
      </c>
    </row>
    <row r="4160" spans="2:18" ht="15.75" hidden="1" thickBot="1" x14ac:dyDescent="0.3">
      <c r="B4160" s="725" t="s">
        <v>801</v>
      </c>
      <c r="C4160" s="722" t="s">
        <v>93</v>
      </c>
      <c r="D4160" t="s">
        <v>94</v>
      </c>
      <c r="E4160" s="728"/>
      <c r="F4160" s="728"/>
      <c r="G4160" s="728"/>
      <c r="H4160" s="728"/>
      <c r="I4160" s="728"/>
      <c r="J4160" s="728"/>
      <c r="K4160" s="728"/>
      <c r="L4160" s="148">
        <v>1.2999999999999999E-2</v>
      </c>
      <c r="M4160" s="728"/>
      <c r="N4160" s="148">
        <v>1.2999999999999999E-2</v>
      </c>
      <c r="O4160" s="148">
        <v>0</v>
      </c>
      <c r="P4160" s="148">
        <v>1.2999999999999999E-2</v>
      </c>
      <c r="Q4160" s="148">
        <v>0</v>
      </c>
      <c r="R4160" s="148">
        <v>0</v>
      </c>
    </row>
    <row r="4161" spans="2:18" ht="15.75" hidden="1" thickBot="1" x14ac:dyDescent="0.3">
      <c r="B4161" s="725" t="s">
        <v>801</v>
      </c>
      <c r="C4161" s="722" t="s">
        <v>134</v>
      </c>
      <c r="D4161" t="s">
        <v>135</v>
      </c>
      <c r="E4161" s="729"/>
      <c r="F4161" s="729"/>
      <c r="G4161" s="729"/>
      <c r="H4161" s="729"/>
      <c r="I4161" s="729"/>
      <c r="J4161" s="729"/>
      <c r="K4161" s="729"/>
      <c r="L4161" s="147">
        <v>-0.33482000000000001</v>
      </c>
      <c r="M4161" s="729"/>
      <c r="N4161" s="147">
        <v>-0.33482000000000001</v>
      </c>
      <c r="O4161" s="147">
        <v>0</v>
      </c>
      <c r="P4161" s="147">
        <v>-0.33482000000000001</v>
      </c>
      <c r="Q4161" s="147">
        <v>0</v>
      </c>
      <c r="R4161" s="147">
        <v>0</v>
      </c>
    </row>
    <row r="4162" spans="2:18" ht="15.75" hidden="1" thickBot="1" x14ac:dyDescent="0.3">
      <c r="B4162" s="725" t="s">
        <v>801</v>
      </c>
      <c r="C4162" s="722" t="s">
        <v>61</v>
      </c>
      <c r="D4162" t="s">
        <v>62</v>
      </c>
      <c r="E4162" s="728"/>
      <c r="F4162" s="728"/>
      <c r="G4162" s="728"/>
      <c r="H4162" s="728"/>
      <c r="I4162" s="728"/>
      <c r="J4162" s="728"/>
      <c r="K4162" s="728"/>
      <c r="L4162" s="148">
        <v>-3.5495899999999998</v>
      </c>
      <c r="M4162" s="728"/>
      <c r="N4162" s="148">
        <v>-3.5495899999999998</v>
      </c>
      <c r="O4162" s="148">
        <v>0</v>
      </c>
      <c r="P4162" s="148">
        <v>-3.5495899999999998</v>
      </c>
      <c r="Q4162" s="148">
        <v>0</v>
      </c>
      <c r="R4162" s="148">
        <v>0</v>
      </c>
    </row>
    <row r="4163" spans="2:18" ht="15.75" hidden="1" thickBot="1" x14ac:dyDescent="0.3">
      <c r="B4163" s="725" t="s">
        <v>801</v>
      </c>
      <c r="C4163" s="722" t="s">
        <v>63</v>
      </c>
      <c r="D4163" t="s">
        <v>64</v>
      </c>
      <c r="E4163" s="729"/>
      <c r="F4163" s="729"/>
      <c r="G4163" s="729"/>
      <c r="H4163" s="729"/>
      <c r="I4163" s="729"/>
      <c r="J4163" s="729"/>
      <c r="K4163" s="729"/>
      <c r="L4163" s="147">
        <v>-0.40096999999999999</v>
      </c>
      <c r="M4163" s="729"/>
      <c r="N4163" s="147">
        <v>-0.40096999999999999</v>
      </c>
      <c r="O4163" s="147">
        <v>0</v>
      </c>
      <c r="P4163" s="147">
        <v>-0.40096999999999999</v>
      </c>
      <c r="Q4163" s="147">
        <v>0</v>
      </c>
      <c r="R4163" s="147">
        <v>0</v>
      </c>
    </row>
    <row r="4164" spans="2:18" ht="15.75" hidden="1" thickBot="1" x14ac:dyDescent="0.3">
      <c r="B4164" s="725" t="s">
        <v>801</v>
      </c>
      <c r="C4164" s="722" t="s">
        <v>156</v>
      </c>
      <c r="D4164" t="s">
        <v>157</v>
      </c>
      <c r="E4164" s="728"/>
      <c r="F4164" s="728"/>
      <c r="G4164" s="728"/>
      <c r="H4164" s="728"/>
      <c r="I4164" s="728"/>
      <c r="J4164" s="728"/>
      <c r="K4164" s="728"/>
      <c r="L4164" s="148">
        <v>21.462009999999999</v>
      </c>
      <c r="M4164" s="728"/>
      <c r="N4164" s="148">
        <v>21.462009999999999</v>
      </c>
      <c r="O4164" s="148">
        <v>0</v>
      </c>
      <c r="P4164" s="148">
        <v>21.462009999999999</v>
      </c>
      <c r="Q4164" s="148">
        <v>0</v>
      </c>
      <c r="R4164" s="148">
        <v>0</v>
      </c>
    </row>
    <row r="4165" spans="2:18" ht="15.75" hidden="1" thickBot="1" x14ac:dyDescent="0.3">
      <c r="B4165" s="725" t="s">
        <v>801</v>
      </c>
      <c r="C4165" s="722" t="s">
        <v>182</v>
      </c>
      <c r="D4165" t="s">
        <v>183</v>
      </c>
      <c r="E4165" s="729"/>
      <c r="F4165" s="729"/>
      <c r="G4165" s="729"/>
      <c r="H4165" s="729"/>
      <c r="I4165" s="729"/>
      <c r="J4165" s="729"/>
      <c r="K4165" s="729"/>
      <c r="L4165" s="147">
        <v>4.9509999999999998E-2</v>
      </c>
      <c r="M4165" s="729"/>
      <c r="N4165" s="147">
        <v>4.9509999999999998E-2</v>
      </c>
      <c r="O4165" s="147">
        <v>0</v>
      </c>
      <c r="P4165" s="147">
        <v>4.9509999999999998E-2</v>
      </c>
      <c r="Q4165" s="147">
        <v>0</v>
      </c>
      <c r="R4165" s="147">
        <v>0</v>
      </c>
    </row>
    <row r="4166" spans="2:18" ht="15.75" hidden="1" thickBot="1" x14ac:dyDescent="0.3">
      <c r="B4166" s="725" t="s">
        <v>801</v>
      </c>
      <c r="C4166" s="722" t="s">
        <v>186</v>
      </c>
      <c r="D4166" t="s">
        <v>187</v>
      </c>
      <c r="E4166" s="728"/>
      <c r="F4166" s="728"/>
      <c r="G4166" s="728"/>
      <c r="H4166" s="728"/>
      <c r="I4166" s="728"/>
      <c r="J4166" s="728"/>
      <c r="K4166" s="728"/>
      <c r="L4166" s="148">
        <v>-3.7483300000000002</v>
      </c>
      <c r="M4166" s="728"/>
      <c r="N4166" s="148">
        <v>-3.7483300000000002</v>
      </c>
      <c r="O4166" s="148">
        <v>0</v>
      </c>
      <c r="P4166" s="148">
        <v>-3.7483300000000002</v>
      </c>
      <c r="Q4166" s="148">
        <v>0</v>
      </c>
      <c r="R4166" s="148">
        <v>0</v>
      </c>
    </row>
    <row r="4167" spans="2:18" ht="15.75" hidden="1" thickBot="1" x14ac:dyDescent="0.3">
      <c r="B4167" s="725" t="s">
        <v>801</v>
      </c>
      <c r="C4167" s="722" t="s">
        <v>163</v>
      </c>
      <c r="D4167" t="s">
        <v>164</v>
      </c>
      <c r="E4167" s="729"/>
      <c r="F4167" s="729"/>
      <c r="G4167" s="729"/>
      <c r="H4167" s="729"/>
      <c r="I4167" s="729"/>
      <c r="J4167" s="729"/>
      <c r="K4167" s="729"/>
      <c r="L4167" s="147">
        <v>-7.0829199999999997</v>
      </c>
      <c r="M4167" s="729"/>
      <c r="N4167" s="147">
        <v>-7.0829199999999997</v>
      </c>
      <c r="O4167" s="147">
        <v>0</v>
      </c>
      <c r="P4167" s="147">
        <v>-7.0829199999999997</v>
      </c>
      <c r="Q4167" s="147">
        <v>0</v>
      </c>
      <c r="R4167" s="147">
        <v>0</v>
      </c>
    </row>
    <row r="4168" spans="2:18" ht="15.75" hidden="1" thickBot="1" x14ac:dyDescent="0.3">
      <c r="B4168" s="725" t="s">
        <v>801</v>
      </c>
      <c r="C4168" s="722" t="s">
        <v>97</v>
      </c>
      <c r="D4168" t="s">
        <v>98</v>
      </c>
      <c r="E4168" s="728"/>
      <c r="F4168" s="728"/>
      <c r="G4168" s="728"/>
      <c r="H4168" s="728"/>
      <c r="I4168" s="728"/>
      <c r="J4168" s="728"/>
      <c r="K4168" s="728"/>
      <c r="L4168" s="148">
        <v>-6.0639999999999999E-2</v>
      </c>
      <c r="M4168" s="728"/>
      <c r="N4168" s="148">
        <v>-6.0639999999999999E-2</v>
      </c>
      <c r="O4168" s="148">
        <v>0</v>
      </c>
      <c r="P4168" s="148">
        <v>-6.0639999999999999E-2</v>
      </c>
      <c r="Q4168" s="148">
        <v>0</v>
      </c>
      <c r="R4168" s="148">
        <v>0</v>
      </c>
    </row>
    <row r="4169" spans="2:18" ht="15.75" hidden="1" thickBot="1" x14ac:dyDescent="0.3">
      <c r="B4169" s="725" t="s">
        <v>801</v>
      </c>
      <c r="C4169" s="149" t="s">
        <v>67</v>
      </c>
      <c r="D4169" t="s">
        <v>68</v>
      </c>
      <c r="E4169" s="729"/>
      <c r="F4169" s="729"/>
      <c r="G4169" s="729"/>
      <c r="H4169" s="729"/>
      <c r="I4169" s="729"/>
      <c r="J4169" s="729"/>
      <c r="K4169" s="729"/>
      <c r="L4169" s="147">
        <v>1.0311999999999999</v>
      </c>
      <c r="M4169" s="729"/>
      <c r="N4169" s="147">
        <v>1.0311999999999999</v>
      </c>
      <c r="O4169" s="147">
        <v>0</v>
      </c>
      <c r="P4169" s="147">
        <v>1.0311999999999999</v>
      </c>
      <c r="Q4169" s="147">
        <v>0</v>
      </c>
      <c r="R4169" s="147">
        <v>0</v>
      </c>
    </row>
    <row r="4170" spans="2:18" ht="15.75" hidden="1" thickBot="1" x14ac:dyDescent="0.3">
      <c r="B4170" s="725" t="s">
        <v>801</v>
      </c>
      <c r="C4170" s="722" t="s">
        <v>99</v>
      </c>
      <c r="D4170" t="s">
        <v>100</v>
      </c>
      <c r="E4170" s="728"/>
      <c r="F4170" s="148">
        <v>0</v>
      </c>
      <c r="G4170" s="148">
        <v>0</v>
      </c>
      <c r="H4170" s="148">
        <v>0</v>
      </c>
      <c r="I4170" s="728"/>
      <c r="J4170" s="728"/>
      <c r="K4170" s="728"/>
      <c r="L4170" s="148">
        <v>2.3556400000000002</v>
      </c>
      <c r="M4170" s="148">
        <v>0</v>
      </c>
      <c r="N4170" s="148">
        <v>2.3556400000000002</v>
      </c>
      <c r="O4170" s="148">
        <v>0</v>
      </c>
      <c r="P4170" s="148">
        <v>1.3253600000000001</v>
      </c>
      <c r="Q4170" s="148">
        <v>1.0302800000000001</v>
      </c>
      <c r="R4170" s="148">
        <v>77.735860445463871</v>
      </c>
    </row>
    <row r="4171" spans="2:18" ht="15.75" hidden="1" thickBot="1" x14ac:dyDescent="0.3">
      <c r="B4171" s="725" t="s">
        <v>801</v>
      </c>
      <c r="C4171" s="722" t="s">
        <v>165</v>
      </c>
      <c r="D4171" t="s">
        <v>166</v>
      </c>
      <c r="E4171" s="729"/>
      <c r="F4171" s="729"/>
      <c r="G4171" s="729"/>
      <c r="H4171" s="729"/>
      <c r="I4171" s="729"/>
      <c r="J4171" s="729"/>
      <c r="K4171" s="729"/>
      <c r="L4171" s="147">
        <v>7.9519200000000003</v>
      </c>
      <c r="M4171" s="729"/>
      <c r="N4171" s="147">
        <v>7.9519200000000003</v>
      </c>
      <c r="O4171" s="147">
        <v>0</v>
      </c>
      <c r="P4171" s="147">
        <v>8.0120000000000005</v>
      </c>
      <c r="Q4171" s="147">
        <v>-6.0080000000000001E-2</v>
      </c>
      <c r="R4171" s="147">
        <v>-0.74987518721917124</v>
      </c>
    </row>
    <row r="4172" spans="2:18" ht="15.75" hidden="1" thickBot="1" x14ac:dyDescent="0.3">
      <c r="B4172" s="725" t="s">
        <v>801</v>
      </c>
      <c r="C4172" s="722" t="s">
        <v>137</v>
      </c>
      <c r="D4172" t="s">
        <v>138</v>
      </c>
      <c r="E4172" s="728"/>
      <c r="F4172" s="148">
        <v>0</v>
      </c>
      <c r="G4172" s="148">
        <v>0</v>
      </c>
      <c r="H4172" s="148">
        <v>0</v>
      </c>
      <c r="I4172" s="728"/>
      <c r="J4172" s="728"/>
      <c r="K4172" s="728"/>
      <c r="L4172" s="728"/>
      <c r="M4172" s="148">
        <v>0</v>
      </c>
      <c r="N4172" s="148">
        <v>0</v>
      </c>
      <c r="O4172" s="148">
        <v>0</v>
      </c>
      <c r="P4172" s="728"/>
      <c r="Q4172" s="728"/>
      <c r="R4172" s="728"/>
    </row>
    <row r="4173" spans="2:18" ht="15.75" hidden="1" thickBot="1" x14ac:dyDescent="0.3">
      <c r="B4173" s="725" t="s">
        <v>801</v>
      </c>
      <c r="C4173" s="722" t="s">
        <v>190</v>
      </c>
      <c r="D4173" t="s">
        <v>191</v>
      </c>
      <c r="E4173" s="729"/>
      <c r="F4173" s="147">
        <v>0</v>
      </c>
      <c r="G4173" s="147">
        <v>0</v>
      </c>
      <c r="H4173" s="147">
        <v>0</v>
      </c>
      <c r="I4173" s="729"/>
      <c r="J4173" s="729"/>
      <c r="K4173" s="729"/>
      <c r="L4173" s="147">
        <v>7.69794</v>
      </c>
      <c r="M4173" s="147">
        <v>0</v>
      </c>
      <c r="N4173" s="147">
        <v>7.69794</v>
      </c>
      <c r="O4173" s="147">
        <v>0</v>
      </c>
      <c r="P4173" s="147">
        <v>7.69794</v>
      </c>
      <c r="Q4173" s="147">
        <v>0</v>
      </c>
      <c r="R4173" s="147">
        <v>0</v>
      </c>
    </row>
    <row r="4174" spans="2:18" ht="15.75" hidden="1" thickBot="1" x14ac:dyDescent="0.3">
      <c r="B4174" s="725" t="s">
        <v>801</v>
      </c>
      <c r="C4174" s="722" t="s">
        <v>36</v>
      </c>
      <c r="D4174" t="s">
        <v>192</v>
      </c>
      <c r="E4174" s="728"/>
      <c r="F4174" s="148">
        <v>0</v>
      </c>
      <c r="G4174" s="148">
        <v>0</v>
      </c>
      <c r="H4174" s="148">
        <v>0</v>
      </c>
      <c r="I4174" s="728"/>
      <c r="J4174" s="728"/>
      <c r="K4174" s="728"/>
      <c r="L4174" s="148">
        <v>0.55169999999999997</v>
      </c>
      <c r="M4174" s="148">
        <v>0</v>
      </c>
      <c r="N4174" s="148">
        <v>0.55169999999999997</v>
      </c>
      <c r="O4174" s="148">
        <v>0</v>
      </c>
      <c r="P4174" s="148">
        <v>0.55169999999999997</v>
      </c>
      <c r="Q4174" s="148">
        <v>0</v>
      </c>
      <c r="R4174" s="148">
        <v>0</v>
      </c>
    </row>
    <row r="4175" spans="2:18" ht="15.75" hidden="1" thickBot="1" x14ac:dyDescent="0.3">
      <c r="B4175" s="725" t="s">
        <v>801</v>
      </c>
      <c r="C4175" s="722" t="s">
        <v>169</v>
      </c>
      <c r="D4175" t="s">
        <v>170</v>
      </c>
      <c r="E4175" s="729"/>
      <c r="F4175" s="729"/>
      <c r="G4175" s="729"/>
      <c r="H4175" s="729"/>
      <c r="I4175" s="729"/>
      <c r="J4175" s="729"/>
      <c r="K4175" s="729"/>
      <c r="L4175" s="147">
        <v>4.5001699999999998</v>
      </c>
      <c r="M4175" s="729"/>
      <c r="N4175" s="147">
        <v>4.5001699999999998</v>
      </c>
      <c r="O4175" s="147">
        <v>0</v>
      </c>
      <c r="P4175" s="147">
        <v>4.5001699999999998</v>
      </c>
      <c r="Q4175" s="147">
        <v>0</v>
      </c>
      <c r="R4175" s="147">
        <v>0</v>
      </c>
    </row>
    <row r="4176" spans="2:18" ht="15.75" hidden="1" thickBot="1" x14ac:dyDescent="0.3">
      <c r="B4176" s="725" t="s">
        <v>801</v>
      </c>
      <c r="C4176" s="722" t="s">
        <v>101</v>
      </c>
      <c r="D4176" t="s">
        <v>102</v>
      </c>
      <c r="E4176" s="728"/>
      <c r="F4176" s="148">
        <v>0</v>
      </c>
      <c r="G4176" s="148">
        <v>0</v>
      </c>
      <c r="H4176" s="148">
        <v>0</v>
      </c>
      <c r="I4176" s="728"/>
      <c r="J4176" s="728"/>
      <c r="K4176" s="728"/>
      <c r="L4176" s="148">
        <v>26.877220000000001</v>
      </c>
      <c r="M4176" s="148">
        <v>0</v>
      </c>
      <c r="N4176" s="148">
        <v>26.877220000000001</v>
      </c>
      <c r="O4176" s="148">
        <v>0</v>
      </c>
      <c r="P4176" s="148">
        <v>26.859020000000001</v>
      </c>
      <c r="Q4176" s="148">
        <v>1.8200000000000001E-2</v>
      </c>
      <c r="R4176" s="148">
        <v>6.776122136995319E-2</v>
      </c>
    </row>
    <row r="4177" spans="2:18" ht="15.75" hidden="1" thickBot="1" x14ac:dyDescent="0.3">
      <c r="B4177" s="725" t="s">
        <v>801</v>
      </c>
      <c r="C4177" s="722" t="s">
        <v>464</v>
      </c>
      <c r="D4177" t="s">
        <v>465</v>
      </c>
      <c r="E4177" s="729"/>
      <c r="F4177" s="147">
        <v>0</v>
      </c>
      <c r="G4177" s="147">
        <v>0</v>
      </c>
      <c r="H4177" s="147">
        <v>0</v>
      </c>
      <c r="I4177" s="729"/>
      <c r="J4177" s="729"/>
      <c r="K4177" s="729"/>
      <c r="L4177" s="147">
        <v>1.19438</v>
      </c>
      <c r="M4177" s="147">
        <v>0</v>
      </c>
      <c r="N4177" s="147">
        <v>1.19438</v>
      </c>
      <c r="O4177" s="147">
        <v>0</v>
      </c>
      <c r="P4177" s="147">
        <v>7.9000000000000001E-2</v>
      </c>
      <c r="Q4177" s="147">
        <v>1.11538</v>
      </c>
      <c r="R4177" s="147">
        <v>1411.873417721519</v>
      </c>
    </row>
    <row r="4178" spans="2:18" ht="15.75" hidden="1" thickBot="1" x14ac:dyDescent="0.3">
      <c r="B4178" s="725" t="s">
        <v>801</v>
      </c>
      <c r="C4178" s="722" t="s">
        <v>103</v>
      </c>
      <c r="D4178" t="s">
        <v>104</v>
      </c>
      <c r="E4178" s="728"/>
      <c r="F4178" s="728"/>
      <c r="G4178" s="728"/>
      <c r="H4178" s="728"/>
      <c r="I4178" s="728"/>
      <c r="J4178" s="728"/>
      <c r="K4178" s="728"/>
      <c r="L4178" s="148">
        <v>8.6499999999999994E-2</v>
      </c>
      <c r="M4178" s="728"/>
      <c r="N4178" s="148">
        <v>8.6499999999999994E-2</v>
      </c>
      <c r="O4178" s="148">
        <v>0</v>
      </c>
      <c r="P4178" s="148">
        <v>8.6499999999999994E-2</v>
      </c>
      <c r="Q4178" s="148">
        <v>0</v>
      </c>
      <c r="R4178" s="148">
        <v>0</v>
      </c>
    </row>
    <row r="4179" spans="2:18" ht="15.75" hidden="1" thickBot="1" x14ac:dyDescent="0.3">
      <c r="B4179" s="725" t="s">
        <v>801</v>
      </c>
      <c r="C4179" s="722" t="s">
        <v>627</v>
      </c>
      <c r="D4179" t="s">
        <v>628</v>
      </c>
      <c r="E4179" s="147">
        <v>2.734E-2</v>
      </c>
      <c r="F4179" s="147">
        <v>0</v>
      </c>
      <c r="G4179" s="147">
        <v>2.734E-2</v>
      </c>
      <c r="H4179" s="147">
        <v>0</v>
      </c>
      <c r="I4179" s="729"/>
      <c r="J4179" s="147">
        <v>2.734E-2</v>
      </c>
      <c r="K4179" s="147">
        <v>0</v>
      </c>
      <c r="L4179" s="147">
        <v>1.47153</v>
      </c>
      <c r="M4179" s="147">
        <v>0</v>
      </c>
      <c r="N4179" s="147">
        <v>1.47153</v>
      </c>
      <c r="O4179" s="147">
        <v>0</v>
      </c>
      <c r="P4179" s="147">
        <v>1.30749</v>
      </c>
      <c r="Q4179" s="147">
        <v>0.16403999999999999</v>
      </c>
      <c r="R4179" s="147">
        <v>12.54617626138632</v>
      </c>
    </row>
    <row r="4180" spans="2:18" ht="15.75" hidden="1" thickBot="1" x14ac:dyDescent="0.3">
      <c r="B4180" s="725" t="s">
        <v>801</v>
      </c>
      <c r="C4180" s="722" t="s">
        <v>109</v>
      </c>
      <c r="D4180" t="s">
        <v>110</v>
      </c>
      <c r="E4180" s="728"/>
      <c r="F4180" s="148">
        <v>0</v>
      </c>
      <c r="G4180" s="148">
        <v>0</v>
      </c>
      <c r="H4180" s="148">
        <v>0</v>
      </c>
      <c r="I4180" s="728"/>
      <c r="J4180" s="728"/>
      <c r="K4180" s="728"/>
      <c r="L4180" s="148">
        <v>0.17269999999999999</v>
      </c>
      <c r="M4180" s="148">
        <v>0</v>
      </c>
      <c r="N4180" s="148">
        <v>0.17269999999999999</v>
      </c>
      <c r="O4180" s="148">
        <v>0</v>
      </c>
      <c r="P4180" s="148">
        <v>0.17269999999999999</v>
      </c>
      <c r="Q4180" s="148">
        <v>0</v>
      </c>
      <c r="R4180" s="148">
        <v>0</v>
      </c>
    </row>
    <row r="4181" spans="2:18" ht="15.75" hidden="1" thickBot="1" x14ac:dyDescent="0.3">
      <c r="B4181" s="725" t="s">
        <v>801</v>
      </c>
      <c r="C4181" s="722" t="s">
        <v>199</v>
      </c>
      <c r="D4181" t="s">
        <v>200</v>
      </c>
      <c r="E4181" s="147">
        <v>1.3999999999999999E-4</v>
      </c>
      <c r="F4181" s="147">
        <v>0</v>
      </c>
      <c r="G4181" s="147">
        <v>1.3999999999999999E-4</v>
      </c>
      <c r="H4181" s="147">
        <v>0</v>
      </c>
      <c r="I4181" s="729"/>
      <c r="J4181" s="147">
        <v>1.3999999999999999E-4</v>
      </c>
      <c r="K4181" s="147">
        <v>0</v>
      </c>
      <c r="L4181" s="147">
        <v>2.0500000000000002E-3</v>
      </c>
      <c r="M4181" s="147">
        <v>0</v>
      </c>
      <c r="N4181" s="147">
        <v>2.0500000000000002E-3</v>
      </c>
      <c r="O4181" s="147">
        <v>0</v>
      </c>
      <c r="P4181" s="147">
        <v>1.0499999999999999E-3</v>
      </c>
      <c r="Q4181" s="147">
        <v>1E-3</v>
      </c>
      <c r="R4181" s="147">
        <v>95.238095238095241</v>
      </c>
    </row>
    <row r="4182" spans="2:18" ht="15.75" hidden="1" thickBot="1" x14ac:dyDescent="0.3">
      <c r="B4182" s="725" t="s">
        <v>801</v>
      </c>
      <c r="C4182" s="722" t="s">
        <v>73</v>
      </c>
      <c r="D4182" t="s">
        <v>74</v>
      </c>
      <c r="E4182" s="148">
        <v>7.1069999999999994E-2</v>
      </c>
      <c r="F4182" s="148">
        <v>0</v>
      </c>
      <c r="G4182" s="148">
        <v>7.1069999999999994E-2</v>
      </c>
      <c r="H4182" s="148">
        <v>0</v>
      </c>
      <c r="I4182" s="728"/>
      <c r="J4182" s="148">
        <v>7.1069999999999994E-2</v>
      </c>
      <c r="K4182" s="148">
        <v>0</v>
      </c>
      <c r="L4182" s="148">
        <v>2.2999800000000001</v>
      </c>
      <c r="M4182" s="148">
        <v>0</v>
      </c>
      <c r="N4182" s="148">
        <v>2.2999800000000001</v>
      </c>
      <c r="O4182" s="148">
        <v>0</v>
      </c>
      <c r="P4182" s="148">
        <v>1.5734300000000001</v>
      </c>
      <c r="Q4182" s="148">
        <v>0.72655000000000003</v>
      </c>
      <c r="R4182" s="148">
        <v>46.176188327412085</v>
      </c>
    </row>
    <row r="4183" spans="2:18" ht="15.75" hidden="1" thickBot="1" x14ac:dyDescent="0.3">
      <c r="B4183" s="725" t="s">
        <v>801</v>
      </c>
      <c r="C4183" s="722" t="s">
        <v>111</v>
      </c>
      <c r="D4183" t="s">
        <v>112</v>
      </c>
      <c r="E4183" s="729"/>
      <c r="F4183" s="147">
        <v>0</v>
      </c>
      <c r="G4183" s="147">
        <v>0</v>
      </c>
      <c r="H4183" s="147">
        <v>0</v>
      </c>
      <c r="I4183" s="729"/>
      <c r="J4183" s="729"/>
      <c r="K4183" s="729"/>
      <c r="L4183" s="729"/>
      <c r="M4183" s="147">
        <v>0</v>
      </c>
      <c r="N4183" s="147">
        <v>0</v>
      </c>
      <c r="O4183" s="147">
        <v>0</v>
      </c>
      <c r="P4183" s="729"/>
      <c r="Q4183" s="729"/>
      <c r="R4183" s="729"/>
    </row>
    <row r="4184" spans="2:18" ht="15.75" hidden="1" thickBot="1" x14ac:dyDescent="0.3">
      <c r="B4184" s="725" t="s">
        <v>801</v>
      </c>
      <c r="C4184" s="722" t="s">
        <v>141</v>
      </c>
      <c r="D4184" t="s">
        <v>142</v>
      </c>
      <c r="E4184" s="728"/>
      <c r="F4184" s="148">
        <v>0</v>
      </c>
      <c r="G4184" s="148">
        <v>0</v>
      </c>
      <c r="H4184" s="148">
        <v>0</v>
      </c>
      <c r="I4184" s="728"/>
      <c r="J4184" s="728"/>
      <c r="K4184" s="728"/>
      <c r="L4184" s="148">
        <v>7.92E-3</v>
      </c>
      <c r="M4184" s="148">
        <v>0</v>
      </c>
      <c r="N4184" s="148">
        <v>7.92E-3</v>
      </c>
      <c r="O4184" s="148">
        <v>0</v>
      </c>
      <c r="P4184" s="148">
        <v>7.92E-3</v>
      </c>
      <c r="Q4184" s="148">
        <v>0</v>
      </c>
      <c r="R4184" s="148">
        <v>0</v>
      </c>
    </row>
    <row r="4185" spans="2:18" ht="15.75" hidden="1" thickBot="1" x14ac:dyDescent="0.3">
      <c r="B4185" s="725" t="s">
        <v>801</v>
      </c>
      <c r="C4185" s="722" t="s">
        <v>113</v>
      </c>
      <c r="D4185" t="s">
        <v>114</v>
      </c>
      <c r="E4185" s="729"/>
      <c r="F4185" s="147">
        <v>0</v>
      </c>
      <c r="G4185" s="147">
        <v>0</v>
      </c>
      <c r="H4185" s="147">
        <v>0</v>
      </c>
      <c r="I4185" s="729"/>
      <c r="J4185" s="729"/>
      <c r="K4185" s="729"/>
      <c r="L4185" s="147">
        <v>3.4180000000000002E-2</v>
      </c>
      <c r="M4185" s="147">
        <v>0</v>
      </c>
      <c r="N4185" s="147">
        <v>3.4180000000000002E-2</v>
      </c>
      <c r="O4185" s="147">
        <v>0</v>
      </c>
      <c r="P4185" s="147">
        <v>3.4180000000000002E-2</v>
      </c>
      <c r="Q4185" s="147">
        <v>0</v>
      </c>
      <c r="R4185" s="147">
        <v>0</v>
      </c>
    </row>
    <row r="4186" spans="2:18" ht="15.75" hidden="1" thickBot="1" x14ac:dyDescent="0.3">
      <c r="B4186" s="725" t="s">
        <v>801</v>
      </c>
      <c r="C4186" s="722" t="s">
        <v>201</v>
      </c>
      <c r="D4186" t="s">
        <v>202</v>
      </c>
      <c r="E4186" s="728"/>
      <c r="F4186" s="148">
        <v>0</v>
      </c>
      <c r="G4186" s="148">
        <v>0</v>
      </c>
      <c r="H4186" s="148">
        <v>0</v>
      </c>
      <c r="I4186" s="728"/>
      <c r="J4186" s="728"/>
      <c r="K4186" s="728"/>
      <c r="L4186" s="728"/>
      <c r="M4186" s="148">
        <v>0</v>
      </c>
      <c r="N4186" s="148">
        <v>0</v>
      </c>
      <c r="O4186" s="148">
        <v>0</v>
      </c>
      <c r="P4186" s="728"/>
      <c r="Q4186" s="728"/>
      <c r="R4186" s="728"/>
    </row>
    <row r="4187" spans="2:18" ht="15.75" hidden="1" thickBot="1" x14ac:dyDescent="0.3">
      <c r="B4187" s="725" t="s">
        <v>801</v>
      </c>
      <c r="C4187" s="722" t="s">
        <v>117</v>
      </c>
      <c r="D4187" t="s">
        <v>118</v>
      </c>
      <c r="E4187" s="147">
        <v>-1.5890000000000001E-2</v>
      </c>
      <c r="F4187" s="147">
        <v>0</v>
      </c>
      <c r="G4187" s="147">
        <v>-1.5890000000000001E-2</v>
      </c>
      <c r="H4187" s="147">
        <v>0</v>
      </c>
      <c r="I4187" s="729"/>
      <c r="J4187" s="147">
        <v>-1.5890000000000001E-2</v>
      </c>
      <c r="K4187" s="147">
        <v>0</v>
      </c>
      <c r="L4187" s="147">
        <v>-4.4231299999999996</v>
      </c>
      <c r="M4187" s="147">
        <v>0</v>
      </c>
      <c r="N4187" s="147">
        <v>-4.4231299999999996</v>
      </c>
      <c r="O4187" s="147">
        <v>0</v>
      </c>
      <c r="P4187" s="147">
        <v>-3.10643</v>
      </c>
      <c r="Q4187" s="147">
        <v>-1.3167</v>
      </c>
      <c r="R4187" s="147">
        <v>-42.386276207736856</v>
      </c>
    </row>
    <row r="4188" spans="2:18" ht="15.75" hidden="1" thickBot="1" x14ac:dyDescent="0.3">
      <c r="B4188" s="725" t="s">
        <v>801</v>
      </c>
      <c r="C4188" s="722" t="s">
        <v>145</v>
      </c>
      <c r="D4188" t="s">
        <v>146</v>
      </c>
      <c r="E4188" s="728"/>
      <c r="F4188" s="148">
        <v>0</v>
      </c>
      <c r="G4188" s="148">
        <v>0</v>
      </c>
      <c r="H4188" s="148">
        <v>0</v>
      </c>
      <c r="I4188" s="728"/>
      <c r="J4188" s="728"/>
      <c r="K4188" s="728"/>
      <c r="L4188" s="148">
        <v>1.4999999999999999E-2</v>
      </c>
      <c r="M4188" s="148">
        <v>0</v>
      </c>
      <c r="N4188" s="148">
        <v>1.4999999999999999E-2</v>
      </c>
      <c r="O4188" s="148">
        <v>0</v>
      </c>
      <c r="P4188" s="148">
        <v>1.4999999999999999E-2</v>
      </c>
      <c r="Q4188" s="148">
        <v>0</v>
      </c>
      <c r="R4188" s="148">
        <v>0</v>
      </c>
    </row>
    <row r="4189" spans="2:18" ht="15.75" hidden="1" thickBot="1" x14ac:dyDescent="0.3">
      <c r="B4189" s="725" t="s">
        <v>801</v>
      </c>
      <c r="C4189" s="722" t="s">
        <v>147</v>
      </c>
      <c r="D4189" t="s">
        <v>148</v>
      </c>
      <c r="E4189" s="729"/>
      <c r="F4189" s="729"/>
      <c r="G4189" s="729"/>
      <c r="H4189" s="729"/>
      <c r="I4189" s="729"/>
      <c r="J4189" s="729"/>
      <c r="K4189" s="729"/>
      <c r="L4189" s="147">
        <v>0.12476</v>
      </c>
      <c r="M4189" s="729"/>
      <c r="N4189" s="147">
        <v>0.12476</v>
      </c>
      <c r="O4189" s="147">
        <v>0</v>
      </c>
      <c r="P4189" s="147">
        <v>0.12476</v>
      </c>
      <c r="Q4189" s="147">
        <v>0</v>
      </c>
      <c r="R4189" s="147">
        <v>0</v>
      </c>
    </row>
    <row r="4190" spans="2:18" ht="15.75" hidden="1" thickBot="1" x14ac:dyDescent="0.3">
      <c r="B4190" s="725" t="s">
        <v>801</v>
      </c>
      <c r="C4190" s="722" t="s">
        <v>149</v>
      </c>
      <c r="D4190" t="s">
        <v>150</v>
      </c>
      <c r="E4190" s="728"/>
      <c r="F4190" s="148">
        <v>0</v>
      </c>
      <c r="G4190" s="148">
        <v>0</v>
      </c>
      <c r="H4190" s="148">
        <v>0</v>
      </c>
      <c r="I4190" s="728"/>
      <c r="J4190" s="728"/>
      <c r="K4190" s="728"/>
      <c r="L4190" s="148">
        <v>12.17544</v>
      </c>
      <c r="M4190" s="148">
        <v>0</v>
      </c>
      <c r="N4190" s="148">
        <v>12.17544</v>
      </c>
      <c r="O4190" s="148">
        <v>0</v>
      </c>
      <c r="P4190" s="148">
        <v>12.17544</v>
      </c>
      <c r="Q4190" s="148">
        <v>0</v>
      </c>
      <c r="R4190" s="148">
        <v>0</v>
      </c>
    </row>
    <row r="4191" spans="2:18" ht="15.75" hidden="1" thickBot="1" x14ac:dyDescent="0.3">
      <c r="B4191" s="725" t="s">
        <v>801</v>
      </c>
      <c r="C4191" s="722" t="s">
        <v>173</v>
      </c>
      <c r="D4191" t="s">
        <v>174</v>
      </c>
      <c r="E4191" s="729"/>
      <c r="F4191" s="147">
        <v>0</v>
      </c>
      <c r="G4191" s="147">
        <v>0</v>
      </c>
      <c r="H4191" s="147">
        <v>0</v>
      </c>
      <c r="I4191" s="729"/>
      <c r="J4191" s="729"/>
      <c r="K4191" s="729"/>
      <c r="L4191" s="729"/>
      <c r="M4191" s="147">
        <v>0</v>
      </c>
      <c r="N4191" s="147">
        <v>0</v>
      </c>
      <c r="O4191" s="147">
        <v>0</v>
      </c>
      <c r="P4191" s="729"/>
      <c r="Q4191" s="729"/>
      <c r="R4191" s="729"/>
    </row>
    <row r="4192" spans="2:18" ht="15.75" hidden="1" thickBot="1" x14ac:dyDescent="0.3">
      <c r="B4192" s="725" t="s">
        <v>801</v>
      </c>
      <c r="C4192" s="722" t="s">
        <v>151</v>
      </c>
      <c r="D4192" t="s">
        <v>152</v>
      </c>
      <c r="E4192" s="728"/>
      <c r="F4192" s="148">
        <v>0</v>
      </c>
      <c r="G4192" s="148">
        <v>0</v>
      </c>
      <c r="H4192" s="148">
        <v>0</v>
      </c>
      <c r="I4192" s="728"/>
      <c r="J4192" s="728"/>
      <c r="K4192" s="728"/>
      <c r="L4192" s="148">
        <v>2.0768499999999999</v>
      </c>
      <c r="M4192" s="148">
        <v>0</v>
      </c>
      <c r="N4192" s="148">
        <v>2.0768499999999999</v>
      </c>
      <c r="O4192" s="148">
        <v>0</v>
      </c>
      <c r="P4192" s="148">
        <v>2.0768499999999999</v>
      </c>
      <c r="Q4192" s="148">
        <v>0</v>
      </c>
      <c r="R4192" s="148">
        <v>0</v>
      </c>
    </row>
    <row r="4193" spans="2:18" ht="15.75" hidden="1" thickBot="1" x14ac:dyDescent="0.3">
      <c r="B4193" s="725" t="s">
        <v>801</v>
      </c>
      <c r="C4193" s="722" t="s">
        <v>175</v>
      </c>
      <c r="D4193" t="s">
        <v>176</v>
      </c>
      <c r="E4193" s="147">
        <v>-0.13769000000000001</v>
      </c>
      <c r="F4193" s="147">
        <v>0</v>
      </c>
      <c r="G4193" s="147">
        <v>-0.13769000000000001</v>
      </c>
      <c r="H4193" s="147">
        <v>0</v>
      </c>
      <c r="I4193" s="729"/>
      <c r="J4193" s="147">
        <v>-0.13769000000000001</v>
      </c>
      <c r="K4193" s="147">
        <v>0</v>
      </c>
      <c r="L4193" s="147">
        <v>1.1256600000000001</v>
      </c>
      <c r="M4193" s="147">
        <v>0</v>
      </c>
      <c r="N4193" s="147">
        <v>1.1256600000000001</v>
      </c>
      <c r="O4193" s="147">
        <v>0</v>
      </c>
      <c r="P4193" s="147">
        <v>1.3711100000000001</v>
      </c>
      <c r="Q4193" s="147">
        <v>-0.24545</v>
      </c>
      <c r="R4193" s="147">
        <v>-17.901554215197905</v>
      </c>
    </row>
    <row r="4194" spans="2:18" ht="15.75" hidden="1" thickBot="1" x14ac:dyDescent="0.3">
      <c r="B4194" s="725" t="s">
        <v>801</v>
      </c>
      <c r="C4194" s="722" t="s">
        <v>655</v>
      </c>
      <c r="D4194" t="s">
        <v>656</v>
      </c>
      <c r="E4194" s="728"/>
      <c r="F4194" s="148">
        <v>0</v>
      </c>
      <c r="G4194" s="148">
        <v>0</v>
      </c>
      <c r="H4194" s="148">
        <v>0</v>
      </c>
      <c r="I4194" s="728"/>
      <c r="J4194" s="728"/>
      <c r="K4194" s="728"/>
      <c r="L4194" s="728"/>
      <c r="M4194" s="148">
        <v>0</v>
      </c>
      <c r="N4194" s="148">
        <v>0</v>
      </c>
      <c r="O4194" s="148">
        <v>0</v>
      </c>
      <c r="P4194" s="728"/>
      <c r="Q4194" s="728"/>
      <c r="R4194" s="728"/>
    </row>
    <row r="4195" spans="2:18" ht="15.75" hidden="1" thickBot="1" x14ac:dyDescent="0.3">
      <c r="B4195" s="725" t="s">
        <v>801</v>
      </c>
      <c r="C4195" s="722" t="s">
        <v>673</v>
      </c>
      <c r="D4195" t="s">
        <v>674</v>
      </c>
      <c r="E4195" s="729"/>
      <c r="F4195" s="147">
        <v>0</v>
      </c>
      <c r="G4195" s="147">
        <v>0</v>
      </c>
      <c r="H4195" s="147">
        <v>0</v>
      </c>
      <c r="I4195" s="729"/>
      <c r="J4195" s="729"/>
      <c r="K4195" s="729"/>
      <c r="L4195" s="147">
        <v>4.5234699999999997</v>
      </c>
      <c r="M4195" s="147">
        <v>0</v>
      </c>
      <c r="N4195" s="147">
        <v>4.5234699999999997</v>
      </c>
      <c r="O4195" s="147">
        <v>0</v>
      </c>
      <c r="P4195" s="147">
        <v>4.5234699999999997</v>
      </c>
      <c r="Q4195" s="147">
        <v>0</v>
      </c>
      <c r="R4195" s="147">
        <v>0</v>
      </c>
    </row>
    <row r="4196" spans="2:18" ht="15.75" hidden="1" thickBot="1" x14ac:dyDescent="0.3">
      <c r="B4196" s="725" t="s">
        <v>801</v>
      </c>
      <c r="C4196" s="722" t="s">
        <v>75</v>
      </c>
      <c r="D4196" t="s">
        <v>76</v>
      </c>
      <c r="E4196" s="728"/>
      <c r="F4196" s="148">
        <v>0</v>
      </c>
      <c r="G4196" s="148">
        <v>0</v>
      </c>
      <c r="H4196" s="148">
        <v>0</v>
      </c>
      <c r="I4196" s="728"/>
      <c r="J4196" s="728"/>
      <c r="K4196" s="728"/>
      <c r="L4196" s="728"/>
      <c r="M4196" s="148">
        <v>0</v>
      </c>
      <c r="N4196" s="148">
        <v>0</v>
      </c>
      <c r="O4196" s="148">
        <v>0</v>
      </c>
      <c r="P4196" s="728"/>
      <c r="Q4196" s="728"/>
      <c r="R4196" s="728"/>
    </row>
    <row r="4197" spans="2:18" ht="15.75" hidden="1" thickBot="1" x14ac:dyDescent="0.3">
      <c r="B4197" s="725" t="s">
        <v>801</v>
      </c>
      <c r="C4197" s="722" t="s">
        <v>121</v>
      </c>
      <c r="D4197" t="s">
        <v>122</v>
      </c>
      <c r="E4197" s="729"/>
      <c r="F4197" s="147">
        <v>0</v>
      </c>
      <c r="G4197" s="147">
        <v>0</v>
      </c>
      <c r="H4197" s="147">
        <v>0</v>
      </c>
      <c r="I4197" s="729"/>
      <c r="J4197" s="729"/>
      <c r="K4197" s="729"/>
      <c r="L4197" s="729"/>
      <c r="M4197" s="147">
        <v>0</v>
      </c>
      <c r="N4197" s="147">
        <v>0</v>
      </c>
      <c r="O4197" s="147">
        <v>0</v>
      </c>
      <c r="P4197" s="729"/>
      <c r="Q4197" s="729"/>
      <c r="R4197" s="729"/>
    </row>
    <row r="4198" spans="2:18" ht="15.75" hidden="1" thickBot="1" x14ac:dyDescent="0.3">
      <c r="B4198" s="725" t="s">
        <v>801</v>
      </c>
      <c r="C4198" s="722" t="s">
        <v>77</v>
      </c>
      <c r="D4198" t="s">
        <v>78</v>
      </c>
      <c r="E4198" s="728"/>
      <c r="F4198" s="148">
        <v>0</v>
      </c>
      <c r="G4198" s="148">
        <v>0</v>
      </c>
      <c r="H4198" s="148">
        <v>0</v>
      </c>
      <c r="I4198" s="728"/>
      <c r="J4198" s="728"/>
      <c r="K4198" s="728"/>
      <c r="L4198" s="148">
        <v>0.18146000000000001</v>
      </c>
      <c r="M4198" s="148">
        <v>0</v>
      </c>
      <c r="N4198" s="148">
        <v>0.18146000000000001</v>
      </c>
      <c r="O4198" s="148">
        <v>0</v>
      </c>
      <c r="P4198" s="728"/>
      <c r="Q4198" s="148">
        <v>0.18146000000000001</v>
      </c>
      <c r="R4198" s="148">
        <v>0</v>
      </c>
    </row>
    <row r="4199" spans="2:18" ht="15.75" hidden="1" thickBot="1" x14ac:dyDescent="0.3">
      <c r="B4199" s="725" t="s">
        <v>801</v>
      </c>
      <c r="C4199" s="722" t="s">
        <v>79</v>
      </c>
      <c r="D4199" t="s">
        <v>80</v>
      </c>
      <c r="E4199" s="729"/>
      <c r="F4199" s="147">
        <v>0</v>
      </c>
      <c r="G4199" s="147">
        <v>0</v>
      </c>
      <c r="H4199" s="147">
        <v>0</v>
      </c>
      <c r="I4199" s="729"/>
      <c r="J4199" s="729"/>
      <c r="K4199" s="729"/>
      <c r="L4199" s="729"/>
      <c r="M4199" s="147">
        <v>0</v>
      </c>
      <c r="N4199" s="147">
        <v>0</v>
      </c>
      <c r="O4199" s="147">
        <v>0</v>
      </c>
      <c r="P4199" s="729"/>
      <c r="Q4199" s="729"/>
      <c r="R4199" s="729"/>
    </row>
    <row r="4200" spans="2:18" ht="15.75" hidden="1" thickBot="1" x14ac:dyDescent="0.3">
      <c r="B4200" s="725" t="s">
        <v>801</v>
      </c>
      <c r="C4200" s="722" t="s">
        <v>81</v>
      </c>
      <c r="D4200" t="s">
        <v>82</v>
      </c>
      <c r="E4200" s="728"/>
      <c r="F4200" s="148">
        <v>0</v>
      </c>
      <c r="G4200" s="148">
        <v>0</v>
      </c>
      <c r="H4200" s="148">
        <v>0</v>
      </c>
      <c r="I4200" s="728"/>
      <c r="J4200" s="728"/>
      <c r="K4200" s="728"/>
      <c r="L4200" s="148">
        <v>0.48987000000000003</v>
      </c>
      <c r="M4200" s="148">
        <v>0</v>
      </c>
      <c r="N4200" s="148">
        <v>0.48987000000000003</v>
      </c>
      <c r="O4200" s="148">
        <v>0</v>
      </c>
      <c r="P4200" s="148">
        <v>0.48987000000000003</v>
      </c>
      <c r="Q4200" s="148">
        <v>0</v>
      </c>
      <c r="R4200" s="148">
        <v>0</v>
      </c>
    </row>
    <row r="4201" spans="2:18" ht="15.75" hidden="1" thickBot="1" x14ac:dyDescent="0.3">
      <c r="B4201" s="725" t="s">
        <v>801</v>
      </c>
      <c r="C4201" s="722" t="s">
        <v>123</v>
      </c>
      <c r="D4201" t="s">
        <v>124</v>
      </c>
      <c r="E4201" s="729"/>
      <c r="F4201" s="147">
        <v>0</v>
      </c>
      <c r="G4201" s="147">
        <v>0</v>
      </c>
      <c r="H4201" s="147">
        <v>0</v>
      </c>
      <c r="I4201" s="729"/>
      <c r="J4201" s="729"/>
      <c r="K4201" s="729"/>
      <c r="L4201" s="729"/>
      <c r="M4201" s="147">
        <v>0</v>
      </c>
      <c r="N4201" s="147">
        <v>0</v>
      </c>
      <c r="O4201" s="147">
        <v>0</v>
      </c>
      <c r="P4201" s="729"/>
      <c r="Q4201" s="729"/>
      <c r="R4201" s="729"/>
    </row>
    <row r="4202" spans="2:18" ht="15.75" hidden="1" thickBot="1" x14ac:dyDescent="0.3">
      <c r="B4202" s="725" t="s">
        <v>801</v>
      </c>
      <c r="C4202" s="722" t="s">
        <v>687</v>
      </c>
      <c r="D4202" t="s">
        <v>688</v>
      </c>
      <c r="E4202" s="728"/>
      <c r="F4202" s="728"/>
      <c r="G4202" s="728"/>
      <c r="H4202" s="728"/>
      <c r="I4202" s="728"/>
      <c r="J4202" s="728"/>
      <c r="K4202" s="728"/>
      <c r="L4202" s="148">
        <v>0</v>
      </c>
      <c r="M4202" s="728"/>
      <c r="N4202" s="148">
        <v>0</v>
      </c>
      <c r="O4202" s="148">
        <v>0</v>
      </c>
      <c r="P4202" s="148">
        <v>0</v>
      </c>
      <c r="Q4202" s="148">
        <v>0</v>
      </c>
      <c r="R4202" s="148">
        <v>0</v>
      </c>
    </row>
    <row r="4203" spans="2:18" ht="15.75" hidden="1" thickBot="1" x14ac:dyDescent="0.3">
      <c r="B4203" s="725" t="s">
        <v>801</v>
      </c>
      <c r="C4203" s="722" t="s">
        <v>83</v>
      </c>
      <c r="D4203" t="s">
        <v>84</v>
      </c>
      <c r="E4203" s="729"/>
      <c r="F4203" s="147">
        <v>0</v>
      </c>
      <c r="G4203" s="147">
        <v>0</v>
      </c>
      <c r="H4203" s="147">
        <v>0</v>
      </c>
      <c r="I4203" s="729"/>
      <c r="J4203" s="729"/>
      <c r="K4203" s="729"/>
      <c r="L4203" s="729"/>
      <c r="M4203" s="147">
        <v>0</v>
      </c>
      <c r="N4203" s="147">
        <v>0</v>
      </c>
      <c r="O4203" s="147">
        <v>0</v>
      </c>
      <c r="P4203" s="729"/>
      <c r="Q4203" s="729"/>
      <c r="R4203" s="729"/>
    </row>
    <row r="4204" spans="2:18" ht="15.75" hidden="1" thickBot="1" x14ac:dyDescent="0.3">
      <c r="B4204" s="725" t="s">
        <v>801</v>
      </c>
      <c r="C4204" s="149" t="s">
        <v>85</v>
      </c>
      <c r="D4204" t="s">
        <v>86</v>
      </c>
      <c r="E4204" s="148">
        <v>-5.5030000000000003E-2</v>
      </c>
      <c r="F4204" s="148">
        <v>0</v>
      </c>
      <c r="G4204" s="148">
        <v>-5.5030000000000003E-2</v>
      </c>
      <c r="H4204" s="148">
        <v>0</v>
      </c>
      <c r="I4204" s="728"/>
      <c r="J4204" s="148">
        <v>-5.5030000000000003E-2</v>
      </c>
      <c r="K4204" s="148">
        <v>0</v>
      </c>
      <c r="L4204" s="148">
        <v>71.493210000000005</v>
      </c>
      <c r="M4204" s="148">
        <v>0</v>
      </c>
      <c r="N4204" s="148">
        <v>71.493210000000005</v>
      </c>
      <c r="O4204" s="148">
        <v>0</v>
      </c>
      <c r="P4204" s="148">
        <v>69.878529999999998</v>
      </c>
      <c r="Q4204" s="148">
        <v>1.6146799999999999</v>
      </c>
      <c r="R4204" s="148">
        <v>2.3106954310572934</v>
      </c>
    </row>
    <row r="4205" spans="2:18" ht="15.75" hidden="1" thickBot="1" x14ac:dyDescent="0.3">
      <c r="B4205" s="725" t="s">
        <v>801</v>
      </c>
      <c r="C4205" s="144" t="s">
        <v>87</v>
      </c>
      <c r="D4205" t="s">
        <v>87</v>
      </c>
      <c r="E4205" s="147">
        <v>-5.5030000000000003E-2</v>
      </c>
      <c r="F4205" s="147">
        <v>0</v>
      </c>
      <c r="G4205" s="147">
        <v>-5.5030000000000003E-2</v>
      </c>
      <c r="H4205" s="147">
        <v>0</v>
      </c>
      <c r="I4205" s="729"/>
      <c r="J4205" s="147">
        <v>-5.5030000000000003E-2</v>
      </c>
      <c r="K4205" s="147">
        <v>0</v>
      </c>
      <c r="L4205" s="147">
        <v>72.524410000000003</v>
      </c>
      <c r="M4205" s="147">
        <v>0</v>
      </c>
      <c r="N4205" s="147">
        <v>72.524410000000003</v>
      </c>
      <c r="O4205" s="147">
        <v>0</v>
      </c>
      <c r="P4205" s="147">
        <v>70.909729999999996</v>
      </c>
      <c r="Q4205" s="147">
        <v>1.6146799999999999</v>
      </c>
      <c r="R4205" s="147">
        <v>2.2770922974886521</v>
      </c>
    </row>
    <row r="4206" spans="2:18" ht="15.75" hidden="1" thickBot="1" x14ac:dyDescent="0.3">
      <c r="B4206" s="725" t="s">
        <v>802</v>
      </c>
      <c r="C4206" s="722" t="s">
        <v>59</v>
      </c>
      <c r="D4206" t="s">
        <v>60</v>
      </c>
      <c r="E4206" s="148">
        <v>6.3034100000000004</v>
      </c>
      <c r="F4206" s="148">
        <v>7.6848999999999998</v>
      </c>
      <c r="G4206" s="148">
        <v>-1.3814900000000001</v>
      </c>
      <c r="H4206" s="148">
        <v>-17.976681544327189</v>
      </c>
      <c r="I4206" s="728"/>
      <c r="J4206" s="148">
        <v>6.3034100000000004</v>
      </c>
      <c r="K4206" s="148">
        <v>0</v>
      </c>
      <c r="L4206" s="148">
        <v>96.526939999999996</v>
      </c>
      <c r="M4206" s="148">
        <v>91.734999999999999</v>
      </c>
      <c r="N4206" s="148">
        <v>4.7919400000000003</v>
      </c>
      <c r="O4206" s="148">
        <v>5.2236768954052435</v>
      </c>
      <c r="P4206" s="148">
        <v>49.993769999999998</v>
      </c>
      <c r="Q4206" s="148">
        <v>46.533169999999998</v>
      </c>
      <c r="R4206" s="148">
        <v>93.077937511013872</v>
      </c>
    </row>
    <row r="4207" spans="2:18" ht="15.75" hidden="1" thickBot="1" x14ac:dyDescent="0.3">
      <c r="B4207" s="725" t="s">
        <v>802</v>
      </c>
      <c r="C4207" s="722" t="s">
        <v>89</v>
      </c>
      <c r="D4207" t="s">
        <v>90</v>
      </c>
      <c r="E4207" s="147">
        <v>10.09315</v>
      </c>
      <c r="F4207" s="729"/>
      <c r="G4207" s="147">
        <v>10.09315</v>
      </c>
      <c r="H4207" s="147">
        <v>0</v>
      </c>
      <c r="I4207" s="729"/>
      <c r="J4207" s="147">
        <v>10.09315</v>
      </c>
      <c r="K4207" s="147">
        <v>0</v>
      </c>
      <c r="L4207" s="147">
        <v>84.253979999999999</v>
      </c>
      <c r="M4207" s="729"/>
      <c r="N4207" s="147">
        <v>84.253979999999999</v>
      </c>
      <c r="O4207" s="147">
        <v>0</v>
      </c>
      <c r="P4207" s="147">
        <v>30.927430000000001</v>
      </c>
      <c r="Q4207" s="147">
        <v>53.326549999999997</v>
      </c>
      <c r="R4207" s="147">
        <v>172.42476985640255</v>
      </c>
    </row>
    <row r="4208" spans="2:18" ht="15.75" hidden="1" thickBot="1" x14ac:dyDescent="0.3">
      <c r="B4208" s="725" t="s">
        <v>802</v>
      </c>
      <c r="C4208" s="722" t="s">
        <v>91</v>
      </c>
      <c r="D4208" t="s">
        <v>92</v>
      </c>
      <c r="E4208" s="148">
        <v>19.19436</v>
      </c>
      <c r="F4208" s="148">
        <v>44.821219999999997</v>
      </c>
      <c r="G4208" s="148">
        <v>-25.626860000000001</v>
      </c>
      <c r="H4208" s="148">
        <v>-57.175730602602961</v>
      </c>
      <c r="I4208" s="728"/>
      <c r="J4208" s="148">
        <v>19.19436</v>
      </c>
      <c r="K4208" s="148">
        <v>0</v>
      </c>
      <c r="L4208" s="148">
        <v>414.69252999999998</v>
      </c>
      <c r="M4208" s="148">
        <v>523.49446999999998</v>
      </c>
      <c r="N4208" s="148">
        <v>-108.80194</v>
      </c>
      <c r="O4208" s="148">
        <v>-20.783780199244511</v>
      </c>
      <c r="P4208" s="148">
        <v>220.82682</v>
      </c>
      <c r="Q4208" s="148">
        <v>193.86571000000001</v>
      </c>
      <c r="R4208" s="148">
        <v>87.790835370450026</v>
      </c>
    </row>
    <row r="4209" spans="2:18" ht="15.75" hidden="1" thickBot="1" x14ac:dyDescent="0.3">
      <c r="B4209" s="725" t="s">
        <v>802</v>
      </c>
      <c r="C4209" s="722" t="s">
        <v>93</v>
      </c>
      <c r="D4209" t="s">
        <v>94</v>
      </c>
      <c r="E4209" s="147">
        <v>16.36589</v>
      </c>
      <c r="F4209" s="147">
        <v>10.609</v>
      </c>
      <c r="G4209" s="147">
        <v>5.7568900000000003</v>
      </c>
      <c r="H4209" s="147">
        <v>54.264209633330189</v>
      </c>
      <c r="I4209" s="729"/>
      <c r="J4209" s="147">
        <v>16.36589</v>
      </c>
      <c r="K4209" s="147">
        <v>0</v>
      </c>
      <c r="L4209" s="147">
        <v>207.73564999999999</v>
      </c>
      <c r="M4209" s="147">
        <v>123.90900000000001</v>
      </c>
      <c r="N4209" s="147">
        <v>83.826650000000001</v>
      </c>
      <c r="O4209" s="147">
        <v>67.651784777538353</v>
      </c>
      <c r="P4209" s="147">
        <v>102.1305</v>
      </c>
      <c r="Q4209" s="147">
        <v>105.60514999999999</v>
      </c>
      <c r="R4209" s="147">
        <v>103.40216683556822</v>
      </c>
    </row>
    <row r="4210" spans="2:18" ht="15.75" hidden="1" thickBot="1" x14ac:dyDescent="0.3">
      <c r="B4210" s="725" t="s">
        <v>802</v>
      </c>
      <c r="C4210" s="722" t="s">
        <v>159</v>
      </c>
      <c r="D4210" t="s">
        <v>160</v>
      </c>
      <c r="E4210" s="148">
        <v>2.5417200000000002</v>
      </c>
      <c r="F4210" s="728"/>
      <c r="G4210" s="148">
        <v>2.5417200000000002</v>
      </c>
      <c r="H4210" s="148">
        <v>0</v>
      </c>
      <c r="I4210" s="728"/>
      <c r="J4210" s="148">
        <v>2.5417200000000002</v>
      </c>
      <c r="K4210" s="148">
        <v>0</v>
      </c>
      <c r="L4210" s="148">
        <v>42.702840000000002</v>
      </c>
      <c r="M4210" s="728"/>
      <c r="N4210" s="148">
        <v>42.702840000000002</v>
      </c>
      <c r="O4210" s="148">
        <v>0</v>
      </c>
      <c r="P4210" s="148">
        <v>21.079190000000001</v>
      </c>
      <c r="Q4210" s="148">
        <v>21.623650000000001</v>
      </c>
      <c r="R4210" s="148">
        <v>102.5829265735543</v>
      </c>
    </row>
    <row r="4211" spans="2:18" ht="15.75" hidden="1" thickBot="1" x14ac:dyDescent="0.3">
      <c r="B4211" s="725" t="s">
        <v>802</v>
      </c>
      <c r="C4211" s="722" t="s">
        <v>61</v>
      </c>
      <c r="D4211" t="s">
        <v>62</v>
      </c>
      <c r="E4211" s="147">
        <v>7.3633199999999999</v>
      </c>
      <c r="F4211" s="147">
        <v>8.1384500000000006</v>
      </c>
      <c r="G4211" s="147">
        <v>-0.77512999999999999</v>
      </c>
      <c r="H4211" s="147">
        <v>-9.5242951667700844</v>
      </c>
      <c r="I4211" s="729"/>
      <c r="J4211" s="147">
        <v>7.3633199999999999</v>
      </c>
      <c r="K4211" s="147">
        <v>0</v>
      </c>
      <c r="L4211" s="147">
        <v>86.13749</v>
      </c>
      <c r="M4211" s="147">
        <v>95.360569999999996</v>
      </c>
      <c r="N4211" s="147">
        <v>-9.2230799999999995</v>
      </c>
      <c r="O4211" s="147">
        <v>-9.6717962151442674</v>
      </c>
      <c r="P4211" s="147">
        <v>42.616500000000002</v>
      </c>
      <c r="Q4211" s="147">
        <v>43.520989999999998</v>
      </c>
      <c r="R4211" s="147">
        <v>102.12239390846268</v>
      </c>
    </row>
    <row r="4212" spans="2:18" ht="15.75" hidden="1" thickBot="1" x14ac:dyDescent="0.3">
      <c r="B4212" s="725" t="s">
        <v>802</v>
      </c>
      <c r="C4212" s="722" t="s">
        <v>63</v>
      </c>
      <c r="D4212" t="s">
        <v>64</v>
      </c>
      <c r="E4212" s="148">
        <v>32.629440000000002</v>
      </c>
      <c r="F4212" s="148">
        <v>31.661190000000001</v>
      </c>
      <c r="G4212" s="148">
        <v>0.96825000000000006</v>
      </c>
      <c r="H4212" s="148">
        <v>3.0581604797545512</v>
      </c>
      <c r="I4212" s="728"/>
      <c r="J4212" s="148">
        <v>32.629440000000002</v>
      </c>
      <c r="K4212" s="148">
        <v>0</v>
      </c>
      <c r="L4212" s="148">
        <v>379.82627000000002</v>
      </c>
      <c r="M4212" s="148">
        <v>370.98336</v>
      </c>
      <c r="N4212" s="148">
        <v>8.8429099999999998</v>
      </c>
      <c r="O4212" s="148">
        <v>2.3836406031796145</v>
      </c>
      <c r="P4212" s="148">
        <v>186.20627999999999</v>
      </c>
      <c r="Q4212" s="148">
        <v>193.61999</v>
      </c>
      <c r="R4212" s="148">
        <v>103.98145003487529</v>
      </c>
    </row>
    <row r="4213" spans="2:18" ht="15.75" hidden="1" thickBot="1" x14ac:dyDescent="0.3">
      <c r="B4213" s="725" t="s">
        <v>802</v>
      </c>
      <c r="C4213" s="722" t="s">
        <v>182</v>
      </c>
      <c r="D4213" t="s">
        <v>183</v>
      </c>
      <c r="E4213" s="147">
        <v>10.350210000000001</v>
      </c>
      <c r="F4213" s="729"/>
      <c r="G4213" s="147">
        <v>10.350210000000001</v>
      </c>
      <c r="H4213" s="147">
        <v>0</v>
      </c>
      <c r="I4213" s="729"/>
      <c r="J4213" s="147">
        <v>10.350210000000001</v>
      </c>
      <c r="K4213" s="147">
        <v>0</v>
      </c>
      <c r="L4213" s="147">
        <v>96.02176</v>
      </c>
      <c r="M4213" s="729"/>
      <c r="N4213" s="147">
        <v>96.02176</v>
      </c>
      <c r="O4213" s="147">
        <v>0</v>
      </c>
      <c r="P4213" s="147">
        <v>35.773209999999999</v>
      </c>
      <c r="Q4213" s="147">
        <v>60.248550000000002</v>
      </c>
      <c r="R4213" s="147">
        <v>168.41807039401832</v>
      </c>
    </row>
    <row r="4214" spans="2:18" ht="15.75" hidden="1" thickBot="1" x14ac:dyDescent="0.3">
      <c r="B4214" s="725" t="s">
        <v>802</v>
      </c>
      <c r="C4214" s="722" t="s">
        <v>184</v>
      </c>
      <c r="D4214" t="s">
        <v>185</v>
      </c>
      <c r="E4214" s="148">
        <v>41.132959999999997</v>
      </c>
      <c r="F4214" s="728"/>
      <c r="G4214" s="148">
        <v>41.132959999999997</v>
      </c>
      <c r="H4214" s="148">
        <v>0</v>
      </c>
      <c r="I4214" s="728"/>
      <c r="J4214" s="148">
        <v>41.132959999999997</v>
      </c>
      <c r="K4214" s="148">
        <v>0</v>
      </c>
      <c r="L4214" s="148">
        <v>660.99962000000005</v>
      </c>
      <c r="M4214" s="728"/>
      <c r="N4214" s="148">
        <v>660.99962000000005</v>
      </c>
      <c r="O4214" s="148">
        <v>0</v>
      </c>
      <c r="P4214" s="148">
        <v>379.73924</v>
      </c>
      <c r="Q4214" s="148">
        <v>281.26038</v>
      </c>
      <c r="R4214" s="148">
        <v>74.066714833052288</v>
      </c>
    </row>
    <row r="4215" spans="2:18" ht="15.75" hidden="1" thickBot="1" x14ac:dyDescent="0.3">
      <c r="B4215" s="725" t="s">
        <v>802</v>
      </c>
      <c r="C4215" s="722" t="s">
        <v>161</v>
      </c>
      <c r="D4215" t="s">
        <v>162</v>
      </c>
      <c r="E4215" s="147">
        <v>17.460159999999998</v>
      </c>
      <c r="F4215" s="729"/>
      <c r="G4215" s="147">
        <v>17.460159999999998</v>
      </c>
      <c r="H4215" s="147">
        <v>0</v>
      </c>
      <c r="I4215" s="729"/>
      <c r="J4215" s="147">
        <v>17.460159999999998</v>
      </c>
      <c r="K4215" s="147">
        <v>0</v>
      </c>
      <c r="L4215" s="147">
        <v>214.81375</v>
      </c>
      <c r="M4215" s="729"/>
      <c r="N4215" s="147">
        <v>214.81375</v>
      </c>
      <c r="O4215" s="147">
        <v>0</v>
      </c>
      <c r="P4215" s="147">
        <v>113.70329</v>
      </c>
      <c r="Q4215" s="147">
        <v>101.11046</v>
      </c>
      <c r="R4215" s="147">
        <v>88.924832342142437</v>
      </c>
    </row>
    <row r="4216" spans="2:18" ht="15.75" hidden="1" thickBot="1" x14ac:dyDescent="0.3">
      <c r="B4216" s="725" t="s">
        <v>802</v>
      </c>
      <c r="C4216" s="722" t="s">
        <v>186</v>
      </c>
      <c r="D4216" t="s">
        <v>187</v>
      </c>
      <c r="E4216" s="148">
        <v>-10.350210000000001</v>
      </c>
      <c r="F4216" s="728"/>
      <c r="G4216" s="148">
        <v>-10.350210000000001</v>
      </c>
      <c r="H4216" s="148">
        <v>0</v>
      </c>
      <c r="I4216" s="728"/>
      <c r="J4216" s="148">
        <v>-10.350210000000001</v>
      </c>
      <c r="K4216" s="148">
        <v>0</v>
      </c>
      <c r="L4216" s="148">
        <v>-98.302760000000006</v>
      </c>
      <c r="M4216" s="728"/>
      <c r="N4216" s="148">
        <v>-98.302760000000006</v>
      </c>
      <c r="O4216" s="148">
        <v>0</v>
      </c>
      <c r="P4216" s="148">
        <v>-35.773209999999999</v>
      </c>
      <c r="Q4216" s="148">
        <v>-62.52955</v>
      </c>
      <c r="R4216" s="148">
        <v>-174.79435029733145</v>
      </c>
    </row>
    <row r="4217" spans="2:18" ht="15.75" hidden="1" thickBot="1" x14ac:dyDescent="0.3">
      <c r="B4217" s="725" t="s">
        <v>802</v>
      </c>
      <c r="C4217" s="722" t="s">
        <v>163</v>
      </c>
      <c r="D4217" t="s">
        <v>164</v>
      </c>
      <c r="E4217" s="147">
        <v>-41.132959999999997</v>
      </c>
      <c r="F4217" s="729"/>
      <c r="G4217" s="147">
        <v>-41.132959999999997</v>
      </c>
      <c r="H4217" s="147">
        <v>0</v>
      </c>
      <c r="I4217" s="729"/>
      <c r="J4217" s="147">
        <v>-41.132959999999997</v>
      </c>
      <c r="K4217" s="147">
        <v>0</v>
      </c>
      <c r="L4217" s="147">
        <v>-686.82677000000001</v>
      </c>
      <c r="M4217" s="729"/>
      <c r="N4217" s="147">
        <v>-686.82677000000001</v>
      </c>
      <c r="O4217" s="147">
        <v>0</v>
      </c>
      <c r="P4217" s="147">
        <v>-383.24059999999997</v>
      </c>
      <c r="Q4217" s="147">
        <v>-303.58616999999998</v>
      </c>
      <c r="R4217" s="147">
        <v>-79.215555450022777</v>
      </c>
    </row>
    <row r="4218" spans="2:18" ht="15.75" hidden="1" thickBot="1" x14ac:dyDescent="0.3">
      <c r="B4218" s="725" t="s">
        <v>802</v>
      </c>
      <c r="C4218" s="722" t="s">
        <v>97</v>
      </c>
      <c r="D4218" t="s">
        <v>98</v>
      </c>
      <c r="E4218" s="148">
        <v>-17.460159999999998</v>
      </c>
      <c r="F4218" s="728"/>
      <c r="G4218" s="148">
        <v>-17.460159999999998</v>
      </c>
      <c r="H4218" s="148">
        <v>0</v>
      </c>
      <c r="I4218" s="728"/>
      <c r="J4218" s="148">
        <v>-17.460159999999998</v>
      </c>
      <c r="K4218" s="148">
        <v>0</v>
      </c>
      <c r="L4218" s="148">
        <v>-222.37276</v>
      </c>
      <c r="M4218" s="728"/>
      <c r="N4218" s="148">
        <v>-222.37276</v>
      </c>
      <c r="O4218" s="148">
        <v>0</v>
      </c>
      <c r="P4218" s="148">
        <v>-114.66061000000001</v>
      </c>
      <c r="Q4218" s="148">
        <v>-107.71214999999999</v>
      </c>
      <c r="R4218" s="148">
        <v>-93.939976422591855</v>
      </c>
    </row>
    <row r="4219" spans="2:18" ht="15.75" hidden="1" thickBot="1" x14ac:dyDescent="0.3">
      <c r="B4219" s="725" t="s">
        <v>802</v>
      </c>
      <c r="C4219" s="149" t="s">
        <v>67</v>
      </c>
      <c r="D4219" t="s">
        <v>68</v>
      </c>
      <c r="E4219" s="147">
        <v>94.491290000000006</v>
      </c>
      <c r="F4219" s="147">
        <v>102.91476</v>
      </c>
      <c r="G4219" s="147">
        <v>-8.42347</v>
      </c>
      <c r="H4219" s="147">
        <v>-8.1848998141763136</v>
      </c>
      <c r="I4219" s="729"/>
      <c r="J4219" s="147">
        <v>94.491290000000006</v>
      </c>
      <c r="K4219" s="147">
        <v>0</v>
      </c>
      <c r="L4219" s="147">
        <v>1276.2085400000001</v>
      </c>
      <c r="M4219" s="147">
        <v>1205.4824000000001</v>
      </c>
      <c r="N4219" s="147">
        <v>70.726140000000001</v>
      </c>
      <c r="O4219" s="147">
        <v>5.8670404478738138</v>
      </c>
      <c r="P4219" s="147">
        <v>649.32181000000003</v>
      </c>
      <c r="Q4219" s="147">
        <v>626.88672999999994</v>
      </c>
      <c r="R4219" s="147">
        <v>96.544844227548737</v>
      </c>
    </row>
    <row r="4220" spans="2:18" ht="15.75" hidden="1" thickBot="1" x14ac:dyDescent="0.3">
      <c r="B4220" s="725" t="s">
        <v>802</v>
      </c>
      <c r="C4220" s="722" t="s">
        <v>69</v>
      </c>
      <c r="D4220" t="s">
        <v>70</v>
      </c>
      <c r="E4220" s="728"/>
      <c r="F4220" s="728"/>
      <c r="G4220" s="728"/>
      <c r="H4220" s="728"/>
      <c r="I4220" s="728"/>
      <c r="J4220" s="728"/>
      <c r="K4220" s="728"/>
      <c r="L4220" s="148">
        <v>0.13500000000000001</v>
      </c>
      <c r="M4220" s="728"/>
      <c r="N4220" s="148">
        <v>0.13500000000000001</v>
      </c>
      <c r="O4220" s="148">
        <v>0</v>
      </c>
      <c r="P4220" s="728"/>
      <c r="Q4220" s="148">
        <v>0.13500000000000001</v>
      </c>
      <c r="R4220" s="148">
        <v>0</v>
      </c>
    </row>
    <row r="4221" spans="2:18" ht="15.75" hidden="1" thickBot="1" x14ac:dyDescent="0.3">
      <c r="B4221" s="725" t="s">
        <v>802</v>
      </c>
      <c r="C4221" s="722" t="s">
        <v>99</v>
      </c>
      <c r="D4221" t="s">
        <v>100</v>
      </c>
      <c r="E4221" s="147">
        <v>8.9536700000000007</v>
      </c>
      <c r="F4221" s="147">
        <v>7.5</v>
      </c>
      <c r="G4221" s="147">
        <v>1.45367</v>
      </c>
      <c r="H4221" s="147">
        <v>19.382266666666666</v>
      </c>
      <c r="I4221" s="729"/>
      <c r="J4221" s="147">
        <v>8.9536700000000007</v>
      </c>
      <c r="K4221" s="147">
        <v>0</v>
      </c>
      <c r="L4221" s="147">
        <v>123.81743</v>
      </c>
      <c r="M4221" s="147">
        <v>90</v>
      </c>
      <c r="N4221" s="147">
        <v>33.817430000000002</v>
      </c>
      <c r="O4221" s="147">
        <v>37.57492222222222</v>
      </c>
      <c r="P4221" s="147">
        <v>57.272120000000001</v>
      </c>
      <c r="Q4221" s="147">
        <v>66.545310000000001</v>
      </c>
      <c r="R4221" s="147">
        <v>116.19145580781714</v>
      </c>
    </row>
    <row r="4222" spans="2:18" ht="15.75" hidden="1" thickBot="1" x14ac:dyDescent="0.3">
      <c r="B4222" s="725" t="s">
        <v>802</v>
      </c>
      <c r="C4222" s="722" t="s">
        <v>165</v>
      </c>
      <c r="D4222" t="s">
        <v>166</v>
      </c>
      <c r="E4222" s="148">
        <v>0.21337</v>
      </c>
      <c r="F4222" s="728"/>
      <c r="G4222" s="148">
        <v>0.21337</v>
      </c>
      <c r="H4222" s="148">
        <v>0</v>
      </c>
      <c r="I4222" s="728"/>
      <c r="J4222" s="148">
        <v>0.21337</v>
      </c>
      <c r="K4222" s="148">
        <v>0</v>
      </c>
      <c r="L4222" s="148">
        <v>9.7113300000000002</v>
      </c>
      <c r="M4222" s="728"/>
      <c r="N4222" s="148">
        <v>9.7113300000000002</v>
      </c>
      <c r="O4222" s="148">
        <v>0</v>
      </c>
      <c r="P4222" s="148">
        <v>5.0578099999999999</v>
      </c>
      <c r="Q4222" s="148">
        <v>4.6535200000000003</v>
      </c>
      <c r="R4222" s="148">
        <v>92.006619465737145</v>
      </c>
    </row>
    <row r="4223" spans="2:18" ht="15.75" hidden="1" thickBot="1" x14ac:dyDescent="0.3">
      <c r="B4223" s="725" t="s">
        <v>802</v>
      </c>
      <c r="C4223" s="722" t="s">
        <v>188</v>
      </c>
      <c r="D4223" t="s">
        <v>189</v>
      </c>
      <c r="E4223" s="729"/>
      <c r="F4223" s="729"/>
      <c r="G4223" s="729"/>
      <c r="H4223" s="729"/>
      <c r="I4223" s="729"/>
      <c r="J4223" s="729"/>
      <c r="K4223" s="729"/>
      <c r="L4223" s="147">
        <v>1.6000000000000001E-3</v>
      </c>
      <c r="M4223" s="729"/>
      <c r="N4223" s="147">
        <v>1.6000000000000001E-3</v>
      </c>
      <c r="O4223" s="147">
        <v>0</v>
      </c>
      <c r="P4223" s="147">
        <v>1.6000000000000001E-3</v>
      </c>
      <c r="Q4223" s="147">
        <v>0</v>
      </c>
      <c r="R4223" s="147">
        <v>0</v>
      </c>
    </row>
    <row r="4224" spans="2:18" ht="15.75" hidden="1" thickBot="1" x14ac:dyDescent="0.3">
      <c r="B4224" s="725" t="s">
        <v>802</v>
      </c>
      <c r="C4224" s="722" t="s">
        <v>137</v>
      </c>
      <c r="D4224" t="s">
        <v>138</v>
      </c>
      <c r="E4224" s="728"/>
      <c r="F4224" s="148">
        <v>0.18</v>
      </c>
      <c r="G4224" s="148">
        <v>-0.18</v>
      </c>
      <c r="H4224" s="148">
        <v>-100</v>
      </c>
      <c r="I4224" s="728"/>
      <c r="J4224" s="728"/>
      <c r="K4224" s="728"/>
      <c r="L4224" s="148">
        <v>0.68942999999999999</v>
      </c>
      <c r="M4224" s="148">
        <v>2.16</v>
      </c>
      <c r="N4224" s="148">
        <v>-1.4705699999999999</v>
      </c>
      <c r="O4224" s="148">
        <v>-68.081944444444446</v>
      </c>
      <c r="P4224" s="148">
        <v>0.35588999999999998</v>
      </c>
      <c r="Q4224" s="148">
        <v>0.33354</v>
      </c>
      <c r="R4224" s="148">
        <v>93.719969653544638</v>
      </c>
    </row>
    <row r="4225" spans="2:18" ht="15.75" hidden="1" thickBot="1" x14ac:dyDescent="0.3">
      <c r="B4225" s="725" t="s">
        <v>802</v>
      </c>
      <c r="C4225" s="722" t="s">
        <v>190</v>
      </c>
      <c r="D4225" t="s">
        <v>191</v>
      </c>
      <c r="E4225" s="147">
        <v>0.96399999999999997</v>
      </c>
      <c r="F4225" s="147">
        <v>2.5833300000000001</v>
      </c>
      <c r="G4225" s="147">
        <v>-1.6193299999999999</v>
      </c>
      <c r="H4225" s="147">
        <v>-62.683822817835896</v>
      </c>
      <c r="I4225" s="729"/>
      <c r="J4225" s="147">
        <v>0.96399999999999997</v>
      </c>
      <c r="K4225" s="147">
        <v>0</v>
      </c>
      <c r="L4225" s="147">
        <v>10.603999999999999</v>
      </c>
      <c r="M4225" s="147">
        <v>30.999960000000002</v>
      </c>
      <c r="N4225" s="147">
        <v>-20.395959999999999</v>
      </c>
      <c r="O4225" s="147">
        <v>-65.793504249682897</v>
      </c>
      <c r="P4225" s="147">
        <v>4.82</v>
      </c>
      <c r="Q4225" s="147">
        <v>5.7839999999999998</v>
      </c>
      <c r="R4225" s="147">
        <v>120</v>
      </c>
    </row>
    <row r="4226" spans="2:18" ht="15.75" hidden="1" thickBot="1" x14ac:dyDescent="0.3">
      <c r="B4226" s="725" t="s">
        <v>802</v>
      </c>
      <c r="C4226" s="722" t="s">
        <v>36</v>
      </c>
      <c r="D4226" t="s">
        <v>192</v>
      </c>
      <c r="E4226" s="728"/>
      <c r="F4226" s="728"/>
      <c r="G4226" s="728"/>
      <c r="H4226" s="728"/>
      <c r="I4226" s="728"/>
      <c r="J4226" s="728"/>
      <c r="K4226" s="728"/>
      <c r="L4226" s="148">
        <v>5.1367599999999998</v>
      </c>
      <c r="M4226" s="728"/>
      <c r="N4226" s="148">
        <v>5.1367599999999998</v>
      </c>
      <c r="O4226" s="148">
        <v>0</v>
      </c>
      <c r="P4226" s="148">
        <v>0.63288</v>
      </c>
      <c r="Q4226" s="148">
        <v>4.5038799999999997</v>
      </c>
      <c r="R4226" s="148">
        <v>711.64833775755278</v>
      </c>
    </row>
    <row r="4227" spans="2:18" ht="15.75" hidden="1" thickBot="1" x14ac:dyDescent="0.3">
      <c r="B4227" s="725" t="s">
        <v>802</v>
      </c>
      <c r="C4227" s="722" t="s">
        <v>139</v>
      </c>
      <c r="D4227" t="s">
        <v>140</v>
      </c>
      <c r="E4227" s="729"/>
      <c r="F4227" s="729"/>
      <c r="G4227" s="729"/>
      <c r="H4227" s="729"/>
      <c r="I4227" s="729"/>
      <c r="J4227" s="729"/>
      <c r="K4227" s="729"/>
      <c r="L4227" s="147">
        <v>0.2</v>
      </c>
      <c r="M4227" s="729"/>
      <c r="N4227" s="147">
        <v>0.2</v>
      </c>
      <c r="O4227" s="147">
        <v>0</v>
      </c>
      <c r="P4227" s="729"/>
      <c r="Q4227" s="147">
        <v>0.2</v>
      </c>
      <c r="R4227" s="147">
        <v>0</v>
      </c>
    </row>
    <row r="4228" spans="2:18" ht="15.75" hidden="1" thickBot="1" x14ac:dyDescent="0.3">
      <c r="B4228" s="725" t="s">
        <v>802</v>
      </c>
      <c r="C4228" s="722" t="s">
        <v>101</v>
      </c>
      <c r="D4228" t="s">
        <v>102</v>
      </c>
      <c r="E4228" s="148">
        <v>29.914829999999998</v>
      </c>
      <c r="F4228" s="148">
        <v>5</v>
      </c>
      <c r="G4228" s="148">
        <v>24.914829999999998</v>
      </c>
      <c r="H4228" s="148">
        <v>498.29660000000001</v>
      </c>
      <c r="I4228" s="728"/>
      <c r="J4228" s="148">
        <v>29.914829999999998</v>
      </c>
      <c r="K4228" s="148">
        <v>0</v>
      </c>
      <c r="L4228" s="148">
        <v>129.83337</v>
      </c>
      <c r="M4228" s="148">
        <v>170</v>
      </c>
      <c r="N4228" s="148">
        <v>-40.166629999999998</v>
      </c>
      <c r="O4228" s="148">
        <v>-23.627429411764705</v>
      </c>
      <c r="P4228" s="148">
        <v>33.826039999999999</v>
      </c>
      <c r="Q4228" s="148">
        <v>96.007329999999996</v>
      </c>
      <c r="R4228" s="148">
        <v>283.82669091622904</v>
      </c>
    </row>
    <row r="4229" spans="2:18" ht="15.75" hidden="1" thickBot="1" x14ac:dyDescent="0.3">
      <c r="B4229" s="725" t="s">
        <v>802</v>
      </c>
      <c r="C4229" s="722" t="s">
        <v>464</v>
      </c>
      <c r="D4229" t="s">
        <v>465</v>
      </c>
      <c r="E4229" s="147">
        <v>2.5000000000000001E-2</v>
      </c>
      <c r="F4229" s="729"/>
      <c r="G4229" s="147">
        <v>2.5000000000000001E-2</v>
      </c>
      <c r="H4229" s="147">
        <v>0</v>
      </c>
      <c r="I4229" s="729"/>
      <c r="J4229" s="147">
        <v>2.5000000000000001E-2</v>
      </c>
      <c r="K4229" s="147">
        <v>0</v>
      </c>
      <c r="L4229" s="147">
        <v>16.747879999999999</v>
      </c>
      <c r="M4229" s="729"/>
      <c r="N4229" s="147">
        <v>16.747879999999999</v>
      </c>
      <c r="O4229" s="147">
        <v>0</v>
      </c>
      <c r="P4229" s="147">
        <v>8.3019700000000007</v>
      </c>
      <c r="Q4229" s="147">
        <v>8.4459099999999996</v>
      </c>
      <c r="R4229" s="147">
        <v>101.73380534981456</v>
      </c>
    </row>
    <row r="4230" spans="2:18" ht="15.75" hidden="1" thickBot="1" x14ac:dyDescent="0.3">
      <c r="B4230" s="725" t="s">
        <v>802</v>
      </c>
      <c r="C4230" s="722" t="s">
        <v>621</v>
      </c>
      <c r="D4230" t="s">
        <v>622</v>
      </c>
      <c r="E4230" s="728"/>
      <c r="F4230" s="728"/>
      <c r="G4230" s="728"/>
      <c r="H4230" s="728"/>
      <c r="I4230" s="728"/>
      <c r="J4230" s="728"/>
      <c r="K4230" s="728"/>
      <c r="L4230" s="148">
        <v>0.68837000000000004</v>
      </c>
      <c r="M4230" s="728"/>
      <c r="N4230" s="148">
        <v>0.68837000000000004</v>
      </c>
      <c r="O4230" s="148">
        <v>0</v>
      </c>
      <c r="P4230" s="728"/>
      <c r="Q4230" s="148">
        <v>0.68837000000000004</v>
      </c>
      <c r="R4230" s="148">
        <v>0</v>
      </c>
    </row>
    <row r="4231" spans="2:18" ht="15.75" hidden="1" thickBot="1" x14ac:dyDescent="0.3">
      <c r="B4231" s="725" t="s">
        <v>802</v>
      </c>
      <c r="C4231" s="722" t="s">
        <v>103</v>
      </c>
      <c r="D4231" t="s">
        <v>104</v>
      </c>
      <c r="E4231" s="729"/>
      <c r="F4231" s="729"/>
      <c r="G4231" s="729"/>
      <c r="H4231" s="729"/>
      <c r="I4231" s="729"/>
      <c r="J4231" s="729"/>
      <c r="K4231" s="729"/>
      <c r="L4231" s="147">
        <v>2.53694</v>
      </c>
      <c r="M4231" s="729"/>
      <c r="N4231" s="147">
        <v>2.53694</v>
      </c>
      <c r="O4231" s="147">
        <v>0</v>
      </c>
      <c r="P4231" s="147">
        <v>1.0990200000000001</v>
      </c>
      <c r="Q4231" s="147">
        <v>1.4379200000000001</v>
      </c>
      <c r="R4231" s="147">
        <v>130.83656348383104</v>
      </c>
    </row>
    <row r="4232" spans="2:18" ht="15.75" hidden="1" thickBot="1" x14ac:dyDescent="0.3">
      <c r="B4232" s="725" t="s">
        <v>802</v>
      </c>
      <c r="C4232" s="722" t="s">
        <v>71</v>
      </c>
      <c r="D4232" t="s">
        <v>72</v>
      </c>
      <c r="E4232" s="728"/>
      <c r="F4232" s="728"/>
      <c r="G4232" s="728"/>
      <c r="H4232" s="728"/>
      <c r="I4232" s="728"/>
      <c r="J4232" s="728"/>
      <c r="K4232" s="728"/>
      <c r="L4232" s="148">
        <v>0</v>
      </c>
      <c r="M4232" s="728"/>
      <c r="N4232" s="148">
        <v>0</v>
      </c>
      <c r="O4232" s="148">
        <v>0</v>
      </c>
      <c r="P4232" s="728"/>
      <c r="Q4232" s="148">
        <v>0</v>
      </c>
      <c r="R4232" s="148">
        <v>0</v>
      </c>
    </row>
    <row r="4233" spans="2:18" ht="15.75" hidden="1" thickBot="1" x14ac:dyDescent="0.3">
      <c r="B4233" s="725" t="s">
        <v>802</v>
      </c>
      <c r="C4233" s="722" t="s">
        <v>627</v>
      </c>
      <c r="D4233" t="s">
        <v>628</v>
      </c>
      <c r="E4233" s="147">
        <v>42.275199999999998</v>
      </c>
      <c r="F4233" s="147">
        <v>10</v>
      </c>
      <c r="G4233" s="147">
        <v>32.275199999999998</v>
      </c>
      <c r="H4233" s="147">
        <v>322.75200000000001</v>
      </c>
      <c r="I4233" s="729"/>
      <c r="J4233" s="147">
        <v>42.275199999999998</v>
      </c>
      <c r="K4233" s="147">
        <v>0</v>
      </c>
      <c r="L4233" s="147">
        <v>285.31734999999998</v>
      </c>
      <c r="M4233" s="147">
        <v>154</v>
      </c>
      <c r="N4233" s="147">
        <v>131.31735</v>
      </c>
      <c r="O4233" s="147">
        <v>85.271006493506491</v>
      </c>
      <c r="P4233" s="147">
        <v>120.06807000000001</v>
      </c>
      <c r="Q4233" s="147">
        <v>165.24928</v>
      </c>
      <c r="R4233" s="147">
        <v>137.62966290704932</v>
      </c>
    </row>
    <row r="4234" spans="2:18" ht="15.75" hidden="1" thickBot="1" x14ac:dyDescent="0.3">
      <c r="B4234" s="725" t="s">
        <v>802</v>
      </c>
      <c r="C4234" s="722" t="s">
        <v>107</v>
      </c>
      <c r="D4234" t="s">
        <v>108</v>
      </c>
      <c r="E4234" s="728"/>
      <c r="F4234" s="728"/>
      <c r="G4234" s="728"/>
      <c r="H4234" s="728"/>
      <c r="I4234" s="728"/>
      <c r="J4234" s="728"/>
      <c r="K4234" s="728"/>
      <c r="L4234" s="148">
        <v>0.35770000000000002</v>
      </c>
      <c r="M4234" s="728"/>
      <c r="N4234" s="148">
        <v>0.35770000000000002</v>
      </c>
      <c r="O4234" s="148">
        <v>0</v>
      </c>
      <c r="P4234" s="148">
        <v>0.35770000000000002</v>
      </c>
      <c r="Q4234" s="148">
        <v>0</v>
      </c>
      <c r="R4234" s="148">
        <v>0</v>
      </c>
    </row>
    <row r="4235" spans="2:18" ht="15.75" hidden="1" thickBot="1" x14ac:dyDescent="0.3">
      <c r="B4235" s="725" t="s">
        <v>802</v>
      </c>
      <c r="C4235" s="722" t="s">
        <v>109</v>
      </c>
      <c r="D4235" t="s">
        <v>110</v>
      </c>
      <c r="E4235" s="147">
        <v>9.196E-2</v>
      </c>
      <c r="F4235" s="729"/>
      <c r="G4235" s="147">
        <v>9.196E-2</v>
      </c>
      <c r="H4235" s="147">
        <v>0</v>
      </c>
      <c r="I4235" s="729"/>
      <c r="J4235" s="147">
        <v>9.196E-2</v>
      </c>
      <c r="K4235" s="147">
        <v>0</v>
      </c>
      <c r="L4235" s="147">
        <v>1.69814</v>
      </c>
      <c r="M4235" s="729"/>
      <c r="N4235" s="147">
        <v>1.69814</v>
      </c>
      <c r="O4235" s="147">
        <v>0</v>
      </c>
      <c r="P4235" s="147">
        <v>1.0537300000000001</v>
      </c>
      <c r="Q4235" s="147">
        <v>0.64441000000000004</v>
      </c>
      <c r="R4235" s="147">
        <v>61.15513461702713</v>
      </c>
    </row>
    <row r="4236" spans="2:18" ht="15.75" hidden="1" thickBot="1" x14ac:dyDescent="0.3">
      <c r="B4236" s="725" t="s">
        <v>802</v>
      </c>
      <c r="C4236" s="722" t="s">
        <v>73</v>
      </c>
      <c r="D4236" t="s">
        <v>74</v>
      </c>
      <c r="E4236" s="148">
        <v>0.25701000000000002</v>
      </c>
      <c r="F4236" s="728"/>
      <c r="G4236" s="148">
        <v>0.25701000000000002</v>
      </c>
      <c r="H4236" s="148">
        <v>0</v>
      </c>
      <c r="I4236" s="728"/>
      <c r="J4236" s="148">
        <v>0.25701000000000002</v>
      </c>
      <c r="K4236" s="148">
        <v>0</v>
      </c>
      <c r="L4236" s="148">
        <v>6.9538799999999998</v>
      </c>
      <c r="M4236" s="728"/>
      <c r="N4236" s="148">
        <v>6.9538799999999998</v>
      </c>
      <c r="O4236" s="148">
        <v>0</v>
      </c>
      <c r="P4236" s="148">
        <v>4.1715</v>
      </c>
      <c r="Q4236" s="148">
        <v>2.7823799999999999</v>
      </c>
      <c r="R4236" s="148">
        <v>66.699748291981308</v>
      </c>
    </row>
    <row r="4237" spans="2:18" ht="15.75" hidden="1" thickBot="1" x14ac:dyDescent="0.3">
      <c r="B4237" s="725" t="s">
        <v>802</v>
      </c>
      <c r="C4237" s="722" t="s">
        <v>141</v>
      </c>
      <c r="D4237" t="s">
        <v>142</v>
      </c>
      <c r="E4237" s="147">
        <v>9.5000000000000001E-2</v>
      </c>
      <c r="F4237" s="729"/>
      <c r="G4237" s="147">
        <v>9.5000000000000001E-2</v>
      </c>
      <c r="H4237" s="147">
        <v>0</v>
      </c>
      <c r="I4237" s="729"/>
      <c r="J4237" s="147">
        <v>9.5000000000000001E-2</v>
      </c>
      <c r="K4237" s="147">
        <v>0</v>
      </c>
      <c r="L4237" s="147">
        <v>0.65749999999999997</v>
      </c>
      <c r="M4237" s="729"/>
      <c r="N4237" s="147">
        <v>0.65749999999999997</v>
      </c>
      <c r="O4237" s="147">
        <v>0</v>
      </c>
      <c r="P4237" s="147">
        <v>0.184</v>
      </c>
      <c r="Q4237" s="147">
        <v>0.47349999999999998</v>
      </c>
      <c r="R4237" s="147">
        <v>257.33695652173913</v>
      </c>
    </row>
    <row r="4238" spans="2:18" ht="15.75" hidden="1" thickBot="1" x14ac:dyDescent="0.3">
      <c r="B4238" s="725" t="s">
        <v>802</v>
      </c>
      <c r="C4238" s="722" t="s">
        <v>113</v>
      </c>
      <c r="D4238" t="s">
        <v>114</v>
      </c>
      <c r="E4238" s="148">
        <v>0.27576000000000001</v>
      </c>
      <c r="F4238" s="728"/>
      <c r="G4238" s="148">
        <v>0.27576000000000001</v>
      </c>
      <c r="H4238" s="148">
        <v>0</v>
      </c>
      <c r="I4238" s="728"/>
      <c r="J4238" s="148">
        <v>0.27576000000000001</v>
      </c>
      <c r="K4238" s="148">
        <v>0</v>
      </c>
      <c r="L4238" s="148">
        <v>1.1429</v>
      </c>
      <c r="M4238" s="728"/>
      <c r="N4238" s="148">
        <v>1.1429</v>
      </c>
      <c r="O4238" s="148">
        <v>0</v>
      </c>
      <c r="P4238" s="148">
        <v>0.32152999999999998</v>
      </c>
      <c r="Q4238" s="148">
        <v>0.82137000000000004</v>
      </c>
      <c r="R4238" s="148">
        <v>255.45672254533014</v>
      </c>
    </row>
    <row r="4239" spans="2:18" ht="15.75" hidden="1" thickBot="1" x14ac:dyDescent="0.3">
      <c r="B4239" s="725" t="s">
        <v>802</v>
      </c>
      <c r="C4239" s="722" t="s">
        <v>201</v>
      </c>
      <c r="D4239" t="s">
        <v>202</v>
      </c>
      <c r="E4239" s="147">
        <v>3.1980000000000001E-2</v>
      </c>
      <c r="F4239" s="147">
        <v>0.33333000000000002</v>
      </c>
      <c r="G4239" s="147">
        <v>-0.30135000000000001</v>
      </c>
      <c r="H4239" s="147">
        <v>-90.405904059040594</v>
      </c>
      <c r="I4239" s="729"/>
      <c r="J4239" s="147">
        <v>3.1980000000000001E-2</v>
      </c>
      <c r="K4239" s="147">
        <v>0</v>
      </c>
      <c r="L4239" s="147">
        <v>1.2116899999999999</v>
      </c>
      <c r="M4239" s="147">
        <v>3.9999600000000002</v>
      </c>
      <c r="N4239" s="147">
        <v>-2.7882699999999998</v>
      </c>
      <c r="O4239" s="147">
        <v>-69.70744707447075</v>
      </c>
      <c r="P4239" s="147">
        <v>0.29601</v>
      </c>
      <c r="Q4239" s="147">
        <v>0.91568000000000005</v>
      </c>
      <c r="R4239" s="147">
        <v>309.3409006452485</v>
      </c>
    </row>
    <row r="4240" spans="2:18" ht="15.75" hidden="1" thickBot="1" x14ac:dyDescent="0.3">
      <c r="B4240" s="725" t="s">
        <v>802</v>
      </c>
      <c r="C4240" s="722" t="s">
        <v>145</v>
      </c>
      <c r="D4240" t="s">
        <v>146</v>
      </c>
      <c r="E4240" s="728"/>
      <c r="F4240" s="728"/>
      <c r="G4240" s="728"/>
      <c r="H4240" s="728"/>
      <c r="I4240" s="728"/>
      <c r="J4240" s="728"/>
      <c r="K4240" s="728"/>
      <c r="L4240" s="148">
        <v>2.7799999999999998E-2</v>
      </c>
      <c r="M4240" s="728"/>
      <c r="N4240" s="148">
        <v>2.7799999999999998E-2</v>
      </c>
      <c r="O4240" s="148">
        <v>0</v>
      </c>
      <c r="P4240" s="728"/>
      <c r="Q4240" s="148">
        <v>2.7799999999999998E-2</v>
      </c>
      <c r="R4240" s="148">
        <v>0</v>
      </c>
    </row>
    <row r="4241" spans="2:18" ht="15.75" hidden="1" thickBot="1" x14ac:dyDescent="0.3">
      <c r="B4241" s="725" t="s">
        <v>802</v>
      </c>
      <c r="C4241" s="722" t="s">
        <v>203</v>
      </c>
      <c r="D4241" t="s">
        <v>204</v>
      </c>
      <c r="E4241" s="729"/>
      <c r="F4241" s="729"/>
      <c r="G4241" s="729"/>
      <c r="H4241" s="729"/>
      <c r="I4241" s="729"/>
      <c r="J4241" s="729"/>
      <c r="K4241" s="729"/>
      <c r="L4241" s="147">
        <v>0.15681</v>
      </c>
      <c r="M4241" s="729"/>
      <c r="N4241" s="147">
        <v>0.15681</v>
      </c>
      <c r="O4241" s="147">
        <v>0</v>
      </c>
      <c r="P4241" s="729"/>
      <c r="Q4241" s="147">
        <v>0.15681</v>
      </c>
      <c r="R4241" s="147">
        <v>0</v>
      </c>
    </row>
    <row r="4242" spans="2:18" ht="15.75" hidden="1" thickBot="1" x14ac:dyDescent="0.3">
      <c r="B4242" s="725" t="s">
        <v>802</v>
      </c>
      <c r="C4242" s="722" t="s">
        <v>149</v>
      </c>
      <c r="D4242" t="s">
        <v>150</v>
      </c>
      <c r="E4242" s="728"/>
      <c r="F4242" s="148">
        <v>4</v>
      </c>
      <c r="G4242" s="148">
        <v>-4</v>
      </c>
      <c r="H4242" s="148">
        <v>-100</v>
      </c>
      <c r="I4242" s="728"/>
      <c r="J4242" s="728"/>
      <c r="K4242" s="728"/>
      <c r="L4242" s="148">
        <v>2.2440000000000002E-2</v>
      </c>
      <c r="M4242" s="148">
        <v>48</v>
      </c>
      <c r="N4242" s="148">
        <v>-47.977559999999997</v>
      </c>
      <c r="O4242" s="148">
        <v>-99.953249999999997</v>
      </c>
      <c r="P4242" s="728"/>
      <c r="Q4242" s="148">
        <v>2.2440000000000002E-2</v>
      </c>
      <c r="R4242" s="148">
        <v>0</v>
      </c>
    </row>
    <row r="4243" spans="2:18" ht="15.75" hidden="1" thickBot="1" x14ac:dyDescent="0.3">
      <c r="B4243" s="725" t="s">
        <v>802</v>
      </c>
      <c r="C4243" s="722" t="s">
        <v>205</v>
      </c>
      <c r="D4243" t="s">
        <v>206</v>
      </c>
      <c r="E4243" s="147">
        <v>3.41669</v>
      </c>
      <c r="F4243" s="729"/>
      <c r="G4243" s="147">
        <v>3.41669</v>
      </c>
      <c r="H4243" s="147">
        <v>0</v>
      </c>
      <c r="I4243" s="729"/>
      <c r="J4243" s="147">
        <v>3.41669</v>
      </c>
      <c r="K4243" s="147">
        <v>0</v>
      </c>
      <c r="L4243" s="147">
        <v>13.633520000000001</v>
      </c>
      <c r="M4243" s="729"/>
      <c r="N4243" s="147">
        <v>13.633520000000001</v>
      </c>
      <c r="O4243" s="147">
        <v>0</v>
      </c>
      <c r="P4243" s="729"/>
      <c r="Q4243" s="147">
        <v>13.633520000000001</v>
      </c>
      <c r="R4243" s="147">
        <v>0</v>
      </c>
    </row>
    <row r="4244" spans="2:18" ht="15.75" hidden="1" thickBot="1" x14ac:dyDescent="0.3">
      <c r="B4244" s="725" t="s">
        <v>802</v>
      </c>
      <c r="C4244" s="722" t="s">
        <v>173</v>
      </c>
      <c r="D4244" t="s">
        <v>174</v>
      </c>
      <c r="E4244" s="148">
        <v>1.2375</v>
      </c>
      <c r="F4244" s="148">
        <v>0.27500000000000002</v>
      </c>
      <c r="G4244" s="148">
        <v>0.96250000000000002</v>
      </c>
      <c r="H4244" s="148">
        <v>350</v>
      </c>
      <c r="I4244" s="728"/>
      <c r="J4244" s="148">
        <v>1.2375</v>
      </c>
      <c r="K4244" s="148">
        <v>0</v>
      </c>
      <c r="L4244" s="148">
        <v>5.7644599999999997</v>
      </c>
      <c r="M4244" s="148">
        <v>3.3</v>
      </c>
      <c r="N4244" s="148">
        <v>2.4644599999999999</v>
      </c>
      <c r="O4244" s="148">
        <v>74.680606060606067</v>
      </c>
      <c r="P4244" s="148">
        <v>1.36721</v>
      </c>
      <c r="Q4244" s="148">
        <v>4.3972499999999997</v>
      </c>
      <c r="R4244" s="148">
        <v>321.62213558999713</v>
      </c>
    </row>
    <row r="4245" spans="2:18" ht="15.75" hidden="1" thickBot="1" x14ac:dyDescent="0.3">
      <c r="B4245" s="725" t="s">
        <v>802</v>
      </c>
      <c r="C4245" s="722" t="s">
        <v>151</v>
      </c>
      <c r="D4245" t="s">
        <v>152</v>
      </c>
      <c r="E4245" s="729"/>
      <c r="F4245" s="729"/>
      <c r="G4245" s="729"/>
      <c r="H4245" s="729"/>
      <c r="I4245" s="729"/>
      <c r="J4245" s="729"/>
      <c r="K4245" s="729"/>
      <c r="L4245" s="147">
        <v>13.51704</v>
      </c>
      <c r="M4245" s="729"/>
      <c r="N4245" s="147">
        <v>13.51704</v>
      </c>
      <c r="O4245" s="147">
        <v>0</v>
      </c>
      <c r="P4245" s="147">
        <v>13.375999999999999</v>
      </c>
      <c r="Q4245" s="147">
        <v>0.14104</v>
      </c>
      <c r="R4245" s="147">
        <v>1.0544258373205742</v>
      </c>
    </row>
    <row r="4246" spans="2:18" ht="15.75" hidden="1" thickBot="1" x14ac:dyDescent="0.3">
      <c r="B4246" s="725" t="s">
        <v>802</v>
      </c>
      <c r="C4246" s="722" t="s">
        <v>207</v>
      </c>
      <c r="D4246" t="s">
        <v>208</v>
      </c>
      <c r="E4246" s="728"/>
      <c r="F4246" s="728"/>
      <c r="G4246" s="728"/>
      <c r="H4246" s="728"/>
      <c r="I4246" s="728"/>
      <c r="J4246" s="728"/>
      <c r="K4246" s="728"/>
      <c r="L4246" s="148">
        <v>0.77627000000000002</v>
      </c>
      <c r="M4246" s="728"/>
      <c r="N4246" s="148">
        <v>0.77627000000000002</v>
      </c>
      <c r="O4246" s="148">
        <v>0</v>
      </c>
      <c r="P4246" s="148">
        <v>0.34727000000000002</v>
      </c>
      <c r="Q4246" s="148">
        <v>0.42899999999999999</v>
      </c>
      <c r="R4246" s="148">
        <v>123.53500158378208</v>
      </c>
    </row>
    <row r="4247" spans="2:18" ht="15.75" hidden="1" thickBot="1" x14ac:dyDescent="0.3">
      <c r="B4247" s="725" t="s">
        <v>802</v>
      </c>
      <c r="C4247" s="722" t="s">
        <v>75</v>
      </c>
      <c r="D4247" t="s">
        <v>76</v>
      </c>
      <c r="E4247" s="729"/>
      <c r="F4247" s="147">
        <v>0.1</v>
      </c>
      <c r="G4247" s="147">
        <v>-0.1</v>
      </c>
      <c r="H4247" s="147">
        <v>-100</v>
      </c>
      <c r="I4247" s="729"/>
      <c r="J4247" s="729"/>
      <c r="K4247" s="729"/>
      <c r="L4247" s="147">
        <v>1.40012</v>
      </c>
      <c r="M4247" s="147">
        <v>1.2</v>
      </c>
      <c r="N4247" s="147">
        <v>0.20011999999999999</v>
      </c>
      <c r="O4247" s="147">
        <v>16.676666666666666</v>
      </c>
      <c r="P4247" s="147">
        <v>0.85887000000000002</v>
      </c>
      <c r="Q4247" s="147">
        <v>0.54125000000000001</v>
      </c>
      <c r="R4247" s="147">
        <v>63.018850349878328</v>
      </c>
    </row>
    <row r="4248" spans="2:18" ht="15.75" hidden="1" thickBot="1" x14ac:dyDescent="0.3">
      <c r="B4248" s="725" t="s">
        <v>802</v>
      </c>
      <c r="C4248" s="722" t="s">
        <v>121</v>
      </c>
      <c r="D4248" t="s">
        <v>122</v>
      </c>
      <c r="E4248" s="728"/>
      <c r="F4248" s="728"/>
      <c r="G4248" s="728"/>
      <c r="H4248" s="728"/>
      <c r="I4248" s="728"/>
      <c r="J4248" s="728"/>
      <c r="K4248" s="728"/>
      <c r="L4248" s="148">
        <v>0.78293999999999997</v>
      </c>
      <c r="M4248" s="728"/>
      <c r="N4248" s="148">
        <v>0.78293999999999997</v>
      </c>
      <c r="O4248" s="148">
        <v>0</v>
      </c>
      <c r="P4248" s="148">
        <v>0.35124</v>
      </c>
      <c r="Q4248" s="148">
        <v>0.43169999999999997</v>
      </c>
      <c r="R4248" s="148">
        <v>122.90741373419884</v>
      </c>
    </row>
    <row r="4249" spans="2:18" ht="15.75" hidden="1" thickBot="1" x14ac:dyDescent="0.3">
      <c r="B4249" s="725" t="s">
        <v>802</v>
      </c>
      <c r="C4249" s="722" t="s">
        <v>81</v>
      </c>
      <c r="D4249" t="s">
        <v>82</v>
      </c>
      <c r="E4249" s="147">
        <v>0.6976</v>
      </c>
      <c r="F4249" s="729"/>
      <c r="G4249" s="147">
        <v>0.6976</v>
      </c>
      <c r="H4249" s="147">
        <v>0</v>
      </c>
      <c r="I4249" s="729"/>
      <c r="J4249" s="147">
        <v>0.6976</v>
      </c>
      <c r="K4249" s="147">
        <v>0</v>
      </c>
      <c r="L4249" s="147">
        <v>0.6976</v>
      </c>
      <c r="M4249" s="729"/>
      <c r="N4249" s="147">
        <v>0.6976</v>
      </c>
      <c r="O4249" s="147">
        <v>0</v>
      </c>
      <c r="P4249" s="729"/>
      <c r="Q4249" s="147">
        <v>0.6976</v>
      </c>
      <c r="R4249" s="147">
        <v>0</v>
      </c>
    </row>
    <row r="4250" spans="2:18" ht="15.75" hidden="1" thickBot="1" x14ac:dyDescent="0.3">
      <c r="B4250" s="725" t="s">
        <v>802</v>
      </c>
      <c r="C4250" s="722" t="s">
        <v>123</v>
      </c>
      <c r="D4250" t="s">
        <v>124</v>
      </c>
      <c r="E4250" s="728"/>
      <c r="F4250" s="728"/>
      <c r="G4250" s="728"/>
      <c r="H4250" s="728"/>
      <c r="I4250" s="728"/>
      <c r="J4250" s="728"/>
      <c r="K4250" s="728"/>
      <c r="L4250" s="148">
        <v>0.28921999999999998</v>
      </c>
      <c r="M4250" s="728"/>
      <c r="N4250" s="148">
        <v>0.28921999999999998</v>
      </c>
      <c r="O4250" s="148">
        <v>0</v>
      </c>
      <c r="P4250" s="728"/>
      <c r="Q4250" s="148">
        <v>0.28921999999999998</v>
      </c>
      <c r="R4250" s="148">
        <v>0</v>
      </c>
    </row>
    <row r="4251" spans="2:18" ht="15.75" hidden="1" thickBot="1" x14ac:dyDescent="0.3">
      <c r="B4251" s="725" t="s">
        <v>802</v>
      </c>
      <c r="C4251" s="722" t="s">
        <v>687</v>
      </c>
      <c r="D4251" t="s">
        <v>688</v>
      </c>
      <c r="E4251" s="147">
        <v>-17.145879999999998</v>
      </c>
      <c r="F4251" s="729"/>
      <c r="G4251" s="147">
        <v>-17.145879999999998</v>
      </c>
      <c r="H4251" s="147">
        <v>0</v>
      </c>
      <c r="I4251" s="729"/>
      <c r="J4251" s="147">
        <v>-17.145879999999998</v>
      </c>
      <c r="K4251" s="147">
        <v>0</v>
      </c>
      <c r="L4251" s="147">
        <v>-85.006990000000002</v>
      </c>
      <c r="M4251" s="729"/>
      <c r="N4251" s="147">
        <v>-85.006990000000002</v>
      </c>
      <c r="O4251" s="147">
        <v>0</v>
      </c>
      <c r="P4251" s="147">
        <v>-42.937730000000002</v>
      </c>
      <c r="Q4251" s="147">
        <v>-42.06926</v>
      </c>
      <c r="R4251" s="147">
        <v>-97.977373279863656</v>
      </c>
    </row>
    <row r="4252" spans="2:18" ht="15.75" hidden="1" thickBot="1" x14ac:dyDescent="0.3">
      <c r="B4252" s="725" t="s">
        <v>802</v>
      </c>
      <c r="C4252" s="722" t="s">
        <v>83</v>
      </c>
      <c r="D4252" t="s">
        <v>84</v>
      </c>
      <c r="E4252" s="728"/>
      <c r="F4252" s="148">
        <v>0.3</v>
      </c>
      <c r="G4252" s="148">
        <v>-0.3</v>
      </c>
      <c r="H4252" s="148">
        <v>-100</v>
      </c>
      <c r="I4252" s="728"/>
      <c r="J4252" s="728"/>
      <c r="K4252" s="728"/>
      <c r="L4252" s="728"/>
      <c r="M4252" s="148">
        <v>3.6</v>
      </c>
      <c r="N4252" s="148">
        <v>-3.6</v>
      </c>
      <c r="O4252" s="148">
        <v>-100</v>
      </c>
      <c r="P4252" s="728"/>
      <c r="Q4252" s="728"/>
      <c r="R4252" s="728"/>
    </row>
    <row r="4253" spans="2:18" ht="15.75" hidden="1" thickBot="1" x14ac:dyDescent="0.3">
      <c r="B4253" s="725" t="s">
        <v>802</v>
      </c>
      <c r="C4253" s="149" t="s">
        <v>85</v>
      </c>
      <c r="D4253" t="s">
        <v>86</v>
      </c>
      <c r="E4253" s="147">
        <v>71.303690000000003</v>
      </c>
      <c r="F4253" s="147">
        <v>30.271660000000001</v>
      </c>
      <c r="G4253" s="147">
        <v>41.032029999999999</v>
      </c>
      <c r="H4253" s="147">
        <v>135.54601894973715</v>
      </c>
      <c r="I4253" s="729"/>
      <c r="J4253" s="147">
        <v>71.303690000000003</v>
      </c>
      <c r="K4253" s="147">
        <v>0</v>
      </c>
      <c r="L4253" s="147">
        <v>549.50250000000005</v>
      </c>
      <c r="M4253" s="147">
        <v>507.25992000000002</v>
      </c>
      <c r="N4253" s="147">
        <v>42.242579999999997</v>
      </c>
      <c r="O4253" s="147">
        <v>8.327600572109068</v>
      </c>
      <c r="P4253" s="147">
        <v>211.18272999999999</v>
      </c>
      <c r="Q4253" s="147">
        <v>338.31977000000001</v>
      </c>
      <c r="R4253" s="147">
        <v>160.20238492039573</v>
      </c>
    </row>
    <row r="4254" spans="2:18" ht="15.75" hidden="1" thickBot="1" x14ac:dyDescent="0.3">
      <c r="B4254" s="725" t="s">
        <v>802</v>
      </c>
      <c r="C4254" s="144" t="s">
        <v>87</v>
      </c>
      <c r="D4254" t="s">
        <v>87</v>
      </c>
      <c r="E4254" s="148">
        <v>165.79498000000001</v>
      </c>
      <c r="F4254" s="148">
        <v>133.18642</v>
      </c>
      <c r="G4254" s="148">
        <v>32.608559999999997</v>
      </c>
      <c r="H4254" s="148">
        <v>24.48339703101863</v>
      </c>
      <c r="I4254" s="728"/>
      <c r="J4254" s="148">
        <v>165.79498000000001</v>
      </c>
      <c r="K4254" s="148">
        <v>0</v>
      </c>
      <c r="L4254" s="148">
        <v>1825.7110399999999</v>
      </c>
      <c r="M4254" s="148">
        <v>1712.7423200000001</v>
      </c>
      <c r="N4254" s="148">
        <v>112.96872</v>
      </c>
      <c r="O4254" s="148">
        <v>6.595780268919845</v>
      </c>
      <c r="P4254" s="148">
        <v>860.50454000000002</v>
      </c>
      <c r="Q4254" s="148">
        <v>965.20650000000001</v>
      </c>
      <c r="R4254" s="148">
        <v>112.16750814586057</v>
      </c>
    </row>
    <row r="4255" spans="2:18" ht="15.75" hidden="1" thickBot="1" x14ac:dyDescent="0.3">
      <c r="B4255" s="725" t="s">
        <v>803</v>
      </c>
      <c r="C4255" s="722" t="s">
        <v>59</v>
      </c>
      <c r="D4255" t="s">
        <v>60</v>
      </c>
      <c r="E4255" s="147">
        <v>6.4493200000000002</v>
      </c>
      <c r="F4255" s="147">
        <v>7.9548800000000002</v>
      </c>
      <c r="G4255" s="147">
        <v>-1.50556</v>
      </c>
      <c r="H4255" s="147">
        <v>-18.926244016251658</v>
      </c>
      <c r="I4255" s="729"/>
      <c r="J4255" s="147">
        <v>6.4493200000000002</v>
      </c>
      <c r="K4255" s="147">
        <v>0</v>
      </c>
      <c r="L4255" s="147">
        <v>98.896649999999994</v>
      </c>
      <c r="M4255" s="147">
        <v>94.957759999999993</v>
      </c>
      <c r="N4255" s="147">
        <v>3.9388899999999998</v>
      </c>
      <c r="O4255" s="147">
        <v>4.1480443515095553</v>
      </c>
      <c r="P4255" s="147">
        <v>53.206809999999997</v>
      </c>
      <c r="Q4255" s="147">
        <v>45.689839999999997</v>
      </c>
      <c r="R4255" s="147">
        <v>85.872165611883148</v>
      </c>
    </row>
    <row r="4256" spans="2:18" ht="15.75" hidden="1" thickBot="1" x14ac:dyDescent="0.3">
      <c r="B4256" s="725" t="s">
        <v>803</v>
      </c>
      <c r="C4256" s="722" t="s">
        <v>89</v>
      </c>
      <c r="D4256" t="s">
        <v>90</v>
      </c>
      <c r="E4256" s="148">
        <v>-0.20602999999999999</v>
      </c>
      <c r="F4256" s="728"/>
      <c r="G4256" s="148">
        <v>-0.20602999999999999</v>
      </c>
      <c r="H4256" s="148">
        <v>0</v>
      </c>
      <c r="I4256" s="728"/>
      <c r="J4256" s="148">
        <v>-0.20602999999999999</v>
      </c>
      <c r="K4256" s="148">
        <v>0</v>
      </c>
      <c r="L4256" s="148">
        <v>3.8490000000000002</v>
      </c>
      <c r="M4256" s="728"/>
      <c r="N4256" s="148">
        <v>3.8490000000000002</v>
      </c>
      <c r="O4256" s="148">
        <v>0</v>
      </c>
      <c r="P4256" s="148">
        <v>2.5171999999999999</v>
      </c>
      <c r="Q4256" s="148">
        <v>1.3318000000000001</v>
      </c>
      <c r="R4256" s="148">
        <v>52.907993008104242</v>
      </c>
    </row>
    <row r="4257" spans="2:18" ht="15.75" hidden="1" thickBot="1" x14ac:dyDescent="0.3">
      <c r="B4257" s="725" t="s">
        <v>803</v>
      </c>
      <c r="C4257" s="722" t="s">
        <v>91</v>
      </c>
      <c r="D4257" t="s">
        <v>92</v>
      </c>
      <c r="E4257" s="147">
        <v>12.43816</v>
      </c>
      <c r="F4257" s="147">
        <v>33.060279999999999</v>
      </c>
      <c r="G4257" s="147">
        <v>-20.622119999999999</v>
      </c>
      <c r="H4257" s="147">
        <v>-62.377330137554793</v>
      </c>
      <c r="I4257" s="729"/>
      <c r="J4257" s="147">
        <v>12.43816</v>
      </c>
      <c r="K4257" s="147">
        <v>0</v>
      </c>
      <c r="L4257" s="147">
        <v>329.72266000000002</v>
      </c>
      <c r="M4257" s="147">
        <v>386.13112999999998</v>
      </c>
      <c r="N4257" s="147">
        <v>-56.408470000000001</v>
      </c>
      <c r="O4257" s="147">
        <v>-14.608630492962327</v>
      </c>
      <c r="P4257" s="147">
        <v>201.26254</v>
      </c>
      <c r="Q4257" s="147">
        <v>128.46011999999999</v>
      </c>
      <c r="R4257" s="147">
        <v>63.827138423275386</v>
      </c>
    </row>
    <row r="4258" spans="2:18" ht="15.75" hidden="1" thickBot="1" x14ac:dyDescent="0.3">
      <c r="B4258" s="725" t="s">
        <v>803</v>
      </c>
      <c r="C4258" s="722" t="s">
        <v>93</v>
      </c>
      <c r="D4258" t="s">
        <v>94</v>
      </c>
      <c r="E4258" s="148">
        <v>9.64E-2</v>
      </c>
      <c r="F4258" s="148">
        <v>10.609</v>
      </c>
      <c r="G4258" s="148">
        <v>-10.512600000000001</v>
      </c>
      <c r="H4258" s="148">
        <v>-99.09133754359506</v>
      </c>
      <c r="I4258" s="728"/>
      <c r="J4258" s="148">
        <v>9.64E-2</v>
      </c>
      <c r="K4258" s="148">
        <v>0</v>
      </c>
      <c r="L4258" s="148">
        <v>6.9050799999999999</v>
      </c>
      <c r="M4258" s="148">
        <v>123.90900000000001</v>
      </c>
      <c r="N4258" s="148">
        <v>-117.00391999999999</v>
      </c>
      <c r="O4258" s="148">
        <v>-94.427297452162477</v>
      </c>
      <c r="P4258" s="148">
        <v>1.52176</v>
      </c>
      <c r="Q4258" s="148">
        <v>5.3833200000000003</v>
      </c>
      <c r="R4258" s="148">
        <v>353.75617705814318</v>
      </c>
    </row>
    <row r="4259" spans="2:18" ht="15.75" hidden="1" thickBot="1" x14ac:dyDescent="0.3">
      <c r="B4259" s="725" t="s">
        <v>803</v>
      </c>
      <c r="C4259" s="722" t="s">
        <v>61</v>
      </c>
      <c r="D4259" t="s">
        <v>62</v>
      </c>
      <c r="E4259" s="147">
        <v>3.5816699999999999</v>
      </c>
      <c r="F4259" s="147">
        <v>6.3573500000000003</v>
      </c>
      <c r="G4259" s="147">
        <v>-2.7756799999999999</v>
      </c>
      <c r="H4259" s="147">
        <v>-43.660959361998316</v>
      </c>
      <c r="I4259" s="729"/>
      <c r="J4259" s="147">
        <v>3.5816699999999999</v>
      </c>
      <c r="K4259" s="147">
        <v>0</v>
      </c>
      <c r="L4259" s="147">
        <v>65.910110000000003</v>
      </c>
      <c r="M4259" s="147">
        <v>74.568809999999999</v>
      </c>
      <c r="N4259" s="147">
        <v>-8.6586999999999996</v>
      </c>
      <c r="O4259" s="147">
        <v>-11.611691268775779</v>
      </c>
      <c r="P4259" s="147">
        <v>37.551229999999997</v>
      </c>
      <c r="Q4259" s="147">
        <v>28.358879999999999</v>
      </c>
      <c r="R4259" s="147">
        <v>75.520508915420351</v>
      </c>
    </row>
    <row r="4260" spans="2:18" ht="15.75" hidden="1" thickBot="1" x14ac:dyDescent="0.3">
      <c r="B4260" s="725" t="s">
        <v>803</v>
      </c>
      <c r="C4260" s="722" t="s">
        <v>63</v>
      </c>
      <c r="D4260" t="s">
        <v>64</v>
      </c>
      <c r="E4260" s="148">
        <v>13.897259999999999</v>
      </c>
      <c r="F4260" s="148">
        <v>24.732140000000001</v>
      </c>
      <c r="G4260" s="148">
        <v>-10.83488</v>
      </c>
      <c r="H4260" s="148">
        <v>-43.808906143989155</v>
      </c>
      <c r="I4260" s="728"/>
      <c r="J4260" s="148">
        <v>13.897259999999999</v>
      </c>
      <c r="K4260" s="148">
        <v>0</v>
      </c>
      <c r="L4260" s="148">
        <v>257.80309999999997</v>
      </c>
      <c r="M4260" s="148">
        <v>290.09654999999998</v>
      </c>
      <c r="N4260" s="148">
        <v>-32.29345</v>
      </c>
      <c r="O4260" s="148">
        <v>-11.131966236758073</v>
      </c>
      <c r="P4260" s="148">
        <v>146.54774</v>
      </c>
      <c r="Q4260" s="148">
        <v>111.25536</v>
      </c>
      <c r="R4260" s="148">
        <v>75.917486001490033</v>
      </c>
    </row>
    <row r="4261" spans="2:18" ht="15.75" hidden="1" thickBot="1" x14ac:dyDescent="0.3">
      <c r="B4261" s="725" t="s">
        <v>803</v>
      </c>
      <c r="C4261" s="722" t="s">
        <v>182</v>
      </c>
      <c r="D4261" t="s">
        <v>183</v>
      </c>
      <c r="E4261" s="729"/>
      <c r="F4261" s="729"/>
      <c r="G4261" s="729"/>
      <c r="H4261" s="729"/>
      <c r="I4261" s="729"/>
      <c r="J4261" s="729"/>
      <c r="K4261" s="729"/>
      <c r="L4261" s="147">
        <v>1.8207599999999999</v>
      </c>
      <c r="M4261" s="729"/>
      <c r="N4261" s="147">
        <v>1.8207599999999999</v>
      </c>
      <c r="O4261" s="147">
        <v>0</v>
      </c>
      <c r="P4261" s="147">
        <v>0.90027000000000001</v>
      </c>
      <c r="Q4261" s="147">
        <v>0.92049000000000003</v>
      </c>
      <c r="R4261" s="147">
        <v>102.24599286880603</v>
      </c>
    </row>
    <row r="4262" spans="2:18" ht="15.75" hidden="1" thickBot="1" x14ac:dyDescent="0.3">
      <c r="B4262" s="725" t="s">
        <v>803</v>
      </c>
      <c r="C4262" s="722" t="s">
        <v>184</v>
      </c>
      <c r="D4262" t="s">
        <v>185</v>
      </c>
      <c r="E4262" s="148">
        <v>8.85853</v>
      </c>
      <c r="F4262" s="728"/>
      <c r="G4262" s="148">
        <v>8.85853</v>
      </c>
      <c r="H4262" s="148">
        <v>0</v>
      </c>
      <c r="I4262" s="728"/>
      <c r="J4262" s="148">
        <v>8.85853</v>
      </c>
      <c r="K4262" s="148">
        <v>0</v>
      </c>
      <c r="L4262" s="148">
        <v>351.03154000000001</v>
      </c>
      <c r="M4262" s="728"/>
      <c r="N4262" s="148">
        <v>351.03154000000001</v>
      </c>
      <c r="O4262" s="148">
        <v>0</v>
      </c>
      <c r="P4262" s="148">
        <v>285.22624999999999</v>
      </c>
      <c r="Q4262" s="148">
        <v>65.805289999999999</v>
      </c>
      <c r="R4262" s="148">
        <v>23.07126009615174</v>
      </c>
    </row>
    <row r="4263" spans="2:18" ht="15.75" hidden="1" thickBot="1" x14ac:dyDescent="0.3">
      <c r="B4263" s="725" t="s">
        <v>803</v>
      </c>
      <c r="C4263" s="722" t="s">
        <v>161</v>
      </c>
      <c r="D4263" t="s">
        <v>162</v>
      </c>
      <c r="E4263" s="147">
        <v>7.8090000000000007E-2</v>
      </c>
      <c r="F4263" s="729"/>
      <c r="G4263" s="147">
        <v>7.8090000000000007E-2</v>
      </c>
      <c r="H4263" s="147">
        <v>0</v>
      </c>
      <c r="I4263" s="729"/>
      <c r="J4263" s="147">
        <v>7.8090000000000007E-2</v>
      </c>
      <c r="K4263" s="147">
        <v>0</v>
      </c>
      <c r="L4263" s="147">
        <v>0.83782000000000001</v>
      </c>
      <c r="M4263" s="729"/>
      <c r="N4263" s="147">
        <v>0.83782000000000001</v>
      </c>
      <c r="O4263" s="147">
        <v>0</v>
      </c>
      <c r="P4263" s="147">
        <v>0.62326999999999999</v>
      </c>
      <c r="Q4263" s="147">
        <v>0.21454999999999999</v>
      </c>
      <c r="R4263" s="147">
        <v>34.423283649140821</v>
      </c>
    </row>
    <row r="4264" spans="2:18" ht="15.75" hidden="1" thickBot="1" x14ac:dyDescent="0.3">
      <c r="B4264" s="725" t="s">
        <v>803</v>
      </c>
      <c r="C4264" s="722" t="s">
        <v>186</v>
      </c>
      <c r="D4264" t="s">
        <v>187</v>
      </c>
      <c r="E4264" s="728"/>
      <c r="F4264" s="728"/>
      <c r="G4264" s="728"/>
      <c r="H4264" s="728"/>
      <c r="I4264" s="728"/>
      <c r="J4264" s="728"/>
      <c r="K4264" s="728"/>
      <c r="L4264" s="148">
        <v>-3.5099399999999998</v>
      </c>
      <c r="M4264" s="728"/>
      <c r="N4264" s="148">
        <v>-3.5099399999999998</v>
      </c>
      <c r="O4264" s="148">
        <v>0</v>
      </c>
      <c r="P4264" s="148">
        <v>-1.12266</v>
      </c>
      <c r="Q4264" s="148">
        <v>-2.3872800000000001</v>
      </c>
      <c r="R4264" s="148">
        <v>-212.64496820052375</v>
      </c>
    </row>
    <row r="4265" spans="2:18" ht="15.75" hidden="1" thickBot="1" x14ac:dyDescent="0.3">
      <c r="B4265" s="725" t="s">
        <v>803</v>
      </c>
      <c r="C4265" s="722" t="s">
        <v>163</v>
      </c>
      <c r="D4265" t="s">
        <v>164</v>
      </c>
      <c r="E4265" s="147">
        <v>-15.2843</v>
      </c>
      <c r="F4265" s="729"/>
      <c r="G4265" s="147">
        <v>-15.2843</v>
      </c>
      <c r="H4265" s="147">
        <v>0</v>
      </c>
      <c r="I4265" s="729"/>
      <c r="J4265" s="147">
        <v>-15.2843</v>
      </c>
      <c r="K4265" s="147">
        <v>0</v>
      </c>
      <c r="L4265" s="147">
        <v>-477.70411000000001</v>
      </c>
      <c r="M4265" s="729"/>
      <c r="N4265" s="147">
        <v>-477.70411000000001</v>
      </c>
      <c r="O4265" s="147">
        <v>0</v>
      </c>
      <c r="P4265" s="147">
        <v>-308.87819000000002</v>
      </c>
      <c r="Q4265" s="147">
        <v>-168.82592</v>
      </c>
      <c r="R4265" s="147">
        <v>-54.657766545446279</v>
      </c>
    </row>
    <row r="4266" spans="2:18" ht="15.75" hidden="1" thickBot="1" x14ac:dyDescent="0.3">
      <c r="B4266" s="725" t="s">
        <v>803</v>
      </c>
      <c r="C4266" s="722" t="s">
        <v>97</v>
      </c>
      <c r="D4266" t="s">
        <v>98</v>
      </c>
      <c r="E4266" s="148">
        <v>-0.13075000000000001</v>
      </c>
      <c r="F4266" s="728"/>
      <c r="G4266" s="148">
        <v>-0.13075000000000001</v>
      </c>
      <c r="H4266" s="148">
        <v>0</v>
      </c>
      <c r="I4266" s="728"/>
      <c r="J4266" s="148">
        <v>-0.13075000000000001</v>
      </c>
      <c r="K4266" s="148">
        <v>0</v>
      </c>
      <c r="L4266" s="148">
        <v>-7.8584199999999997</v>
      </c>
      <c r="M4266" s="728"/>
      <c r="N4266" s="148">
        <v>-7.8584199999999997</v>
      </c>
      <c r="O4266" s="148">
        <v>0</v>
      </c>
      <c r="P4266" s="148">
        <v>-2.1318800000000002</v>
      </c>
      <c r="Q4266" s="148">
        <v>-5.72654</v>
      </c>
      <c r="R4266" s="148">
        <v>-268.61455616638835</v>
      </c>
    </row>
    <row r="4267" spans="2:18" ht="15.75" hidden="1" thickBot="1" x14ac:dyDescent="0.3">
      <c r="B4267" s="725" t="s">
        <v>803</v>
      </c>
      <c r="C4267" s="149" t="s">
        <v>67</v>
      </c>
      <c r="D4267" t="s">
        <v>68</v>
      </c>
      <c r="E4267" s="147">
        <v>29.77835</v>
      </c>
      <c r="F4267" s="147">
        <v>82.713650000000001</v>
      </c>
      <c r="G4267" s="147">
        <v>-52.935299999999998</v>
      </c>
      <c r="H4267" s="147">
        <v>-63.998263889938357</v>
      </c>
      <c r="I4267" s="729"/>
      <c r="J4267" s="147">
        <v>29.77835</v>
      </c>
      <c r="K4267" s="147">
        <v>0</v>
      </c>
      <c r="L4267" s="147">
        <v>627.70425</v>
      </c>
      <c r="M4267" s="147">
        <v>969.66324999999995</v>
      </c>
      <c r="N4267" s="147">
        <v>-341.959</v>
      </c>
      <c r="O4267" s="147">
        <v>-35.265748186290445</v>
      </c>
      <c r="P4267" s="147">
        <v>417.22433999999998</v>
      </c>
      <c r="Q4267" s="147">
        <v>210.47990999999999</v>
      </c>
      <c r="R4267" s="147">
        <v>50.447658446772301</v>
      </c>
    </row>
    <row r="4268" spans="2:18" ht="15.75" hidden="1" thickBot="1" x14ac:dyDescent="0.3">
      <c r="B4268" s="725" t="s">
        <v>803</v>
      </c>
      <c r="C4268" s="722" t="s">
        <v>99</v>
      </c>
      <c r="D4268" t="s">
        <v>100</v>
      </c>
      <c r="E4268" s="148">
        <v>1.6264000000000001</v>
      </c>
      <c r="F4268" s="148">
        <v>7.5</v>
      </c>
      <c r="G4268" s="148">
        <v>-5.8735999999999997</v>
      </c>
      <c r="H4268" s="148">
        <v>-78.314666666666668</v>
      </c>
      <c r="I4268" s="728"/>
      <c r="J4268" s="148">
        <v>1.6264000000000001</v>
      </c>
      <c r="K4268" s="148">
        <v>0</v>
      </c>
      <c r="L4268" s="148">
        <v>25.242799999999999</v>
      </c>
      <c r="M4268" s="148">
        <v>90</v>
      </c>
      <c r="N4268" s="148">
        <v>-64.757199999999997</v>
      </c>
      <c r="O4268" s="148">
        <v>-71.952444444444438</v>
      </c>
      <c r="P4268" s="148">
        <v>16.46162</v>
      </c>
      <c r="Q4268" s="148">
        <v>8.7811800000000009</v>
      </c>
      <c r="R4268" s="148">
        <v>53.343352598346939</v>
      </c>
    </row>
    <row r="4269" spans="2:18" ht="15.75" hidden="1" thickBot="1" x14ac:dyDescent="0.3">
      <c r="B4269" s="725" t="s">
        <v>803</v>
      </c>
      <c r="C4269" s="722" t="s">
        <v>165</v>
      </c>
      <c r="D4269" t="s">
        <v>166</v>
      </c>
      <c r="E4269" s="147">
        <v>0.47764000000000001</v>
      </c>
      <c r="F4269" s="729"/>
      <c r="G4269" s="147">
        <v>0.47764000000000001</v>
      </c>
      <c r="H4269" s="147">
        <v>0</v>
      </c>
      <c r="I4269" s="729"/>
      <c r="J4269" s="147">
        <v>0.47764000000000001</v>
      </c>
      <c r="K4269" s="147">
        <v>0</v>
      </c>
      <c r="L4269" s="147">
        <v>10.861789999999999</v>
      </c>
      <c r="M4269" s="729"/>
      <c r="N4269" s="147">
        <v>10.861789999999999</v>
      </c>
      <c r="O4269" s="147">
        <v>0</v>
      </c>
      <c r="P4269" s="147">
        <v>6.3784700000000001</v>
      </c>
      <c r="Q4269" s="147">
        <v>4.48332</v>
      </c>
      <c r="R4269" s="147">
        <v>70.288329332896453</v>
      </c>
    </row>
    <row r="4270" spans="2:18" ht="15.75" hidden="1" thickBot="1" x14ac:dyDescent="0.3">
      <c r="B4270" s="725" t="s">
        <v>803</v>
      </c>
      <c r="C4270" s="722" t="s">
        <v>137</v>
      </c>
      <c r="D4270" t="s">
        <v>138</v>
      </c>
      <c r="E4270" s="148">
        <v>1.1183399999999999</v>
      </c>
      <c r="F4270" s="148">
        <v>0.18</v>
      </c>
      <c r="G4270" s="148">
        <v>0.93833999999999995</v>
      </c>
      <c r="H4270" s="148">
        <v>521.29999999999995</v>
      </c>
      <c r="I4270" s="728"/>
      <c r="J4270" s="148">
        <v>1.1183399999999999</v>
      </c>
      <c r="K4270" s="148">
        <v>0</v>
      </c>
      <c r="L4270" s="148">
        <v>2.92449</v>
      </c>
      <c r="M4270" s="148">
        <v>2.16</v>
      </c>
      <c r="N4270" s="148">
        <v>0.76449</v>
      </c>
      <c r="O4270" s="148">
        <v>35.393055555555556</v>
      </c>
      <c r="P4270" s="148">
        <v>0.28504000000000002</v>
      </c>
      <c r="Q4270" s="148">
        <v>2.6394500000000001</v>
      </c>
      <c r="R4270" s="148">
        <v>925.99284310973894</v>
      </c>
    </row>
    <row r="4271" spans="2:18" ht="15.75" hidden="1" thickBot="1" x14ac:dyDescent="0.3">
      <c r="B4271" s="725" t="s">
        <v>803</v>
      </c>
      <c r="C4271" s="722" t="s">
        <v>190</v>
      </c>
      <c r="D4271" t="s">
        <v>191</v>
      </c>
      <c r="E4271" s="147">
        <v>2.6779999999999999</v>
      </c>
      <c r="F4271" s="147">
        <v>2.5833300000000001</v>
      </c>
      <c r="G4271" s="147">
        <v>9.4670000000000004E-2</v>
      </c>
      <c r="H4271" s="147">
        <v>3.6646498898708257</v>
      </c>
      <c r="I4271" s="729"/>
      <c r="J4271" s="147">
        <v>2.6779999999999999</v>
      </c>
      <c r="K4271" s="147">
        <v>0</v>
      </c>
      <c r="L4271" s="147">
        <v>29.457999999999998</v>
      </c>
      <c r="M4271" s="147">
        <v>30.999960000000002</v>
      </c>
      <c r="N4271" s="147">
        <v>-1.54196</v>
      </c>
      <c r="O4271" s="147">
        <v>-4.9740709342850762</v>
      </c>
      <c r="P4271" s="147">
        <v>13.39</v>
      </c>
      <c r="Q4271" s="147">
        <v>16.068000000000001</v>
      </c>
      <c r="R4271" s="147">
        <v>120</v>
      </c>
    </row>
    <row r="4272" spans="2:18" ht="15.75" hidden="1" thickBot="1" x14ac:dyDescent="0.3">
      <c r="B4272" s="725" t="s">
        <v>803</v>
      </c>
      <c r="C4272" s="722" t="s">
        <v>36</v>
      </c>
      <c r="D4272" t="s">
        <v>192</v>
      </c>
      <c r="E4272" s="728"/>
      <c r="F4272" s="148">
        <v>0.36110999999999999</v>
      </c>
      <c r="G4272" s="148">
        <v>-0.36110999999999999</v>
      </c>
      <c r="H4272" s="148">
        <v>-100</v>
      </c>
      <c r="I4272" s="728"/>
      <c r="J4272" s="728"/>
      <c r="K4272" s="728"/>
      <c r="L4272" s="148">
        <v>0.46224999999999999</v>
      </c>
      <c r="M4272" s="148">
        <v>4.3333199999999996</v>
      </c>
      <c r="N4272" s="148">
        <v>-3.87107</v>
      </c>
      <c r="O4272" s="148">
        <v>-89.332659485106106</v>
      </c>
      <c r="P4272" s="148">
        <v>0.46224999999999999</v>
      </c>
      <c r="Q4272" s="148">
        <v>0</v>
      </c>
      <c r="R4272" s="148">
        <v>0</v>
      </c>
    </row>
    <row r="4273" spans="2:18" ht="15.75" hidden="1" thickBot="1" x14ac:dyDescent="0.3">
      <c r="B4273" s="725" t="s">
        <v>803</v>
      </c>
      <c r="C4273" s="722" t="s">
        <v>101</v>
      </c>
      <c r="D4273" t="s">
        <v>102</v>
      </c>
      <c r="E4273" s="147">
        <v>11.041539999999999</v>
      </c>
      <c r="F4273" s="147">
        <v>6.6666400000000001</v>
      </c>
      <c r="G4273" s="147">
        <v>4.3749000000000002</v>
      </c>
      <c r="H4273" s="147">
        <v>65.623762495049974</v>
      </c>
      <c r="I4273" s="729"/>
      <c r="J4273" s="147">
        <v>11.041539999999999</v>
      </c>
      <c r="K4273" s="147">
        <v>0</v>
      </c>
      <c r="L4273" s="147">
        <v>54.787230000000001</v>
      </c>
      <c r="M4273" s="147">
        <v>190</v>
      </c>
      <c r="N4273" s="147">
        <v>-135.21277000000001</v>
      </c>
      <c r="O4273" s="147">
        <v>-71.164615789473686</v>
      </c>
      <c r="P4273" s="147">
        <v>13.13212</v>
      </c>
      <c r="Q4273" s="147">
        <v>41.655110000000001</v>
      </c>
      <c r="R4273" s="147">
        <v>317.20019311428774</v>
      </c>
    </row>
    <row r="4274" spans="2:18" ht="15.75" hidden="1" thickBot="1" x14ac:dyDescent="0.3">
      <c r="B4274" s="725" t="s">
        <v>803</v>
      </c>
      <c r="C4274" s="722" t="s">
        <v>464</v>
      </c>
      <c r="D4274" t="s">
        <v>465</v>
      </c>
      <c r="E4274" s="148">
        <v>0.13800000000000001</v>
      </c>
      <c r="F4274" s="728"/>
      <c r="G4274" s="148">
        <v>0.13800000000000001</v>
      </c>
      <c r="H4274" s="148">
        <v>0</v>
      </c>
      <c r="I4274" s="728"/>
      <c r="J4274" s="148">
        <v>0.13800000000000001</v>
      </c>
      <c r="K4274" s="148">
        <v>0</v>
      </c>
      <c r="L4274" s="148">
        <v>0.54845999999999995</v>
      </c>
      <c r="M4274" s="728"/>
      <c r="N4274" s="148">
        <v>0.54845999999999995</v>
      </c>
      <c r="O4274" s="148">
        <v>0</v>
      </c>
      <c r="P4274" s="148">
        <v>0.26785999999999999</v>
      </c>
      <c r="Q4274" s="148">
        <v>0.28060000000000002</v>
      </c>
      <c r="R4274" s="148">
        <v>104.75621593369671</v>
      </c>
    </row>
    <row r="4275" spans="2:18" ht="15.75" hidden="1" thickBot="1" x14ac:dyDescent="0.3">
      <c r="B4275" s="725" t="s">
        <v>803</v>
      </c>
      <c r="C4275" s="722" t="s">
        <v>103</v>
      </c>
      <c r="D4275" t="s">
        <v>104</v>
      </c>
      <c r="E4275" s="729"/>
      <c r="F4275" s="729"/>
      <c r="G4275" s="729"/>
      <c r="H4275" s="729"/>
      <c r="I4275" s="729"/>
      <c r="J4275" s="729"/>
      <c r="K4275" s="729"/>
      <c r="L4275" s="147">
        <v>-0.44712000000000002</v>
      </c>
      <c r="M4275" s="729"/>
      <c r="N4275" s="147">
        <v>-0.44712000000000002</v>
      </c>
      <c r="O4275" s="147">
        <v>0</v>
      </c>
      <c r="P4275" s="729"/>
      <c r="Q4275" s="147">
        <v>-0.44712000000000002</v>
      </c>
      <c r="R4275" s="147">
        <v>0</v>
      </c>
    </row>
    <row r="4276" spans="2:18" ht="15.75" hidden="1" thickBot="1" x14ac:dyDescent="0.3">
      <c r="B4276" s="725" t="s">
        <v>803</v>
      </c>
      <c r="C4276" s="722" t="s">
        <v>71</v>
      </c>
      <c r="D4276" t="s">
        <v>72</v>
      </c>
      <c r="E4276" s="728"/>
      <c r="F4276" s="728"/>
      <c r="G4276" s="728"/>
      <c r="H4276" s="728"/>
      <c r="I4276" s="728"/>
      <c r="J4276" s="728"/>
      <c r="K4276" s="728"/>
      <c r="L4276" s="148">
        <v>0.45992</v>
      </c>
      <c r="M4276" s="728"/>
      <c r="N4276" s="148">
        <v>0.45992</v>
      </c>
      <c r="O4276" s="148">
        <v>0</v>
      </c>
      <c r="P4276" s="728"/>
      <c r="Q4276" s="148">
        <v>0.45992</v>
      </c>
      <c r="R4276" s="148">
        <v>0</v>
      </c>
    </row>
    <row r="4277" spans="2:18" ht="15.75" hidden="1" thickBot="1" x14ac:dyDescent="0.3">
      <c r="B4277" s="725" t="s">
        <v>803</v>
      </c>
      <c r="C4277" s="722" t="s">
        <v>627</v>
      </c>
      <c r="D4277" t="s">
        <v>628</v>
      </c>
      <c r="E4277" s="147">
        <v>6.5816800000000004</v>
      </c>
      <c r="F4277" s="147">
        <v>8</v>
      </c>
      <c r="G4277" s="147">
        <v>-1.41832</v>
      </c>
      <c r="H4277" s="147">
        <v>-17.728999999999999</v>
      </c>
      <c r="I4277" s="729"/>
      <c r="J4277" s="147">
        <v>6.5816800000000004</v>
      </c>
      <c r="K4277" s="147">
        <v>0</v>
      </c>
      <c r="L4277" s="147">
        <v>106.94625000000001</v>
      </c>
      <c r="M4277" s="147">
        <v>107</v>
      </c>
      <c r="N4277" s="147">
        <v>-5.3749999999999999E-2</v>
      </c>
      <c r="O4277" s="147">
        <v>-5.0233644859813083E-2</v>
      </c>
      <c r="P4277" s="147">
        <v>54.411810000000003</v>
      </c>
      <c r="Q4277" s="147">
        <v>52.534439999999996</v>
      </c>
      <c r="R4277" s="147">
        <v>96.549701250518964</v>
      </c>
    </row>
    <row r="4278" spans="2:18" ht="15.75" hidden="1" thickBot="1" x14ac:dyDescent="0.3">
      <c r="B4278" s="725" t="s">
        <v>803</v>
      </c>
      <c r="C4278" s="722" t="s">
        <v>109</v>
      </c>
      <c r="D4278" t="s">
        <v>110</v>
      </c>
      <c r="E4278" s="148">
        <v>5.3560000000000003E-2</v>
      </c>
      <c r="F4278" s="728"/>
      <c r="G4278" s="148">
        <v>5.3560000000000003E-2</v>
      </c>
      <c r="H4278" s="148">
        <v>0</v>
      </c>
      <c r="I4278" s="728"/>
      <c r="J4278" s="148">
        <v>5.3560000000000003E-2</v>
      </c>
      <c r="K4278" s="148">
        <v>0</v>
      </c>
      <c r="L4278" s="148">
        <v>0.48946000000000001</v>
      </c>
      <c r="M4278" s="728"/>
      <c r="N4278" s="148">
        <v>0.48946000000000001</v>
      </c>
      <c r="O4278" s="148">
        <v>0</v>
      </c>
      <c r="P4278" s="148">
        <v>0.39759</v>
      </c>
      <c r="Q4278" s="148">
        <v>9.1869999999999993E-2</v>
      </c>
      <c r="R4278" s="148">
        <v>23.106717975804219</v>
      </c>
    </row>
    <row r="4279" spans="2:18" ht="15.75" hidden="1" thickBot="1" x14ac:dyDescent="0.3">
      <c r="B4279" s="725" t="s">
        <v>803</v>
      </c>
      <c r="C4279" s="722" t="s">
        <v>73</v>
      </c>
      <c r="D4279" t="s">
        <v>74</v>
      </c>
      <c r="E4279" s="147">
        <v>0.30124000000000001</v>
      </c>
      <c r="F4279" s="729"/>
      <c r="G4279" s="147">
        <v>0.30124000000000001</v>
      </c>
      <c r="H4279" s="147">
        <v>0</v>
      </c>
      <c r="I4279" s="729"/>
      <c r="J4279" s="147">
        <v>0.30124000000000001</v>
      </c>
      <c r="K4279" s="147">
        <v>0</v>
      </c>
      <c r="L4279" s="147">
        <v>1.5466800000000001</v>
      </c>
      <c r="M4279" s="729"/>
      <c r="N4279" s="147">
        <v>1.5466800000000001</v>
      </c>
      <c r="O4279" s="147">
        <v>0</v>
      </c>
      <c r="P4279" s="147">
        <v>0.47260000000000002</v>
      </c>
      <c r="Q4279" s="147">
        <v>1.0740799999999999</v>
      </c>
      <c r="R4279" s="147">
        <v>227.2704189589505</v>
      </c>
    </row>
    <row r="4280" spans="2:18" ht="15.75" hidden="1" thickBot="1" x14ac:dyDescent="0.3">
      <c r="B4280" s="725" t="s">
        <v>803</v>
      </c>
      <c r="C4280" s="722" t="s">
        <v>113</v>
      </c>
      <c r="D4280" t="s">
        <v>114</v>
      </c>
      <c r="E4280" s="148">
        <v>4.793E-2</v>
      </c>
      <c r="F4280" s="728"/>
      <c r="G4280" s="148">
        <v>4.793E-2</v>
      </c>
      <c r="H4280" s="148">
        <v>0</v>
      </c>
      <c r="I4280" s="728"/>
      <c r="J4280" s="148">
        <v>4.793E-2</v>
      </c>
      <c r="K4280" s="148">
        <v>0</v>
      </c>
      <c r="L4280" s="148">
        <v>1.0530200000000001</v>
      </c>
      <c r="M4280" s="728"/>
      <c r="N4280" s="148">
        <v>1.0530200000000001</v>
      </c>
      <c r="O4280" s="148">
        <v>0</v>
      </c>
      <c r="P4280" s="148">
        <v>0.66805000000000003</v>
      </c>
      <c r="Q4280" s="148">
        <v>0.38496999999999998</v>
      </c>
      <c r="R4280" s="148">
        <v>57.625926203128508</v>
      </c>
    </row>
    <row r="4281" spans="2:18" ht="15.75" hidden="1" thickBot="1" x14ac:dyDescent="0.3">
      <c r="B4281" s="725" t="s">
        <v>803</v>
      </c>
      <c r="C4281" s="722" t="s">
        <v>201</v>
      </c>
      <c r="D4281" t="s">
        <v>202</v>
      </c>
      <c r="E4281" s="729"/>
      <c r="F4281" s="147">
        <v>0.33333000000000002</v>
      </c>
      <c r="G4281" s="147">
        <v>-0.33333000000000002</v>
      </c>
      <c r="H4281" s="147">
        <v>-100</v>
      </c>
      <c r="I4281" s="729"/>
      <c r="J4281" s="729"/>
      <c r="K4281" s="729"/>
      <c r="L4281" s="147">
        <v>0.18064</v>
      </c>
      <c r="M4281" s="147">
        <v>3.9999600000000002</v>
      </c>
      <c r="N4281" s="147">
        <v>-3.8193199999999998</v>
      </c>
      <c r="O4281" s="147">
        <v>-95.483954839548389</v>
      </c>
      <c r="P4281" s="147">
        <v>0.18064</v>
      </c>
      <c r="Q4281" s="147">
        <v>0</v>
      </c>
      <c r="R4281" s="147">
        <v>0</v>
      </c>
    </row>
    <row r="4282" spans="2:18" ht="15.75" hidden="1" thickBot="1" x14ac:dyDescent="0.3">
      <c r="B4282" s="725" t="s">
        <v>803</v>
      </c>
      <c r="C4282" s="722" t="s">
        <v>145</v>
      </c>
      <c r="D4282" t="s">
        <v>146</v>
      </c>
      <c r="E4282" s="148">
        <v>2.0400000000000001E-2</v>
      </c>
      <c r="F4282" s="728"/>
      <c r="G4282" s="148">
        <v>2.0400000000000001E-2</v>
      </c>
      <c r="H4282" s="148">
        <v>0</v>
      </c>
      <c r="I4282" s="728"/>
      <c r="J4282" s="148">
        <v>2.0400000000000001E-2</v>
      </c>
      <c r="K4282" s="148">
        <v>0</v>
      </c>
      <c r="L4282" s="148">
        <v>8.5999999999999993E-2</v>
      </c>
      <c r="M4282" s="728"/>
      <c r="N4282" s="148">
        <v>8.5999999999999993E-2</v>
      </c>
      <c r="O4282" s="148">
        <v>0</v>
      </c>
      <c r="P4282" s="148">
        <v>3.6400000000000002E-2</v>
      </c>
      <c r="Q4282" s="148">
        <v>4.9599999999999998E-2</v>
      </c>
      <c r="R4282" s="148">
        <v>136.26373626373626</v>
      </c>
    </row>
    <row r="4283" spans="2:18" ht="15.75" hidden="1" thickBot="1" x14ac:dyDescent="0.3">
      <c r="B4283" s="725" t="s">
        <v>803</v>
      </c>
      <c r="C4283" s="722" t="s">
        <v>147</v>
      </c>
      <c r="D4283" t="s">
        <v>148</v>
      </c>
      <c r="E4283" s="147">
        <v>0.22208</v>
      </c>
      <c r="F4283" s="729"/>
      <c r="G4283" s="147">
        <v>0.22208</v>
      </c>
      <c r="H4283" s="147">
        <v>0</v>
      </c>
      <c r="I4283" s="729"/>
      <c r="J4283" s="147">
        <v>0.22208</v>
      </c>
      <c r="K4283" s="147">
        <v>0</v>
      </c>
      <c r="L4283" s="147">
        <v>1.52562</v>
      </c>
      <c r="M4283" s="729"/>
      <c r="N4283" s="147">
        <v>1.52562</v>
      </c>
      <c r="O4283" s="147">
        <v>0</v>
      </c>
      <c r="P4283" s="147">
        <v>0.69279000000000002</v>
      </c>
      <c r="Q4283" s="147">
        <v>0.83282999999999996</v>
      </c>
      <c r="R4283" s="147">
        <v>120.2139176373793</v>
      </c>
    </row>
    <row r="4284" spans="2:18" ht="15.75" hidden="1" thickBot="1" x14ac:dyDescent="0.3">
      <c r="B4284" s="725" t="s">
        <v>803</v>
      </c>
      <c r="C4284" s="722" t="s">
        <v>203</v>
      </c>
      <c r="D4284" t="s">
        <v>204</v>
      </c>
      <c r="E4284" s="728"/>
      <c r="F4284" s="728"/>
      <c r="G4284" s="728"/>
      <c r="H4284" s="728"/>
      <c r="I4284" s="728"/>
      <c r="J4284" s="728"/>
      <c r="K4284" s="728"/>
      <c r="L4284" s="148">
        <v>3.0490699999999999</v>
      </c>
      <c r="M4284" s="728"/>
      <c r="N4284" s="148">
        <v>3.0490699999999999</v>
      </c>
      <c r="O4284" s="148">
        <v>0</v>
      </c>
      <c r="P4284" s="148">
        <v>1.30535</v>
      </c>
      <c r="Q4284" s="148">
        <v>1.7437199999999999</v>
      </c>
      <c r="R4284" s="148">
        <v>133.58256406327806</v>
      </c>
    </row>
    <row r="4285" spans="2:18" ht="15.75" hidden="1" thickBot="1" x14ac:dyDescent="0.3">
      <c r="B4285" s="725" t="s">
        <v>803</v>
      </c>
      <c r="C4285" s="722" t="s">
        <v>149</v>
      </c>
      <c r="D4285" t="s">
        <v>150</v>
      </c>
      <c r="E4285" s="147">
        <v>-9.7899999999999991</v>
      </c>
      <c r="F4285" s="147">
        <v>4</v>
      </c>
      <c r="G4285" s="147">
        <v>-13.79</v>
      </c>
      <c r="H4285" s="147">
        <v>-344.75</v>
      </c>
      <c r="I4285" s="729"/>
      <c r="J4285" s="147">
        <v>-9.7899999999999991</v>
      </c>
      <c r="K4285" s="147">
        <v>0</v>
      </c>
      <c r="L4285" s="147">
        <v>-8.3495000000000008</v>
      </c>
      <c r="M4285" s="147">
        <v>48</v>
      </c>
      <c r="N4285" s="147">
        <v>-56.349499999999999</v>
      </c>
      <c r="O4285" s="147">
        <v>-117.39479166666666</v>
      </c>
      <c r="P4285" s="147">
        <v>1.4404999999999999</v>
      </c>
      <c r="Q4285" s="147">
        <v>-9.7899999999999991</v>
      </c>
      <c r="R4285" s="147">
        <v>-679.62513016313778</v>
      </c>
    </row>
    <row r="4286" spans="2:18" ht="15.75" hidden="1" thickBot="1" x14ac:dyDescent="0.3">
      <c r="B4286" s="725" t="s">
        <v>803</v>
      </c>
      <c r="C4286" s="722" t="s">
        <v>205</v>
      </c>
      <c r="D4286" t="s">
        <v>206</v>
      </c>
      <c r="E4286" s="728"/>
      <c r="F4286" s="728"/>
      <c r="G4286" s="728"/>
      <c r="H4286" s="728"/>
      <c r="I4286" s="728"/>
      <c r="J4286" s="728"/>
      <c r="K4286" s="728"/>
      <c r="L4286" s="148">
        <v>3.8917099999999998</v>
      </c>
      <c r="M4286" s="728"/>
      <c r="N4286" s="148">
        <v>3.8917099999999998</v>
      </c>
      <c r="O4286" s="148">
        <v>0</v>
      </c>
      <c r="P4286" s="148">
        <v>1.49671</v>
      </c>
      <c r="Q4286" s="148">
        <v>2.395</v>
      </c>
      <c r="R4286" s="148">
        <v>160.0176386875213</v>
      </c>
    </row>
    <row r="4287" spans="2:18" ht="15.75" hidden="1" thickBot="1" x14ac:dyDescent="0.3">
      <c r="B4287" s="725" t="s">
        <v>803</v>
      </c>
      <c r="C4287" s="722" t="s">
        <v>173</v>
      </c>
      <c r="D4287" t="s">
        <v>174</v>
      </c>
      <c r="E4287" s="729"/>
      <c r="F4287" s="147">
        <v>0.27500000000000002</v>
      </c>
      <c r="G4287" s="147">
        <v>-0.27500000000000002</v>
      </c>
      <c r="H4287" s="147">
        <v>-100</v>
      </c>
      <c r="I4287" s="729"/>
      <c r="J4287" s="729"/>
      <c r="K4287" s="729"/>
      <c r="L4287" s="147">
        <v>0.23573</v>
      </c>
      <c r="M4287" s="147">
        <v>3.3</v>
      </c>
      <c r="N4287" s="147">
        <v>-3.06427</v>
      </c>
      <c r="O4287" s="147">
        <v>-92.856666666666669</v>
      </c>
      <c r="P4287" s="147">
        <v>0.12858</v>
      </c>
      <c r="Q4287" s="147">
        <v>0.10715</v>
      </c>
      <c r="R4287" s="147">
        <v>83.333333333333329</v>
      </c>
    </row>
    <row r="4288" spans="2:18" ht="15.75" hidden="1" thickBot="1" x14ac:dyDescent="0.3">
      <c r="B4288" s="725" t="s">
        <v>803</v>
      </c>
      <c r="C4288" s="722" t="s">
        <v>479</v>
      </c>
      <c r="D4288" t="s">
        <v>480</v>
      </c>
      <c r="E4288" s="728"/>
      <c r="F4288" s="728"/>
      <c r="G4288" s="728"/>
      <c r="H4288" s="728"/>
      <c r="I4288" s="728"/>
      <c r="J4288" s="728"/>
      <c r="K4288" s="728"/>
      <c r="L4288" s="148">
        <v>1.9413899999999999</v>
      </c>
      <c r="M4288" s="728"/>
      <c r="N4288" s="148">
        <v>1.9413899999999999</v>
      </c>
      <c r="O4288" s="148">
        <v>0</v>
      </c>
      <c r="P4288" s="148">
        <v>1.9413899999999999</v>
      </c>
      <c r="Q4288" s="148">
        <v>0</v>
      </c>
      <c r="R4288" s="148">
        <v>0</v>
      </c>
    </row>
    <row r="4289" spans="2:18" ht="15.75" hidden="1" thickBot="1" x14ac:dyDescent="0.3">
      <c r="B4289" s="725" t="s">
        <v>803</v>
      </c>
      <c r="C4289" s="722" t="s">
        <v>151</v>
      </c>
      <c r="D4289" t="s">
        <v>152</v>
      </c>
      <c r="E4289" s="729"/>
      <c r="F4289" s="729"/>
      <c r="G4289" s="729"/>
      <c r="H4289" s="729"/>
      <c r="I4289" s="729"/>
      <c r="J4289" s="729"/>
      <c r="K4289" s="729"/>
      <c r="L4289" s="147">
        <v>6.6879999999999997</v>
      </c>
      <c r="M4289" s="729"/>
      <c r="N4289" s="147">
        <v>6.6879999999999997</v>
      </c>
      <c r="O4289" s="147">
        <v>0</v>
      </c>
      <c r="P4289" s="147">
        <v>6.6879999999999997</v>
      </c>
      <c r="Q4289" s="147">
        <v>0</v>
      </c>
      <c r="R4289" s="147">
        <v>0</v>
      </c>
    </row>
    <row r="4290" spans="2:18" ht="15.75" hidden="1" thickBot="1" x14ac:dyDescent="0.3">
      <c r="B4290" s="725" t="s">
        <v>803</v>
      </c>
      <c r="C4290" s="722" t="s">
        <v>655</v>
      </c>
      <c r="D4290" t="s">
        <v>656</v>
      </c>
      <c r="E4290" s="728"/>
      <c r="F4290" s="728"/>
      <c r="G4290" s="728"/>
      <c r="H4290" s="728"/>
      <c r="I4290" s="728"/>
      <c r="J4290" s="728"/>
      <c r="K4290" s="728"/>
      <c r="L4290" s="148">
        <v>0.91861000000000004</v>
      </c>
      <c r="M4290" s="728"/>
      <c r="N4290" s="148">
        <v>0.91861000000000004</v>
      </c>
      <c r="O4290" s="148">
        <v>0</v>
      </c>
      <c r="P4290" s="148">
        <v>0.91861000000000004</v>
      </c>
      <c r="Q4290" s="148">
        <v>0</v>
      </c>
      <c r="R4290" s="148">
        <v>0</v>
      </c>
    </row>
    <row r="4291" spans="2:18" ht="15.75" hidden="1" thickBot="1" x14ac:dyDescent="0.3">
      <c r="B4291" s="725" t="s">
        <v>803</v>
      </c>
      <c r="C4291" s="722" t="s">
        <v>75</v>
      </c>
      <c r="D4291" t="s">
        <v>76</v>
      </c>
      <c r="E4291" s="147">
        <v>1.091E-2</v>
      </c>
      <c r="F4291" s="147">
        <v>0.4</v>
      </c>
      <c r="G4291" s="147">
        <v>-0.38908999999999999</v>
      </c>
      <c r="H4291" s="147">
        <v>-97.272499999999994</v>
      </c>
      <c r="I4291" s="729"/>
      <c r="J4291" s="147">
        <v>1.091E-2</v>
      </c>
      <c r="K4291" s="147">
        <v>0</v>
      </c>
      <c r="L4291" s="147">
        <v>0.43062</v>
      </c>
      <c r="M4291" s="147">
        <v>4.8</v>
      </c>
      <c r="N4291" s="147">
        <v>-4.3693799999999996</v>
      </c>
      <c r="O4291" s="147">
        <v>-91.028750000000002</v>
      </c>
      <c r="P4291" s="147">
        <v>3.09E-2</v>
      </c>
      <c r="Q4291" s="147">
        <v>0.39972000000000002</v>
      </c>
      <c r="R4291" s="147">
        <v>1293.5922330097087</v>
      </c>
    </row>
    <row r="4292" spans="2:18" ht="15.75" hidden="1" thickBot="1" x14ac:dyDescent="0.3">
      <c r="B4292" s="725" t="s">
        <v>803</v>
      </c>
      <c r="C4292" s="722" t="s">
        <v>81</v>
      </c>
      <c r="D4292" t="s">
        <v>82</v>
      </c>
      <c r="E4292" s="148">
        <v>0.22500000000000001</v>
      </c>
      <c r="F4292" s="728"/>
      <c r="G4292" s="148">
        <v>0.22500000000000001</v>
      </c>
      <c r="H4292" s="148">
        <v>0</v>
      </c>
      <c r="I4292" s="728"/>
      <c r="J4292" s="148">
        <v>0.22500000000000001</v>
      </c>
      <c r="K4292" s="148">
        <v>0</v>
      </c>
      <c r="L4292" s="148">
        <v>0.27889999999999998</v>
      </c>
      <c r="M4292" s="728"/>
      <c r="N4292" s="148">
        <v>0.27889999999999998</v>
      </c>
      <c r="O4292" s="148">
        <v>0</v>
      </c>
      <c r="P4292" s="148">
        <v>5.3900000000000003E-2</v>
      </c>
      <c r="Q4292" s="148">
        <v>0.22500000000000001</v>
      </c>
      <c r="R4292" s="148">
        <v>417.43970315398889</v>
      </c>
    </row>
    <row r="4293" spans="2:18" ht="15.75" hidden="1" thickBot="1" x14ac:dyDescent="0.3">
      <c r="B4293" s="725" t="s">
        <v>803</v>
      </c>
      <c r="C4293" s="722" t="s">
        <v>213</v>
      </c>
      <c r="D4293" t="s">
        <v>214</v>
      </c>
      <c r="E4293" s="729"/>
      <c r="F4293" s="729"/>
      <c r="G4293" s="729"/>
      <c r="H4293" s="729"/>
      <c r="I4293" s="729"/>
      <c r="J4293" s="729"/>
      <c r="K4293" s="729"/>
      <c r="L4293" s="147">
        <v>-0.52649999999999997</v>
      </c>
      <c r="M4293" s="729"/>
      <c r="N4293" s="147">
        <v>-0.52649999999999997</v>
      </c>
      <c r="O4293" s="147">
        <v>0</v>
      </c>
      <c r="P4293" s="729"/>
      <c r="Q4293" s="147">
        <v>-0.52649999999999997</v>
      </c>
      <c r="R4293" s="147">
        <v>0</v>
      </c>
    </row>
    <row r="4294" spans="2:18" ht="15.75" hidden="1" thickBot="1" x14ac:dyDescent="0.3">
      <c r="B4294" s="725" t="s">
        <v>803</v>
      </c>
      <c r="C4294" s="722" t="s">
        <v>215</v>
      </c>
      <c r="D4294" t="s">
        <v>216</v>
      </c>
      <c r="E4294" s="728"/>
      <c r="F4294" s="728"/>
      <c r="G4294" s="728"/>
      <c r="H4294" s="728"/>
      <c r="I4294" s="728"/>
      <c r="J4294" s="728"/>
      <c r="K4294" s="728"/>
      <c r="L4294" s="148">
        <v>-4.2860000000000002E-2</v>
      </c>
      <c r="M4294" s="728"/>
      <c r="N4294" s="148">
        <v>-4.2860000000000002E-2</v>
      </c>
      <c r="O4294" s="148">
        <v>0</v>
      </c>
      <c r="P4294" s="728"/>
      <c r="Q4294" s="148">
        <v>-4.2860000000000002E-2</v>
      </c>
      <c r="R4294" s="148">
        <v>0</v>
      </c>
    </row>
    <row r="4295" spans="2:18" ht="15.75" hidden="1" thickBot="1" x14ac:dyDescent="0.3">
      <c r="B4295" s="725" t="s">
        <v>803</v>
      </c>
      <c r="C4295" s="722" t="s">
        <v>83</v>
      </c>
      <c r="D4295" t="s">
        <v>84</v>
      </c>
      <c r="E4295" s="729"/>
      <c r="F4295" s="147">
        <v>0.3</v>
      </c>
      <c r="G4295" s="147">
        <v>-0.3</v>
      </c>
      <c r="H4295" s="147">
        <v>-100</v>
      </c>
      <c r="I4295" s="729"/>
      <c r="J4295" s="729"/>
      <c r="K4295" s="729"/>
      <c r="L4295" s="729"/>
      <c r="M4295" s="147">
        <v>3.6</v>
      </c>
      <c r="N4295" s="147">
        <v>-3.6</v>
      </c>
      <c r="O4295" s="147">
        <v>-100</v>
      </c>
      <c r="P4295" s="729"/>
      <c r="Q4295" s="729"/>
      <c r="R4295" s="729"/>
    </row>
    <row r="4296" spans="2:18" ht="15.75" hidden="1" thickBot="1" x14ac:dyDescent="0.3">
      <c r="B4296" s="725" t="s">
        <v>803</v>
      </c>
      <c r="C4296" s="149" t="s">
        <v>85</v>
      </c>
      <c r="D4296" t="s">
        <v>86</v>
      </c>
      <c r="E4296" s="148">
        <v>14.75272</v>
      </c>
      <c r="F4296" s="148">
        <v>30.599409999999999</v>
      </c>
      <c r="G4296" s="148">
        <v>-15.846690000000001</v>
      </c>
      <c r="H4296" s="148">
        <v>-51.787567145902486</v>
      </c>
      <c r="I4296" s="728"/>
      <c r="J4296" s="148">
        <v>14.75272</v>
      </c>
      <c r="K4296" s="148">
        <v>0</v>
      </c>
      <c r="L4296" s="148">
        <v>244.64066</v>
      </c>
      <c r="M4296" s="148">
        <v>488.19324</v>
      </c>
      <c r="N4296" s="148">
        <v>-243.55258000000001</v>
      </c>
      <c r="O4296" s="148">
        <v>-49.888560521649175</v>
      </c>
      <c r="P4296" s="148">
        <v>121.24118</v>
      </c>
      <c r="Q4296" s="148">
        <v>123.39948</v>
      </c>
      <c r="R4296" s="148">
        <v>101.78017073076985</v>
      </c>
    </row>
    <row r="4297" spans="2:18" ht="15.75" hidden="1" thickBot="1" x14ac:dyDescent="0.3">
      <c r="B4297" s="725" t="s">
        <v>803</v>
      </c>
      <c r="C4297" s="144" t="s">
        <v>87</v>
      </c>
      <c r="D4297" t="s">
        <v>87</v>
      </c>
      <c r="E4297" s="147">
        <v>44.53107</v>
      </c>
      <c r="F4297" s="147">
        <v>113.31305999999999</v>
      </c>
      <c r="G4297" s="147">
        <v>-68.781989999999993</v>
      </c>
      <c r="H4297" s="147">
        <v>-60.700849487252398</v>
      </c>
      <c r="I4297" s="729"/>
      <c r="J4297" s="147">
        <v>44.53107</v>
      </c>
      <c r="K4297" s="147">
        <v>0</v>
      </c>
      <c r="L4297" s="147">
        <v>872.34491000000003</v>
      </c>
      <c r="M4297" s="147">
        <v>1457.8564899999999</v>
      </c>
      <c r="N4297" s="147">
        <v>-585.51157999999998</v>
      </c>
      <c r="O4297" s="147">
        <v>-40.162497750378705</v>
      </c>
      <c r="P4297" s="147">
        <v>538.46551999999997</v>
      </c>
      <c r="Q4297" s="147">
        <v>333.87939</v>
      </c>
      <c r="R4297" s="147">
        <v>62.005713940606633</v>
      </c>
    </row>
    <row r="4298" spans="2:18" ht="15.75" hidden="1" thickBot="1" x14ac:dyDescent="0.3">
      <c r="B4298" s="725" t="s">
        <v>804</v>
      </c>
      <c r="C4298" s="722" t="s">
        <v>59</v>
      </c>
      <c r="D4298" t="s">
        <v>60</v>
      </c>
      <c r="E4298" s="148">
        <v>6.7912699999999999</v>
      </c>
      <c r="F4298" s="148">
        <v>8.0973699999999997</v>
      </c>
      <c r="G4298" s="148">
        <v>-1.3061</v>
      </c>
      <c r="H4298" s="148">
        <v>-16.129928606448761</v>
      </c>
      <c r="I4298" s="728"/>
      <c r="J4298" s="148">
        <v>6.7912699999999999</v>
      </c>
      <c r="K4298" s="148">
        <v>0</v>
      </c>
      <c r="L4298" s="148">
        <v>103.62997</v>
      </c>
      <c r="M4298" s="148">
        <v>96.658680000000004</v>
      </c>
      <c r="N4298" s="148">
        <v>6.9712899999999998</v>
      </c>
      <c r="O4298" s="148">
        <v>7.2122751934952971</v>
      </c>
      <c r="P4298" s="148">
        <v>52.890140000000002</v>
      </c>
      <c r="Q4298" s="148">
        <v>50.739829999999998</v>
      </c>
      <c r="R4298" s="148">
        <v>95.934383989151854</v>
      </c>
    </row>
    <row r="4299" spans="2:18" ht="15.75" hidden="1" thickBot="1" x14ac:dyDescent="0.3">
      <c r="B4299" s="725" t="s">
        <v>804</v>
      </c>
      <c r="C4299" s="722" t="s">
        <v>89</v>
      </c>
      <c r="D4299" t="s">
        <v>90</v>
      </c>
      <c r="E4299" s="147">
        <v>20.63213</v>
      </c>
      <c r="F4299" s="729"/>
      <c r="G4299" s="147">
        <v>20.63213</v>
      </c>
      <c r="H4299" s="147">
        <v>0</v>
      </c>
      <c r="I4299" s="729"/>
      <c r="J4299" s="147">
        <v>20.63213</v>
      </c>
      <c r="K4299" s="147">
        <v>0</v>
      </c>
      <c r="L4299" s="147">
        <v>91.698449999999994</v>
      </c>
      <c r="M4299" s="729"/>
      <c r="N4299" s="147">
        <v>91.698449999999994</v>
      </c>
      <c r="O4299" s="147">
        <v>0</v>
      </c>
      <c r="P4299" s="147">
        <v>35.330590000000001</v>
      </c>
      <c r="Q4299" s="147">
        <v>56.36786</v>
      </c>
      <c r="R4299" s="147">
        <v>159.54406648742633</v>
      </c>
    </row>
    <row r="4300" spans="2:18" ht="15.75" hidden="1" thickBot="1" x14ac:dyDescent="0.3">
      <c r="B4300" s="725" t="s">
        <v>804</v>
      </c>
      <c r="C4300" s="722" t="s">
        <v>91</v>
      </c>
      <c r="D4300" t="s">
        <v>92</v>
      </c>
      <c r="E4300" s="148">
        <v>58.574820000000003</v>
      </c>
      <c r="F4300" s="148">
        <v>67.785899999999998</v>
      </c>
      <c r="G4300" s="148">
        <v>-9.2110800000000008</v>
      </c>
      <c r="H4300" s="148">
        <v>-13.58848964165114</v>
      </c>
      <c r="I4300" s="728"/>
      <c r="J4300" s="148">
        <v>58.574820000000003</v>
      </c>
      <c r="K4300" s="148">
        <v>0</v>
      </c>
      <c r="L4300" s="148">
        <v>770.27548000000002</v>
      </c>
      <c r="M4300" s="148">
        <v>791.71294999999998</v>
      </c>
      <c r="N4300" s="148">
        <v>-21.437470000000001</v>
      </c>
      <c r="O4300" s="148">
        <v>-2.7077326447672734</v>
      </c>
      <c r="P4300" s="148">
        <v>399.32864999999998</v>
      </c>
      <c r="Q4300" s="148">
        <v>370.94682999999998</v>
      </c>
      <c r="R4300" s="148">
        <v>92.892616144621726</v>
      </c>
    </row>
    <row r="4301" spans="2:18" ht="15.75" hidden="1" thickBot="1" x14ac:dyDescent="0.3">
      <c r="B4301" s="725" t="s">
        <v>804</v>
      </c>
      <c r="C4301" s="722" t="s">
        <v>93</v>
      </c>
      <c r="D4301" t="s">
        <v>94</v>
      </c>
      <c r="E4301" s="147">
        <v>24.300609999999999</v>
      </c>
      <c r="F4301" s="147">
        <v>10.609</v>
      </c>
      <c r="G4301" s="147">
        <v>13.691610000000001</v>
      </c>
      <c r="H4301" s="147">
        <v>129.05655575454801</v>
      </c>
      <c r="I4301" s="729"/>
      <c r="J4301" s="147">
        <v>24.300609999999999</v>
      </c>
      <c r="K4301" s="147">
        <v>0</v>
      </c>
      <c r="L4301" s="147">
        <v>309.48113000000001</v>
      </c>
      <c r="M4301" s="147">
        <v>123.90900000000001</v>
      </c>
      <c r="N4301" s="147">
        <v>185.57212999999999</v>
      </c>
      <c r="O4301" s="147">
        <v>149.76485162498284</v>
      </c>
      <c r="P4301" s="147">
        <v>145.90581</v>
      </c>
      <c r="Q4301" s="147">
        <v>163.57532</v>
      </c>
      <c r="R4301" s="147">
        <v>112.11021685839653</v>
      </c>
    </row>
    <row r="4302" spans="2:18" ht="15.75" hidden="1" thickBot="1" x14ac:dyDescent="0.3">
      <c r="B4302" s="725" t="s">
        <v>804</v>
      </c>
      <c r="C4302" s="722" t="s">
        <v>134</v>
      </c>
      <c r="D4302" t="s">
        <v>135</v>
      </c>
      <c r="E4302" s="148">
        <v>6.8651099999999996</v>
      </c>
      <c r="F4302" s="728"/>
      <c r="G4302" s="148">
        <v>6.8651099999999996</v>
      </c>
      <c r="H4302" s="148">
        <v>0</v>
      </c>
      <c r="I4302" s="728"/>
      <c r="J4302" s="148">
        <v>6.8651099999999996</v>
      </c>
      <c r="K4302" s="148">
        <v>0</v>
      </c>
      <c r="L4302" s="148">
        <v>6.9911000000000003</v>
      </c>
      <c r="M4302" s="728"/>
      <c r="N4302" s="148">
        <v>6.9911000000000003</v>
      </c>
      <c r="O4302" s="148">
        <v>0</v>
      </c>
      <c r="P4302" s="148">
        <v>0.12598999999999999</v>
      </c>
      <c r="Q4302" s="148">
        <v>6.8651099999999996</v>
      </c>
      <c r="R4302" s="148">
        <v>5448.9324549567427</v>
      </c>
    </row>
    <row r="4303" spans="2:18" ht="15.75" hidden="1" thickBot="1" x14ac:dyDescent="0.3">
      <c r="B4303" s="725" t="s">
        <v>804</v>
      </c>
      <c r="C4303" s="722" t="s">
        <v>61</v>
      </c>
      <c r="D4303" t="s">
        <v>62</v>
      </c>
      <c r="E4303" s="147">
        <v>8.5556800000000006</v>
      </c>
      <c r="F4303" s="147">
        <v>11.76191</v>
      </c>
      <c r="G4303" s="147">
        <v>-3.2062300000000001</v>
      </c>
      <c r="H4303" s="147">
        <v>-27.259433204301001</v>
      </c>
      <c r="I4303" s="729"/>
      <c r="J4303" s="147">
        <v>8.5556800000000006</v>
      </c>
      <c r="K4303" s="147">
        <v>0</v>
      </c>
      <c r="L4303" s="147">
        <v>99.848259999999996</v>
      </c>
      <c r="M4303" s="147">
        <v>137.69758999999999</v>
      </c>
      <c r="N4303" s="147">
        <v>-37.849330000000002</v>
      </c>
      <c r="O4303" s="147">
        <v>-27.487285725189526</v>
      </c>
      <c r="P4303" s="147">
        <v>50.017519999999998</v>
      </c>
      <c r="Q4303" s="147">
        <v>49.830739999999999</v>
      </c>
      <c r="R4303" s="147">
        <v>99.626570849574307</v>
      </c>
    </row>
    <row r="4304" spans="2:18" ht="15.75" hidden="1" thickBot="1" x14ac:dyDescent="0.3">
      <c r="B4304" s="725" t="s">
        <v>804</v>
      </c>
      <c r="C4304" s="722" t="s">
        <v>63</v>
      </c>
      <c r="D4304" t="s">
        <v>64</v>
      </c>
      <c r="E4304" s="148">
        <v>52.883110000000002</v>
      </c>
      <c r="F4304" s="148">
        <v>45.75761</v>
      </c>
      <c r="G4304" s="148">
        <v>7.1254999999999997</v>
      </c>
      <c r="H4304" s="148">
        <v>15.572273114788993</v>
      </c>
      <c r="I4304" s="728"/>
      <c r="J4304" s="148">
        <v>52.883110000000002</v>
      </c>
      <c r="K4304" s="148">
        <v>0</v>
      </c>
      <c r="L4304" s="148">
        <v>592.72790999999995</v>
      </c>
      <c r="M4304" s="148">
        <v>535.68811000000005</v>
      </c>
      <c r="N4304" s="148">
        <v>57.0398</v>
      </c>
      <c r="O4304" s="148">
        <v>10.647949606348366</v>
      </c>
      <c r="P4304" s="148">
        <v>288.84424000000001</v>
      </c>
      <c r="Q4304" s="148">
        <v>303.88367</v>
      </c>
      <c r="R4304" s="148">
        <v>105.20676126344081</v>
      </c>
    </row>
    <row r="4305" spans="2:18" ht="15.75" hidden="1" thickBot="1" x14ac:dyDescent="0.3">
      <c r="B4305" s="725" t="s">
        <v>804</v>
      </c>
      <c r="C4305" s="722" t="s">
        <v>156</v>
      </c>
      <c r="D4305" t="s">
        <v>157</v>
      </c>
      <c r="E4305" s="147">
        <v>6.2748900000000001</v>
      </c>
      <c r="F4305" s="729"/>
      <c r="G4305" s="147">
        <v>6.2748900000000001</v>
      </c>
      <c r="H4305" s="147">
        <v>0</v>
      </c>
      <c r="I4305" s="729"/>
      <c r="J4305" s="147">
        <v>6.2748900000000001</v>
      </c>
      <c r="K4305" s="147">
        <v>0</v>
      </c>
      <c r="L4305" s="147">
        <v>144.27659</v>
      </c>
      <c r="M4305" s="729"/>
      <c r="N4305" s="147">
        <v>144.27659</v>
      </c>
      <c r="O4305" s="147">
        <v>0</v>
      </c>
      <c r="P4305" s="147">
        <v>62.009480000000003</v>
      </c>
      <c r="Q4305" s="147">
        <v>82.267110000000002</v>
      </c>
      <c r="R4305" s="147">
        <v>132.66860163962028</v>
      </c>
    </row>
    <row r="4306" spans="2:18" ht="15.75" hidden="1" thickBot="1" x14ac:dyDescent="0.3">
      <c r="B4306" s="725" t="s">
        <v>804</v>
      </c>
      <c r="C4306" s="722" t="s">
        <v>182</v>
      </c>
      <c r="D4306" t="s">
        <v>183</v>
      </c>
      <c r="E4306" s="148">
        <v>14.658189999999999</v>
      </c>
      <c r="F4306" s="728"/>
      <c r="G4306" s="148">
        <v>14.658189999999999</v>
      </c>
      <c r="H4306" s="148">
        <v>0</v>
      </c>
      <c r="I4306" s="728"/>
      <c r="J4306" s="148">
        <v>14.658189999999999</v>
      </c>
      <c r="K4306" s="148">
        <v>0</v>
      </c>
      <c r="L4306" s="148">
        <v>94.625399999999999</v>
      </c>
      <c r="M4306" s="728"/>
      <c r="N4306" s="148">
        <v>94.625399999999999</v>
      </c>
      <c r="O4306" s="148">
        <v>0</v>
      </c>
      <c r="P4306" s="148">
        <v>29.785990000000002</v>
      </c>
      <c r="Q4306" s="148">
        <v>64.839410000000001</v>
      </c>
      <c r="R4306" s="148">
        <v>217.68425357021874</v>
      </c>
    </row>
    <row r="4307" spans="2:18" ht="15.75" hidden="1" thickBot="1" x14ac:dyDescent="0.3">
      <c r="B4307" s="725" t="s">
        <v>804</v>
      </c>
      <c r="C4307" s="722" t="s">
        <v>184</v>
      </c>
      <c r="D4307" t="s">
        <v>185</v>
      </c>
      <c r="E4307" s="147">
        <v>124.57462</v>
      </c>
      <c r="F4307" s="729"/>
      <c r="G4307" s="147">
        <v>124.57462</v>
      </c>
      <c r="H4307" s="147">
        <v>0</v>
      </c>
      <c r="I4307" s="729"/>
      <c r="J4307" s="147">
        <v>124.57462</v>
      </c>
      <c r="K4307" s="147">
        <v>0</v>
      </c>
      <c r="L4307" s="147">
        <v>1317.42318</v>
      </c>
      <c r="M4307" s="729"/>
      <c r="N4307" s="147">
        <v>1317.42318</v>
      </c>
      <c r="O4307" s="147">
        <v>0</v>
      </c>
      <c r="P4307" s="147">
        <v>642.47973000000002</v>
      </c>
      <c r="Q4307" s="147">
        <v>674.94344999999998</v>
      </c>
      <c r="R4307" s="147">
        <v>105.05287847758248</v>
      </c>
    </row>
    <row r="4308" spans="2:18" ht="15.75" hidden="1" thickBot="1" x14ac:dyDescent="0.3">
      <c r="B4308" s="725" t="s">
        <v>804</v>
      </c>
      <c r="C4308" s="722" t="s">
        <v>161</v>
      </c>
      <c r="D4308" t="s">
        <v>162</v>
      </c>
      <c r="E4308" s="148">
        <v>30.030280000000001</v>
      </c>
      <c r="F4308" s="728"/>
      <c r="G4308" s="148">
        <v>30.030280000000001</v>
      </c>
      <c r="H4308" s="148">
        <v>0</v>
      </c>
      <c r="I4308" s="728"/>
      <c r="J4308" s="148">
        <v>30.030280000000001</v>
      </c>
      <c r="K4308" s="148">
        <v>0</v>
      </c>
      <c r="L4308" s="148">
        <v>305.25488999999999</v>
      </c>
      <c r="M4308" s="728"/>
      <c r="N4308" s="148">
        <v>305.25488999999999</v>
      </c>
      <c r="O4308" s="148">
        <v>0</v>
      </c>
      <c r="P4308" s="148">
        <v>134.05941999999999</v>
      </c>
      <c r="Q4308" s="148">
        <v>171.19547</v>
      </c>
      <c r="R4308" s="148">
        <v>127.70118653355355</v>
      </c>
    </row>
    <row r="4309" spans="2:18" ht="15.75" hidden="1" thickBot="1" x14ac:dyDescent="0.3">
      <c r="B4309" s="725" t="s">
        <v>804</v>
      </c>
      <c r="C4309" s="722" t="s">
        <v>186</v>
      </c>
      <c r="D4309" t="s">
        <v>187</v>
      </c>
      <c r="E4309" s="147">
        <v>-14.658189999999999</v>
      </c>
      <c r="F4309" s="729"/>
      <c r="G4309" s="147">
        <v>-14.658189999999999</v>
      </c>
      <c r="H4309" s="147">
        <v>0</v>
      </c>
      <c r="I4309" s="729"/>
      <c r="J4309" s="147">
        <v>-14.658189999999999</v>
      </c>
      <c r="K4309" s="147">
        <v>0</v>
      </c>
      <c r="L4309" s="147">
        <v>-103.80401000000001</v>
      </c>
      <c r="M4309" s="729"/>
      <c r="N4309" s="147">
        <v>-103.80401000000001</v>
      </c>
      <c r="O4309" s="147">
        <v>0</v>
      </c>
      <c r="P4309" s="147">
        <v>-38.010359999999999</v>
      </c>
      <c r="Q4309" s="147">
        <v>-65.79365</v>
      </c>
      <c r="R4309" s="147">
        <v>-173.09399332182068</v>
      </c>
    </row>
    <row r="4310" spans="2:18" ht="15.75" hidden="1" thickBot="1" x14ac:dyDescent="0.3">
      <c r="B4310" s="725" t="s">
        <v>804</v>
      </c>
      <c r="C4310" s="722" t="s">
        <v>163</v>
      </c>
      <c r="D4310" t="s">
        <v>164</v>
      </c>
      <c r="E4310" s="148">
        <v>-124.57462</v>
      </c>
      <c r="F4310" s="148">
        <v>-9.4352400000000003</v>
      </c>
      <c r="G4310" s="148">
        <v>-115.13938</v>
      </c>
      <c r="H4310" s="148">
        <v>-1220.31214892255</v>
      </c>
      <c r="I4310" s="728"/>
      <c r="J4310" s="148">
        <v>-124.57462</v>
      </c>
      <c r="K4310" s="148">
        <v>0</v>
      </c>
      <c r="L4310" s="148">
        <v>-1404.93481</v>
      </c>
      <c r="M4310" s="148">
        <v>-110.19996999999999</v>
      </c>
      <c r="N4310" s="148">
        <v>-1294.7348400000001</v>
      </c>
      <c r="O4310" s="148">
        <v>-1174.8958189371558</v>
      </c>
      <c r="P4310" s="148">
        <v>-717.19911000000002</v>
      </c>
      <c r="Q4310" s="148">
        <v>-687.73569999999995</v>
      </c>
      <c r="R4310" s="148">
        <v>-95.891878616525332</v>
      </c>
    </row>
    <row r="4311" spans="2:18" ht="15.75" hidden="1" thickBot="1" x14ac:dyDescent="0.3">
      <c r="B4311" s="725" t="s">
        <v>804</v>
      </c>
      <c r="C4311" s="722" t="s">
        <v>97</v>
      </c>
      <c r="D4311" t="s">
        <v>98</v>
      </c>
      <c r="E4311" s="147">
        <v>-30.030280000000001</v>
      </c>
      <c r="F4311" s="729"/>
      <c r="G4311" s="147">
        <v>-30.030280000000001</v>
      </c>
      <c r="H4311" s="147">
        <v>0</v>
      </c>
      <c r="I4311" s="729"/>
      <c r="J4311" s="147">
        <v>-30.030280000000001</v>
      </c>
      <c r="K4311" s="147">
        <v>0</v>
      </c>
      <c r="L4311" s="147">
        <v>-333.19135</v>
      </c>
      <c r="M4311" s="729"/>
      <c r="N4311" s="147">
        <v>-333.19135</v>
      </c>
      <c r="O4311" s="147">
        <v>0</v>
      </c>
      <c r="P4311" s="147">
        <v>-159.75917000000001</v>
      </c>
      <c r="Q4311" s="147">
        <v>-173.43217999999999</v>
      </c>
      <c r="R4311" s="147">
        <v>-108.55851341741447</v>
      </c>
    </row>
    <row r="4312" spans="2:18" ht="15.75" hidden="1" thickBot="1" x14ac:dyDescent="0.3">
      <c r="B4312" s="725" t="s">
        <v>804</v>
      </c>
      <c r="C4312" s="149" t="s">
        <v>67</v>
      </c>
      <c r="D4312" t="s">
        <v>68</v>
      </c>
      <c r="E4312" s="148">
        <v>184.87762000000001</v>
      </c>
      <c r="F4312" s="148">
        <v>134.57655</v>
      </c>
      <c r="G4312" s="148">
        <v>50.301070000000003</v>
      </c>
      <c r="H4312" s="148">
        <v>37.377291957625602</v>
      </c>
      <c r="I4312" s="728"/>
      <c r="J4312" s="148">
        <v>184.87762000000001</v>
      </c>
      <c r="K4312" s="148">
        <v>0</v>
      </c>
      <c r="L4312" s="148">
        <v>1994.3021900000001</v>
      </c>
      <c r="M4312" s="148">
        <v>1575.4663599999999</v>
      </c>
      <c r="N4312" s="148">
        <v>418.83582999999999</v>
      </c>
      <c r="O4312" s="148">
        <v>26.584879286156259</v>
      </c>
      <c r="P4312" s="148">
        <v>925.80891999999994</v>
      </c>
      <c r="Q4312" s="148">
        <v>1068.4932699999999</v>
      </c>
      <c r="R4312" s="148">
        <v>115.41185734092949</v>
      </c>
    </row>
    <row r="4313" spans="2:18" ht="15.75" hidden="1" thickBot="1" x14ac:dyDescent="0.3">
      <c r="B4313" s="725" t="s">
        <v>804</v>
      </c>
      <c r="C4313" s="722" t="s">
        <v>69</v>
      </c>
      <c r="D4313" t="s">
        <v>70</v>
      </c>
      <c r="E4313" s="729"/>
      <c r="F4313" s="729"/>
      <c r="G4313" s="729"/>
      <c r="H4313" s="729"/>
      <c r="I4313" s="729"/>
      <c r="J4313" s="729"/>
      <c r="K4313" s="729"/>
      <c r="L4313" s="147">
        <v>0.71191000000000004</v>
      </c>
      <c r="M4313" s="729"/>
      <c r="N4313" s="147">
        <v>0.71191000000000004</v>
      </c>
      <c r="O4313" s="147">
        <v>0</v>
      </c>
      <c r="P4313" s="729"/>
      <c r="Q4313" s="147">
        <v>0.71191000000000004</v>
      </c>
      <c r="R4313" s="147">
        <v>0</v>
      </c>
    </row>
    <row r="4314" spans="2:18" ht="15.75" hidden="1" thickBot="1" x14ac:dyDescent="0.3">
      <c r="B4314" s="725" t="s">
        <v>804</v>
      </c>
      <c r="C4314" s="722" t="s">
        <v>99</v>
      </c>
      <c r="D4314" t="s">
        <v>100</v>
      </c>
      <c r="E4314" s="148">
        <v>11.10117</v>
      </c>
      <c r="F4314" s="148">
        <v>7.5</v>
      </c>
      <c r="G4314" s="148">
        <v>3.6011700000000002</v>
      </c>
      <c r="H4314" s="148">
        <v>48.015599999999999</v>
      </c>
      <c r="I4314" s="728"/>
      <c r="J4314" s="148">
        <v>11.10117</v>
      </c>
      <c r="K4314" s="148">
        <v>0</v>
      </c>
      <c r="L4314" s="148">
        <v>210.61116000000001</v>
      </c>
      <c r="M4314" s="148">
        <v>90</v>
      </c>
      <c r="N4314" s="148">
        <v>120.61116</v>
      </c>
      <c r="O4314" s="148">
        <v>134.01240000000001</v>
      </c>
      <c r="P4314" s="148">
        <v>79.301450000000003</v>
      </c>
      <c r="Q4314" s="148">
        <v>131.30971</v>
      </c>
      <c r="R4314" s="148">
        <v>165.58298744852712</v>
      </c>
    </row>
    <row r="4315" spans="2:18" ht="15.75" hidden="1" thickBot="1" x14ac:dyDescent="0.3">
      <c r="B4315" s="725" t="s">
        <v>804</v>
      </c>
      <c r="C4315" s="722" t="s">
        <v>165</v>
      </c>
      <c r="D4315" t="s">
        <v>166</v>
      </c>
      <c r="E4315" s="147">
        <v>0.35475000000000001</v>
      </c>
      <c r="F4315" s="729"/>
      <c r="G4315" s="147">
        <v>0.35475000000000001</v>
      </c>
      <c r="H4315" s="147">
        <v>0</v>
      </c>
      <c r="I4315" s="729"/>
      <c r="J4315" s="147">
        <v>0.35475000000000001</v>
      </c>
      <c r="K4315" s="147">
        <v>0</v>
      </c>
      <c r="L4315" s="147">
        <v>1.99156</v>
      </c>
      <c r="M4315" s="729"/>
      <c r="N4315" s="147">
        <v>1.99156</v>
      </c>
      <c r="O4315" s="147">
        <v>0</v>
      </c>
      <c r="P4315" s="729"/>
      <c r="Q4315" s="147">
        <v>1.99156</v>
      </c>
      <c r="R4315" s="147">
        <v>0</v>
      </c>
    </row>
    <row r="4316" spans="2:18" ht="15.75" hidden="1" thickBot="1" x14ac:dyDescent="0.3">
      <c r="B4316" s="725" t="s">
        <v>804</v>
      </c>
      <c r="C4316" s="722" t="s">
        <v>137</v>
      </c>
      <c r="D4316" t="s">
        <v>138</v>
      </c>
      <c r="E4316" s="148">
        <v>0.30737999999999999</v>
      </c>
      <c r="F4316" s="148">
        <v>0.18</v>
      </c>
      <c r="G4316" s="148">
        <v>0.12737999999999999</v>
      </c>
      <c r="H4316" s="148">
        <v>70.766666666666666</v>
      </c>
      <c r="I4316" s="728"/>
      <c r="J4316" s="148">
        <v>0.30737999999999999</v>
      </c>
      <c r="K4316" s="148">
        <v>0</v>
      </c>
      <c r="L4316" s="148">
        <v>2.7473800000000002</v>
      </c>
      <c r="M4316" s="148">
        <v>2.16</v>
      </c>
      <c r="N4316" s="148">
        <v>0.58738000000000001</v>
      </c>
      <c r="O4316" s="148">
        <v>27.19351851851852</v>
      </c>
      <c r="P4316" s="148">
        <v>1.0496799999999999</v>
      </c>
      <c r="Q4316" s="148">
        <v>1.6977</v>
      </c>
      <c r="R4316" s="148">
        <v>161.73500495389072</v>
      </c>
    </row>
    <row r="4317" spans="2:18" ht="15.75" hidden="1" thickBot="1" x14ac:dyDescent="0.3">
      <c r="B4317" s="725" t="s">
        <v>804</v>
      </c>
      <c r="C4317" s="722" t="s">
        <v>190</v>
      </c>
      <c r="D4317" t="s">
        <v>191</v>
      </c>
      <c r="E4317" s="147">
        <v>6.16493</v>
      </c>
      <c r="F4317" s="147">
        <v>2.5833300000000001</v>
      </c>
      <c r="G4317" s="147">
        <v>3.5815999999999999</v>
      </c>
      <c r="H4317" s="147">
        <v>138.64275953904456</v>
      </c>
      <c r="I4317" s="729"/>
      <c r="J4317" s="147">
        <v>6.16493</v>
      </c>
      <c r="K4317" s="147">
        <v>0</v>
      </c>
      <c r="L4317" s="147">
        <v>67.933689999999999</v>
      </c>
      <c r="M4317" s="147">
        <v>30.999960000000002</v>
      </c>
      <c r="N4317" s="147">
        <v>36.933729999999997</v>
      </c>
      <c r="O4317" s="147">
        <v>119.14121824673322</v>
      </c>
      <c r="P4317" s="147">
        <v>30.843309999999999</v>
      </c>
      <c r="Q4317" s="147">
        <v>37.090380000000003</v>
      </c>
      <c r="R4317" s="147">
        <v>120.25421396082326</v>
      </c>
    </row>
    <row r="4318" spans="2:18" ht="15.75" hidden="1" thickBot="1" x14ac:dyDescent="0.3">
      <c r="B4318" s="725" t="s">
        <v>804</v>
      </c>
      <c r="C4318" s="722" t="s">
        <v>36</v>
      </c>
      <c r="D4318" t="s">
        <v>192</v>
      </c>
      <c r="E4318" s="728"/>
      <c r="F4318" s="148">
        <v>0.36110999999999999</v>
      </c>
      <c r="G4318" s="148">
        <v>-0.36110999999999999</v>
      </c>
      <c r="H4318" s="148">
        <v>-100</v>
      </c>
      <c r="I4318" s="728"/>
      <c r="J4318" s="728"/>
      <c r="K4318" s="728"/>
      <c r="L4318" s="148">
        <v>0.58730000000000004</v>
      </c>
      <c r="M4318" s="148">
        <v>4.3333199999999996</v>
      </c>
      <c r="N4318" s="148">
        <v>-3.7460200000000001</v>
      </c>
      <c r="O4318" s="148">
        <v>-86.446881375019615</v>
      </c>
      <c r="P4318" s="728"/>
      <c r="Q4318" s="148">
        <v>0.58730000000000004</v>
      </c>
      <c r="R4318" s="148">
        <v>0</v>
      </c>
    </row>
    <row r="4319" spans="2:18" ht="15.75" hidden="1" thickBot="1" x14ac:dyDescent="0.3">
      <c r="B4319" s="725" t="s">
        <v>804</v>
      </c>
      <c r="C4319" s="722" t="s">
        <v>139</v>
      </c>
      <c r="D4319" t="s">
        <v>140</v>
      </c>
      <c r="E4319" s="729"/>
      <c r="F4319" s="729"/>
      <c r="G4319" s="729"/>
      <c r="H4319" s="729"/>
      <c r="I4319" s="729"/>
      <c r="J4319" s="729"/>
      <c r="K4319" s="729"/>
      <c r="L4319" s="147">
        <v>0.1</v>
      </c>
      <c r="M4319" s="729"/>
      <c r="N4319" s="147">
        <v>0.1</v>
      </c>
      <c r="O4319" s="147">
        <v>0</v>
      </c>
      <c r="P4319" s="729"/>
      <c r="Q4319" s="147">
        <v>0.1</v>
      </c>
      <c r="R4319" s="147">
        <v>0</v>
      </c>
    </row>
    <row r="4320" spans="2:18" ht="15.75" hidden="1" thickBot="1" x14ac:dyDescent="0.3">
      <c r="B4320" s="725" t="s">
        <v>804</v>
      </c>
      <c r="C4320" s="722" t="s">
        <v>101</v>
      </c>
      <c r="D4320" t="s">
        <v>102</v>
      </c>
      <c r="E4320" s="148">
        <v>4.9549500000000002</v>
      </c>
      <c r="F4320" s="148">
        <v>15</v>
      </c>
      <c r="G4320" s="148">
        <v>-10.04505</v>
      </c>
      <c r="H4320" s="148">
        <v>-66.966999999999999</v>
      </c>
      <c r="I4320" s="728"/>
      <c r="J4320" s="148">
        <v>4.9549500000000002</v>
      </c>
      <c r="K4320" s="148">
        <v>0</v>
      </c>
      <c r="L4320" s="148">
        <v>189.18168</v>
      </c>
      <c r="M4320" s="148">
        <v>180</v>
      </c>
      <c r="N4320" s="148">
        <v>9.1816800000000001</v>
      </c>
      <c r="O4320" s="148">
        <v>5.1009333333333338</v>
      </c>
      <c r="P4320" s="148">
        <v>65.863370000000003</v>
      </c>
      <c r="Q4320" s="148">
        <v>123.31831</v>
      </c>
      <c r="R4320" s="148">
        <v>187.23352600998098</v>
      </c>
    </row>
    <row r="4321" spans="2:18" ht="15.75" hidden="1" thickBot="1" x14ac:dyDescent="0.3">
      <c r="B4321" s="725" t="s">
        <v>804</v>
      </c>
      <c r="C4321" s="722" t="s">
        <v>462</v>
      </c>
      <c r="D4321" t="s">
        <v>463</v>
      </c>
      <c r="E4321" s="729"/>
      <c r="F4321" s="729"/>
      <c r="G4321" s="729"/>
      <c r="H4321" s="729"/>
      <c r="I4321" s="729"/>
      <c r="J4321" s="729"/>
      <c r="K4321" s="729"/>
      <c r="L4321" s="147">
        <v>13.121</v>
      </c>
      <c r="M4321" s="729"/>
      <c r="N4321" s="147">
        <v>13.121</v>
      </c>
      <c r="O4321" s="147">
        <v>0</v>
      </c>
      <c r="P4321" s="729"/>
      <c r="Q4321" s="147">
        <v>13.121</v>
      </c>
      <c r="R4321" s="147">
        <v>0</v>
      </c>
    </row>
    <row r="4322" spans="2:18" ht="15.75" hidden="1" thickBot="1" x14ac:dyDescent="0.3">
      <c r="B4322" s="725" t="s">
        <v>804</v>
      </c>
      <c r="C4322" s="722" t="s">
        <v>617</v>
      </c>
      <c r="D4322" t="s">
        <v>618</v>
      </c>
      <c r="E4322" s="148">
        <v>0.26</v>
      </c>
      <c r="F4322" s="728"/>
      <c r="G4322" s="148">
        <v>0.26</v>
      </c>
      <c r="H4322" s="148">
        <v>0</v>
      </c>
      <c r="I4322" s="728"/>
      <c r="J4322" s="148">
        <v>0.26</v>
      </c>
      <c r="K4322" s="148">
        <v>0</v>
      </c>
      <c r="L4322" s="148">
        <v>1.3</v>
      </c>
      <c r="M4322" s="728"/>
      <c r="N4322" s="148">
        <v>1.3</v>
      </c>
      <c r="O4322" s="148">
        <v>0</v>
      </c>
      <c r="P4322" s="728"/>
      <c r="Q4322" s="148">
        <v>1.3</v>
      </c>
      <c r="R4322" s="148">
        <v>0</v>
      </c>
    </row>
    <row r="4323" spans="2:18" ht="15.75" hidden="1" thickBot="1" x14ac:dyDescent="0.3">
      <c r="B4323" s="725" t="s">
        <v>804</v>
      </c>
      <c r="C4323" s="722" t="s">
        <v>195</v>
      </c>
      <c r="D4323" t="s">
        <v>196</v>
      </c>
      <c r="E4323" s="147">
        <v>-0.85085</v>
      </c>
      <c r="F4323" s="729"/>
      <c r="G4323" s="147">
        <v>-0.85085</v>
      </c>
      <c r="H4323" s="147">
        <v>0</v>
      </c>
      <c r="I4323" s="729"/>
      <c r="J4323" s="147">
        <v>-0.85085</v>
      </c>
      <c r="K4323" s="147">
        <v>0</v>
      </c>
      <c r="L4323" s="147">
        <v>0.15</v>
      </c>
      <c r="M4323" s="729"/>
      <c r="N4323" s="147">
        <v>0.15</v>
      </c>
      <c r="O4323" s="147">
        <v>0</v>
      </c>
      <c r="P4323" s="729"/>
      <c r="Q4323" s="147">
        <v>0.15</v>
      </c>
      <c r="R4323" s="147">
        <v>0</v>
      </c>
    </row>
    <row r="4324" spans="2:18" ht="15.75" hidden="1" thickBot="1" x14ac:dyDescent="0.3">
      <c r="B4324" s="725" t="s">
        <v>804</v>
      </c>
      <c r="C4324" s="722" t="s">
        <v>464</v>
      </c>
      <c r="D4324" t="s">
        <v>465</v>
      </c>
      <c r="E4324" s="728"/>
      <c r="F4324" s="148">
        <v>1.2</v>
      </c>
      <c r="G4324" s="148">
        <v>-1.2</v>
      </c>
      <c r="H4324" s="148">
        <v>-100</v>
      </c>
      <c r="I4324" s="728"/>
      <c r="J4324" s="728"/>
      <c r="K4324" s="728"/>
      <c r="L4324" s="148">
        <v>0.50380999999999998</v>
      </c>
      <c r="M4324" s="148">
        <v>20.8</v>
      </c>
      <c r="N4324" s="148">
        <v>-20.296189999999999</v>
      </c>
      <c r="O4324" s="148">
        <v>-97.57783653846154</v>
      </c>
      <c r="P4324" s="728"/>
      <c r="Q4324" s="148">
        <v>0.50380999999999998</v>
      </c>
      <c r="R4324" s="148">
        <v>0</v>
      </c>
    </row>
    <row r="4325" spans="2:18" ht="15.75" hidden="1" thickBot="1" x14ac:dyDescent="0.3">
      <c r="B4325" s="725" t="s">
        <v>804</v>
      </c>
      <c r="C4325" s="722" t="s">
        <v>71</v>
      </c>
      <c r="D4325" t="s">
        <v>72</v>
      </c>
      <c r="E4325" s="729"/>
      <c r="F4325" s="729"/>
      <c r="G4325" s="729"/>
      <c r="H4325" s="729"/>
      <c r="I4325" s="729"/>
      <c r="J4325" s="729"/>
      <c r="K4325" s="729"/>
      <c r="L4325" s="147">
        <v>0</v>
      </c>
      <c r="M4325" s="729"/>
      <c r="N4325" s="147">
        <v>0</v>
      </c>
      <c r="O4325" s="147">
        <v>0</v>
      </c>
      <c r="P4325" s="147">
        <v>0.18859999999999999</v>
      </c>
      <c r="Q4325" s="147">
        <v>-0.18859999999999999</v>
      </c>
      <c r="R4325" s="147">
        <v>-100</v>
      </c>
    </row>
    <row r="4326" spans="2:18" ht="15.75" hidden="1" thickBot="1" x14ac:dyDescent="0.3">
      <c r="B4326" s="725" t="s">
        <v>804</v>
      </c>
      <c r="C4326" s="722" t="s">
        <v>627</v>
      </c>
      <c r="D4326" t="s">
        <v>628</v>
      </c>
      <c r="E4326" s="148">
        <v>10.175560000000001</v>
      </c>
      <c r="F4326" s="148">
        <v>10</v>
      </c>
      <c r="G4326" s="148">
        <v>0.17555999999999999</v>
      </c>
      <c r="H4326" s="148">
        <v>1.7556</v>
      </c>
      <c r="I4326" s="728"/>
      <c r="J4326" s="148">
        <v>10.175560000000001</v>
      </c>
      <c r="K4326" s="148">
        <v>0</v>
      </c>
      <c r="L4326" s="148">
        <v>145.17261999999999</v>
      </c>
      <c r="M4326" s="148">
        <v>135</v>
      </c>
      <c r="N4326" s="148">
        <v>10.17262</v>
      </c>
      <c r="O4326" s="148">
        <v>7.5352740740740742</v>
      </c>
      <c r="P4326" s="148">
        <v>77.182659999999998</v>
      </c>
      <c r="Q4326" s="148">
        <v>67.989959999999996</v>
      </c>
      <c r="R4326" s="148">
        <v>88.089682319837124</v>
      </c>
    </row>
    <row r="4327" spans="2:18" ht="15.75" hidden="1" thickBot="1" x14ac:dyDescent="0.3">
      <c r="B4327" s="725" t="s">
        <v>804</v>
      </c>
      <c r="C4327" s="722" t="s">
        <v>109</v>
      </c>
      <c r="D4327" t="s">
        <v>110</v>
      </c>
      <c r="E4327" s="147">
        <v>0.58628000000000002</v>
      </c>
      <c r="F4327" s="729"/>
      <c r="G4327" s="147">
        <v>0.58628000000000002</v>
      </c>
      <c r="H4327" s="147">
        <v>0</v>
      </c>
      <c r="I4327" s="729"/>
      <c r="J4327" s="147">
        <v>0.58628000000000002</v>
      </c>
      <c r="K4327" s="147">
        <v>0</v>
      </c>
      <c r="L4327" s="147">
        <v>2.7732399999999999</v>
      </c>
      <c r="M4327" s="729"/>
      <c r="N4327" s="147">
        <v>2.7732399999999999</v>
      </c>
      <c r="O4327" s="147">
        <v>0</v>
      </c>
      <c r="P4327" s="147">
        <v>1.8401799999999999</v>
      </c>
      <c r="Q4327" s="147">
        <v>0.93306</v>
      </c>
      <c r="R4327" s="147">
        <v>50.704822354334901</v>
      </c>
    </row>
    <row r="4328" spans="2:18" ht="15.75" hidden="1" thickBot="1" x14ac:dyDescent="0.3">
      <c r="B4328" s="725" t="s">
        <v>804</v>
      </c>
      <c r="C4328" s="722" t="s">
        <v>73</v>
      </c>
      <c r="D4328" t="s">
        <v>74</v>
      </c>
      <c r="E4328" s="148">
        <v>0.50439000000000001</v>
      </c>
      <c r="F4328" s="728"/>
      <c r="G4328" s="148">
        <v>0.50439000000000001</v>
      </c>
      <c r="H4328" s="148">
        <v>0</v>
      </c>
      <c r="I4328" s="728"/>
      <c r="J4328" s="148">
        <v>0.50439000000000001</v>
      </c>
      <c r="K4328" s="148">
        <v>0</v>
      </c>
      <c r="L4328" s="148">
        <v>3.4783200000000001</v>
      </c>
      <c r="M4328" s="728"/>
      <c r="N4328" s="148">
        <v>3.4783200000000001</v>
      </c>
      <c r="O4328" s="148">
        <v>0</v>
      </c>
      <c r="P4328" s="148">
        <v>1.1821200000000001</v>
      </c>
      <c r="Q4328" s="148">
        <v>2.2961999999999998</v>
      </c>
      <c r="R4328" s="148">
        <v>194.24423916353669</v>
      </c>
    </row>
    <row r="4329" spans="2:18" ht="15.75" hidden="1" thickBot="1" x14ac:dyDescent="0.3">
      <c r="B4329" s="725" t="s">
        <v>804</v>
      </c>
      <c r="C4329" s="722" t="s">
        <v>113</v>
      </c>
      <c r="D4329" t="s">
        <v>114</v>
      </c>
      <c r="E4329" s="147">
        <v>0.27917999999999998</v>
      </c>
      <c r="F4329" s="729"/>
      <c r="G4329" s="147">
        <v>0.27917999999999998</v>
      </c>
      <c r="H4329" s="147">
        <v>0</v>
      </c>
      <c r="I4329" s="729"/>
      <c r="J4329" s="147">
        <v>0.27917999999999998</v>
      </c>
      <c r="K4329" s="147">
        <v>0</v>
      </c>
      <c r="L4329" s="147">
        <v>1.92717</v>
      </c>
      <c r="M4329" s="729"/>
      <c r="N4329" s="147">
        <v>1.92717</v>
      </c>
      <c r="O4329" s="147">
        <v>0</v>
      </c>
      <c r="P4329" s="147">
        <v>0.98036999999999996</v>
      </c>
      <c r="Q4329" s="147">
        <v>0.94679999999999997</v>
      </c>
      <c r="R4329" s="147">
        <v>96.57578261268705</v>
      </c>
    </row>
    <row r="4330" spans="2:18" ht="15.75" hidden="1" thickBot="1" x14ac:dyDescent="0.3">
      <c r="B4330" s="725" t="s">
        <v>804</v>
      </c>
      <c r="C4330" s="722" t="s">
        <v>201</v>
      </c>
      <c r="D4330" t="s">
        <v>202</v>
      </c>
      <c r="E4330" s="728"/>
      <c r="F4330" s="148">
        <v>0.33333000000000002</v>
      </c>
      <c r="G4330" s="148">
        <v>-0.33333000000000002</v>
      </c>
      <c r="H4330" s="148">
        <v>-100</v>
      </c>
      <c r="I4330" s="728"/>
      <c r="J4330" s="728"/>
      <c r="K4330" s="728"/>
      <c r="L4330" s="148">
        <v>3.5724999999999998</v>
      </c>
      <c r="M4330" s="148">
        <v>3.9999600000000002</v>
      </c>
      <c r="N4330" s="148">
        <v>-0.42746000000000001</v>
      </c>
      <c r="O4330" s="148">
        <v>-10.686606866068662</v>
      </c>
      <c r="P4330" s="148">
        <v>3.5724999999999998</v>
      </c>
      <c r="Q4330" s="148">
        <v>0</v>
      </c>
      <c r="R4330" s="148">
        <v>0</v>
      </c>
    </row>
    <row r="4331" spans="2:18" ht="15.75" hidden="1" thickBot="1" x14ac:dyDescent="0.3">
      <c r="B4331" s="725" t="s">
        <v>804</v>
      </c>
      <c r="C4331" s="722" t="s">
        <v>629</v>
      </c>
      <c r="D4331" t="s">
        <v>630</v>
      </c>
      <c r="E4331" s="729"/>
      <c r="F4331" s="729"/>
      <c r="G4331" s="729"/>
      <c r="H4331" s="729"/>
      <c r="I4331" s="729"/>
      <c r="J4331" s="729"/>
      <c r="K4331" s="729"/>
      <c r="L4331" s="147">
        <v>12.78598</v>
      </c>
      <c r="M4331" s="729"/>
      <c r="N4331" s="147">
        <v>12.78598</v>
      </c>
      <c r="O4331" s="147">
        <v>0</v>
      </c>
      <c r="P4331" s="729"/>
      <c r="Q4331" s="147">
        <v>12.78598</v>
      </c>
      <c r="R4331" s="147">
        <v>0</v>
      </c>
    </row>
    <row r="4332" spans="2:18" ht="15.75" hidden="1" thickBot="1" x14ac:dyDescent="0.3">
      <c r="B4332" s="725" t="s">
        <v>804</v>
      </c>
      <c r="C4332" s="722" t="s">
        <v>145</v>
      </c>
      <c r="D4332" t="s">
        <v>146</v>
      </c>
      <c r="E4332" s="148">
        <v>1.2800000000000001E-2</v>
      </c>
      <c r="F4332" s="728"/>
      <c r="G4332" s="148">
        <v>1.2800000000000001E-2</v>
      </c>
      <c r="H4332" s="148">
        <v>0</v>
      </c>
      <c r="I4332" s="728"/>
      <c r="J4332" s="148">
        <v>1.2800000000000001E-2</v>
      </c>
      <c r="K4332" s="148">
        <v>0</v>
      </c>
      <c r="L4332" s="148">
        <v>7.0199999999999999E-2</v>
      </c>
      <c r="M4332" s="728"/>
      <c r="N4332" s="148">
        <v>7.0199999999999999E-2</v>
      </c>
      <c r="O4332" s="148">
        <v>0</v>
      </c>
      <c r="P4332" s="148">
        <v>1.7999999999999999E-2</v>
      </c>
      <c r="Q4332" s="148">
        <v>5.2200000000000003E-2</v>
      </c>
      <c r="R4332" s="148">
        <v>290</v>
      </c>
    </row>
    <row r="4333" spans="2:18" ht="15.75" hidden="1" thickBot="1" x14ac:dyDescent="0.3">
      <c r="B4333" s="725" t="s">
        <v>804</v>
      </c>
      <c r="C4333" s="722" t="s">
        <v>203</v>
      </c>
      <c r="D4333" t="s">
        <v>204</v>
      </c>
      <c r="E4333" s="147">
        <v>0.14599999999999999</v>
      </c>
      <c r="F4333" s="729"/>
      <c r="G4333" s="147">
        <v>0.14599999999999999</v>
      </c>
      <c r="H4333" s="147">
        <v>0</v>
      </c>
      <c r="I4333" s="729"/>
      <c r="J4333" s="147">
        <v>0.14599999999999999</v>
      </c>
      <c r="K4333" s="147">
        <v>0</v>
      </c>
      <c r="L4333" s="147">
        <v>0.20089000000000001</v>
      </c>
      <c r="M4333" s="729"/>
      <c r="N4333" s="147">
        <v>0.20089000000000001</v>
      </c>
      <c r="O4333" s="147">
        <v>0</v>
      </c>
      <c r="P4333" s="729"/>
      <c r="Q4333" s="147">
        <v>0.20089000000000001</v>
      </c>
      <c r="R4333" s="147">
        <v>0</v>
      </c>
    </row>
    <row r="4334" spans="2:18" ht="15.75" hidden="1" thickBot="1" x14ac:dyDescent="0.3">
      <c r="B4334" s="725" t="s">
        <v>804</v>
      </c>
      <c r="C4334" s="722" t="s">
        <v>149</v>
      </c>
      <c r="D4334" t="s">
        <v>150</v>
      </c>
      <c r="E4334" s="148">
        <v>116.21915</v>
      </c>
      <c r="F4334" s="148">
        <v>4</v>
      </c>
      <c r="G4334" s="148">
        <v>112.21915</v>
      </c>
      <c r="H4334" s="148">
        <v>2805.4787500000002</v>
      </c>
      <c r="I4334" s="728"/>
      <c r="J4334" s="148">
        <v>116.21915</v>
      </c>
      <c r="K4334" s="148">
        <v>0</v>
      </c>
      <c r="L4334" s="148">
        <v>351.14281999999997</v>
      </c>
      <c r="M4334" s="148">
        <v>48</v>
      </c>
      <c r="N4334" s="148">
        <v>303.14281999999997</v>
      </c>
      <c r="O4334" s="148">
        <v>631.54754166666669</v>
      </c>
      <c r="P4334" s="148">
        <v>60.40587</v>
      </c>
      <c r="Q4334" s="148">
        <v>290.73694999999998</v>
      </c>
      <c r="R4334" s="148">
        <v>481.30579031474923</v>
      </c>
    </row>
    <row r="4335" spans="2:18" ht="15.75" hidden="1" thickBot="1" x14ac:dyDescent="0.3">
      <c r="B4335" s="725" t="s">
        <v>804</v>
      </c>
      <c r="C4335" s="722" t="s">
        <v>205</v>
      </c>
      <c r="D4335" t="s">
        <v>206</v>
      </c>
      <c r="E4335" s="147">
        <v>22.583159999999999</v>
      </c>
      <c r="F4335" s="147">
        <v>20</v>
      </c>
      <c r="G4335" s="147">
        <v>2.5831599999999999</v>
      </c>
      <c r="H4335" s="147">
        <v>12.915800000000001</v>
      </c>
      <c r="I4335" s="729"/>
      <c r="J4335" s="147">
        <v>22.583159999999999</v>
      </c>
      <c r="K4335" s="147">
        <v>0</v>
      </c>
      <c r="L4335" s="147">
        <v>260.82927999999998</v>
      </c>
      <c r="M4335" s="147">
        <v>240</v>
      </c>
      <c r="N4335" s="147">
        <v>20.829280000000001</v>
      </c>
      <c r="O4335" s="147">
        <v>8.6788666666666661</v>
      </c>
      <c r="P4335" s="147">
        <v>125.34945999999999</v>
      </c>
      <c r="Q4335" s="147">
        <v>135.47981999999999</v>
      </c>
      <c r="R4335" s="147">
        <v>108.08169416924493</v>
      </c>
    </row>
    <row r="4336" spans="2:18" ht="15.75" hidden="1" thickBot="1" x14ac:dyDescent="0.3">
      <c r="B4336" s="725" t="s">
        <v>804</v>
      </c>
      <c r="C4336" s="722" t="s">
        <v>173</v>
      </c>
      <c r="D4336" t="s">
        <v>174</v>
      </c>
      <c r="E4336" s="148">
        <v>0.315</v>
      </c>
      <c r="F4336" s="148">
        <v>0.27500000000000002</v>
      </c>
      <c r="G4336" s="148">
        <v>0.04</v>
      </c>
      <c r="H4336" s="148">
        <v>14.545454545454545</v>
      </c>
      <c r="I4336" s="728"/>
      <c r="J4336" s="148">
        <v>0.315</v>
      </c>
      <c r="K4336" s="148">
        <v>0</v>
      </c>
      <c r="L4336" s="148">
        <v>1.7347300000000001</v>
      </c>
      <c r="M4336" s="148">
        <v>3.3</v>
      </c>
      <c r="N4336" s="148">
        <v>-1.5652699999999999</v>
      </c>
      <c r="O4336" s="148">
        <v>-47.43242424242424</v>
      </c>
      <c r="P4336" s="148">
        <v>0.72862000000000005</v>
      </c>
      <c r="Q4336" s="148">
        <v>1.0061100000000001</v>
      </c>
      <c r="R4336" s="148">
        <v>138.0843237901787</v>
      </c>
    </row>
    <row r="4337" spans="2:18" ht="15.75" hidden="1" thickBot="1" x14ac:dyDescent="0.3">
      <c r="B4337" s="725" t="s">
        <v>804</v>
      </c>
      <c r="C4337" s="722" t="s">
        <v>151</v>
      </c>
      <c r="D4337" t="s">
        <v>152</v>
      </c>
      <c r="E4337" s="729"/>
      <c r="F4337" s="147">
        <v>0</v>
      </c>
      <c r="G4337" s="147">
        <v>0</v>
      </c>
      <c r="H4337" s="147">
        <v>0</v>
      </c>
      <c r="I4337" s="729"/>
      <c r="J4337" s="729"/>
      <c r="K4337" s="729"/>
      <c r="L4337" s="147">
        <v>72.760319999999993</v>
      </c>
      <c r="M4337" s="147">
        <v>90.2</v>
      </c>
      <c r="N4337" s="147">
        <v>-17.439679999999999</v>
      </c>
      <c r="O4337" s="147">
        <v>-19.334456762749447</v>
      </c>
      <c r="P4337" s="147">
        <v>4.11557</v>
      </c>
      <c r="Q4337" s="147">
        <v>68.644750000000002</v>
      </c>
      <c r="R4337" s="147">
        <v>1667.9281363213358</v>
      </c>
    </row>
    <row r="4338" spans="2:18" ht="15.75" hidden="1" thickBot="1" x14ac:dyDescent="0.3">
      <c r="B4338" s="725" t="s">
        <v>804</v>
      </c>
      <c r="C4338" s="722" t="s">
        <v>175</v>
      </c>
      <c r="D4338" t="s">
        <v>176</v>
      </c>
      <c r="E4338" s="148">
        <v>0.23805000000000001</v>
      </c>
      <c r="F4338" s="728"/>
      <c r="G4338" s="148">
        <v>0.23805000000000001</v>
      </c>
      <c r="H4338" s="148">
        <v>0</v>
      </c>
      <c r="I4338" s="728"/>
      <c r="J4338" s="148">
        <v>0.23805000000000001</v>
      </c>
      <c r="K4338" s="148">
        <v>0</v>
      </c>
      <c r="L4338" s="148">
        <v>14.58202</v>
      </c>
      <c r="M4338" s="728"/>
      <c r="N4338" s="148">
        <v>14.58202</v>
      </c>
      <c r="O4338" s="148">
        <v>0</v>
      </c>
      <c r="P4338" s="148">
        <v>11.03904</v>
      </c>
      <c r="Q4338" s="148">
        <v>3.54298</v>
      </c>
      <c r="R4338" s="148">
        <v>32.09500101458098</v>
      </c>
    </row>
    <row r="4339" spans="2:18" ht="15.75" hidden="1" thickBot="1" x14ac:dyDescent="0.3">
      <c r="B4339" s="725" t="s">
        <v>804</v>
      </c>
      <c r="C4339" s="722" t="s">
        <v>655</v>
      </c>
      <c r="D4339" t="s">
        <v>656</v>
      </c>
      <c r="E4339" s="729"/>
      <c r="F4339" s="729"/>
      <c r="G4339" s="729"/>
      <c r="H4339" s="729"/>
      <c r="I4339" s="729"/>
      <c r="J4339" s="729"/>
      <c r="K4339" s="729"/>
      <c r="L4339" s="147">
        <v>-0.13588</v>
      </c>
      <c r="M4339" s="729"/>
      <c r="N4339" s="147">
        <v>-0.13588</v>
      </c>
      <c r="O4339" s="147">
        <v>0</v>
      </c>
      <c r="P4339" s="729"/>
      <c r="Q4339" s="147">
        <v>-0.13588</v>
      </c>
      <c r="R4339" s="147">
        <v>0</v>
      </c>
    </row>
    <row r="4340" spans="2:18" ht="15.75" hidden="1" thickBot="1" x14ac:dyDescent="0.3">
      <c r="B4340" s="725" t="s">
        <v>804</v>
      </c>
      <c r="C4340" s="722" t="s">
        <v>673</v>
      </c>
      <c r="D4340" t="s">
        <v>674</v>
      </c>
      <c r="E4340" s="148">
        <v>1.12948</v>
      </c>
      <c r="F4340" s="148">
        <v>3</v>
      </c>
      <c r="G4340" s="148">
        <v>-1.87052</v>
      </c>
      <c r="H4340" s="148">
        <v>-62.350666666666669</v>
      </c>
      <c r="I4340" s="728"/>
      <c r="J4340" s="148">
        <v>1.12948</v>
      </c>
      <c r="K4340" s="148">
        <v>0</v>
      </c>
      <c r="L4340" s="148">
        <v>23.412759999999999</v>
      </c>
      <c r="M4340" s="148">
        <v>36</v>
      </c>
      <c r="N4340" s="148">
        <v>-12.58724</v>
      </c>
      <c r="O4340" s="148">
        <v>-34.964555555555556</v>
      </c>
      <c r="P4340" s="148">
        <v>9.6740899999999996</v>
      </c>
      <c r="Q4340" s="148">
        <v>13.738670000000001</v>
      </c>
      <c r="R4340" s="148">
        <v>142.01511459992619</v>
      </c>
    </row>
    <row r="4341" spans="2:18" ht="15.75" hidden="1" thickBot="1" x14ac:dyDescent="0.3">
      <c r="B4341" s="725" t="s">
        <v>804</v>
      </c>
      <c r="C4341" s="722" t="s">
        <v>75</v>
      </c>
      <c r="D4341" t="s">
        <v>76</v>
      </c>
      <c r="E4341" s="147">
        <v>0.34426000000000001</v>
      </c>
      <c r="F4341" s="147">
        <v>0.5</v>
      </c>
      <c r="G4341" s="147">
        <v>-0.15573999999999999</v>
      </c>
      <c r="H4341" s="147">
        <v>-31.148</v>
      </c>
      <c r="I4341" s="729"/>
      <c r="J4341" s="147">
        <v>0.34426000000000001</v>
      </c>
      <c r="K4341" s="147">
        <v>0</v>
      </c>
      <c r="L4341" s="147">
        <v>3.0867300000000002</v>
      </c>
      <c r="M4341" s="147">
        <v>6</v>
      </c>
      <c r="N4341" s="147">
        <v>-2.9132699999999998</v>
      </c>
      <c r="O4341" s="147">
        <v>-48.554499999999997</v>
      </c>
      <c r="P4341" s="147">
        <v>1.32195</v>
      </c>
      <c r="Q4341" s="147">
        <v>1.76478</v>
      </c>
      <c r="R4341" s="147">
        <v>133.49824123453988</v>
      </c>
    </row>
    <row r="4342" spans="2:18" ht="15.75" hidden="1" thickBot="1" x14ac:dyDescent="0.3">
      <c r="B4342" s="725" t="s">
        <v>804</v>
      </c>
      <c r="C4342" s="722" t="s">
        <v>77</v>
      </c>
      <c r="D4342" t="s">
        <v>78</v>
      </c>
      <c r="E4342" s="728"/>
      <c r="F4342" s="728"/>
      <c r="G4342" s="728"/>
      <c r="H4342" s="728"/>
      <c r="I4342" s="728"/>
      <c r="J4342" s="728"/>
      <c r="K4342" s="728"/>
      <c r="L4342" s="148">
        <v>1.5931</v>
      </c>
      <c r="M4342" s="728"/>
      <c r="N4342" s="148">
        <v>1.5931</v>
      </c>
      <c r="O4342" s="148">
        <v>0</v>
      </c>
      <c r="P4342" s="148">
        <v>1.1451</v>
      </c>
      <c r="Q4342" s="148">
        <v>0.44800000000000001</v>
      </c>
      <c r="R4342" s="148">
        <v>39.123220679416647</v>
      </c>
    </row>
    <row r="4343" spans="2:18" ht="15.75" hidden="1" thickBot="1" x14ac:dyDescent="0.3">
      <c r="B4343" s="725" t="s">
        <v>804</v>
      </c>
      <c r="C4343" s="722" t="s">
        <v>79</v>
      </c>
      <c r="D4343" t="s">
        <v>80</v>
      </c>
      <c r="E4343" s="147">
        <v>2.1350000000000001E-2</v>
      </c>
      <c r="F4343" s="729"/>
      <c r="G4343" s="147">
        <v>2.1350000000000001E-2</v>
      </c>
      <c r="H4343" s="147">
        <v>0</v>
      </c>
      <c r="I4343" s="729"/>
      <c r="J4343" s="147">
        <v>2.1350000000000001E-2</v>
      </c>
      <c r="K4343" s="147">
        <v>0</v>
      </c>
      <c r="L4343" s="147">
        <v>3.7057899999999999</v>
      </c>
      <c r="M4343" s="729"/>
      <c r="N4343" s="147">
        <v>3.7057899999999999</v>
      </c>
      <c r="O4343" s="147">
        <v>0</v>
      </c>
      <c r="P4343" s="729"/>
      <c r="Q4343" s="147">
        <v>3.7057899999999999</v>
      </c>
      <c r="R4343" s="147">
        <v>0</v>
      </c>
    </row>
    <row r="4344" spans="2:18" ht="15.75" hidden="1" thickBot="1" x14ac:dyDescent="0.3">
      <c r="B4344" s="725" t="s">
        <v>804</v>
      </c>
      <c r="C4344" s="722" t="s">
        <v>81</v>
      </c>
      <c r="D4344" t="s">
        <v>82</v>
      </c>
      <c r="E4344" s="148">
        <v>1.4617</v>
      </c>
      <c r="F4344" s="728"/>
      <c r="G4344" s="148">
        <v>1.4617</v>
      </c>
      <c r="H4344" s="148">
        <v>0</v>
      </c>
      <c r="I4344" s="728"/>
      <c r="J4344" s="148">
        <v>1.4617</v>
      </c>
      <c r="K4344" s="148">
        <v>0</v>
      </c>
      <c r="L4344" s="148">
        <v>1.4617</v>
      </c>
      <c r="M4344" s="728"/>
      <c r="N4344" s="148">
        <v>1.4617</v>
      </c>
      <c r="O4344" s="148">
        <v>0</v>
      </c>
      <c r="P4344" s="728"/>
      <c r="Q4344" s="148">
        <v>1.4617</v>
      </c>
      <c r="R4344" s="148">
        <v>0</v>
      </c>
    </row>
    <row r="4345" spans="2:18" ht="15.75" hidden="1" thickBot="1" x14ac:dyDescent="0.3">
      <c r="B4345" s="725" t="s">
        <v>804</v>
      </c>
      <c r="C4345" s="722" t="s">
        <v>123</v>
      </c>
      <c r="D4345" t="s">
        <v>124</v>
      </c>
      <c r="E4345" s="147">
        <v>0.24951000000000001</v>
      </c>
      <c r="F4345" s="729"/>
      <c r="G4345" s="147">
        <v>0.24951000000000001</v>
      </c>
      <c r="H4345" s="147">
        <v>0</v>
      </c>
      <c r="I4345" s="729"/>
      <c r="J4345" s="147">
        <v>0.24951000000000001</v>
      </c>
      <c r="K4345" s="147">
        <v>0</v>
      </c>
      <c r="L4345" s="147">
        <v>0.24951000000000001</v>
      </c>
      <c r="M4345" s="729"/>
      <c r="N4345" s="147">
        <v>0.24951000000000001</v>
      </c>
      <c r="O4345" s="147">
        <v>0</v>
      </c>
      <c r="P4345" s="729"/>
      <c r="Q4345" s="147">
        <v>0.24951000000000001</v>
      </c>
      <c r="R4345" s="147">
        <v>0</v>
      </c>
    </row>
    <row r="4346" spans="2:18" ht="15.75" hidden="1" thickBot="1" x14ac:dyDescent="0.3">
      <c r="B4346" s="725" t="s">
        <v>804</v>
      </c>
      <c r="C4346" s="722" t="s">
        <v>209</v>
      </c>
      <c r="D4346" t="s">
        <v>210</v>
      </c>
      <c r="E4346" s="148">
        <v>6.2640000000000001E-2</v>
      </c>
      <c r="F4346" s="728"/>
      <c r="G4346" s="148">
        <v>6.2640000000000001E-2</v>
      </c>
      <c r="H4346" s="148">
        <v>0</v>
      </c>
      <c r="I4346" s="728"/>
      <c r="J4346" s="148">
        <v>6.2640000000000001E-2</v>
      </c>
      <c r="K4346" s="148">
        <v>0</v>
      </c>
      <c r="L4346" s="148">
        <v>0.11015999999999999</v>
      </c>
      <c r="M4346" s="728"/>
      <c r="N4346" s="148">
        <v>0.11015999999999999</v>
      </c>
      <c r="O4346" s="148">
        <v>0</v>
      </c>
      <c r="P4346" s="728"/>
      <c r="Q4346" s="148">
        <v>0.11015999999999999</v>
      </c>
      <c r="R4346" s="148">
        <v>0</v>
      </c>
    </row>
    <row r="4347" spans="2:18" ht="15.75" hidden="1" thickBot="1" x14ac:dyDescent="0.3">
      <c r="B4347" s="725" t="s">
        <v>804</v>
      </c>
      <c r="C4347" s="722" t="s">
        <v>211</v>
      </c>
      <c r="D4347" t="s">
        <v>212</v>
      </c>
      <c r="E4347" s="729"/>
      <c r="F4347" s="729"/>
      <c r="G4347" s="729"/>
      <c r="H4347" s="729"/>
      <c r="I4347" s="729"/>
      <c r="J4347" s="729"/>
      <c r="K4347" s="729"/>
      <c r="L4347" s="147">
        <v>0</v>
      </c>
      <c r="M4347" s="729"/>
      <c r="N4347" s="147">
        <v>0</v>
      </c>
      <c r="O4347" s="147">
        <v>0</v>
      </c>
      <c r="P4347" s="729"/>
      <c r="Q4347" s="147">
        <v>0</v>
      </c>
      <c r="R4347" s="147">
        <v>0</v>
      </c>
    </row>
    <row r="4348" spans="2:18" ht="15.75" hidden="1" thickBot="1" x14ac:dyDescent="0.3">
      <c r="B4348" s="725" t="s">
        <v>804</v>
      </c>
      <c r="C4348" s="722" t="s">
        <v>213</v>
      </c>
      <c r="D4348" t="s">
        <v>214</v>
      </c>
      <c r="E4348" s="148">
        <v>-6.2640000000000001E-2</v>
      </c>
      <c r="F4348" s="728"/>
      <c r="G4348" s="148">
        <v>-6.2640000000000001E-2</v>
      </c>
      <c r="H4348" s="148">
        <v>0</v>
      </c>
      <c r="I4348" s="728"/>
      <c r="J4348" s="148">
        <v>-6.2640000000000001E-2</v>
      </c>
      <c r="K4348" s="148">
        <v>0</v>
      </c>
      <c r="L4348" s="148">
        <v>-0.17927999999999999</v>
      </c>
      <c r="M4348" s="728"/>
      <c r="N4348" s="148">
        <v>-0.17927999999999999</v>
      </c>
      <c r="O4348" s="148">
        <v>0</v>
      </c>
      <c r="P4348" s="148">
        <v>-6.9120000000000001E-2</v>
      </c>
      <c r="Q4348" s="148">
        <v>-0.11015999999999999</v>
      </c>
      <c r="R4348" s="148">
        <v>-159.375</v>
      </c>
    </row>
    <row r="4349" spans="2:18" ht="15.75" hidden="1" thickBot="1" x14ac:dyDescent="0.3">
      <c r="B4349" s="725" t="s">
        <v>804</v>
      </c>
      <c r="C4349" s="722" t="s">
        <v>83</v>
      </c>
      <c r="D4349" t="s">
        <v>84</v>
      </c>
      <c r="E4349" s="729"/>
      <c r="F4349" s="147">
        <v>0.3</v>
      </c>
      <c r="G4349" s="147">
        <v>-0.3</v>
      </c>
      <c r="H4349" s="147">
        <v>-100</v>
      </c>
      <c r="I4349" s="729"/>
      <c r="J4349" s="729"/>
      <c r="K4349" s="729"/>
      <c r="L4349" s="729"/>
      <c r="M4349" s="147">
        <v>3.6</v>
      </c>
      <c r="N4349" s="147">
        <v>-3.6</v>
      </c>
      <c r="O4349" s="147">
        <v>-100</v>
      </c>
      <c r="P4349" s="729"/>
      <c r="Q4349" s="729"/>
      <c r="R4349" s="729"/>
    </row>
    <row r="4350" spans="2:18" ht="15.75" hidden="1" thickBot="1" x14ac:dyDescent="0.3">
      <c r="B4350" s="725" t="s">
        <v>804</v>
      </c>
      <c r="C4350" s="149" t="s">
        <v>85</v>
      </c>
      <c r="D4350" t="s">
        <v>86</v>
      </c>
      <c r="E4350" s="148">
        <v>176.5582</v>
      </c>
      <c r="F4350" s="148">
        <v>65.232770000000002</v>
      </c>
      <c r="G4350" s="148">
        <v>111.32543</v>
      </c>
      <c r="H4350" s="148">
        <v>170.65875019564552</v>
      </c>
      <c r="I4350" s="728"/>
      <c r="J4350" s="148">
        <v>176.5582</v>
      </c>
      <c r="K4350" s="148">
        <v>0</v>
      </c>
      <c r="L4350" s="148">
        <v>1393.2741699999999</v>
      </c>
      <c r="M4350" s="148">
        <v>894.39323999999999</v>
      </c>
      <c r="N4350" s="148">
        <v>498.88092999999998</v>
      </c>
      <c r="O4350" s="148">
        <v>55.77870087658534</v>
      </c>
      <c r="P4350" s="148">
        <v>475.73282</v>
      </c>
      <c r="Q4350" s="148">
        <v>917.54134999999997</v>
      </c>
      <c r="R4350" s="148">
        <v>192.86904569670008</v>
      </c>
    </row>
    <row r="4351" spans="2:18" ht="15.75" hidden="1" thickBot="1" x14ac:dyDescent="0.3">
      <c r="B4351" s="725" t="s">
        <v>804</v>
      </c>
      <c r="C4351" s="144" t="s">
        <v>87</v>
      </c>
      <c r="D4351" t="s">
        <v>87</v>
      </c>
      <c r="E4351" s="147">
        <v>361.43581999999998</v>
      </c>
      <c r="F4351" s="147">
        <v>199.80932000000001</v>
      </c>
      <c r="G4351" s="147">
        <v>161.62649999999999</v>
      </c>
      <c r="H4351" s="147">
        <v>80.890370879596603</v>
      </c>
      <c r="I4351" s="729"/>
      <c r="J4351" s="147">
        <v>361.43581999999998</v>
      </c>
      <c r="K4351" s="147">
        <v>0</v>
      </c>
      <c r="L4351" s="147">
        <v>3387.57636</v>
      </c>
      <c r="M4351" s="147">
        <v>2469.8595999999998</v>
      </c>
      <c r="N4351" s="147">
        <v>917.71676000000002</v>
      </c>
      <c r="O4351" s="147">
        <v>37.156636757814091</v>
      </c>
      <c r="P4351" s="147">
        <v>1401.5417399999999</v>
      </c>
      <c r="Q4351" s="147">
        <v>1986.0346199999999</v>
      </c>
      <c r="R4351" s="147">
        <v>141.70356567475471</v>
      </c>
    </row>
    <row r="4352" spans="2:18" ht="15.75" hidden="1" thickBot="1" x14ac:dyDescent="0.3">
      <c r="B4352" s="725" t="s">
        <v>805</v>
      </c>
      <c r="C4352" s="722" t="s">
        <v>91</v>
      </c>
      <c r="D4352" t="s">
        <v>92</v>
      </c>
      <c r="E4352" s="728"/>
      <c r="F4352" s="148">
        <v>7.4673400000000001</v>
      </c>
      <c r="G4352" s="148">
        <v>-7.4673400000000001</v>
      </c>
      <c r="H4352" s="148">
        <v>-100</v>
      </c>
      <c r="I4352" s="728"/>
      <c r="J4352" s="728"/>
      <c r="K4352" s="728"/>
      <c r="L4352" s="728"/>
      <c r="M4352" s="148">
        <v>14.717180000000001</v>
      </c>
      <c r="N4352" s="148">
        <v>-14.717180000000001</v>
      </c>
      <c r="O4352" s="148">
        <v>-100</v>
      </c>
      <c r="P4352" s="728"/>
      <c r="Q4352" s="728"/>
      <c r="R4352" s="728"/>
    </row>
    <row r="4353" spans="2:18" ht="15.75" hidden="1" thickBot="1" x14ac:dyDescent="0.3">
      <c r="B4353" s="725" t="s">
        <v>805</v>
      </c>
      <c r="C4353" s="722" t="s">
        <v>93</v>
      </c>
      <c r="D4353" t="s">
        <v>94</v>
      </c>
      <c r="E4353" s="729"/>
      <c r="F4353" s="147">
        <v>0.63653999999999999</v>
      </c>
      <c r="G4353" s="147">
        <v>-0.63653999999999999</v>
      </c>
      <c r="H4353" s="147">
        <v>-100</v>
      </c>
      <c r="I4353" s="729"/>
      <c r="J4353" s="729"/>
      <c r="K4353" s="729"/>
      <c r="L4353" s="729"/>
      <c r="M4353" s="147">
        <v>1.25454</v>
      </c>
      <c r="N4353" s="147">
        <v>-1.25454</v>
      </c>
      <c r="O4353" s="147">
        <v>-100</v>
      </c>
      <c r="P4353" s="729"/>
      <c r="Q4353" s="729"/>
      <c r="R4353" s="729"/>
    </row>
    <row r="4354" spans="2:18" ht="15.75" hidden="1" thickBot="1" x14ac:dyDescent="0.3">
      <c r="B4354" s="725" t="s">
        <v>805</v>
      </c>
      <c r="C4354" s="722" t="s">
        <v>61</v>
      </c>
      <c r="D4354" t="s">
        <v>62</v>
      </c>
      <c r="E4354" s="728"/>
      <c r="F4354" s="148">
        <v>1.15744</v>
      </c>
      <c r="G4354" s="148">
        <v>-1.15744</v>
      </c>
      <c r="H4354" s="148">
        <v>-100</v>
      </c>
      <c r="I4354" s="728"/>
      <c r="J4354" s="728"/>
      <c r="K4354" s="728"/>
      <c r="L4354" s="728"/>
      <c r="M4354" s="148">
        <v>2.2811699999999999</v>
      </c>
      <c r="N4354" s="148">
        <v>-2.2811699999999999</v>
      </c>
      <c r="O4354" s="148">
        <v>-100</v>
      </c>
      <c r="P4354" s="728"/>
      <c r="Q4354" s="728"/>
      <c r="R4354" s="728"/>
    </row>
    <row r="4355" spans="2:18" ht="15.75" hidden="1" thickBot="1" x14ac:dyDescent="0.3">
      <c r="B4355" s="725" t="s">
        <v>805</v>
      </c>
      <c r="C4355" s="722" t="s">
        <v>63</v>
      </c>
      <c r="D4355" t="s">
        <v>64</v>
      </c>
      <c r="E4355" s="729"/>
      <c r="F4355" s="147">
        <v>4.5028100000000002</v>
      </c>
      <c r="G4355" s="147">
        <v>-4.5028100000000002</v>
      </c>
      <c r="H4355" s="147">
        <v>-100</v>
      </c>
      <c r="I4355" s="729"/>
      <c r="J4355" s="729"/>
      <c r="K4355" s="729"/>
      <c r="L4355" s="729"/>
      <c r="M4355" s="147">
        <v>8.8744599999999991</v>
      </c>
      <c r="N4355" s="147">
        <v>-8.8744599999999991</v>
      </c>
      <c r="O4355" s="147">
        <v>-100</v>
      </c>
      <c r="P4355" s="729"/>
      <c r="Q4355" s="729"/>
      <c r="R4355" s="729"/>
    </row>
    <row r="4356" spans="2:18" ht="15.75" hidden="1" thickBot="1" x14ac:dyDescent="0.3">
      <c r="B4356" s="725" t="s">
        <v>805</v>
      </c>
      <c r="C4356" s="722" t="s">
        <v>182</v>
      </c>
      <c r="D4356" t="s">
        <v>183</v>
      </c>
      <c r="E4356" s="728"/>
      <c r="F4356" s="728"/>
      <c r="G4356" s="728"/>
      <c r="H4356" s="728"/>
      <c r="I4356" s="728"/>
      <c r="J4356" s="728"/>
      <c r="K4356" s="728"/>
      <c r="L4356" s="148">
        <v>0</v>
      </c>
      <c r="M4356" s="728"/>
      <c r="N4356" s="148">
        <v>0</v>
      </c>
      <c r="O4356" s="148">
        <v>0</v>
      </c>
      <c r="P4356" s="728"/>
      <c r="Q4356" s="148">
        <v>0</v>
      </c>
      <c r="R4356" s="148">
        <v>0</v>
      </c>
    </row>
    <row r="4357" spans="2:18" ht="15.75" hidden="1" thickBot="1" x14ac:dyDescent="0.3">
      <c r="B4357" s="725" t="s">
        <v>805</v>
      </c>
      <c r="C4357" s="722" t="s">
        <v>184</v>
      </c>
      <c r="D4357" t="s">
        <v>185</v>
      </c>
      <c r="E4357" s="729"/>
      <c r="F4357" s="729"/>
      <c r="G4357" s="729"/>
      <c r="H4357" s="729"/>
      <c r="I4357" s="729"/>
      <c r="J4357" s="729"/>
      <c r="K4357" s="729"/>
      <c r="L4357" s="147">
        <v>1.71472</v>
      </c>
      <c r="M4357" s="729"/>
      <c r="N4357" s="147">
        <v>1.71472</v>
      </c>
      <c r="O4357" s="147">
        <v>0</v>
      </c>
      <c r="P4357" s="147">
        <v>1.71472</v>
      </c>
      <c r="Q4357" s="147">
        <v>0</v>
      </c>
      <c r="R4357" s="147">
        <v>0</v>
      </c>
    </row>
    <row r="4358" spans="2:18" ht="15.75" hidden="1" thickBot="1" x14ac:dyDescent="0.3">
      <c r="B4358" s="725" t="s">
        <v>805</v>
      </c>
      <c r="C4358" s="722" t="s">
        <v>161</v>
      </c>
      <c r="D4358" t="s">
        <v>162</v>
      </c>
      <c r="E4358" s="728"/>
      <c r="F4358" s="728"/>
      <c r="G4358" s="728"/>
      <c r="H4358" s="728"/>
      <c r="I4358" s="728"/>
      <c r="J4358" s="728"/>
      <c r="K4358" s="728"/>
      <c r="L4358" s="148">
        <v>0.16678000000000001</v>
      </c>
      <c r="M4358" s="728"/>
      <c r="N4358" s="148">
        <v>0.16678000000000001</v>
      </c>
      <c r="O4358" s="148">
        <v>0</v>
      </c>
      <c r="P4358" s="148">
        <v>0.16678000000000001</v>
      </c>
      <c r="Q4358" s="148">
        <v>0</v>
      </c>
      <c r="R4358" s="148">
        <v>0</v>
      </c>
    </row>
    <row r="4359" spans="2:18" ht="15.75" hidden="1" thickBot="1" x14ac:dyDescent="0.3">
      <c r="B4359" s="725" t="s">
        <v>805</v>
      </c>
      <c r="C4359" s="149" t="s">
        <v>67</v>
      </c>
      <c r="D4359" t="s">
        <v>68</v>
      </c>
      <c r="E4359" s="729"/>
      <c r="F4359" s="147">
        <v>13.76413</v>
      </c>
      <c r="G4359" s="147">
        <v>-13.76413</v>
      </c>
      <c r="H4359" s="147">
        <v>-100</v>
      </c>
      <c r="I4359" s="729"/>
      <c r="J4359" s="729"/>
      <c r="K4359" s="729"/>
      <c r="L4359" s="147">
        <v>1.8815</v>
      </c>
      <c r="M4359" s="147">
        <v>27.12735</v>
      </c>
      <c r="N4359" s="147">
        <v>-25.245850000000001</v>
      </c>
      <c r="O4359" s="147">
        <v>-93.064195360033324</v>
      </c>
      <c r="P4359" s="147">
        <v>1.8815</v>
      </c>
      <c r="Q4359" s="147">
        <v>0</v>
      </c>
      <c r="R4359" s="147">
        <v>0</v>
      </c>
    </row>
    <row r="4360" spans="2:18" ht="15.75" hidden="1" thickBot="1" x14ac:dyDescent="0.3">
      <c r="B4360" s="725" t="s">
        <v>805</v>
      </c>
      <c r="C4360" s="722" t="s">
        <v>103</v>
      </c>
      <c r="D4360" t="s">
        <v>104</v>
      </c>
      <c r="E4360" s="728"/>
      <c r="F4360" s="148">
        <v>25</v>
      </c>
      <c r="G4360" s="148">
        <v>-25</v>
      </c>
      <c r="H4360" s="148">
        <v>-100</v>
      </c>
      <c r="I4360" s="728"/>
      <c r="J4360" s="728"/>
      <c r="K4360" s="728"/>
      <c r="L4360" s="728"/>
      <c r="M4360" s="148">
        <v>50</v>
      </c>
      <c r="N4360" s="148">
        <v>-50</v>
      </c>
      <c r="O4360" s="148">
        <v>-100</v>
      </c>
      <c r="P4360" s="728"/>
      <c r="Q4360" s="728"/>
      <c r="R4360" s="728"/>
    </row>
    <row r="4361" spans="2:18" ht="15.75" hidden="1" thickBot="1" x14ac:dyDescent="0.3">
      <c r="B4361" s="725" t="s">
        <v>805</v>
      </c>
      <c r="C4361" s="722" t="s">
        <v>209</v>
      </c>
      <c r="D4361" t="s">
        <v>210</v>
      </c>
      <c r="E4361" s="729"/>
      <c r="F4361" s="729"/>
      <c r="G4361" s="729"/>
      <c r="H4361" s="729"/>
      <c r="I4361" s="729"/>
      <c r="J4361" s="729"/>
      <c r="K4361" s="729"/>
      <c r="L4361" s="147">
        <v>0</v>
      </c>
      <c r="M4361" s="729"/>
      <c r="N4361" s="147">
        <v>0</v>
      </c>
      <c r="O4361" s="147">
        <v>0</v>
      </c>
      <c r="P4361" s="729"/>
      <c r="Q4361" s="147">
        <v>0</v>
      </c>
      <c r="R4361" s="147">
        <v>0</v>
      </c>
    </row>
    <row r="4362" spans="2:18" ht="15.75" hidden="1" thickBot="1" x14ac:dyDescent="0.3">
      <c r="B4362" s="725" t="s">
        <v>805</v>
      </c>
      <c r="C4362" s="149" t="s">
        <v>85</v>
      </c>
      <c r="D4362" t="s">
        <v>86</v>
      </c>
      <c r="E4362" s="728"/>
      <c r="F4362" s="148">
        <v>25</v>
      </c>
      <c r="G4362" s="148">
        <v>-25</v>
      </c>
      <c r="H4362" s="148">
        <v>-100</v>
      </c>
      <c r="I4362" s="728"/>
      <c r="J4362" s="728"/>
      <c r="K4362" s="728"/>
      <c r="L4362" s="148">
        <v>0</v>
      </c>
      <c r="M4362" s="148">
        <v>50</v>
      </c>
      <c r="N4362" s="148">
        <v>-50</v>
      </c>
      <c r="O4362" s="148">
        <v>-100</v>
      </c>
      <c r="P4362" s="728"/>
      <c r="Q4362" s="148">
        <v>0</v>
      </c>
      <c r="R4362" s="148">
        <v>0</v>
      </c>
    </row>
    <row r="4363" spans="2:18" ht="15.75" hidden="1" thickBot="1" x14ac:dyDescent="0.3">
      <c r="B4363" s="725" t="s">
        <v>805</v>
      </c>
      <c r="C4363" s="144" t="s">
        <v>87</v>
      </c>
      <c r="D4363" t="s">
        <v>87</v>
      </c>
      <c r="E4363" s="729"/>
      <c r="F4363" s="147">
        <v>38.764130000000002</v>
      </c>
      <c r="G4363" s="147">
        <v>-38.764130000000002</v>
      </c>
      <c r="H4363" s="147">
        <v>-100</v>
      </c>
      <c r="I4363" s="729"/>
      <c r="J4363" s="729"/>
      <c r="K4363" s="729"/>
      <c r="L4363" s="147">
        <v>1.8815</v>
      </c>
      <c r="M4363" s="147">
        <v>77.127350000000007</v>
      </c>
      <c r="N4363" s="147">
        <v>-75.245850000000004</v>
      </c>
      <c r="O4363" s="147">
        <v>-97.560528139499155</v>
      </c>
      <c r="P4363" s="147">
        <v>1.8815</v>
      </c>
      <c r="Q4363" s="147">
        <v>0</v>
      </c>
      <c r="R4363" s="147">
        <v>0</v>
      </c>
    </row>
    <row r="4364" spans="2:18" ht="15.75" hidden="1" thickBot="1" x14ac:dyDescent="0.3">
      <c r="B4364" s="724" t="s">
        <v>806</v>
      </c>
      <c r="C4364" s="722" t="s">
        <v>59</v>
      </c>
      <c r="D4364" t="s">
        <v>60</v>
      </c>
      <c r="E4364" s="148">
        <v>253.32954000000001</v>
      </c>
      <c r="F4364" s="148">
        <v>312.23563999999999</v>
      </c>
      <c r="G4364" s="148">
        <v>-58.906100000000002</v>
      </c>
      <c r="H4364" s="148">
        <v>-18.865911655696959</v>
      </c>
      <c r="I4364" s="728"/>
      <c r="J4364" s="148">
        <v>253.32954000000001</v>
      </c>
      <c r="K4364" s="148">
        <v>0</v>
      </c>
      <c r="L4364" s="148">
        <v>3688.4660600000002</v>
      </c>
      <c r="M4364" s="148">
        <v>3727.1712000000002</v>
      </c>
      <c r="N4364" s="148">
        <v>-38.70514</v>
      </c>
      <c r="O4364" s="148">
        <v>-1.0384588719723955</v>
      </c>
      <c r="P4364" s="148">
        <v>1868.05459</v>
      </c>
      <c r="Q4364" s="148">
        <v>1820.41147</v>
      </c>
      <c r="R4364" s="148">
        <v>97.449586310001791</v>
      </c>
    </row>
    <row r="4365" spans="2:18" ht="15.75" hidden="1" thickBot="1" x14ac:dyDescent="0.3">
      <c r="B4365" s="724" t="s">
        <v>806</v>
      </c>
      <c r="C4365" s="722" t="s">
        <v>566</v>
      </c>
      <c r="D4365" t="s">
        <v>567</v>
      </c>
      <c r="E4365" s="729"/>
      <c r="F4365" s="729"/>
      <c r="G4365" s="729"/>
      <c r="H4365" s="729"/>
      <c r="I4365" s="729"/>
      <c r="J4365" s="729"/>
      <c r="K4365" s="729"/>
      <c r="L4365" s="147">
        <v>0.18525</v>
      </c>
      <c r="M4365" s="729"/>
      <c r="N4365" s="147">
        <v>0.18525</v>
      </c>
      <c r="O4365" s="147">
        <v>0</v>
      </c>
      <c r="P4365" s="729"/>
      <c r="Q4365" s="147">
        <v>0.18525</v>
      </c>
      <c r="R4365" s="147">
        <v>0</v>
      </c>
    </row>
    <row r="4366" spans="2:18" ht="15.75" hidden="1" thickBot="1" x14ac:dyDescent="0.3">
      <c r="B4366" s="724" t="s">
        <v>806</v>
      </c>
      <c r="C4366" s="722" t="s">
        <v>89</v>
      </c>
      <c r="D4366" t="s">
        <v>90</v>
      </c>
      <c r="E4366" s="148">
        <v>-5.5219999999999998E-2</v>
      </c>
      <c r="F4366" s="728"/>
      <c r="G4366" s="148">
        <v>-5.5219999999999998E-2</v>
      </c>
      <c r="H4366" s="148">
        <v>0</v>
      </c>
      <c r="I4366" s="728"/>
      <c r="J4366" s="148">
        <v>-5.5219999999999998E-2</v>
      </c>
      <c r="K4366" s="148">
        <v>0</v>
      </c>
      <c r="L4366" s="148">
        <v>2.0030800000000002</v>
      </c>
      <c r="M4366" s="728"/>
      <c r="N4366" s="148">
        <v>2.0030800000000002</v>
      </c>
      <c r="O4366" s="148">
        <v>0</v>
      </c>
      <c r="P4366" s="148">
        <v>0.24279000000000001</v>
      </c>
      <c r="Q4366" s="148">
        <v>1.7602899999999999</v>
      </c>
      <c r="R4366" s="148">
        <v>725.02574241113723</v>
      </c>
    </row>
    <row r="4367" spans="2:18" ht="15.75" hidden="1" thickBot="1" x14ac:dyDescent="0.3">
      <c r="B4367" s="724" t="s">
        <v>806</v>
      </c>
      <c r="C4367" s="722" t="s">
        <v>91</v>
      </c>
      <c r="D4367" t="s">
        <v>92</v>
      </c>
      <c r="E4367" s="147">
        <v>195.60503</v>
      </c>
      <c r="F4367" s="147">
        <v>258.40983</v>
      </c>
      <c r="G4367" s="147">
        <v>-62.8048</v>
      </c>
      <c r="H4367" s="147">
        <v>-24.304338577212793</v>
      </c>
      <c r="I4367" s="729"/>
      <c r="J4367" s="147">
        <v>195.60503</v>
      </c>
      <c r="K4367" s="147">
        <v>0</v>
      </c>
      <c r="L4367" s="147">
        <v>2856.0223099999998</v>
      </c>
      <c r="M4367" s="147">
        <v>3018.1265699999999</v>
      </c>
      <c r="N4367" s="147">
        <v>-162.10426000000001</v>
      </c>
      <c r="O4367" s="147">
        <v>-5.3710225943241339</v>
      </c>
      <c r="P4367" s="147">
        <v>1450.0779</v>
      </c>
      <c r="Q4367" s="147">
        <v>1405.9444100000001</v>
      </c>
      <c r="R4367" s="147">
        <v>96.956474545264086</v>
      </c>
    </row>
    <row r="4368" spans="2:18" ht="15.75" hidden="1" thickBot="1" x14ac:dyDescent="0.3">
      <c r="B4368" s="724" t="s">
        <v>806</v>
      </c>
      <c r="C4368" s="722" t="s">
        <v>93</v>
      </c>
      <c r="D4368" t="s">
        <v>94</v>
      </c>
      <c r="E4368" s="148">
        <v>13.823560000000001</v>
      </c>
      <c r="F4368" s="728"/>
      <c r="G4368" s="148">
        <v>13.823560000000001</v>
      </c>
      <c r="H4368" s="148">
        <v>0</v>
      </c>
      <c r="I4368" s="728"/>
      <c r="J4368" s="148">
        <v>13.823560000000001</v>
      </c>
      <c r="K4368" s="148">
        <v>0</v>
      </c>
      <c r="L4368" s="148">
        <v>212.52847</v>
      </c>
      <c r="M4368" s="728"/>
      <c r="N4368" s="148">
        <v>212.52847</v>
      </c>
      <c r="O4368" s="148">
        <v>0</v>
      </c>
      <c r="P4368" s="148">
        <v>101.20397</v>
      </c>
      <c r="Q4368" s="148">
        <v>111.3245</v>
      </c>
      <c r="R4368" s="148">
        <v>110.00013141776948</v>
      </c>
    </row>
    <row r="4369" spans="2:18" ht="15.75" hidden="1" thickBot="1" x14ac:dyDescent="0.3">
      <c r="B4369" s="724" t="s">
        <v>806</v>
      </c>
      <c r="C4369" s="722" t="s">
        <v>134</v>
      </c>
      <c r="D4369" t="s">
        <v>135</v>
      </c>
      <c r="E4369" s="147">
        <v>0.83333000000000002</v>
      </c>
      <c r="F4369" s="729"/>
      <c r="G4369" s="147">
        <v>0.83333000000000002</v>
      </c>
      <c r="H4369" s="147">
        <v>0</v>
      </c>
      <c r="I4369" s="729"/>
      <c r="J4369" s="147">
        <v>0.83333000000000002</v>
      </c>
      <c r="K4369" s="147">
        <v>0</v>
      </c>
      <c r="L4369" s="147">
        <v>16.597770000000001</v>
      </c>
      <c r="M4369" s="729"/>
      <c r="N4369" s="147">
        <v>16.597770000000001</v>
      </c>
      <c r="O4369" s="147">
        <v>0</v>
      </c>
      <c r="P4369" s="147">
        <v>7</v>
      </c>
      <c r="Q4369" s="147">
        <v>9.5977700000000006</v>
      </c>
      <c r="R4369" s="147">
        <v>137.11099999999999</v>
      </c>
    </row>
    <row r="4370" spans="2:18" ht="15.75" hidden="1" thickBot="1" x14ac:dyDescent="0.3">
      <c r="B4370" s="724" t="s">
        <v>806</v>
      </c>
      <c r="C4370" s="722" t="s">
        <v>95</v>
      </c>
      <c r="D4370" t="s">
        <v>96</v>
      </c>
      <c r="E4370" s="728"/>
      <c r="F4370" s="728"/>
      <c r="G4370" s="728"/>
      <c r="H4370" s="728"/>
      <c r="I4370" s="728"/>
      <c r="J4370" s="728"/>
      <c r="K4370" s="728"/>
      <c r="L4370" s="148">
        <v>0.12598999999999999</v>
      </c>
      <c r="M4370" s="728"/>
      <c r="N4370" s="148">
        <v>0.12598999999999999</v>
      </c>
      <c r="O4370" s="148">
        <v>0</v>
      </c>
      <c r="P4370" s="148">
        <v>0.12598999999999999</v>
      </c>
      <c r="Q4370" s="148">
        <v>0</v>
      </c>
      <c r="R4370" s="148">
        <v>0</v>
      </c>
    </row>
    <row r="4371" spans="2:18" ht="15.75" hidden="1" thickBot="1" x14ac:dyDescent="0.3">
      <c r="B4371" s="724" t="s">
        <v>806</v>
      </c>
      <c r="C4371" s="722" t="s">
        <v>61</v>
      </c>
      <c r="D4371" t="s">
        <v>62</v>
      </c>
      <c r="E4371" s="147">
        <v>86.398809999999997</v>
      </c>
      <c r="F4371" s="147">
        <v>88.450050000000005</v>
      </c>
      <c r="G4371" s="147">
        <v>-2.05124</v>
      </c>
      <c r="H4371" s="147">
        <v>-2.3190942232367306</v>
      </c>
      <c r="I4371" s="729"/>
      <c r="J4371" s="147">
        <v>86.398809999999997</v>
      </c>
      <c r="K4371" s="147">
        <v>0</v>
      </c>
      <c r="L4371" s="147">
        <v>1027.1594</v>
      </c>
      <c r="M4371" s="147">
        <v>1045.52124</v>
      </c>
      <c r="N4371" s="147">
        <v>-18.361840000000001</v>
      </c>
      <c r="O4371" s="147">
        <v>-1.7562378742300826</v>
      </c>
      <c r="P4371" s="147">
        <v>505.66827000000001</v>
      </c>
      <c r="Q4371" s="147">
        <v>521.49113</v>
      </c>
      <c r="R4371" s="147">
        <v>103.12909884577097</v>
      </c>
    </row>
    <row r="4372" spans="2:18" ht="15.75" hidden="1" thickBot="1" x14ac:dyDescent="0.3">
      <c r="B4372" s="724" t="s">
        <v>806</v>
      </c>
      <c r="C4372" s="722" t="s">
        <v>63</v>
      </c>
      <c r="D4372" t="s">
        <v>64</v>
      </c>
      <c r="E4372" s="148">
        <v>338.00071000000003</v>
      </c>
      <c r="F4372" s="148">
        <v>344.09922</v>
      </c>
      <c r="G4372" s="148">
        <v>-6.0985100000000001</v>
      </c>
      <c r="H4372" s="148">
        <v>-1.7723114862044733</v>
      </c>
      <c r="I4372" s="728"/>
      <c r="J4372" s="148">
        <v>338.00071000000003</v>
      </c>
      <c r="K4372" s="148">
        <v>0</v>
      </c>
      <c r="L4372" s="148">
        <v>4026.3193000000001</v>
      </c>
      <c r="M4372" s="148">
        <v>4067.4144999999999</v>
      </c>
      <c r="N4372" s="148">
        <v>-41.095199999999998</v>
      </c>
      <c r="O4372" s="148">
        <v>-1.0103519078274417</v>
      </c>
      <c r="P4372" s="148">
        <v>1981.26749</v>
      </c>
      <c r="Q4372" s="148">
        <v>2045.0518099999999</v>
      </c>
      <c r="R4372" s="148">
        <v>103.21936943506806</v>
      </c>
    </row>
    <row r="4373" spans="2:18" ht="15.75" hidden="1" thickBot="1" x14ac:dyDescent="0.3">
      <c r="B4373" s="724" t="s">
        <v>806</v>
      </c>
      <c r="C4373" s="722" t="s">
        <v>156</v>
      </c>
      <c r="D4373" t="s">
        <v>157</v>
      </c>
      <c r="E4373" s="147">
        <v>6.5775699999999997</v>
      </c>
      <c r="F4373" s="147">
        <v>1.97461</v>
      </c>
      <c r="G4373" s="147">
        <v>4.6029600000000004</v>
      </c>
      <c r="H4373" s="147">
        <v>233.10729713715619</v>
      </c>
      <c r="I4373" s="729"/>
      <c r="J4373" s="147">
        <v>6.5775699999999997</v>
      </c>
      <c r="K4373" s="147">
        <v>0</v>
      </c>
      <c r="L4373" s="147">
        <v>164.27234000000001</v>
      </c>
      <c r="M4373" s="147">
        <v>23.571020000000001</v>
      </c>
      <c r="N4373" s="147">
        <v>140.70132000000001</v>
      </c>
      <c r="O4373" s="147">
        <v>596.92503760974284</v>
      </c>
      <c r="P4373" s="147">
        <v>88.059269999999998</v>
      </c>
      <c r="Q4373" s="147">
        <v>76.213070000000002</v>
      </c>
      <c r="R4373" s="147">
        <v>86.547469675821745</v>
      </c>
    </row>
    <row r="4374" spans="2:18" ht="15.75" hidden="1" thickBot="1" x14ac:dyDescent="0.3">
      <c r="B4374" s="724" t="s">
        <v>806</v>
      </c>
      <c r="C4374" s="722" t="s">
        <v>182</v>
      </c>
      <c r="D4374" t="s">
        <v>183</v>
      </c>
      <c r="E4374" s="728"/>
      <c r="F4374" s="728"/>
      <c r="G4374" s="728"/>
      <c r="H4374" s="728"/>
      <c r="I4374" s="728"/>
      <c r="J4374" s="728"/>
      <c r="K4374" s="728"/>
      <c r="L4374" s="148">
        <v>3.93283</v>
      </c>
      <c r="M4374" s="728"/>
      <c r="N4374" s="148">
        <v>3.93283</v>
      </c>
      <c r="O4374" s="148">
        <v>0</v>
      </c>
      <c r="P4374" s="148">
        <v>0.56708000000000003</v>
      </c>
      <c r="Q4374" s="148">
        <v>3.3657499999999998</v>
      </c>
      <c r="R4374" s="148">
        <v>593.52295972349577</v>
      </c>
    </row>
    <row r="4375" spans="2:18" ht="15.75" hidden="1" thickBot="1" x14ac:dyDescent="0.3">
      <c r="B4375" s="724" t="s">
        <v>806</v>
      </c>
      <c r="C4375" s="722" t="s">
        <v>184</v>
      </c>
      <c r="D4375" t="s">
        <v>185</v>
      </c>
      <c r="E4375" s="147">
        <v>77.370949999999993</v>
      </c>
      <c r="F4375" s="147">
        <v>13.12388</v>
      </c>
      <c r="G4375" s="147">
        <v>64.247069999999994</v>
      </c>
      <c r="H4375" s="147">
        <v>489.54326007247857</v>
      </c>
      <c r="I4375" s="729"/>
      <c r="J4375" s="147">
        <v>77.370949999999993</v>
      </c>
      <c r="K4375" s="147">
        <v>0</v>
      </c>
      <c r="L4375" s="147">
        <v>1296.1599699999999</v>
      </c>
      <c r="M4375" s="147">
        <v>153.28192000000001</v>
      </c>
      <c r="N4375" s="147">
        <v>1142.87805</v>
      </c>
      <c r="O4375" s="147">
        <v>745.60525468365745</v>
      </c>
      <c r="P4375" s="147">
        <v>619.08172999999999</v>
      </c>
      <c r="Q4375" s="147">
        <v>677.07824000000005</v>
      </c>
      <c r="R4375" s="147">
        <v>109.36815079327248</v>
      </c>
    </row>
    <row r="4376" spans="2:18" ht="15.75" hidden="1" thickBot="1" x14ac:dyDescent="0.3">
      <c r="B4376" s="724" t="s">
        <v>806</v>
      </c>
      <c r="C4376" s="722" t="s">
        <v>161</v>
      </c>
      <c r="D4376" t="s">
        <v>162</v>
      </c>
      <c r="E4376" s="148">
        <v>1.08708</v>
      </c>
      <c r="F4376" s="728"/>
      <c r="G4376" s="148">
        <v>1.08708</v>
      </c>
      <c r="H4376" s="148">
        <v>0</v>
      </c>
      <c r="I4376" s="728"/>
      <c r="J4376" s="148">
        <v>1.08708</v>
      </c>
      <c r="K4376" s="148">
        <v>0</v>
      </c>
      <c r="L4376" s="148">
        <v>56.965820000000001</v>
      </c>
      <c r="M4376" s="728"/>
      <c r="N4376" s="148">
        <v>56.965820000000001</v>
      </c>
      <c r="O4376" s="148">
        <v>0</v>
      </c>
      <c r="P4376" s="148">
        <v>14.341760000000001</v>
      </c>
      <c r="Q4376" s="148">
        <v>42.62406</v>
      </c>
      <c r="R4376" s="148">
        <v>297.20243540541748</v>
      </c>
    </row>
    <row r="4377" spans="2:18" ht="15.75" hidden="1" thickBot="1" x14ac:dyDescent="0.3">
      <c r="B4377" s="724" t="s">
        <v>806</v>
      </c>
      <c r="C4377" s="722" t="s">
        <v>65</v>
      </c>
      <c r="D4377" t="s">
        <v>66</v>
      </c>
      <c r="E4377" s="147">
        <v>-359.22955999999999</v>
      </c>
      <c r="F4377" s="147">
        <v>-413.96604000000002</v>
      </c>
      <c r="G4377" s="147">
        <v>54.73648</v>
      </c>
      <c r="H4377" s="147">
        <v>13.222456605377582</v>
      </c>
      <c r="I4377" s="729"/>
      <c r="J4377" s="147">
        <v>-359.22955999999999</v>
      </c>
      <c r="K4377" s="147">
        <v>0</v>
      </c>
      <c r="L4377" s="147">
        <v>-5269.2978400000002</v>
      </c>
      <c r="M4377" s="147">
        <v>-4941.5316599999996</v>
      </c>
      <c r="N4377" s="147">
        <v>-327.76618000000002</v>
      </c>
      <c r="O4377" s="147">
        <v>-6.6328863711054318</v>
      </c>
      <c r="P4377" s="147">
        <v>-2611.8274200000001</v>
      </c>
      <c r="Q4377" s="147">
        <v>-2657.4704200000001</v>
      </c>
      <c r="R4377" s="147">
        <v>-101.74755037987923</v>
      </c>
    </row>
    <row r="4378" spans="2:18" ht="15.75" hidden="1" thickBot="1" x14ac:dyDescent="0.3">
      <c r="B4378" s="724" t="s">
        <v>806</v>
      </c>
      <c r="C4378" s="722" t="s">
        <v>186</v>
      </c>
      <c r="D4378" t="s">
        <v>187</v>
      </c>
      <c r="E4378" s="728"/>
      <c r="F4378" s="728"/>
      <c r="G4378" s="728"/>
      <c r="H4378" s="728"/>
      <c r="I4378" s="728"/>
      <c r="J4378" s="728"/>
      <c r="K4378" s="728"/>
      <c r="L4378" s="148">
        <v>-2.2505299999999999</v>
      </c>
      <c r="M4378" s="728"/>
      <c r="N4378" s="148">
        <v>-2.2505299999999999</v>
      </c>
      <c r="O4378" s="148">
        <v>0</v>
      </c>
      <c r="P4378" s="148">
        <v>-0.20058000000000001</v>
      </c>
      <c r="Q4378" s="148">
        <v>-2.0499499999999999</v>
      </c>
      <c r="R4378" s="148">
        <v>-1022.0111676139196</v>
      </c>
    </row>
    <row r="4379" spans="2:18" ht="15.75" hidden="1" thickBot="1" x14ac:dyDescent="0.3">
      <c r="B4379" s="724" t="s">
        <v>806</v>
      </c>
      <c r="C4379" s="722" t="s">
        <v>163</v>
      </c>
      <c r="D4379" t="s">
        <v>164</v>
      </c>
      <c r="E4379" s="147">
        <v>-355.63720999999998</v>
      </c>
      <c r="F4379" s="147">
        <v>-300.39702999999997</v>
      </c>
      <c r="G4379" s="147">
        <v>-55.240180000000002</v>
      </c>
      <c r="H4379" s="147">
        <v>-18.389056642803691</v>
      </c>
      <c r="I4379" s="729"/>
      <c r="J4379" s="147">
        <v>-355.63720999999998</v>
      </c>
      <c r="K4379" s="147">
        <v>0</v>
      </c>
      <c r="L4379" s="147">
        <v>-4605.6875399999999</v>
      </c>
      <c r="M4379" s="147">
        <v>-3508.5207399999999</v>
      </c>
      <c r="N4379" s="147">
        <v>-1097.1668</v>
      </c>
      <c r="O4379" s="147">
        <v>-31.271492498003589</v>
      </c>
      <c r="P4379" s="147">
        <v>-2333.3437100000001</v>
      </c>
      <c r="Q4379" s="147">
        <v>-2272.3438299999998</v>
      </c>
      <c r="R4379" s="147">
        <v>-97.385731054598892</v>
      </c>
    </row>
    <row r="4380" spans="2:18" ht="15.75" hidden="1" thickBot="1" x14ac:dyDescent="0.3">
      <c r="B4380" s="724" t="s">
        <v>806</v>
      </c>
      <c r="C4380" s="722" t="s">
        <v>97</v>
      </c>
      <c r="D4380" t="s">
        <v>98</v>
      </c>
      <c r="E4380" s="148">
        <v>-21.279170000000001</v>
      </c>
      <c r="F4380" s="728"/>
      <c r="G4380" s="148">
        <v>-21.279170000000001</v>
      </c>
      <c r="H4380" s="148">
        <v>0</v>
      </c>
      <c r="I4380" s="728"/>
      <c r="J4380" s="148">
        <v>-21.279170000000001</v>
      </c>
      <c r="K4380" s="148">
        <v>0</v>
      </c>
      <c r="L4380" s="148">
        <v>-244.25522000000001</v>
      </c>
      <c r="M4380" s="728"/>
      <c r="N4380" s="148">
        <v>-244.25522000000001</v>
      </c>
      <c r="O4380" s="148">
        <v>0</v>
      </c>
      <c r="P4380" s="148">
        <v>-107.65103000000001</v>
      </c>
      <c r="Q4380" s="148">
        <v>-136.60418999999999</v>
      </c>
      <c r="R4380" s="148">
        <v>-126.89538595218272</v>
      </c>
    </row>
    <row r="4381" spans="2:18" ht="15.75" hidden="1" thickBot="1" x14ac:dyDescent="0.3">
      <c r="B4381" s="724" t="s">
        <v>806</v>
      </c>
      <c r="C4381" s="149" t="s">
        <v>67</v>
      </c>
      <c r="D4381" t="s">
        <v>68</v>
      </c>
      <c r="E4381" s="147">
        <v>236.82542000000001</v>
      </c>
      <c r="F4381" s="147">
        <v>303.93016</v>
      </c>
      <c r="G4381" s="147">
        <v>-67.104740000000007</v>
      </c>
      <c r="H4381" s="147">
        <v>-22.078999991313793</v>
      </c>
      <c r="I4381" s="729"/>
      <c r="J4381" s="147">
        <v>236.82542000000001</v>
      </c>
      <c r="K4381" s="147">
        <v>0</v>
      </c>
      <c r="L4381" s="147">
        <v>3229.24746</v>
      </c>
      <c r="M4381" s="147">
        <v>3585.0340500000002</v>
      </c>
      <c r="N4381" s="147">
        <v>-355.78658999999999</v>
      </c>
      <c r="O4381" s="147">
        <v>-9.9242178745833662</v>
      </c>
      <c r="P4381" s="147">
        <v>1582.6681000000001</v>
      </c>
      <c r="Q4381" s="147">
        <v>1646.57936</v>
      </c>
      <c r="R4381" s="147">
        <v>104.0381972695349</v>
      </c>
    </row>
    <row r="4382" spans="2:18" ht="15.75" hidden="1" thickBot="1" x14ac:dyDescent="0.3">
      <c r="B4382" s="724" t="s">
        <v>806</v>
      </c>
      <c r="C4382" s="722" t="s">
        <v>69</v>
      </c>
      <c r="D4382" t="s">
        <v>70</v>
      </c>
      <c r="E4382" s="728"/>
      <c r="F4382" s="148">
        <v>0.2</v>
      </c>
      <c r="G4382" s="148">
        <v>-0.2</v>
      </c>
      <c r="H4382" s="148">
        <v>-100</v>
      </c>
      <c r="I4382" s="728"/>
      <c r="J4382" s="728"/>
      <c r="K4382" s="728"/>
      <c r="L4382" s="148">
        <v>5.7684499999999996</v>
      </c>
      <c r="M4382" s="148">
        <v>2.4</v>
      </c>
      <c r="N4382" s="148">
        <v>3.3684500000000002</v>
      </c>
      <c r="O4382" s="148">
        <v>140.35208333333333</v>
      </c>
      <c r="P4382" s="148">
        <v>0.75</v>
      </c>
      <c r="Q4382" s="148">
        <v>5.0184499999999996</v>
      </c>
      <c r="R4382" s="148">
        <v>669.12666666666667</v>
      </c>
    </row>
    <row r="4383" spans="2:18" ht="15.75" hidden="1" thickBot="1" x14ac:dyDescent="0.3">
      <c r="B4383" s="724" t="s">
        <v>806</v>
      </c>
      <c r="C4383" s="722" t="s">
        <v>582</v>
      </c>
      <c r="D4383" t="s">
        <v>583</v>
      </c>
      <c r="E4383" s="729"/>
      <c r="F4383" s="147">
        <v>0</v>
      </c>
      <c r="G4383" s="147">
        <v>0</v>
      </c>
      <c r="H4383" s="147">
        <v>0</v>
      </c>
      <c r="I4383" s="729"/>
      <c r="J4383" s="729"/>
      <c r="K4383" s="729"/>
      <c r="L4383" s="729"/>
      <c r="M4383" s="147">
        <v>0</v>
      </c>
      <c r="N4383" s="147">
        <v>0</v>
      </c>
      <c r="O4383" s="147">
        <v>0</v>
      </c>
      <c r="P4383" s="729"/>
      <c r="Q4383" s="729"/>
      <c r="R4383" s="729"/>
    </row>
    <row r="4384" spans="2:18" ht="15.75" hidden="1" thickBot="1" x14ac:dyDescent="0.3">
      <c r="B4384" s="724" t="s">
        <v>806</v>
      </c>
      <c r="C4384" s="722" t="s">
        <v>99</v>
      </c>
      <c r="D4384" t="s">
        <v>100</v>
      </c>
      <c r="E4384" s="148">
        <v>0.24127999999999999</v>
      </c>
      <c r="F4384" s="148">
        <v>2.25</v>
      </c>
      <c r="G4384" s="148">
        <v>-2.0087199999999998</v>
      </c>
      <c r="H4384" s="148">
        <v>-89.276444444444451</v>
      </c>
      <c r="I4384" s="728"/>
      <c r="J4384" s="148">
        <v>0.24127999999999999</v>
      </c>
      <c r="K4384" s="148">
        <v>0</v>
      </c>
      <c r="L4384" s="148">
        <v>97.919240000000002</v>
      </c>
      <c r="M4384" s="148">
        <v>61.5</v>
      </c>
      <c r="N4384" s="148">
        <v>36.419240000000002</v>
      </c>
      <c r="O4384" s="148">
        <v>59.218276422764227</v>
      </c>
      <c r="P4384" s="148">
        <v>41.488770000000002</v>
      </c>
      <c r="Q4384" s="148">
        <v>56.43047</v>
      </c>
      <c r="R4384" s="148">
        <v>136.01384181791843</v>
      </c>
    </row>
    <row r="4385" spans="2:18" ht="15.75" hidden="1" thickBot="1" x14ac:dyDescent="0.3">
      <c r="B4385" s="724" t="s">
        <v>806</v>
      </c>
      <c r="C4385" s="722" t="s">
        <v>165</v>
      </c>
      <c r="D4385" t="s">
        <v>166</v>
      </c>
      <c r="E4385" s="147">
        <v>1.2027600000000001</v>
      </c>
      <c r="F4385" s="729"/>
      <c r="G4385" s="147">
        <v>1.2027600000000001</v>
      </c>
      <c r="H4385" s="147">
        <v>0</v>
      </c>
      <c r="I4385" s="729"/>
      <c r="J4385" s="147">
        <v>1.2027600000000001</v>
      </c>
      <c r="K4385" s="147">
        <v>0</v>
      </c>
      <c r="L4385" s="147">
        <v>44.868690000000001</v>
      </c>
      <c r="M4385" s="729"/>
      <c r="N4385" s="147">
        <v>44.868690000000001</v>
      </c>
      <c r="O4385" s="147">
        <v>0</v>
      </c>
      <c r="P4385" s="147">
        <v>12.564909999999999</v>
      </c>
      <c r="Q4385" s="147">
        <v>32.303780000000003</v>
      </c>
      <c r="R4385" s="147">
        <v>257.09519606586917</v>
      </c>
    </row>
    <row r="4386" spans="2:18" ht="15.75" hidden="1" thickBot="1" x14ac:dyDescent="0.3">
      <c r="B4386" s="724" t="s">
        <v>806</v>
      </c>
      <c r="C4386" s="722" t="s">
        <v>188</v>
      </c>
      <c r="D4386" t="s">
        <v>189</v>
      </c>
      <c r="E4386" s="148">
        <v>7.6999999999999996E-4</v>
      </c>
      <c r="F4386" s="728"/>
      <c r="G4386" s="148">
        <v>7.6999999999999996E-4</v>
      </c>
      <c r="H4386" s="148">
        <v>0</v>
      </c>
      <c r="I4386" s="728"/>
      <c r="J4386" s="148">
        <v>7.6999999999999996E-4</v>
      </c>
      <c r="K4386" s="148">
        <v>0</v>
      </c>
      <c r="L4386" s="148">
        <v>10.559559999999999</v>
      </c>
      <c r="M4386" s="728"/>
      <c r="N4386" s="148">
        <v>10.559559999999999</v>
      </c>
      <c r="O4386" s="148">
        <v>0</v>
      </c>
      <c r="P4386" s="148">
        <v>4.9799999999999997E-2</v>
      </c>
      <c r="Q4386" s="148">
        <v>10.50976</v>
      </c>
      <c r="R4386" s="148">
        <v>21103.935742971888</v>
      </c>
    </row>
    <row r="4387" spans="2:18" ht="15.75" hidden="1" thickBot="1" x14ac:dyDescent="0.3">
      <c r="B4387" s="724" t="s">
        <v>806</v>
      </c>
      <c r="C4387" s="722" t="s">
        <v>584</v>
      </c>
      <c r="D4387" t="s">
        <v>585</v>
      </c>
      <c r="E4387" s="147">
        <v>4.0000000000000003E-5</v>
      </c>
      <c r="F4387" s="729"/>
      <c r="G4387" s="147">
        <v>4.0000000000000003E-5</v>
      </c>
      <c r="H4387" s="147">
        <v>0</v>
      </c>
      <c r="I4387" s="729"/>
      <c r="J4387" s="147">
        <v>4.0000000000000003E-5</v>
      </c>
      <c r="K4387" s="147">
        <v>0</v>
      </c>
      <c r="L4387" s="147">
        <v>1E-4</v>
      </c>
      <c r="M4387" s="729"/>
      <c r="N4387" s="147">
        <v>1E-4</v>
      </c>
      <c r="O4387" s="147">
        <v>0</v>
      </c>
      <c r="P4387" s="147">
        <v>6.0000000000000002E-5</v>
      </c>
      <c r="Q4387" s="147">
        <v>4.0000000000000003E-5</v>
      </c>
      <c r="R4387" s="147">
        <v>66.666666666666671</v>
      </c>
    </row>
    <row r="4388" spans="2:18" ht="15.75" hidden="1" thickBot="1" x14ac:dyDescent="0.3">
      <c r="B4388" s="724" t="s">
        <v>806</v>
      </c>
      <c r="C4388" s="722" t="s">
        <v>586</v>
      </c>
      <c r="D4388" t="s">
        <v>587</v>
      </c>
      <c r="E4388" s="728"/>
      <c r="F4388" s="728"/>
      <c r="G4388" s="728"/>
      <c r="H4388" s="728"/>
      <c r="I4388" s="728"/>
      <c r="J4388" s="728"/>
      <c r="K4388" s="728"/>
      <c r="L4388" s="148">
        <v>3.5434600000000001</v>
      </c>
      <c r="M4388" s="728"/>
      <c r="N4388" s="148">
        <v>3.5434600000000001</v>
      </c>
      <c r="O4388" s="148">
        <v>0</v>
      </c>
      <c r="P4388" s="148">
        <v>3.5434600000000001</v>
      </c>
      <c r="Q4388" s="148">
        <v>0</v>
      </c>
      <c r="R4388" s="148">
        <v>0</v>
      </c>
    </row>
    <row r="4389" spans="2:18" ht="15.75" hidden="1" thickBot="1" x14ac:dyDescent="0.3">
      <c r="B4389" s="724" t="s">
        <v>806</v>
      </c>
      <c r="C4389" s="722" t="s">
        <v>592</v>
      </c>
      <c r="D4389" t="s">
        <v>593</v>
      </c>
      <c r="E4389" s="729"/>
      <c r="F4389" s="729"/>
      <c r="G4389" s="729"/>
      <c r="H4389" s="729"/>
      <c r="I4389" s="729"/>
      <c r="J4389" s="729"/>
      <c r="K4389" s="729"/>
      <c r="L4389" s="147">
        <v>4.7488000000000001</v>
      </c>
      <c r="M4389" s="729"/>
      <c r="N4389" s="147">
        <v>4.7488000000000001</v>
      </c>
      <c r="O4389" s="147">
        <v>0</v>
      </c>
      <c r="P4389" s="147">
        <v>0.32262999999999997</v>
      </c>
      <c r="Q4389" s="147">
        <v>4.4261699999999999</v>
      </c>
      <c r="R4389" s="147">
        <v>1371.9027988717726</v>
      </c>
    </row>
    <row r="4390" spans="2:18" ht="15.75" hidden="1" thickBot="1" x14ac:dyDescent="0.3">
      <c r="B4390" s="724" t="s">
        <v>806</v>
      </c>
      <c r="C4390" s="722" t="s">
        <v>137</v>
      </c>
      <c r="D4390" t="s">
        <v>138</v>
      </c>
      <c r="E4390" s="148">
        <v>0.20111000000000001</v>
      </c>
      <c r="F4390" s="148">
        <v>0.75</v>
      </c>
      <c r="G4390" s="148">
        <v>-0.54888999999999999</v>
      </c>
      <c r="H4390" s="148">
        <v>-73.185333333333332</v>
      </c>
      <c r="I4390" s="728"/>
      <c r="J4390" s="148">
        <v>0.20111000000000001</v>
      </c>
      <c r="K4390" s="148">
        <v>0</v>
      </c>
      <c r="L4390" s="148">
        <v>4.6335699999999997</v>
      </c>
      <c r="M4390" s="148">
        <v>11.7</v>
      </c>
      <c r="N4390" s="148">
        <v>-7.0664300000000004</v>
      </c>
      <c r="O4390" s="148">
        <v>-60.396837606837607</v>
      </c>
      <c r="P4390" s="148">
        <v>2.0575199999999998</v>
      </c>
      <c r="Q4390" s="148">
        <v>2.57605</v>
      </c>
      <c r="R4390" s="148">
        <v>125.20169913293674</v>
      </c>
    </row>
    <row r="4391" spans="2:18" ht="15.75" hidden="1" thickBot="1" x14ac:dyDescent="0.3">
      <c r="B4391" s="724" t="s">
        <v>806</v>
      </c>
      <c r="C4391" s="722" t="s">
        <v>190</v>
      </c>
      <c r="D4391" t="s">
        <v>191</v>
      </c>
      <c r="E4391" s="147">
        <v>0.76100000000000001</v>
      </c>
      <c r="F4391" s="147">
        <v>0.8</v>
      </c>
      <c r="G4391" s="147">
        <v>-3.9E-2</v>
      </c>
      <c r="H4391" s="147">
        <v>-4.875</v>
      </c>
      <c r="I4391" s="729"/>
      <c r="J4391" s="147">
        <v>0.76100000000000001</v>
      </c>
      <c r="K4391" s="147">
        <v>0</v>
      </c>
      <c r="L4391" s="147">
        <v>10.70542</v>
      </c>
      <c r="M4391" s="147">
        <v>9.6</v>
      </c>
      <c r="N4391" s="147">
        <v>1.1054200000000001</v>
      </c>
      <c r="O4391" s="147">
        <v>11.514791666666667</v>
      </c>
      <c r="P4391" s="147">
        <v>4.9403699999999997</v>
      </c>
      <c r="Q4391" s="147">
        <v>5.7650499999999996</v>
      </c>
      <c r="R4391" s="147">
        <v>116.69267686428344</v>
      </c>
    </row>
    <row r="4392" spans="2:18" ht="15.75" hidden="1" thickBot="1" x14ac:dyDescent="0.3">
      <c r="B4392" s="724" t="s">
        <v>806</v>
      </c>
      <c r="C4392" s="722" t="s">
        <v>36</v>
      </c>
      <c r="D4392" t="s">
        <v>192</v>
      </c>
      <c r="E4392" s="148">
        <v>10.394769999999999</v>
      </c>
      <c r="F4392" s="148">
        <v>15.9</v>
      </c>
      <c r="G4392" s="148">
        <v>-5.5052300000000001</v>
      </c>
      <c r="H4392" s="148">
        <v>-34.624088050314462</v>
      </c>
      <c r="I4392" s="728"/>
      <c r="J4392" s="148">
        <v>10.394769999999999</v>
      </c>
      <c r="K4392" s="148">
        <v>0</v>
      </c>
      <c r="L4392" s="148">
        <v>216.05667</v>
      </c>
      <c r="M4392" s="148">
        <v>264.3</v>
      </c>
      <c r="N4392" s="148">
        <v>-48.24333</v>
      </c>
      <c r="O4392" s="148">
        <v>-18.253246311010216</v>
      </c>
      <c r="P4392" s="148">
        <v>106.14733</v>
      </c>
      <c r="Q4392" s="148">
        <v>109.90934</v>
      </c>
      <c r="R4392" s="148">
        <v>103.5441400174644</v>
      </c>
    </row>
    <row r="4393" spans="2:18" ht="15.75" hidden="1" thickBot="1" x14ac:dyDescent="0.3">
      <c r="B4393" s="724" t="s">
        <v>806</v>
      </c>
      <c r="C4393" s="722" t="s">
        <v>139</v>
      </c>
      <c r="D4393" t="s">
        <v>140</v>
      </c>
      <c r="E4393" s="147">
        <v>3.7499999999999999E-2</v>
      </c>
      <c r="F4393" s="147">
        <v>0.7</v>
      </c>
      <c r="G4393" s="147">
        <v>-0.66249999999999998</v>
      </c>
      <c r="H4393" s="147">
        <v>-94.642857142857139</v>
      </c>
      <c r="I4393" s="729"/>
      <c r="J4393" s="147">
        <v>3.7499999999999999E-2</v>
      </c>
      <c r="K4393" s="147">
        <v>0</v>
      </c>
      <c r="L4393" s="147">
        <v>8.8295100000000009</v>
      </c>
      <c r="M4393" s="147">
        <v>9.4</v>
      </c>
      <c r="N4393" s="147">
        <v>-0.57049000000000005</v>
      </c>
      <c r="O4393" s="147">
        <v>-6.0690425531914896</v>
      </c>
      <c r="P4393" s="147">
        <v>7.3387700000000002</v>
      </c>
      <c r="Q4393" s="147">
        <v>1.49074</v>
      </c>
      <c r="R4393" s="147">
        <v>20.313213249631751</v>
      </c>
    </row>
    <row r="4394" spans="2:18" ht="15.75" hidden="1" thickBot="1" x14ac:dyDescent="0.3">
      <c r="B4394" s="724" t="s">
        <v>806</v>
      </c>
      <c r="C4394" s="722" t="s">
        <v>169</v>
      </c>
      <c r="D4394" t="s">
        <v>170</v>
      </c>
      <c r="E4394" s="728"/>
      <c r="F4394" s="728"/>
      <c r="G4394" s="728"/>
      <c r="H4394" s="728"/>
      <c r="I4394" s="728"/>
      <c r="J4394" s="728"/>
      <c r="K4394" s="728"/>
      <c r="L4394" s="148">
        <v>25.700089999999999</v>
      </c>
      <c r="M4394" s="728"/>
      <c r="N4394" s="148">
        <v>25.700089999999999</v>
      </c>
      <c r="O4394" s="148">
        <v>0</v>
      </c>
      <c r="P4394" s="148">
        <v>25.700089999999999</v>
      </c>
      <c r="Q4394" s="148">
        <v>0</v>
      </c>
      <c r="R4394" s="148">
        <v>0</v>
      </c>
    </row>
    <row r="4395" spans="2:18" ht="15.75" hidden="1" thickBot="1" x14ac:dyDescent="0.3">
      <c r="B4395" s="724" t="s">
        <v>806</v>
      </c>
      <c r="C4395" s="722" t="s">
        <v>101</v>
      </c>
      <c r="D4395" t="s">
        <v>102</v>
      </c>
      <c r="E4395" s="147">
        <v>217.99605</v>
      </c>
      <c r="F4395" s="147">
        <v>10.69</v>
      </c>
      <c r="G4395" s="147">
        <v>207.30605</v>
      </c>
      <c r="H4395" s="147">
        <v>1939.252104770814</v>
      </c>
      <c r="I4395" s="729"/>
      <c r="J4395" s="147">
        <v>217.99605</v>
      </c>
      <c r="K4395" s="147">
        <v>0</v>
      </c>
      <c r="L4395" s="147">
        <v>2104.57053</v>
      </c>
      <c r="M4395" s="147">
        <v>2709.7339999999999</v>
      </c>
      <c r="N4395" s="147">
        <v>-605.16346999999996</v>
      </c>
      <c r="O4395" s="147">
        <v>-22.33294744059749</v>
      </c>
      <c r="P4395" s="147">
        <v>930.13922000000002</v>
      </c>
      <c r="Q4395" s="147">
        <v>1174.4313099999999</v>
      </c>
      <c r="R4395" s="147">
        <v>126.26403496887272</v>
      </c>
    </row>
    <row r="4396" spans="2:18" ht="15.75" hidden="1" thickBot="1" x14ac:dyDescent="0.3">
      <c r="B4396" s="724" t="s">
        <v>806</v>
      </c>
      <c r="C4396" s="722" t="s">
        <v>601</v>
      </c>
      <c r="D4396" t="s">
        <v>602</v>
      </c>
      <c r="E4396" s="148">
        <v>-0.18</v>
      </c>
      <c r="F4396" s="728"/>
      <c r="G4396" s="148">
        <v>-0.18</v>
      </c>
      <c r="H4396" s="148">
        <v>0</v>
      </c>
      <c r="I4396" s="728"/>
      <c r="J4396" s="148">
        <v>-0.18</v>
      </c>
      <c r="K4396" s="148">
        <v>0</v>
      </c>
      <c r="L4396" s="148">
        <v>0</v>
      </c>
      <c r="M4396" s="728"/>
      <c r="N4396" s="148">
        <v>0</v>
      </c>
      <c r="O4396" s="148">
        <v>0</v>
      </c>
      <c r="P4396" s="728"/>
      <c r="Q4396" s="148">
        <v>0</v>
      </c>
      <c r="R4396" s="148">
        <v>0</v>
      </c>
    </row>
    <row r="4397" spans="2:18" ht="15.75" hidden="1" thickBot="1" x14ac:dyDescent="0.3">
      <c r="B4397" s="724" t="s">
        <v>806</v>
      </c>
      <c r="C4397" s="722" t="s">
        <v>605</v>
      </c>
      <c r="D4397" t="s">
        <v>606</v>
      </c>
      <c r="E4397" s="147">
        <v>-0.8</v>
      </c>
      <c r="F4397" s="729"/>
      <c r="G4397" s="147">
        <v>-0.8</v>
      </c>
      <c r="H4397" s="147">
        <v>0</v>
      </c>
      <c r="I4397" s="729"/>
      <c r="J4397" s="147">
        <v>-0.8</v>
      </c>
      <c r="K4397" s="147">
        <v>0</v>
      </c>
      <c r="L4397" s="147">
        <v>19.4239</v>
      </c>
      <c r="M4397" s="729"/>
      <c r="N4397" s="147">
        <v>19.4239</v>
      </c>
      <c r="O4397" s="147">
        <v>0</v>
      </c>
      <c r="P4397" s="147">
        <v>8.5300999999999991</v>
      </c>
      <c r="Q4397" s="147">
        <v>10.893800000000001</v>
      </c>
      <c r="R4397" s="147">
        <v>127.71010890845359</v>
      </c>
    </row>
    <row r="4398" spans="2:18" ht="15.75" hidden="1" thickBot="1" x14ac:dyDescent="0.3">
      <c r="B4398" s="724" t="s">
        <v>806</v>
      </c>
      <c r="C4398" s="722" t="s">
        <v>218</v>
      </c>
      <c r="D4398" t="s">
        <v>219</v>
      </c>
      <c r="E4398" s="728"/>
      <c r="F4398" s="728"/>
      <c r="G4398" s="728"/>
      <c r="H4398" s="728"/>
      <c r="I4398" s="728"/>
      <c r="J4398" s="728"/>
      <c r="K4398" s="728"/>
      <c r="L4398" s="148">
        <v>11.031000000000001</v>
      </c>
      <c r="M4398" s="728"/>
      <c r="N4398" s="148">
        <v>11.031000000000001</v>
      </c>
      <c r="O4398" s="148">
        <v>0</v>
      </c>
      <c r="P4398" s="148">
        <v>9.7360000000000007</v>
      </c>
      <c r="Q4398" s="148">
        <v>1.2949999999999999</v>
      </c>
      <c r="R4398" s="148">
        <v>13.301150369761709</v>
      </c>
    </row>
    <row r="4399" spans="2:18" ht="15.75" hidden="1" thickBot="1" x14ac:dyDescent="0.3">
      <c r="B4399" s="724" t="s">
        <v>806</v>
      </c>
      <c r="C4399" s="722" t="s">
        <v>609</v>
      </c>
      <c r="D4399" t="s">
        <v>610</v>
      </c>
      <c r="E4399" s="729"/>
      <c r="F4399" s="729"/>
      <c r="G4399" s="729"/>
      <c r="H4399" s="729"/>
      <c r="I4399" s="729"/>
      <c r="J4399" s="729"/>
      <c r="K4399" s="729"/>
      <c r="L4399" s="147">
        <v>0.47049999999999997</v>
      </c>
      <c r="M4399" s="729"/>
      <c r="N4399" s="147">
        <v>0.47049999999999997</v>
      </c>
      <c r="O4399" s="147">
        <v>0</v>
      </c>
      <c r="P4399" s="729"/>
      <c r="Q4399" s="147">
        <v>0.47049999999999997</v>
      </c>
      <c r="R4399" s="147">
        <v>0</v>
      </c>
    </row>
    <row r="4400" spans="2:18" ht="15.75" hidden="1" thickBot="1" x14ac:dyDescent="0.3">
      <c r="B4400" s="724" t="s">
        <v>806</v>
      </c>
      <c r="C4400" s="722" t="s">
        <v>462</v>
      </c>
      <c r="D4400" t="s">
        <v>463</v>
      </c>
      <c r="E4400" s="728"/>
      <c r="F4400" s="728"/>
      <c r="G4400" s="728"/>
      <c r="H4400" s="728"/>
      <c r="I4400" s="728"/>
      <c r="J4400" s="728"/>
      <c r="K4400" s="728"/>
      <c r="L4400" s="148">
        <v>22.370799999999999</v>
      </c>
      <c r="M4400" s="728"/>
      <c r="N4400" s="148">
        <v>22.370799999999999</v>
      </c>
      <c r="O4400" s="148">
        <v>0</v>
      </c>
      <c r="P4400" s="728"/>
      <c r="Q4400" s="148">
        <v>22.370799999999999</v>
      </c>
      <c r="R4400" s="148">
        <v>0</v>
      </c>
    </row>
    <row r="4401" spans="2:18" ht="15.75" hidden="1" thickBot="1" x14ac:dyDescent="0.3">
      <c r="B4401" s="724" t="s">
        <v>806</v>
      </c>
      <c r="C4401" s="722" t="s">
        <v>613</v>
      </c>
      <c r="D4401" t="s">
        <v>614</v>
      </c>
      <c r="E4401" s="147">
        <v>0.41249999999999998</v>
      </c>
      <c r="F4401" s="729"/>
      <c r="G4401" s="147">
        <v>0.41249999999999998</v>
      </c>
      <c r="H4401" s="147">
        <v>0</v>
      </c>
      <c r="I4401" s="729"/>
      <c r="J4401" s="147">
        <v>0.41249999999999998</v>
      </c>
      <c r="K4401" s="147">
        <v>0</v>
      </c>
      <c r="L4401" s="147">
        <v>9.9955499999999997</v>
      </c>
      <c r="M4401" s="729"/>
      <c r="N4401" s="147">
        <v>9.9955499999999997</v>
      </c>
      <c r="O4401" s="147">
        <v>0</v>
      </c>
      <c r="P4401" s="147">
        <v>4.2874999999999996</v>
      </c>
      <c r="Q4401" s="147">
        <v>5.7080500000000001</v>
      </c>
      <c r="R4401" s="147">
        <v>133.13236151603499</v>
      </c>
    </row>
    <row r="4402" spans="2:18" ht="15.75" hidden="1" thickBot="1" x14ac:dyDescent="0.3">
      <c r="B4402" s="724" t="s">
        <v>806</v>
      </c>
      <c r="C4402" s="722" t="s">
        <v>615</v>
      </c>
      <c r="D4402" t="s">
        <v>616</v>
      </c>
      <c r="E4402" s="148">
        <v>4.3749999999999997E-2</v>
      </c>
      <c r="F4402" s="728"/>
      <c r="G4402" s="148">
        <v>4.3749999999999997E-2</v>
      </c>
      <c r="H4402" s="148">
        <v>0</v>
      </c>
      <c r="I4402" s="728"/>
      <c r="J4402" s="148">
        <v>4.3749999999999997E-2</v>
      </c>
      <c r="K4402" s="148">
        <v>0</v>
      </c>
      <c r="L4402" s="148">
        <v>13.864750000000001</v>
      </c>
      <c r="M4402" s="728"/>
      <c r="N4402" s="148">
        <v>13.864750000000001</v>
      </c>
      <c r="O4402" s="148">
        <v>0</v>
      </c>
      <c r="P4402" s="148">
        <v>2.161</v>
      </c>
      <c r="Q4402" s="148">
        <v>11.703749999999999</v>
      </c>
      <c r="R4402" s="148">
        <v>541.58954187875986</v>
      </c>
    </row>
    <row r="4403" spans="2:18" ht="15.75" hidden="1" thickBot="1" x14ac:dyDescent="0.3">
      <c r="B4403" s="724" t="s">
        <v>806</v>
      </c>
      <c r="C4403" s="722" t="s">
        <v>193</v>
      </c>
      <c r="D4403" t="s">
        <v>194</v>
      </c>
      <c r="E4403" s="147">
        <v>0.18</v>
      </c>
      <c r="F4403" s="729"/>
      <c r="G4403" s="147">
        <v>0.18</v>
      </c>
      <c r="H4403" s="147">
        <v>0</v>
      </c>
      <c r="I4403" s="729"/>
      <c r="J4403" s="147">
        <v>0.18</v>
      </c>
      <c r="K4403" s="147">
        <v>0</v>
      </c>
      <c r="L4403" s="147">
        <v>66.854410000000001</v>
      </c>
      <c r="M4403" s="729"/>
      <c r="N4403" s="147">
        <v>66.854410000000001</v>
      </c>
      <c r="O4403" s="147">
        <v>0</v>
      </c>
      <c r="P4403" s="147">
        <v>28.0486</v>
      </c>
      <c r="Q4403" s="147">
        <v>38.805810000000001</v>
      </c>
      <c r="R4403" s="147">
        <v>138.35203896094635</v>
      </c>
    </row>
    <row r="4404" spans="2:18" ht="15.75" hidden="1" thickBot="1" x14ac:dyDescent="0.3">
      <c r="B4404" s="724" t="s">
        <v>806</v>
      </c>
      <c r="C4404" s="722" t="s">
        <v>195</v>
      </c>
      <c r="D4404" t="s">
        <v>196</v>
      </c>
      <c r="E4404" s="728"/>
      <c r="F4404" s="728"/>
      <c r="G4404" s="728"/>
      <c r="H4404" s="728"/>
      <c r="I4404" s="728"/>
      <c r="J4404" s="728"/>
      <c r="K4404" s="728"/>
      <c r="L4404" s="148">
        <v>25.1571</v>
      </c>
      <c r="M4404" s="728"/>
      <c r="N4404" s="148">
        <v>25.1571</v>
      </c>
      <c r="O4404" s="148">
        <v>0</v>
      </c>
      <c r="P4404" s="148">
        <v>4.6173999999999999</v>
      </c>
      <c r="Q4404" s="148">
        <v>20.5397</v>
      </c>
      <c r="R4404" s="148">
        <v>444.83258976913413</v>
      </c>
    </row>
    <row r="4405" spans="2:18" ht="15.75" hidden="1" thickBot="1" x14ac:dyDescent="0.3">
      <c r="B4405" s="724" t="s">
        <v>806</v>
      </c>
      <c r="C4405" s="722" t="s">
        <v>197</v>
      </c>
      <c r="D4405" t="s">
        <v>198</v>
      </c>
      <c r="E4405" s="147">
        <v>0.2</v>
      </c>
      <c r="F4405" s="729"/>
      <c r="G4405" s="147">
        <v>0.2</v>
      </c>
      <c r="H4405" s="147">
        <v>0</v>
      </c>
      <c r="I4405" s="729"/>
      <c r="J4405" s="147">
        <v>0.2</v>
      </c>
      <c r="K4405" s="147">
        <v>0</v>
      </c>
      <c r="L4405" s="147">
        <v>2.2210000000000001</v>
      </c>
      <c r="M4405" s="729"/>
      <c r="N4405" s="147">
        <v>2.2210000000000001</v>
      </c>
      <c r="O4405" s="147">
        <v>0</v>
      </c>
      <c r="P4405" s="147">
        <v>0.2</v>
      </c>
      <c r="Q4405" s="147">
        <v>2.0209999999999999</v>
      </c>
      <c r="R4405" s="147">
        <v>1010.5</v>
      </c>
    </row>
    <row r="4406" spans="2:18" ht="15.75" hidden="1" thickBot="1" x14ac:dyDescent="0.3">
      <c r="B4406" s="724" t="s">
        <v>806</v>
      </c>
      <c r="C4406" s="722" t="s">
        <v>464</v>
      </c>
      <c r="D4406" t="s">
        <v>465</v>
      </c>
      <c r="E4406" s="728"/>
      <c r="F4406" s="148">
        <v>0.5</v>
      </c>
      <c r="G4406" s="148">
        <v>-0.5</v>
      </c>
      <c r="H4406" s="148">
        <v>-100</v>
      </c>
      <c r="I4406" s="728"/>
      <c r="J4406" s="728"/>
      <c r="K4406" s="728"/>
      <c r="L4406" s="148">
        <v>6.5460000000000004E-2</v>
      </c>
      <c r="M4406" s="148">
        <v>61</v>
      </c>
      <c r="N4406" s="148">
        <v>-60.934539999999998</v>
      </c>
      <c r="O4406" s="148">
        <v>-99.89268852459017</v>
      </c>
      <c r="P4406" s="728"/>
      <c r="Q4406" s="148">
        <v>6.5460000000000004E-2</v>
      </c>
      <c r="R4406" s="148">
        <v>0</v>
      </c>
    </row>
    <row r="4407" spans="2:18" ht="15.75" hidden="1" thickBot="1" x14ac:dyDescent="0.3">
      <c r="B4407" s="724" t="s">
        <v>806</v>
      </c>
      <c r="C4407" s="722" t="s">
        <v>619</v>
      </c>
      <c r="D4407" t="s">
        <v>620</v>
      </c>
      <c r="E4407" s="729"/>
      <c r="F4407" s="729"/>
      <c r="G4407" s="729"/>
      <c r="H4407" s="729"/>
      <c r="I4407" s="729"/>
      <c r="J4407" s="729"/>
      <c r="K4407" s="729"/>
      <c r="L4407" s="147">
        <v>15.67038</v>
      </c>
      <c r="M4407" s="729"/>
      <c r="N4407" s="147">
        <v>15.67038</v>
      </c>
      <c r="O4407" s="147">
        <v>0</v>
      </c>
      <c r="P4407" s="147">
        <v>5.87432</v>
      </c>
      <c r="Q4407" s="147">
        <v>9.7960600000000007</v>
      </c>
      <c r="R4407" s="147">
        <v>166.76074847812171</v>
      </c>
    </row>
    <row r="4408" spans="2:18" ht="15.75" hidden="1" thickBot="1" x14ac:dyDescent="0.3">
      <c r="B4408" s="724" t="s">
        <v>806</v>
      </c>
      <c r="C4408" s="722" t="s">
        <v>103</v>
      </c>
      <c r="D4408" t="s">
        <v>104</v>
      </c>
      <c r="E4408" s="148">
        <v>1.1641999999999999</v>
      </c>
      <c r="F4408" s="148">
        <v>1.5249999999999999</v>
      </c>
      <c r="G4408" s="148">
        <v>-0.36080000000000001</v>
      </c>
      <c r="H4408" s="148">
        <v>-23.659016393442624</v>
      </c>
      <c r="I4408" s="728"/>
      <c r="J4408" s="148">
        <v>1.1641999999999999</v>
      </c>
      <c r="K4408" s="148">
        <v>0</v>
      </c>
      <c r="L4408" s="148">
        <v>11.29294</v>
      </c>
      <c r="M4408" s="148">
        <v>18.3</v>
      </c>
      <c r="N4408" s="148">
        <v>-7.0070600000000001</v>
      </c>
      <c r="O4408" s="148">
        <v>-38.289945355191257</v>
      </c>
      <c r="P4408" s="148">
        <v>1.9076</v>
      </c>
      <c r="Q4408" s="148">
        <v>9.3853399999999993</v>
      </c>
      <c r="R4408" s="148">
        <v>491.99727406164817</v>
      </c>
    </row>
    <row r="4409" spans="2:18" ht="15.75" hidden="1" thickBot="1" x14ac:dyDescent="0.3">
      <c r="B4409" s="724" t="s">
        <v>806</v>
      </c>
      <c r="C4409" s="722" t="s">
        <v>71</v>
      </c>
      <c r="D4409" t="s">
        <v>72</v>
      </c>
      <c r="E4409" s="147">
        <v>0</v>
      </c>
      <c r="F4409" s="729"/>
      <c r="G4409" s="147">
        <v>0</v>
      </c>
      <c r="H4409" s="147">
        <v>0</v>
      </c>
      <c r="I4409" s="729"/>
      <c r="J4409" s="147">
        <v>0</v>
      </c>
      <c r="K4409" s="147">
        <v>0</v>
      </c>
      <c r="L4409" s="147">
        <v>0</v>
      </c>
      <c r="M4409" s="729"/>
      <c r="N4409" s="147">
        <v>0</v>
      </c>
      <c r="O4409" s="147">
        <v>0</v>
      </c>
      <c r="P4409" s="729"/>
      <c r="Q4409" s="147">
        <v>0</v>
      </c>
      <c r="R4409" s="147">
        <v>0</v>
      </c>
    </row>
    <row r="4410" spans="2:18" ht="15.75" hidden="1" thickBot="1" x14ac:dyDescent="0.3">
      <c r="B4410" s="724" t="s">
        <v>806</v>
      </c>
      <c r="C4410" s="722" t="s">
        <v>627</v>
      </c>
      <c r="D4410" t="s">
        <v>628</v>
      </c>
      <c r="E4410" s="148">
        <v>7.6833200000000001</v>
      </c>
      <c r="F4410" s="148">
        <v>8.5</v>
      </c>
      <c r="G4410" s="148">
        <v>-0.81667999999999996</v>
      </c>
      <c r="H4410" s="148">
        <v>-9.6080000000000005</v>
      </c>
      <c r="I4410" s="728"/>
      <c r="J4410" s="148">
        <v>7.6833200000000001</v>
      </c>
      <c r="K4410" s="148">
        <v>0</v>
      </c>
      <c r="L4410" s="148">
        <v>85.911689999999993</v>
      </c>
      <c r="M4410" s="148">
        <v>100</v>
      </c>
      <c r="N4410" s="148">
        <v>-14.08831</v>
      </c>
      <c r="O4410" s="148">
        <v>-14.08831</v>
      </c>
      <c r="P4410" s="148">
        <v>41.803989999999999</v>
      </c>
      <c r="Q4410" s="148">
        <v>44.107700000000001</v>
      </c>
      <c r="R4410" s="148">
        <v>105.51074191721891</v>
      </c>
    </row>
    <row r="4411" spans="2:18" ht="15.75" hidden="1" thickBot="1" x14ac:dyDescent="0.3">
      <c r="B4411" s="724" t="s">
        <v>806</v>
      </c>
      <c r="C4411" s="722" t="s">
        <v>107</v>
      </c>
      <c r="D4411" t="s">
        <v>108</v>
      </c>
      <c r="E4411" s="147">
        <v>3.6220000000000002E-2</v>
      </c>
      <c r="F4411" s="729"/>
      <c r="G4411" s="147">
        <v>3.6220000000000002E-2</v>
      </c>
      <c r="H4411" s="147">
        <v>0</v>
      </c>
      <c r="I4411" s="729"/>
      <c r="J4411" s="147">
        <v>3.6220000000000002E-2</v>
      </c>
      <c r="K4411" s="147">
        <v>0</v>
      </c>
      <c r="L4411" s="147">
        <v>0.10373</v>
      </c>
      <c r="M4411" s="729"/>
      <c r="N4411" s="147">
        <v>0.10373</v>
      </c>
      <c r="O4411" s="147">
        <v>0</v>
      </c>
      <c r="P4411" s="147">
        <v>3.7539999999999997E-2</v>
      </c>
      <c r="Q4411" s="147">
        <v>6.6189999999999999E-2</v>
      </c>
      <c r="R4411" s="147">
        <v>176.31859350026639</v>
      </c>
    </row>
    <row r="4412" spans="2:18" ht="15.75" hidden="1" thickBot="1" x14ac:dyDescent="0.3">
      <c r="B4412" s="724" t="s">
        <v>806</v>
      </c>
      <c r="C4412" s="722" t="s">
        <v>109</v>
      </c>
      <c r="D4412" t="s">
        <v>110</v>
      </c>
      <c r="E4412" s="148">
        <v>0.10478999999999999</v>
      </c>
      <c r="F4412" s="728"/>
      <c r="G4412" s="148">
        <v>0.10478999999999999</v>
      </c>
      <c r="H4412" s="148">
        <v>0</v>
      </c>
      <c r="I4412" s="728"/>
      <c r="J4412" s="148">
        <v>0.10478999999999999</v>
      </c>
      <c r="K4412" s="148">
        <v>0</v>
      </c>
      <c r="L4412" s="148">
        <v>0.77064999999999995</v>
      </c>
      <c r="M4412" s="728"/>
      <c r="N4412" s="148">
        <v>0.77064999999999995</v>
      </c>
      <c r="O4412" s="148">
        <v>0</v>
      </c>
      <c r="P4412" s="148">
        <v>0.13802</v>
      </c>
      <c r="Q4412" s="148">
        <v>0.63263000000000003</v>
      </c>
      <c r="R4412" s="148">
        <v>458.36110708592958</v>
      </c>
    </row>
    <row r="4413" spans="2:18" ht="15.75" hidden="1" thickBot="1" x14ac:dyDescent="0.3">
      <c r="B4413" s="724" t="s">
        <v>806</v>
      </c>
      <c r="C4413" s="722" t="s">
        <v>73</v>
      </c>
      <c r="D4413" t="s">
        <v>74</v>
      </c>
      <c r="E4413" s="147">
        <v>0.53198999999999996</v>
      </c>
      <c r="F4413" s="147">
        <v>0.45</v>
      </c>
      <c r="G4413" s="147">
        <v>8.1989999999999993E-2</v>
      </c>
      <c r="H4413" s="147">
        <v>18.22</v>
      </c>
      <c r="I4413" s="729"/>
      <c r="J4413" s="147">
        <v>0.53198999999999996</v>
      </c>
      <c r="K4413" s="147">
        <v>0</v>
      </c>
      <c r="L4413" s="147">
        <v>8.4181299999999997</v>
      </c>
      <c r="M4413" s="147">
        <v>5.2</v>
      </c>
      <c r="N4413" s="147">
        <v>3.2181299999999999</v>
      </c>
      <c r="O4413" s="147">
        <v>61.887115384615385</v>
      </c>
      <c r="P4413" s="147">
        <v>3.8659500000000002</v>
      </c>
      <c r="Q4413" s="147">
        <v>4.5521799999999999</v>
      </c>
      <c r="R4413" s="147">
        <v>117.75061757136021</v>
      </c>
    </row>
    <row r="4414" spans="2:18" ht="15.75" hidden="1" thickBot="1" x14ac:dyDescent="0.3">
      <c r="B4414" s="724" t="s">
        <v>806</v>
      </c>
      <c r="C4414" s="722" t="s">
        <v>111</v>
      </c>
      <c r="D4414" t="s">
        <v>112</v>
      </c>
      <c r="E4414" s="728"/>
      <c r="F4414" s="728"/>
      <c r="G4414" s="728"/>
      <c r="H4414" s="728"/>
      <c r="I4414" s="728"/>
      <c r="J4414" s="728"/>
      <c r="K4414" s="728"/>
      <c r="L4414" s="148">
        <v>0.27278999999999998</v>
      </c>
      <c r="M4414" s="728"/>
      <c r="N4414" s="148">
        <v>0.27278999999999998</v>
      </c>
      <c r="O4414" s="148">
        <v>0</v>
      </c>
      <c r="P4414" s="148">
        <v>0.26279999999999998</v>
      </c>
      <c r="Q4414" s="148">
        <v>9.9900000000000006E-3</v>
      </c>
      <c r="R4414" s="148">
        <v>3.8013698630136985</v>
      </c>
    </row>
    <row r="4415" spans="2:18" ht="15.75" hidden="1" thickBot="1" x14ac:dyDescent="0.3">
      <c r="B4415" s="724" t="s">
        <v>806</v>
      </c>
      <c r="C4415" s="722" t="s">
        <v>141</v>
      </c>
      <c r="D4415" t="s">
        <v>142</v>
      </c>
      <c r="E4415" s="147">
        <v>3.184E-2</v>
      </c>
      <c r="F4415" s="729"/>
      <c r="G4415" s="147">
        <v>3.184E-2</v>
      </c>
      <c r="H4415" s="147">
        <v>0</v>
      </c>
      <c r="I4415" s="729"/>
      <c r="J4415" s="147">
        <v>3.184E-2</v>
      </c>
      <c r="K4415" s="147">
        <v>0</v>
      </c>
      <c r="L4415" s="147">
        <v>0.36434</v>
      </c>
      <c r="M4415" s="147">
        <v>0.3</v>
      </c>
      <c r="N4415" s="147">
        <v>6.4339999999999994E-2</v>
      </c>
      <c r="O4415" s="147">
        <v>21.446666666666665</v>
      </c>
      <c r="P4415" s="147">
        <v>0.15257999999999999</v>
      </c>
      <c r="Q4415" s="147">
        <v>0.21176</v>
      </c>
      <c r="R4415" s="147">
        <v>138.78621051251801</v>
      </c>
    </row>
    <row r="4416" spans="2:18" ht="15.75" hidden="1" thickBot="1" x14ac:dyDescent="0.3">
      <c r="B4416" s="724" t="s">
        <v>806</v>
      </c>
      <c r="C4416" s="722" t="s">
        <v>113</v>
      </c>
      <c r="D4416" t="s">
        <v>114</v>
      </c>
      <c r="E4416" s="148">
        <v>0.42136000000000001</v>
      </c>
      <c r="F4416" s="728"/>
      <c r="G4416" s="148">
        <v>0.42136000000000001</v>
      </c>
      <c r="H4416" s="148">
        <v>0</v>
      </c>
      <c r="I4416" s="728"/>
      <c r="J4416" s="148">
        <v>0.42136000000000001</v>
      </c>
      <c r="K4416" s="148">
        <v>0</v>
      </c>
      <c r="L4416" s="148">
        <v>4.3487600000000004</v>
      </c>
      <c r="M4416" s="728"/>
      <c r="N4416" s="148">
        <v>4.3487600000000004</v>
      </c>
      <c r="O4416" s="148">
        <v>0</v>
      </c>
      <c r="P4416" s="148">
        <v>1.2044900000000001</v>
      </c>
      <c r="Q4416" s="148">
        <v>3.1442700000000001</v>
      </c>
      <c r="R4416" s="148">
        <v>261.04575380451479</v>
      </c>
    </row>
    <row r="4417" spans="2:18" ht="15.75" hidden="1" thickBot="1" x14ac:dyDescent="0.3">
      <c r="B4417" s="724" t="s">
        <v>806</v>
      </c>
      <c r="C4417" s="722" t="s">
        <v>201</v>
      </c>
      <c r="D4417" t="s">
        <v>202</v>
      </c>
      <c r="E4417" s="729"/>
      <c r="F4417" s="147">
        <v>0.54500000000000004</v>
      </c>
      <c r="G4417" s="147">
        <v>-0.54500000000000004</v>
      </c>
      <c r="H4417" s="147">
        <v>-100</v>
      </c>
      <c r="I4417" s="729"/>
      <c r="J4417" s="729"/>
      <c r="K4417" s="729"/>
      <c r="L4417" s="147">
        <v>4.1636100000000003</v>
      </c>
      <c r="M4417" s="147">
        <v>1.54</v>
      </c>
      <c r="N4417" s="147">
        <v>2.6236100000000002</v>
      </c>
      <c r="O4417" s="147">
        <v>170.36428571428573</v>
      </c>
      <c r="P4417" s="147">
        <v>3.8785500000000002</v>
      </c>
      <c r="Q4417" s="147">
        <v>0.28505999999999998</v>
      </c>
      <c r="R4417" s="147">
        <v>7.3496538654909696</v>
      </c>
    </row>
    <row r="4418" spans="2:18" ht="15.75" hidden="1" thickBot="1" x14ac:dyDescent="0.3">
      <c r="B4418" s="724" t="s">
        <v>806</v>
      </c>
      <c r="C4418" s="722" t="s">
        <v>631</v>
      </c>
      <c r="D4418" t="s">
        <v>632</v>
      </c>
      <c r="E4418" s="148">
        <v>0.21498999999999999</v>
      </c>
      <c r="F4418" s="728"/>
      <c r="G4418" s="148">
        <v>0.21498999999999999</v>
      </c>
      <c r="H4418" s="148">
        <v>0</v>
      </c>
      <c r="I4418" s="728"/>
      <c r="J4418" s="148">
        <v>0.21498999999999999</v>
      </c>
      <c r="K4418" s="148">
        <v>0</v>
      </c>
      <c r="L4418" s="148">
        <v>0.54134000000000004</v>
      </c>
      <c r="M4418" s="728"/>
      <c r="N4418" s="148">
        <v>0.54134000000000004</v>
      </c>
      <c r="O4418" s="148">
        <v>0</v>
      </c>
      <c r="P4418" s="728"/>
      <c r="Q4418" s="148">
        <v>0.54134000000000004</v>
      </c>
      <c r="R4418" s="148">
        <v>0</v>
      </c>
    </row>
    <row r="4419" spans="2:18" ht="15.75" hidden="1" thickBot="1" x14ac:dyDescent="0.3">
      <c r="B4419" s="724" t="s">
        <v>806</v>
      </c>
      <c r="C4419" s="722" t="s">
        <v>145</v>
      </c>
      <c r="D4419" t="s">
        <v>146</v>
      </c>
      <c r="E4419" s="147">
        <v>0.21410000000000001</v>
      </c>
      <c r="F4419" s="147">
        <v>0.1</v>
      </c>
      <c r="G4419" s="147">
        <v>0.11409999999999999</v>
      </c>
      <c r="H4419" s="147">
        <v>114.1</v>
      </c>
      <c r="I4419" s="729"/>
      <c r="J4419" s="147">
        <v>0.21410000000000001</v>
      </c>
      <c r="K4419" s="147">
        <v>0</v>
      </c>
      <c r="L4419" s="147">
        <v>2.0104000000000002</v>
      </c>
      <c r="M4419" s="147">
        <v>1.2</v>
      </c>
      <c r="N4419" s="147">
        <v>0.81040000000000001</v>
      </c>
      <c r="O4419" s="147">
        <v>67.533333333333331</v>
      </c>
      <c r="P4419" s="147">
        <v>0.80930000000000002</v>
      </c>
      <c r="Q4419" s="147">
        <v>1.2011000000000001</v>
      </c>
      <c r="R4419" s="147">
        <v>148.41220808105771</v>
      </c>
    </row>
    <row r="4420" spans="2:18" ht="15.75" hidden="1" thickBot="1" x14ac:dyDescent="0.3">
      <c r="B4420" s="724" t="s">
        <v>806</v>
      </c>
      <c r="C4420" s="722" t="s">
        <v>203</v>
      </c>
      <c r="D4420" t="s">
        <v>204</v>
      </c>
      <c r="E4420" s="728"/>
      <c r="F4420" s="728"/>
      <c r="G4420" s="728"/>
      <c r="H4420" s="728"/>
      <c r="I4420" s="728"/>
      <c r="J4420" s="728"/>
      <c r="K4420" s="728"/>
      <c r="L4420" s="148">
        <v>0.28665000000000002</v>
      </c>
      <c r="M4420" s="728"/>
      <c r="N4420" s="148">
        <v>0.28665000000000002</v>
      </c>
      <c r="O4420" s="148">
        <v>0</v>
      </c>
      <c r="P4420" s="148">
        <v>0.21915000000000001</v>
      </c>
      <c r="Q4420" s="148">
        <v>6.7500000000000004E-2</v>
      </c>
      <c r="R4420" s="148">
        <v>30.800821355236138</v>
      </c>
    </row>
    <row r="4421" spans="2:18" ht="15.75" hidden="1" thickBot="1" x14ac:dyDescent="0.3">
      <c r="B4421" s="724" t="s">
        <v>806</v>
      </c>
      <c r="C4421" s="722" t="s">
        <v>149</v>
      </c>
      <c r="D4421" t="s">
        <v>150</v>
      </c>
      <c r="E4421" s="147">
        <v>172.32453000000001</v>
      </c>
      <c r="F4421" s="147">
        <v>6</v>
      </c>
      <c r="G4421" s="147">
        <v>166.32453000000001</v>
      </c>
      <c r="H4421" s="147">
        <v>2772.0754999999999</v>
      </c>
      <c r="I4421" s="729"/>
      <c r="J4421" s="147">
        <v>172.32453000000001</v>
      </c>
      <c r="K4421" s="147">
        <v>0</v>
      </c>
      <c r="L4421" s="147">
        <v>835.52292999999997</v>
      </c>
      <c r="M4421" s="147">
        <v>180</v>
      </c>
      <c r="N4421" s="147">
        <v>655.52292999999997</v>
      </c>
      <c r="O4421" s="147">
        <v>364.17940555555555</v>
      </c>
      <c r="P4421" s="147">
        <v>181.08877000000001</v>
      </c>
      <c r="Q4421" s="147">
        <v>654.43416000000002</v>
      </c>
      <c r="R4421" s="147">
        <v>361.3885941132628</v>
      </c>
    </row>
    <row r="4422" spans="2:18" ht="15.75" hidden="1" thickBot="1" x14ac:dyDescent="0.3">
      <c r="B4422" s="724" t="s">
        <v>806</v>
      </c>
      <c r="C4422" s="722" t="s">
        <v>645</v>
      </c>
      <c r="D4422" t="s">
        <v>646</v>
      </c>
      <c r="E4422" s="728"/>
      <c r="F4422" s="728"/>
      <c r="G4422" s="728"/>
      <c r="H4422" s="728"/>
      <c r="I4422" s="728"/>
      <c r="J4422" s="728"/>
      <c r="K4422" s="728"/>
      <c r="L4422" s="148">
        <v>0.60350000000000004</v>
      </c>
      <c r="M4422" s="728"/>
      <c r="N4422" s="148">
        <v>0.60350000000000004</v>
      </c>
      <c r="O4422" s="148">
        <v>0</v>
      </c>
      <c r="P4422" s="148">
        <v>0.60350000000000004</v>
      </c>
      <c r="Q4422" s="148">
        <v>0</v>
      </c>
      <c r="R4422" s="148">
        <v>0</v>
      </c>
    </row>
    <row r="4423" spans="2:18" ht="15.75" hidden="1" thickBot="1" x14ac:dyDescent="0.3">
      <c r="B4423" s="724" t="s">
        <v>806</v>
      </c>
      <c r="C4423" s="722" t="s">
        <v>647</v>
      </c>
      <c r="D4423" t="s">
        <v>648</v>
      </c>
      <c r="E4423" s="729"/>
      <c r="F4423" s="729"/>
      <c r="G4423" s="729"/>
      <c r="H4423" s="729"/>
      <c r="I4423" s="729"/>
      <c r="J4423" s="729"/>
      <c r="K4423" s="729"/>
      <c r="L4423" s="147">
        <v>-1.3434600000000001</v>
      </c>
      <c r="M4423" s="729"/>
      <c r="N4423" s="147">
        <v>-1.3434600000000001</v>
      </c>
      <c r="O4423" s="147">
        <v>0</v>
      </c>
      <c r="P4423" s="147">
        <v>-0.61180999999999996</v>
      </c>
      <c r="Q4423" s="147">
        <v>-0.73165000000000002</v>
      </c>
      <c r="R4423" s="147">
        <v>-119.5877805200961</v>
      </c>
    </row>
    <row r="4424" spans="2:18" ht="15.75" hidden="1" thickBot="1" x14ac:dyDescent="0.3">
      <c r="B4424" s="724" t="s">
        <v>806</v>
      </c>
      <c r="C4424" s="722" t="s">
        <v>649</v>
      </c>
      <c r="D4424" t="s">
        <v>650</v>
      </c>
      <c r="E4424" s="728"/>
      <c r="F4424" s="728"/>
      <c r="G4424" s="728"/>
      <c r="H4424" s="728"/>
      <c r="I4424" s="728"/>
      <c r="J4424" s="728"/>
      <c r="K4424" s="728"/>
      <c r="L4424" s="148">
        <v>0.05</v>
      </c>
      <c r="M4424" s="728"/>
      <c r="N4424" s="148">
        <v>0.05</v>
      </c>
      <c r="O4424" s="148">
        <v>0</v>
      </c>
      <c r="P4424" s="728"/>
      <c r="Q4424" s="148">
        <v>0.05</v>
      </c>
      <c r="R4424" s="148">
        <v>0</v>
      </c>
    </row>
    <row r="4425" spans="2:18" ht="15.75" hidden="1" thickBot="1" x14ac:dyDescent="0.3">
      <c r="B4425" s="724" t="s">
        <v>806</v>
      </c>
      <c r="C4425" s="722" t="s">
        <v>173</v>
      </c>
      <c r="D4425" t="s">
        <v>174</v>
      </c>
      <c r="E4425" s="729"/>
      <c r="F4425" s="147">
        <v>0.5</v>
      </c>
      <c r="G4425" s="147">
        <v>-0.5</v>
      </c>
      <c r="H4425" s="147">
        <v>-100</v>
      </c>
      <c r="I4425" s="729"/>
      <c r="J4425" s="729"/>
      <c r="K4425" s="729"/>
      <c r="L4425" s="147">
        <v>8.7235899999999997</v>
      </c>
      <c r="M4425" s="147">
        <v>6</v>
      </c>
      <c r="N4425" s="147">
        <v>2.7235900000000002</v>
      </c>
      <c r="O4425" s="147">
        <v>45.393166666666666</v>
      </c>
      <c r="P4425" s="147">
        <v>4.7100099999999996</v>
      </c>
      <c r="Q4425" s="147">
        <v>4.0135800000000001</v>
      </c>
      <c r="R4425" s="147">
        <v>85.213831817766845</v>
      </c>
    </row>
    <row r="4426" spans="2:18" ht="15.75" hidden="1" thickBot="1" x14ac:dyDescent="0.3">
      <c r="B4426" s="724" t="s">
        <v>806</v>
      </c>
      <c r="C4426" s="722" t="s">
        <v>151</v>
      </c>
      <c r="D4426" t="s">
        <v>152</v>
      </c>
      <c r="E4426" s="728"/>
      <c r="F4426" s="728"/>
      <c r="G4426" s="728"/>
      <c r="H4426" s="728"/>
      <c r="I4426" s="728"/>
      <c r="J4426" s="728"/>
      <c r="K4426" s="728"/>
      <c r="L4426" s="148">
        <v>7.3672000000000004</v>
      </c>
      <c r="M4426" s="728"/>
      <c r="N4426" s="148">
        <v>7.3672000000000004</v>
      </c>
      <c r="O4426" s="148">
        <v>0</v>
      </c>
      <c r="P4426" s="148">
        <v>2.5021</v>
      </c>
      <c r="Q4426" s="148">
        <v>4.8651</v>
      </c>
      <c r="R4426" s="148">
        <v>194.44066983733663</v>
      </c>
    </row>
    <row r="4427" spans="2:18" ht="15.75" hidden="1" thickBot="1" x14ac:dyDescent="0.3">
      <c r="B4427" s="724" t="s">
        <v>806</v>
      </c>
      <c r="C4427" s="722" t="s">
        <v>481</v>
      </c>
      <c r="D4427" t="s">
        <v>482</v>
      </c>
      <c r="E4427" s="729"/>
      <c r="F4427" s="729"/>
      <c r="G4427" s="729"/>
      <c r="H4427" s="729"/>
      <c r="I4427" s="729"/>
      <c r="J4427" s="729"/>
      <c r="K4427" s="729"/>
      <c r="L4427" s="147">
        <v>7.571E-2</v>
      </c>
      <c r="M4427" s="729"/>
      <c r="N4427" s="147">
        <v>7.571E-2</v>
      </c>
      <c r="O4427" s="147">
        <v>0</v>
      </c>
      <c r="P4427" s="147">
        <v>7.571E-2</v>
      </c>
      <c r="Q4427" s="147">
        <v>0</v>
      </c>
      <c r="R4427" s="147">
        <v>0</v>
      </c>
    </row>
    <row r="4428" spans="2:18" ht="15.75" hidden="1" thickBot="1" x14ac:dyDescent="0.3">
      <c r="B4428" s="724" t="s">
        <v>806</v>
      </c>
      <c r="C4428" s="722" t="s">
        <v>483</v>
      </c>
      <c r="D4428" t="s">
        <v>484</v>
      </c>
      <c r="E4428" s="148">
        <v>0.5</v>
      </c>
      <c r="F4428" s="728"/>
      <c r="G4428" s="148">
        <v>0.5</v>
      </c>
      <c r="H4428" s="148">
        <v>0</v>
      </c>
      <c r="I4428" s="728"/>
      <c r="J4428" s="148">
        <v>0.5</v>
      </c>
      <c r="K4428" s="148">
        <v>0</v>
      </c>
      <c r="L4428" s="148">
        <v>0.5</v>
      </c>
      <c r="M4428" s="728"/>
      <c r="N4428" s="148">
        <v>0.5</v>
      </c>
      <c r="O4428" s="148">
        <v>0</v>
      </c>
      <c r="P4428" s="728"/>
      <c r="Q4428" s="148">
        <v>0.5</v>
      </c>
      <c r="R4428" s="148">
        <v>0</v>
      </c>
    </row>
    <row r="4429" spans="2:18" ht="15.75" hidden="1" thickBot="1" x14ac:dyDescent="0.3">
      <c r="B4429" s="724" t="s">
        <v>806</v>
      </c>
      <c r="C4429" s="722" t="s">
        <v>175</v>
      </c>
      <c r="D4429" t="s">
        <v>176</v>
      </c>
      <c r="E4429" s="729"/>
      <c r="F4429" s="729"/>
      <c r="G4429" s="729"/>
      <c r="H4429" s="729"/>
      <c r="I4429" s="729"/>
      <c r="J4429" s="729"/>
      <c r="K4429" s="729"/>
      <c r="L4429" s="147">
        <v>2.6540000000000001E-2</v>
      </c>
      <c r="M4429" s="729"/>
      <c r="N4429" s="147">
        <v>2.6540000000000001E-2</v>
      </c>
      <c r="O4429" s="147">
        <v>0</v>
      </c>
      <c r="P4429" s="729"/>
      <c r="Q4429" s="147">
        <v>2.6540000000000001E-2</v>
      </c>
      <c r="R4429" s="147">
        <v>0</v>
      </c>
    </row>
    <row r="4430" spans="2:18" ht="15.75" hidden="1" thickBot="1" x14ac:dyDescent="0.3">
      <c r="B4430" s="724" t="s">
        <v>806</v>
      </c>
      <c r="C4430" s="722" t="s">
        <v>657</v>
      </c>
      <c r="D4430" t="s">
        <v>658</v>
      </c>
      <c r="E4430" s="148">
        <v>3.2280000000000003E-2</v>
      </c>
      <c r="F4430" s="728"/>
      <c r="G4430" s="148">
        <v>3.2280000000000003E-2</v>
      </c>
      <c r="H4430" s="148">
        <v>0</v>
      </c>
      <c r="I4430" s="728"/>
      <c r="J4430" s="148">
        <v>3.2280000000000003E-2</v>
      </c>
      <c r="K4430" s="148">
        <v>0</v>
      </c>
      <c r="L4430" s="148">
        <v>3.2280000000000003E-2</v>
      </c>
      <c r="M4430" s="728"/>
      <c r="N4430" s="148">
        <v>3.2280000000000003E-2</v>
      </c>
      <c r="O4430" s="148">
        <v>0</v>
      </c>
      <c r="P4430" s="728"/>
      <c r="Q4430" s="148">
        <v>3.2280000000000003E-2</v>
      </c>
      <c r="R4430" s="148">
        <v>0</v>
      </c>
    </row>
    <row r="4431" spans="2:18" ht="15.75" hidden="1" thickBot="1" x14ac:dyDescent="0.3">
      <c r="B4431" s="724" t="s">
        <v>806</v>
      </c>
      <c r="C4431" s="722" t="s">
        <v>661</v>
      </c>
      <c r="D4431" t="s">
        <v>662</v>
      </c>
      <c r="E4431" s="147">
        <v>19.253160000000001</v>
      </c>
      <c r="F4431" s="729"/>
      <c r="G4431" s="147">
        <v>19.253160000000001</v>
      </c>
      <c r="H4431" s="147">
        <v>0</v>
      </c>
      <c r="I4431" s="729"/>
      <c r="J4431" s="147">
        <v>19.253160000000001</v>
      </c>
      <c r="K4431" s="147">
        <v>0</v>
      </c>
      <c r="L4431" s="147">
        <v>19.253160000000001</v>
      </c>
      <c r="M4431" s="729"/>
      <c r="N4431" s="147">
        <v>19.253160000000001</v>
      </c>
      <c r="O4431" s="147">
        <v>0</v>
      </c>
      <c r="P4431" s="729"/>
      <c r="Q4431" s="147">
        <v>19.253160000000001</v>
      </c>
      <c r="R4431" s="147">
        <v>0</v>
      </c>
    </row>
    <row r="4432" spans="2:18" ht="15.75" hidden="1" thickBot="1" x14ac:dyDescent="0.3">
      <c r="B4432" s="724" t="s">
        <v>806</v>
      </c>
      <c r="C4432" s="722" t="s">
        <v>663</v>
      </c>
      <c r="D4432" t="s">
        <v>664</v>
      </c>
      <c r="E4432" s="728"/>
      <c r="F4432" s="728"/>
      <c r="G4432" s="728"/>
      <c r="H4432" s="728"/>
      <c r="I4432" s="728"/>
      <c r="J4432" s="728"/>
      <c r="K4432" s="728"/>
      <c r="L4432" s="148">
        <v>-2.71733</v>
      </c>
      <c r="M4432" s="728"/>
      <c r="N4432" s="148">
        <v>-2.71733</v>
      </c>
      <c r="O4432" s="148">
        <v>0</v>
      </c>
      <c r="P4432" s="148">
        <v>-2.71733</v>
      </c>
      <c r="Q4432" s="148">
        <v>0</v>
      </c>
      <c r="R4432" s="148">
        <v>0</v>
      </c>
    </row>
    <row r="4433" spans="2:18" ht="15.75" hidden="1" thickBot="1" x14ac:dyDescent="0.3">
      <c r="B4433" s="724" t="s">
        <v>806</v>
      </c>
      <c r="C4433" s="722" t="s">
        <v>207</v>
      </c>
      <c r="D4433" t="s">
        <v>208</v>
      </c>
      <c r="E4433" s="729"/>
      <c r="F4433" s="729"/>
      <c r="G4433" s="729"/>
      <c r="H4433" s="729"/>
      <c r="I4433" s="729"/>
      <c r="J4433" s="729"/>
      <c r="K4433" s="729"/>
      <c r="L4433" s="147">
        <v>1.27888</v>
      </c>
      <c r="M4433" s="729"/>
      <c r="N4433" s="147">
        <v>1.27888</v>
      </c>
      <c r="O4433" s="147">
        <v>0</v>
      </c>
      <c r="P4433" s="147">
        <v>0.80547999999999997</v>
      </c>
      <c r="Q4433" s="147">
        <v>0.47339999999999999</v>
      </c>
      <c r="R4433" s="147">
        <v>58.772408998361229</v>
      </c>
    </row>
    <row r="4434" spans="2:18" ht="15.75" hidden="1" thickBot="1" x14ac:dyDescent="0.3">
      <c r="B4434" s="724" t="s">
        <v>806</v>
      </c>
      <c r="C4434" s="722" t="s">
        <v>75</v>
      </c>
      <c r="D4434" t="s">
        <v>76</v>
      </c>
      <c r="E4434" s="148">
        <v>2.4662000000000002</v>
      </c>
      <c r="F4434" s="148">
        <v>2.7</v>
      </c>
      <c r="G4434" s="148">
        <v>-0.23380000000000001</v>
      </c>
      <c r="H4434" s="148">
        <v>-8.6592592592592599</v>
      </c>
      <c r="I4434" s="728"/>
      <c r="J4434" s="148">
        <v>2.4662000000000002</v>
      </c>
      <c r="K4434" s="148">
        <v>0</v>
      </c>
      <c r="L4434" s="148">
        <v>35.838700000000003</v>
      </c>
      <c r="M4434" s="148">
        <v>26.6</v>
      </c>
      <c r="N4434" s="148">
        <v>9.2386999999999997</v>
      </c>
      <c r="O4434" s="148">
        <v>34.731954887218045</v>
      </c>
      <c r="P4434" s="148">
        <v>16.325749999999999</v>
      </c>
      <c r="Q4434" s="148">
        <v>19.51295</v>
      </c>
      <c r="R4434" s="148">
        <v>119.5225334211292</v>
      </c>
    </row>
    <row r="4435" spans="2:18" ht="15.75" hidden="1" thickBot="1" x14ac:dyDescent="0.3">
      <c r="B4435" s="724" t="s">
        <v>806</v>
      </c>
      <c r="C4435" s="722" t="s">
        <v>121</v>
      </c>
      <c r="D4435" t="s">
        <v>122</v>
      </c>
      <c r="E4435" s="147">
        <v>0.25491999999999998</v>
      </c>
      <c r="F4435" s="147">
        <v>0.375</v>
      </c>
      <c r="G4435" s="147">
        <v>-0.12008000000000001</v>
      </c>
      <c r="H4435" s="147">
        <v>-32.021333333333331</v>
      </c>
      <c r="I4435" s="729"/>
      <c r="J4435" s="147">
        <v>0.25491999999999998</v>
      </c>
      <c r="K4435" s="147">
        <v>0</v>
      </c>
      <c r="L4435" s="147">
        <v>14.72293</v>
      </c>
      <c r="M4435" s="147">
        <v>4</v>
      </c>
      <c r="N4435" s="147">
        <v>10.72293</v>
      </c>
      <c r="O4435" s="147">
        <v>268.07324999999997</v>
      </c>
      <c r="P4435" s="147">
        <v>7.0248499999999998</v>
      </c>
      <c r="Q4435" s="147">
        <v>7.69808</v>
      </c>
      <c r="R4435" s="147">
        <v>109.58354982668669</v>
      </c>
    </row>
    <row r="4436" spans="2:18" ht="15.75" hidden="1" thickBot="1" x14ac:dyDescent="0.3">
      <c r="B4436" s="724" t="s">
        <v>806</v>
      </c>
      <c r="C4436" s="722" t="s">
        <v>77</v>
      </c>
      <c r="D4436" t="s">
        <v>78</v>
      </c>
      <c r="E4436" s="728"/>
      <c r="F4436" s="148">
        <v>3.25</v>
      </c>
      <c r="G4436" s="148">
        <v>-3.25</v>
      </c>
      <c r="H4436" s="148">
        <v>-100</v>
      </c>
      <c r="I4436" s="728"/>
      <c r="J4436" s="728"/>
      <c r="K4436" s="728"/>
      <c r="L4436" s="148">
        <v>21.93655</v>
      </c>
      <c r="M4436" s="148">
        <v>39</v>
      </c>
      <c r="N4436" s="148">
        <v>-17.06345</v>
      </c>
      <c r="O4436" s="148">
        <v>-43.752435897435895</v>
      </c>
      <c r="P4436" s="148">
        <v>11.736800000000001</v>
      </c>
      <c r="Q4436" s="148">
        <v>10.19975</v>
      </c>
      <c r="R4436" s="148">
        <v>86.904011314838797</v>
      </c>
    </row>
    <row r="4437" spans="2:18" ht="15.75" hidden="1" thickBot="1" x14ac:dyDescent="0.3">
      <c r="B4437" s="724" t="s">
        <v>806</v>
      </c>
      <c r="C4437" s="722" t="s">
        <v>79</v>
      </c>
      <c r="D4437" t="s">
        <v>80</v>
      </c>
      <c r="E4437" s="147">
        <v>0.38625999999999999</v>
      </c>
      <c r="F4437" s="147">
        <v>1.35</v>
      </c>
      <c r="G4437" s="147">
        <v>-0.96374000000000004</v>
      </c>
      <c r="H4437" s="147">
        <v>-71.388148148148147</v>
      </c>
      <c r="I4437" s="729"/>
      <c r="J4437" s="147">
        <v>0.38625999999999999</v>
      </c>
      <c r="K4437" s="147">
        <v>0</v>
      </c>
      <c r="L4437" s="147">
        <v>13.762309999999999</v>
      </c>
      <c r="M4437" s="147">
        <v>16</v>
      </c>
      <c r="N4437" s="147">
        <v>-2.2376900000000002</v>
      </c>
      <c r="O4437" s="147">
        <v>-13.9855625</v>
      </c>
      <c r="P4437" s="147">
        <v>7.2726300000000004</v>
      </c>
      <c r="Q4437" s="147">
        <v>6.4896799999999999</v>
      </c>
      <c r="R4437" s="147">
        <v>89.234293508675677</v>
      </c>
    </row>
    <row r="4438" spans="2:18" ht="15.75" hidden="1" thickBot="1" x14ac:dyDescent="0.3">
      <c r="B4438" s="724" t="s">
        <v>806</v>
      </c>
      <c r="C4438" s="722" t="s">
        <v>81</v>
      </c>
      <c r="D4438" t="s">
        <v>82</v>
      </c>
      <c r="E4438" s="148">
        <v>3.86538</v>
      </c>
      <c r="F4438" s="148">
        <v>0.4</v>
      </c>
      <c r="G4438" s="148">
        <v>3.4653800000000001</v>
      </c>
      <c r="H4438" s="148">
        <v>866.34500000000003</v>
      </c>
      <c r="I4438" s="728"/>
      <c r="J4438" s="148">
        <v>3.86538</v>
      </c>
      <c r="K4438" s="148">
        <v>0</v>
      </c>
      <c r="L4438" s="148">
        <v>4.4408599999999998</v>
      </c>
      <c r="M4438" s="148">
        <v>4.5</v>
      </c>
      <c r="N4438" s="148">
        <v>-5.9139999999999998E-2</v>
      </c>
      <c r="O4438" s="148">
        <v>-1.3142222222222222</v>
      </c>
      <c r="P4438" s="148">
        <v>0.42548000000000002</v>
      </c>
      <c r="Q4438" s="148">
        <v>4.0153800000000004</v>
      </c>
      <c r="R4438" s="148">
        <v>943.72943499106896</v>
      </c>
    </row>
    <row r="4439" spans="2:18" ht="15.75" hidden="1" thickBot="1" x14ac:dyDescent="0.3">
      <c r="B4439" s="724" t="s">
        <v>806</v>
      </c>
      <c r="C4439" s="722" t="s">
        <v>123</v>
      </c>
      <c r="D4439" t="s">
        <v>124</v>
      </c>
      <c r="E4439" s="147">
        <v>0.66939000000000004</v>
      </c>
      <c r="F4439" s="147">
        <v>0.6</v>
      </c>
      <c r="G4439" s="147">
        <v>6.9389999999999993E-2</v>
      </c>
      <c r="H4439" s="147">
        <v>11.565</v>
      </c>
      <c r="I4439" s="729"/>
      <c r="J4439" s="147">
        <v>0.66939000000000004</v>
      </c>
      <c r="K4439" s="147">
        <v>0</v>
      </c>
      <c r="L4439" s="147">
        <v>3.5352600000000001</v>
      </c>
      <c r="M4439" s="147">
        <v>7</v>
      </c>
      <c r="N4439" s="147">
        <v>-3.4647399999999999</v>
      </c>
      <c r="O4439" s="147">
        <v>-49.496285714285712</v>
      </c>
      <c r="P4439" s="147">
        <v>2.1316000000000002</v>
      </c>
      <c r="Q4439" s="147">
        <v>1.4036599999999999</v>
      </c>
      <c r="R4439" s="147">
        <v>65.850065678363677</v>
      </c>
    </row>
    <row r="4440" spans="2:18" ht="15.75" hidden="1" thickBot="1" x14ac:dyDescent="0.3">
      <c r="B4440" s="724" t="s">
        <v>806</v>
      </c>
      <c r="C4440" s="722" t="s">
        <v>125</v>
      </c>
      <c r="D4440" t="s">
        <v>126</v>
      </c>
      <c r="E4440" s="148">
        <v>7.9000000000000001E-2</v>
      </c>
      <c r="F4440" s="728"/>
      <c r="G4440" s="148">
        <v>7.9000000000000001E-2</v>
      </c>
      <c r="H4440" s="148">
        <v>0</v>
      </c>
      <c r="I4440" s="728"/>
      <c r="J4440" s="148">
        <v>7.9000000000000001E-2</v>
      </c>
      <c r="K4440" s="148">
        <v>0</v>
      </c>
      <c r="L4440" s="148">
        <v>0.18654999999999999</v>
      </c>
      <c r="M4440" s="728"/>
      <c r="N4440" s="148">
        <v>0.18654999999999999</v>
      </c>
      <c r="O4440" s="148">
        <v>0</v>
      </c>
      <c r="P4440" s="148">
        <v>0.10755000000000001</v>
      </c>
      <c r="Q4440" s="148">
        <v>7.9000000000000001E-2</v>
      </c>
      <c r="R4440" s="148">
        <v>73.454207345420741</v>
      </c>
    </row>
    <row r="4441" spans="2:18" ht="15.75" hidden="1" thickBot="1" x14ac:dyDescent="0.3">
      <c r="B4441" s="724" t="s">
        <v>806</v>
      </c>
      <c r="C4441" s="722" t="s">
        <v>681</v>
      </c>
      <c r="D4441" t="s">
        <v>682</v>
      </c>
      <c r="E4441" s="147">
        <v>0.41971999999999998</v>
      </c>
      <c r="F4441" s="729"/>
      <c r="G4441" s="147">
        <v>0.41971999999999998</v>
      </c>
      <c r="H4441" s="147">
        <v>0</v>
      </c>
      <c r="I4441" s="729"/>
      <c r="J4441" s="147">
        <v>0.41971999999999998</v>
      </c>
      <c r="K4441" s="147">
        <v>0</v>
      </c>
      <c r="L4441" s="147">
        <v>1.0495300000000001</v>
      </c>
      <c r="M4441" s="729"/>
      <c r="N4441" s="147">
        <v>1.0495300000000001</v>
      </c>
      <c r="O4441" s="147">
        <v>0</v>
      </c>
      <c r="P4441" s="729"/>
      <c r="Q4441" s="147">
        <v>1.0495300000000001</v>
      </c>
      <c r="R4441" s="147">
        <v>0</v>
      </c>
    </row>
    <row r="4442" spans="2:18" ht="15.75" hidden="1" thickBot="1" x14ac:dyDescent="0.3">
      <c r="B4442" s="724" t="s">
        <v>806</v>
      </c>
      <c r="C4442" s="722" t="s">
        <v>683</v>
      </c>
      <c r="D4442" t="s">
        <v>684</v>
      </c>
      <c r="E4442" s="148">
        <v>0.37440000000000001</v>
      </c>
      <c r="F4442" s="728"/>
      <c r="G4442" s="148">
        <v>0.37440000000000001</v>
      </c>
      <c r="H4442" s="148">
        <v>0</v>
      </c>
      <c r="I4442" s="728"/>
      <c r="J4442" s="148">
        <v>0.37440000000000001</v>
      </c>
      <c r="K4442" s="148">
        <v>0</v>
      </c>
      <c r="L4442" s="148">
        <v>0.92517000000000005</v>
      </c>
      <c r="M4442" s="728"/>
      <c r="N4442" s="148">
        <v>0.92517000000000005</v>
      </c>
      <c r="O4442" s="148">
        <v>0</v>
      </c>
      <c r="P4442" s="728"/>
      <c r="Q4442" s="148">
        <v>0.92517000000000005</v>
      </c>
      <c r="R4442" s="148">
        <v>0</v>
      </c>
    </row>
    <row r="4443" spans="2:18" ht="15.75" hidden="1" thickBot="1" x14ac:dyDescent="0.3">
      <c r="B4443" s="724" t="s">
        <v>806</v>
      </c>
      <c r="C4443" s="722" t="s">
        <v>691</v>
      </c>
      <c r="D4443" t="s">
        <v>692</v>
      </c>
      <c r="E4443" s="147">
        <v>5.0939100000000002</v>
      </c>
      <c r="F4443" s="147">
        <v>1.6</v>
      </c>
      <c r="G4443" s="147">
        <v>3.4939100000000001</v>
      </c>
      <c r="H4443" s="147">
        <v>218.36937499999999</v>
      </c>
      <c r="I4443" s="729"/>
      <c r="J4443" s="147">
        <v>5.0939100000000002</v>
      </c>
      <c r="K4443" s="147">
        <v>0</v>
      </c>
      <c r="L4443" s="147">
        <v>-33.261369999999999</v>
      </c>
      <c r="M4443" s="147">
        <v>19</v>
      </c>
      <c r="N4443" s="147">
        <v>-52.261369999999999</v>
      </c>
      <c r="O4443" s="147">
        <v>-275.05984210526316</v>
      </c>
      <c r="P4443" s="147">
        <v>-34.284480000000002</v>
      </c>
      <c r="Q4443" s="147">
        <v>1.02311</v>
      </c>
      <c r="R4443" s="147">
        <v>2.9841782637508283</v>
      </c>
    </row>
    <row r="4444" spans="2:18" ht="15.75" hidden="1" thickBot="1" x14ac:dyDescent="0.3">
      <c r="B4444" s="724" t="s">
        <v>806</v>
      </c>
      <c r="C4444" s="722" t="s">
        <v>209</v>
      </c>
      <c r="D4444" t="s">
        <v>210</v>
      </c>
      <c r="E4444" s="728"/>
      <c r="F4444" s="728"/>
      <c r="G4444" s="728"/>
      <c r="H4444" s="728"/>
      <c r="I4444" s="728"/>
      <c r="J4444" s="728"/>
      <c r="K4444" s="728"/>
      <c r="L4444" s="148">
        <v>0.43524000000000002</v>
      </c>
      <c r="M4444" s="728"/>
      <c r="N4444" s="148">
        <v>0.43524000000000002</v>
      </c>
      <c r="O4444" s="148">
        <v>0</v>
      </c>
      <c r="P4444" s="148">
        <v>0.31428</v>
      </c>
      <c r="Q4444" s="148">
        <v>0.12096</v>
      </c>
      <c r="R4444" s="148">
        <v>38.487972508591064</v>
      </c>
    </row>
    <row r="4445" spans="2:18" ht="15.75" hidden="1" thickBot="1" x14ac:dyDescent="0.3">
      <c r="B4445" s="724" t="s">
        <v>806</v>
      </c>
      <c r="C4445" s="722" t="s">
        <v>211</v>
      </c>
      <c r="D4445" t="s">
        <v>212</v>
      </c>
      <c r="E4445" s="729"/>
      <c r="F4445" s="729"/>
      <c r="G4445" s="729"/>
      <c r="H4445" s="729"/>
      <c r="I4445" s="729"/>
      <c r="J4445" s="729"/>
      <c r="K4445" s="729"/>
      <c r="L4445" s="147">
        <v>0.72862000000000005</v>
      </c>
      <c r="M4445" s="729"/>
      <c r="N4445" s="147">
        <v>0.72862000000000005</v>
      </c>
      <c r="O4445" s="147">
        <v>0</v>
      </c>
      <c r="P4445" s="147">
        <v>0.15001</v>
      </c>
      <c r="Q4445" s="147">
        <v>0.57860999999999996</v>
      </c>
      <c r="R4445" s="147">
        <v>385.71428571428572</v>
      </c>
    </row>
    <row r="4446" spans="2:18" ht="15.75" hidden="1" thickBot="1" x14ac:dyDescent="0.3">
      <c r="B4446" s="724" t="s">
        <v>806</v>
      </c>
      <c r="C4446" s="722" t="s">
        <v>697</v>
      </c>
      <c r="D4446" t="s">
        <v>698</v>
      </c>
      <c r="E4446" s="728"/>
      <c r="F4446" s="728"/>
      <c r="G4446" s="728"/>
      <c r="H4446" s="728"/>
      <c r="I4446" s="728"/>
      <c r="J4446" s="728"/>
      <c r="K4446" s="728"/>
      <c r="L4446" s="148">
        <v>1.8635999999999999</v>
      </c>
      <c r="M4446" s="728"/>
      <c r="N4446" s="148">
        <v>1.8635999999999999</v>
      </c>
      <c r="O4446" s="148">
        <v>0</v>
      </c>
      <c r="P4446" s="148">
        <v>1.44472</v>
      </c>
      <c r="Q4446" s="148">
        <v>0.41887999999999997</v>
      </c>
      <c r="R4446" s="148">
        <v>28.993853480259151</v>
      </c>
    </row>
    <row r="4447" spans="2:18" ht="15.75" hidden="1" thickBot="1" x14ac:dyDescent="0.3">
      <c r="B4447" s="724" t="s">
        <v>806</v>
      </c>
      <c r="C4447" s="722" t="s">
        <v>213</v>
      </c>
      <c r="D4447" t="s">
        <v>214</v>
      </c>
      <c r="E4447" s="729"/>
      <c r="F4447" s="729"/>
      <c r="G4447" s="729"/>
      <c r="H4447" s="729"/>
      <c r="I4447" s="729"/>
      <c r="J4447" s="729"/>
      <c r="K4447" s="729"/>
      <c r="L4447" s="147">
        <v>-0.38988</v>
      </c>
      <c r="M4447" s="729"/>
      <c r="N4447" s="147">
        <v>-0.38988</v>
      </c>
      <c r="O4447" s="147">
        <v>0</v>
      </c>
      <c r="P4447" s="147">
        <v>-0.31428</v>
      </c>
      <c r="Q4447" s="147">
        <v>-7.5600000000000001E-2</v>
      </c>
      <c r="R4447" s="147">
        <v>-24.054982817869416</v>
      </c>
    </row>
    <row r="4448" spans="2:18" ht="15.75" hidden="1" thickBot="1" x14ac:dyDescent="0.3">
      <c r="B4448" s="724" t="s">
        <v>806</v>
      </c>
      <c r="C4448" s="722" t="s">
        <v>215</v>
      </c>
      <c r="D4448" t="s">
        <v>216</v>
      </c>
      <c r="E4448" s="728"/>
      <c r="F4448" s="728"/>
      <c r="G4448" s="728"/>
      <c r="H4448" s="728"/>
      <c r="I4448" s="728"/>
      <c r="J4448" s="728"/>
      <c r="K4448" s="728"/>
      <c r="L4448" s="148">
        <v>-0.12858</v>
      </c>
      <c r="M4448" s="728"/>
      <c r="N4448" s="148">
        <v>-0.12858</v>
      </c>
      <c r="O4448" s="148">
        <v>0</v>
      </c>
      <c r="P4448" s="148">
        <v>-4.2860000000000002E-2</v>
      </c>
      <c r="Q4448" s="148">
        <v>-8.5720000000000005E-2</v>
      </c>
      <c r="R4448" s="148">
        <v>-200</v>
      </c>
    </row>
    <row r="4449" spans="2:18" ht="15.75" hidden="1" thickBot="1" x14ac:dyDescent="0.3">
      <c r="B4449" s="724" t="s">
        <v>806</v>
      </c>
      <c r="C4449" s="149" t="s">
        <v>85</v>
      </c>
      <c r="D4449" t="s">
        <v>86</v>
      </c>
      <c r="E4449" s="147">
        <v>446.81349</v>
      </c>
      <c r="F4449" s="147">
        <v>59.685000000000002</v>
      </c>
      <c r="G4449" s="147">
        <v>387.12849</v>
      </c>
      <c r="H4449" s="147">
        <v>648.6194018597638</v>
      </c>
      <c r="I4449" s="729"/>
      <c r="J4449" s="147">
        <v>446.81349</v>
      </c>
      <c r="K4449" s="147">
        <v>0</v>
      </c>
      <c r="L4449" s="147">
        <v>3778.5324599999999</v>
      </c>
      <c r="M4449" s="147">
        <v>3558.2739999999999</v>
      </c>
      <c r="N4449" s="147">
        <v>220.25846000000001</v>
      </c>
      <c r="O4449" s="147">
        <v>6.1900365177049324</v>
      </c>
      <c r="P4449" s="147">
        <v>1451.5263</v>
      </c>
      <c r="Q4449" s="147">
        <v>2327.0061599999999</v>
      </c>
      <c r="R4449" s="147">
        <v>160.31443315908228</v>
      </c>
    </row>
    <row r="4450" spans="2:18" ht="15.75" hidden="1" thickBot="1" x14ac:dyDescent="0.3">
      <c r="B4450" s="724" t="s">
        <v>806</v>
      </c>
      <c r="C4450" s="144" t="s">
        <v>87</v>
      </c>
      <c r="D4450" t="s">
        <v>87</v>
      </c>
      <c r="E4450" s="148">
        <v>683.63891000000001</v>
      </c>
      <c r="F4450" s="148">
        <v>363.61516</v>
      </c>
      <c r="G4450" s="148">
        <v>320.02375000000001</v>
      </c>
      <c r="H4450" s="148">
        <v>88.011663210081778</v>
      </c>
      <c r="I4450" s="728"/>
      <c r="J4450" s="148">
        <v>683.63891000000001</v>
      </c>
      <c r="K4450" s="148">
        <v>0</v>
      </c>
      <c r="L4450" s="148">
        <v>7007.7799199999999</v>
      </c>
      <c r="M4450" s="148">
        <v>7143.3080499999996</v>
      </c>
      <c r="N4450" s="148">
        <v>-135.52813</v>
      </c>
      <c r="O4450" s="148">
        <v>-1.8972740507809964</v>
      </c>
      <c r="P4450" s="148">
        <v>3034.1943999999999</v>
      </c>
      <c r="Q4450" s="148">
        <v>3973.5855200000001</v>
      </c>
      <c r="R4450" s="148">
        <v>130.96014942219918</v>
      </c>
    </row>
    <row r="4451" spans="2:18" ht="15.75" hidden="1" thickBot="1" x14ac:dyDescent="0.3">
      <c r="B4451" s="725" t="s">
        <v>807</v>
      </c>
      <c r="C4451" s="722" t="s">
        <v>59</v>
      </c>
      <c r="D4451" t="s">
        <v>60</v>
      </c>
      <c r="E4451" s="147">
        <v>7.6113600000000003</v>
      </c>
      <c r="F4451" s="147">
        <v>7.3377499999999998</v>
      </c>
      <c r="G4451" s="147">
        <v>0.27361000000000002</v>
      </c>
      <c r="H4451" s="147">
        <v>3.7287997001805731</v>
      </c>
      <c r="I4451" s="729"/>
      <c r="J4451" s="147">
        <v>7.6113600000000003</v>
      </c>
      <c r="K4451" s="147">
        <v>0</v>
      </c>
      <c r="L4451" s="147">
        <v>85.123419999999996</v>
      </c>
      <c r="M4451" s="147">
        <v>87.591059999999999</v>
      </c>
      <c r="N4451" s="147">
        <v>-2.4676399999999998</v>
      </c>
      <c r="O4451" s="147">
        <v>-2.817228150909465</v>
      </c>
      <c r="P4451" s="147">
        <v>41.871839999999999</v>
      </c>
      <c r="Q4451" s="147">
        <v>43.251579999999997</v>
      </c>
      <c r="R4451" s="147">
        <v>103.29515015342054</v>
      </c>
    </row>
    <row r="4452" spans="2:18" ht="15.75" hidden="1" thickBot="1" x14ac:dyDescent="0.3">
      <c r="B4452" s="725" t="s">
        <v>807</v>
      </c>
      <c r="C4452" s="722" t="s">
        <v>91</v>
      </c>
      <c r="D4452" t="s">
        <v>92</v>
      </c>
      <c r="E4452" s="148">
        <v>8.0336599999999994</v>
      </c>
      <c r="F4452" s="148">
        <v>11.05724</v>
      </c>
      <c r="G4452" s="148">
        <v>-3.0235799999999999</v>
      </c>
      <c r="H4452" s="148">
        <v>-27.344798521149944</v>
      </c>
      <c r="I4452" s="728"/>
      <c r="J4452" s="148">
        <v>8.0336599999999994</v>
      </c>
      <c r="K4452" s="148">
        <v>0</v>
      </c>
      <c r="L4452" s="148">
        <v>127.35086</v>
      </c>
      <c r="M4452" s="148">
        <v>129.14433</v>
      </c>
      <c r="N4452" s="148">
        <v>-1.7934699999999999</v>
      </c>
      <c r="O4452" s="148">
        <v>-1.388733055489157</v>
      </c>
      <c r="P4452" s="148">
        <v>69.223039999999997</v>
      </c>
      <c r="Q4452" s="148">
        <v>58.12782</v>
      </c>
      <c r="R4452" s="148">
        <v>83.971781649577949</v>
      </c>
    </row>
    <row r="4453" spans="2:18" ht="15.75" hidden="1" thickBot="1" x14ac:dyDescent="0.3">
      <c r="B4453" s="725" t="s">
        <v>807</v>
      </c>
      <c r="C4453" s="722" t="s">
        <v>93</v>
      </c>
      <c r="D4453" t="s">
        <v>94</v>
      </c>
      <c r="E4453" s="147">
        <v>-5.3659999999999999E-2</v>
      </c>
      <c r="F4453" s="729"/>
      <c r="G4453" s="147">
        <v>-5.3659999999999999E-2</v>
      </c>
      <c r="H4453" s="147">
        <v>0</v>
      </c>
      <c r="I4453" s="729"/>
      <c r="J4453" s="147">
        <v>-5.3659999999999999E-2</v>
      </c>
      <c r="K4453" s="147">
        <v>0</v>
      </c>
      <c r="L4453" s="147">
        <v>2.5967500000000001</v>
      </c>
      <c r="M4453" s="729"/>
      <c r="N4453" s="147">
        <v>2.5967500000000001</v>
      </c>
      <c r="O4453" s="147">
        <v>0</v>
      </c>
      <c r="P4453" s="147">
        <v>1.38639</v>
      </c>
      <c r="Q4453" s="147">
        <v>1.2103600000000001</v>
      </c>
      <c r="R4453" s="147">
        <v>87.302995549592822</v>
      </c>
    </row>
    <row r="4454" spans="2:18" ht="15.75" hidden="1" thickBot="1" x14ac:dyDescent="0.3">
      <c r="B4454" s="725" t="s">
        <v>807</v>
      </c>
      <c r="C4454" s="722" t="s">
        <v>61</v>
      </c>
      <c r="D4454" t="s">
        <v>62</v>
      </c>
      <c r="E4454" s="148">
        <v>2.7949799999999998</v>
      </c>
      <c r="F4454" s="148">
        <v>2.8512200000000001</v>
      </c>
      <c r="G4454" s="148">
        <v>-5.6239999999999998E-2</v>
      </c>
      <c r="H4454" s="148">
        <v>-1.9724889696340513</v>
      </c>
      <c r="I4454" s="728"/>
      <c r="J4454" s="148">
        <v>2.7949799999999998</v>
      </c>
      <c r="K4454" s="148">
        <v>0</v>
      </c>
      <c r="L4454" s="148">
        <v>33.657179999999997</v>
      </c>
      <c r="M4454" s="148">
        <v>33.594029999999997</v>
      </c>
      <c r="N4454" s="148">
        <v>6.3149999999999998E-2</v>
      </c>
      <c r="O4454" s="148">
        <v>0.18797982855882428</v>
      </c>
      <c r="P4454" s="148">
        <v>16.743739999999999</v>
      </c>
      <c r="Q4454" s="148">
        <v>16.913440000000001</v>
      </c>
      <c r="R4454" s="148">
        <v>101.01351310997424</v>
      </c>
    </row>
    <row r="4455" spans="2:18" ht="15.75" hidden="1" thickBot="1" x14ac:dyDescent="0.3">
      <c r="B4455" s="725" t="s">
        <v>807</v>
      </c>
      <c r="C4455" s="722" t="s">
        <v>63</v>
      </c>
      <c r="D4455" t="s">
        <v>64</v>
      </c>
      <c r="E4455" s="147">
        <v>10.849159999999999</v>
      </c>
      <c r="F4455" s="147">
        <v>11.092180000000001</v>
      </c>
      <c r="G4455" s="147">
        <v>-0.24302000000000001</v>
      </c>
      <c r="H4455" s="147">
        <v>-2.1909128773604469</v>
      </c>
      <c r="I4455" s="729"/>
      <c r="J4455" s="147">
        <v>10.849159999999999</v>
      </c>
      <c r="K4455" s="147">
        <v>0</v>
      </c>
      <c r="L4455" s="147">
        <v>131.17793</v>
      </c>
      <c r="M4455" s="147">
        <v>130.69141999999999</v>
      </c>
      <c r="N4455" s="147">
        <v>0.48651</v>
      </c>
      <c r="O4455" s="147">
        <v>0.37225856142660324</v>
      </c>
      <c r="P4455" s="147">
        <v>65.273830000000004</v>
      </c>
      <c r="Q4455" s="147">
        <v>65.9041</v>
      </c>
      <c r="R4455" s="147">
        <v>100.96557839489425</v>
      </c>
    </row>
    <row r="4456" spans="2:18" ht="15.75" hidden="1" thickBot="1" x14ac:dyDescent="0.3">
      <c r="B4456" s="725" t="s">
        <v>807</v>
      </c>
      <c r="C4456" s="722" t="s">
        <v>184</v>
      </c>
      <c r="D4456" t="s">
        <v>185</v>
      </c>
      <c r="E4456" s="728"/>
      <c r="F4456" s="728"/>
      <c r="G4456" s="728"/>
      <c r="H4456" s="728"/>
      <c r="I4456" s="728"/>
      <c r="J4456" s="728"/>
      <c r="K4456" s="728"/>
      <c r="L4456" s="148">
        <v>5.7134600000000004</v>
      </c>
      <c r="M4456" s="728"/>
      <c r="N4456" s="148">
        <v>5.7134600000000004</v>
      </c>
      <c r="O4456" s="148">
        <v>0</v>
      </c>
      <c r="P4456" s="148">
        <v>1.36042</v>
      </c>
      <c r="Q4456" s="148">
        <v>4.35304</v>
      </c>
      <c r="R4456" s="148">
        <v>319.9776539598065</v>
      </c>
    </row>
    <row r="4457" spans="2:18" ht="15.75" hidden="1" thickBot="1" x14ac:dyDescent="0.3">
      <c r="B4457" s="725" t="s">
        <v>807</v>
      </c>
      <c r="C4457" s="722" t="s">
        <v>161</v>
      </c>
      <c r="D4457" t="s">
        <v>162</v>
      </c>
      <c r="E4457" s="729"/>
      <c r="F4457" s="729"/>
      <c r="G4457" s="729"/>
      <c r="H4457" s="729"/>
      <c r="I4457" s="729"/>
      <c r="J4457" s="729"/>
      <c r="K4457" s="729"/>
      <c r="L4457" s="147">
        <v>1.20095</v>
      </c>
      <c r="M4457" s="729"/>
      <c r="N4457" s="147">
        <v>1.20095</v>
      </c>
      <c r="O4457" s="147">
        <v>0</v>
      </c>
      <c r="P4457" s="147">
        <v>0.12859999999999999</v>
      </c>
      <c r="Q4457" s="147">
        <v>1.0723499999999999</v>
      </c>
      <c r="R4457" s="147">
        <v>833.86469673405907</v>
      </c>
    </row>
    <row r="4458" spans="2:18" ht="15.75" hidden="1" thickBot="1" x14ac:dyDescent="0.3">
      <c r="B4458" s="725" t="s">
        <v>807</v>
      </c>
      <c r="C4458" s="722" t="s">
        <v>65</v>
      </c>
      <c r="D4458" t="s">
        <v>66</v>
      </c>
      <c r="E4458" s="148">
        <v>-15.588800000000001</v>
      </c>
      <c r="F4458" s="148">
        <v>-11.609780000000001</v>
      </c>
      <c r="G4458" s="148">
        <v>-3.9790199999999998</v>
      </c>
      <c r="H4458" s="148">
        <v>-34.27300086651082</v>
      </c>
      <c r="I4458" s="728"/>
      <c r="J4458" s="148">
        <v>-15.588800000000001</v>
      </c>
      <c r="K4458" s="148">
        <v>0</v>
      </c>
      <c r="L4458" s="148">
        <v>-176.47175999999999</v>
      </c>
      <c r="M4458" s="148">
        <v>-138.58647999999999</v>
      </c>
      <c r="N4458" s="148">
        <v>-37.885280000000002</v>
      </c>
      <c r="O4458" s="148">
        <v>-27.336923486331422</v>
      </c>
      <c r="P4458" s="148">
        <v>-86.836160000000007</v>
      </c>
      <c r="Q4458" s="148">
        <v>-89.635599999999997</v>
      </c>
      <c r="R4458" s="148">
        <v>-103.22381828031088</v>
      </c>
    </row>
    <row r="4459" spans="2:18" ht="15.75" hidden="1" thickBot="1" x14ac:dyDescent="0.3">
      <c r="B4459" s="725" t="s">
        <v>807</v>
      </c>
      <c r="C4459" s="722" t="s">
        <v>163</v>
      </c>
      <c r="D4459" t="s">
        <v>164</v>
      </c>
      <c r="E4459" s="147">
        <v>-14.51736</v>
      </c>
      <c r="F4459" s="147">
        <v>-17.494769999999999</v>
      </c>
      <c r="G4459" s="147">
        <v>2.9774099999999999</v>
      </c>
      <c r="H4459" s="147">
        <v>17.018857635739138</v>
      </c>
      <c r="I4459" s="729"/>
      <c r="J4459" s="147">
        <v>-14.51736</v>
      </c>
      <c r="K4459" s="147">
        <v>0</v>
      </c>
      <c r="L4459" s="147">
        <v>-214.65862000000001</v>
      </c>
      <c r="M4459" s="147">
        <v>-204.33219</v>
      </c>
      <c r="N4459" s="147">
        <v>-10.32643</v>
      </c>
      <c r="O4459" s="147">
        <v>-5.0537460592968735</v>
      </c>
      <c r="P4459" s="147">
        <v>-112.27856</v>
      </c>
      <c r="Q4459" s="147">
        <v>-102.38006</v>
      </c>
      <c r="R4459" s="147">
        <v>-91.183980271923687</v>
      </c>
    </row>
    <row r="4460" spans="2:18" ht="15.75" hidden="1" thickBot="1" x14ac:dyDescent="0.3">
      <c r="B4460" s="725" t="s">
        <v>807</v>
      </c>
      <c r="C4460" s="722" t="s">
        <v>97</v>
      </c>
      <c r="D4460" t="s">
        <v>98</v>
      </c>
      <c r="E4460" s="148">
        <v>-0.12494</v>
      </c>
      <c r="F4460" s="728"/>
      <c r="G4460" s="148">
        <v>-0.12494</v>
      </c>
      <c r="H4460" s="148">
        <v>0</v>
      </c>
      <c r="I4460" s="728"/>
      <c r="J4460" s="148">
        <v>-0.12494</v>
      </c>
      <c r="K4460" s="148">
        <v>0</v>
      </c>
      <c r="L4460" s="148">
        <v>-3.0241400000000001</v>
      </c>
      <c r="M4460" s="728"/>
      <c r="N4460" s="148">
        <v>-3.0241400000000001</v>
      </c>
      <c r="O4460" s="148">
        <v>0</v>
      </c>
      <c r="P4460" s="148">
        <v>-1.6145700000000001</v>
      </c>
      <c r="Q4460" s="148">
        <v>-1.40957</v>
      </c>
      <c r="R4460" s="148">
        <v>-87.303120954805308</v>
      </c>
    </row>
    <row r="4461" spans="2:18" ht="15.75" hidden="1" thickBot="1" x14ac:dyDescent="0.3">
      <c r="B4461" s="725" t="s">
        <v>807</v>
      </c>
      <c r="C4461" s="149" t="s">
        <v>67</v>
      </c>
      <c r="D4461" t="s">
        <v>68</v>
      </c>
      <c r="E4461" s="147">
        <v>-0.99560000000000004</v>
      </c>
      <c r="F4461" s="147">
        <v>3.2338399999999998</v>
      </c>
      <c r="G4461" s="147">
        <v>-4.2294400000000003</v>
      </c>
      <c r="H4461" s="147">
        <v>-130.78692823392623</v>
      </c>
      <c r="I4461" s="729"/>
      <c r="J4461" s="147">
        <v>-0.99560000000000004</v>
      </c>
      <c r="K4461" s="147">
        <v>0</v>
      </c>
      <c r="L4461" s="147">
        <v>-7.3339699999999999</v>
      </c>
      <c r="M4461" s="147">
        <v>38.102170000000001</v>
      </c>
      <c r="N4461" s="147">
        <v>-45.436140000000002</v>
      </c>
      <c r="O4461" s="147">
        <v>-119.24816880508381</v>
      </c>
      <c r="P4461" s="147">
        <v>-4.7414300000000003</v>
      </c>
      <c r="Q4461" s="147">
        <v>-2.5925400000000001</v>
      </c>
      <c r="R4461" s="147">
        <v>-54.678440892304643</v>
      </c>
    </row>
    <row r="4462" spans="2:18" ht="15.75" hidden="1" thickBot="1" x14ac:dyDescent="0.3">
      <c r="B4462" s="725" t="s">
        <v>807</v>
      </c>
      <c r="C4462" s="722" t="s">
        <v>36</v>
      </c>
      <c r="D4462" t="s">
        <v>192</v>
      </c>
      <c r="E4462" s="148">
        <v>3.227E-2</v>
      </c>
      <c r="F4462" s="148">
        <v>0.4</v>
      </c>
      <c r="G4462" s="148">
        <v>-0.36773</v>
      </c>
      <c r="H4462" s="148">
        <v>-91.932500000000005</v>
      </c>
      <c r="I4462" s="728"/>
      <c r="J4462" s="148">
        <v>3.227E-2</v>
      </c>
      <c r="K4462" s="148">
        <v>0</v>
      </c>
      <c r="L4462" s="148">
        <v>1.2464500000000001</v>
      </c>
      <c r="M4462" s="148">
        <v>4.8</v>
      </c>
      <c r="N4462" s="148">
        <v>-3.55355</v>
      </c>
      <c r="O4462" s="148">
        <v>-74.032291666666666</v>
      </c>
      <c r="P4462" s="148">
        <v>0.72333000000000003</v>
      </c>
      <c r="Q4462" s="148">
        <v>0.52312000000000003</v>
      </c>
      <c r="R4462" s="148">
        <v>72.321070604011993</v>
      </c>
    </row>
    <row r="4463" spans="2:18" ht="15.75" hidden="1" thickBot="1" x14ac:dyDescent="0.3">
      <c r="B4463" s="725" t="s">
        <v>807</v>
      </c>
      <c r="C4463" s="722" t="s">
        <v>139</v>
      </c>
      <c r="D4463" t="s">
        <v>140</v>
      </c>
      <c r="E4463" s="729"/>
      <c r="F4463" s="729"/>
      <c r="G4463" s="729"/>
      <c r="H4463" s="729"/>
      <c r="I4463" s="729"/>
      <c r="J4463" s="729"/>
      <c r="K4463" s="729"/>
      <c r="L4463" s="147">
        <v>0.19977</v>
      </c>
      <c r="M4463" s="729"/>
      <c r="N4463" s="147">
        <v>0.19977</v>
      </c>
      <c r="O4463" s="147">
        <v>0</v>
      </c>
      <c r="P4463" s="147">
        <v>0.19977</v>
      </c>
      <c r="Q4463" s="147">
        <v>0</v>
      </c>
      <c r="R4463" s="147">
        <v>0</v>
      </c>
    </row>
    <row r="4464" spans="2:18" ht="15.75" hidden="1" thickBot="1" x14ac:dyDescent="0.3">
      <c r="B4464" s="725" t="s">
        <v>807</v>
      </c>
      <c r="C4464" s="722" t="s">
        <v>691</v>
      </c>
      <c r="D4464" t="s">
        <v>692</v>
      </c>
      <c r="E4464" s="728"/>
      <c r="F4464" s="148">
        <v>0.75</v>
      </c>
      <c r="G4464" s="148">
        <v>-0.75</v>
      </c>
      <c r="H4464" s="148">
        <v>-100</v>
      </c>
      <c r="I4464" s="728"/>
      <c r="J4464" s="728"/>
      <c r="K4464" s="728"/>
      <c r="L4464" s="148">
        <v>-1.91875</v>
      </c>
      <c r="M4464" s="148">
        <v>9</v>
      </c>
      <c r="N4464" s="148">
        <v>-10.918749999999999</v>
      </c>
      <c r="O4464" s="148">
        <v>-121.31944444444444</v>
      </c>
      <c r="P4464" s="148">
        <v>-1.91875</v>
      </c>
      <c r="Q4464" s="148">
        <v>0</v>
      </c>
      <c r="R4464" s="148">
        <v>0</v>
      </c>
    </row>
    <row r="4465" spans="2:18" ht="15.75" hidden="1" thickBot="1" x14ac:dyDescent="0.3">
      <c r="B4465" s="725" t="s">
        <v>807</v>
      </c>
      <c r="C4465" s="722" t="s">
        <v>697</v>
      </c>
      <c r="D4465" t="s">
        <v>698</v>
      </c>
      <c r="E4465" s="729"/>
      <c r="F4465" s="729"/>
      <c r="G4465" s="729"/>
      <c r="H4465" s="729"/>
      <c r="I4465" s="729"/>
      <c r="J4465" s="729"/>
      <c r="K4465" s="729"/>
      <c r="L4465" s="147">
        <v>-1.01206</v>
      </c>
      <c r="M4465" s="729"/>
      <c r="N4465" s="147">
        <v>-1.01206</v>
      </c>
      <c r="O4465" s="147">
        <v>0</v>
      </c>
      <c r="P4465" s="147">
        <v>-1.01206</v>
      </c>
      <c r="Q4465" s="147">
        <v>0</v>
      </c>
      <c r="R4465" s="147">
        <v>0</v>
      </c>
    </row>
    <row r="4466" spans="2:18" ht="15.75" hidden="1" thickBot="1" x14ac:dyDescent="0.3">
      <c r="B4466" s="725" t="s">
        <v>807</v>
      </c>
      <c r="C4466" s="149" t="s">
        <v>85</v>
      </c>
      <c r="D4466" t="s">
        <v>86</v>
      </c>
      <c r="E4466" s="148">
        <v>3.227E-2</v>
      </c>
      <c r="F4466" s="148">
        <v>1.1499999999999999</v>
      </c>
      <c r="G4466" s="148">
        <v>-1.1177299999999999</v>
      </c>
      <c r="H4466" s="148">
        <v>-97.193913043478261</v>
      </c>
      <c r="I4466" s="728"/>
      <c r="J4466" s="148">
        <v>3.227E-2</v>
      </c>
      <c r="K4466" s="148">
        <v>0</v>
      </c>
      <c r="L4466" s="148">
        <v>-1.4845900000000001</v>
      </c>
      <c r="M4466" s="148">
        <v>13.8</v>
      </c>
      <c r="N4466" s="148">
        <v>-15.28459</v>
      </c>
      <c r="O4466" s="148">
        <v>-110.75789855072463</v>
      </c>
      <c r="P4466" s="148">
        <v>-2.0077099999999999</v>
      </c>
      <c r="Q4466" s="148">
        <v>0.52312000000000003</v>
      </c>
      <c r="R4466" s="148">
        <v>26.055555832266613</v>
      </c>
    </row>
    <row r="4467" spans="2:18" ht="15.75" hidden="1" thickBot="1" x14ac:dyDescent="0.3">
      <c r="B4467" s="725" t="s">
        <v>807</v>
      </c>
      <c r="C4467" s="144" t="s">
        <v>87</v>
      </c>
      <c r="D4467" t="s">
        <v>87</v>
      </c>
      <c r="E4467" s="147">
        <v>-0.96333000000000002</v>
      </c>
      <c r="F4467" s="147">
        <v>4.3838400000000002</v>
      </c>
      <c r="G4467" s="147">
        <v>-5.3471700000000002</v>
      </c>
      <c r="H4467" s="147">
        <v>-121.97457023978977</v>
      </c>
      <c r="I4467" s="729"/>
      <c r="J4467" s="147">
        <v>-0.96333000000000002</v>
      </c>
      <c r="K4467" s="147">
        <v>0</v>
      </c>
      <c r="L4467" s="147">
        <v>-8.8185599999999997</v>
      </c>
      <c r="M4467" s="147">
        <v>51.902169999999998</v>
      </c>
      <c r="N4467" s="147">
        <v>-60.720730000000003</v>
      </c>
      <c r="O4467" s="147">
        <v>-116.99073468411822</v>
      </c>
      <c r="P4467" s="147">
        <v>-6.7491399999999997</v>
      </c>
      <c r="Q4467" s="147">
        <v>-2.06942</v>
      </c>
      <c r="R4467" s="147">
        <v>-30.661980637533077</v>
      </c>
    </row>
    <row r="4468" spans="2:18" ht="15.75" hidden="1" thickBot="1" x14ac:dyDescent="0.3">
      <c r="B4468" s="725" t="s">
        <v>808</v>
      </c>
      <c r="C4468" s="722" t="s">
        <v>59</v>
      </c>
      <c r="D4468" t="s">
        <v>60</v>
      </c>
      <c r="E4468" s="148">
        <v>167.17466999999999</v>
      </c>
      <c r="F4468" s="148">
        <v>232.44126</v>
      </c>
      <c r="G4468" s="148">
        <v>-65.266589999999994</v>
      </c>
      <c r="H4468" s="148">
        <v>-28.07874557210712</v>
      </c>
      <c r="I4468" s="728"/>
      <c r="J4468" s="148">
        <v>167.17466999999999</v>
      </c>
      <c r="K4468" s="148">
        <v>0</v>
      </c>
      <c r="L4468" s="148">
        <v>2578.1320999999998</v>
      </c>
      <c r="M4468" s="148">
        <v>2774.6620200000002</v>
      </c>
      <c r="N4468" s="148">
        <v>-196.52992</v>
      </c>
      <c r="O4468" s="148">
        <v>-7.0830219530665577</v>
      </c>
      <c r="P4468" s="148">
        <v>1311.8767700000001</v>
      </c>
      <c r="Q4468" s="148">
        <v>1266.25533</v>
      </c>
      <c r="R4468" s="148">
        <v>96.522429465688305</v>
      </c>
    </row>
    <row r="4469" spans="2:18" ht="15.75" hidden="1" thickBot="1" x14ac:dyDescent="0.3">
      <c r="B4469" s="725" t="s">
        <v>808</v>
      </c>
      <c r="C4469" s="722" t="s">
        <v>566</v>
      </c>
      <c r="D4469" t="s">
        <v>567</v>
      </c>
      <c r="E4469" s="729"/>
      <c r="F4469" s="729"/>
      <c r="G4469" s="729"/>
      <c r="H4469" s="729"/>
      <c r="I4469" s="729"/>
      <c r="J4469" s="729"/>
      <c r="K4469" s="729"/>
      <c r="L4469" s="147">
        <v>0.18525</v>
      </c>
      <c r="M4469" s="729"/>
      <c r="N4469" s="147">
        <v>0.18525</v>
      </c>
      <c r="O4469" s="147">
        <v>0</v>
      </c>
      <c r="P4469" s="729"/>
      <c r="Q4469" s="147">
        <v>0.18525</v>
      </c>
      <c r="R4469" s="147">
        <v>0</v>
      </c>
    </row>
    <row r="4470" spans="2:18" ht="15.75" hidden="1" thickBot="1" x14ac:dyDescent="0.3">
      <c r="B4470" s="725" t="s">
        <v>808</v>
      </c>
      <c r="C4470" s="722" t="s">
        <v>89</v>
      </c>
      <c r="D4470" t="s">
        <v>90</v>
      </c>
      <c r="E4470" s="148">
        <v>-5.5219999999999998E-2</v>
      </c>
      <c r="F4470" s="728"/>
      <c r="G4470" s="148">
        <v>-5.5219999999999998E-2</v>
      </c>
      <c r="H4470" s="148">
        <v>0</v>
      </c>
      <c r="I4470" s="728"/>
      <c r="J4470" s="148">
        <v>-5.5219999999999998E-2</v>
      </c>
      <c r="K4470" s="148">
        <v>0</v>
      </c>
      <c r="L4470" s="148">
        <v>2.0030800000000002</v>
      </c>
      <c r="M4470" s="728"/>
      <c r="N4470" s="148">
        <v>2.0030800000000002</v>
      </c>
      <c r="O4470" s="148">
        <v>0</v>
      </c>
      <c r="P4470" s="148">
        <v>0.24279000000000001</v>
      </c>
      <c r="Q4470" s="148">
        <v>1.7602899999999999</v>
      </c>
      <c r="R4470" s="148">
        <v>725.02574241113723</v>
      </c>
    </row>
    <row r="4471" spans="2:18" ht="15.75" hidden="1" thickBot="1" x14ac:dyDescent="0.3">
      <c r="B4471" s="725" t="s">
        <v>808</v>
      </c>
      <c r="C4471" s="722" t="s">
        <v>91</v>
      </c>
      <c r="D4471" t="s">
        <v>92</v>
      </c>
      <c r="E4471" s="147">
        <v>187.57137</v>
      </c>
      <c r="F4471" s="147">
        <v>247.35258999999999</v>
      </c>
      <c r="G4471" s="147">
        <v>-59.781219999999998</v>
      </c>
      <c r="H4471" s="147">
        <v>-24.168422897856054</v>
      </c>
      <c r="I4471" s="729"/>
      <c r="J4471" s="147">
        <v>187.57137</v>
      </c>
      <c r="K4471" s="147">
        <v>0</v>
      </c>
      <c r="L4471" s="147">
        <v>2728.6714499999998</v>
      </c>
      <c r="M4471" s="147">
        <v>2888.9822399999998</v>
      </c>
      <c r="N4471" s="147">
        <v>-160.31079</v>
      </c>
      <c r="O4471" s="147">
        <v>-5.5490403430102084</v>
      </c>
      <c r="P4471" s="147">
        <v>1380.8548599999999</v>
      </c>
      <c r="Q4471" s="147">
        <v>1347.8165899999999</v>
      </c>
      <c r="R4471" s="147">
        <v>97.607404589936408</v>
      </c>
    </row>
    <row r="4472" spans="2:18" ht="15.75" hidden="1" thickBot="1" x14ac:dyDescent="0.3">
      <c r="B4472" s="725" t="s">
        <v>808</v>
      </c>
      <c r="C4472" s="722" t="s">
        <v>93</v>
      </c>
      <c r="D4472" t="s">
        <v>94</v>
      </c>
      <c r="E4472" s="148">
        <v>13.877219999999999</v>
      </c>
      <c r="F4472" s="728"/>
      <c r="G4472" s="148">
        <v>13.877219999999999</v>
      </c>
      <c r="H4472" s="148">
        <v>0</v>
      </c>
      <c r="I4472" s="728"/>
      <c r="J4472" s="148">
        <v>13.877219999999999</v>
      </c>
      <c r="K4472" s="148">
        <v>0</v>
      </c>
      <c r="L4472" s="148">
        <v>209.93172000000001</v>
      </c>
      <c r="M4472" s="728"/>
      <c r="N4472" s="148">
        <v>209.93172000000001</v>
      </c>
      <c r="O4472" s="148">
        <v>0</v>
      </c>
      <c r="P4472" s="148">
        <v>99.817580000000007</v>
      </c>
      <c r="Q4472" s="148">
        <v>110.11414000000001</v>
      </c>
      <c r="R4472" s="148">
        <v>110.31537731129126</v>
      </c>
    </row>
    <row r="4473" spans="2:18" ht="15.75" hidden="1" thickBot="1" x14ac:dyDescent="0.3">
      <c r="B4473" s="725" t="s">
        <v>808</v>
      </c>
      <c r="C4473" s="722" t="s">
        <v>134</v>
      </c>
      <c r="D4473" t="s">
        <v>135</v>
      </c>
      <c r="E4473" s="147">
        <v>0.83333000000000002</v>
      </c>
      <c r="F4473" s="729"/>
      <c r="G4473" s="147">
        <v>0.83333000000000002</v>
      </c>
      <c r="H4473" s="147">
        <v>0</v>
      </c>
      <c r="I4473" s="729"/>
      <c r="J4473" s="147">
        <v>0.83333000000000002</v>
      </c>
      <c r="K4473" s="147">
        <v>0</v>
      </c>
      <c r="L4473" s="147">
        <v>13.097770000000001</v>
      </c>
      <c r="M4473" s="729"/>
      <c r="N4473" s="147">
        <v>13.097770000000001</v>
      </c>
      <c r="O4473" s="147">
        <v>0</v>
      </c>
      <c r="P4473" s="147">
        <v>3.5</v>
      </c>
      <c r="Q4473" s="147">
        <v>9.5977700000000006</v>
      </c>
      <c r="R4473" s="147">
        <v>274.22199999999998</v>
      </c>
    </row>
    <row r="4474" spans="2:18" ht="15.75" hidden="1" thickBot="1" x14ac:dyDescent="0.3">
      <c r="B4474" s="725" t="s">
        <v>808</v>
      </c>
      <c r="C4474" s="722" t="s">
        <v>95</v>
      </c>
      <c r="D4474" t="s">
        <v>96</v>
      </c>
      <c r="E4474" s="728"/>
      <c r="F4474" s="728"/>
      <c r="G4474" s="728"/>
      <c r="H4474" s="728"/>
      <c r="I4474" s="728"/>
      <c r="J4474" s="728"/>
      <c r="K4474" s="728"/>
      <c r="L4474" s="148">
        <v>0.12598999999999999</v>
      </c>
      <c r="M4474" s="728"/>
      <c r="N4474" s="148">
        <v>0.12598999999999999</v>
      </c>
      <c r="O4474" s="148">
        <v>0</v>
      </c>
      <c r="P4474" s="148">
        <v>0.12598999999999999</v>
      </c>
      <c r="Q4474" s="148">
        <v>0</v>
      </c>
      <c r="R4474" s="148">
        <v>0</v>
      </c>
    </row>
    <row r="4475" spans="2:18" ht="15.75" hidden="1" thickBot="1" x14ac:dyDescent="0.3">
      <c r="B4475" s="725" t="s">
        <v>808</v>
      </c>
      <c r="C4475" s="722" t="s">
        <v>61</v>
      </c>
      <c r="D4475" t="s">
        <v>62</v>
      </c>
      <c r="E4475" s="147">
        <v>70.040899999999993</v>
      </c>
      <c r="F4475" s="147">
        <v>74.368049999999997</v>
      </c>
      <c r="G4475" s="147">
        <v>-4.3271499999999996</v>
      </c>
      <c r="H4475" s="147">
        <v>-5.8185605243111791</v>
      </c>
      <c r="I4475" s="729"/>
      <c r="J4475" s="147">
        <v>70.040899999999993</v>
      </c>
      <c r="K4475" s="147">
        <v>0</v>
      </c>
      <c r="L4475" s="147">
        <v>836.76750000000004</v>
      </c>
      <c r="M4475" s="147">
        <v>877.86487</v>
      </c>
      <c r="N4475" s="147">
        <v>-41.097369999999998</v>
      </c>
      <c r="O4475" s="147">
        <v>-4.6815143656449081</v>
      </c>
      <c r="P4475" s="147">
        <v>413.56760000000003</v>
      </c>
      <c r="Q4475" s="147">
        <v>423.19990000000001</v>
      </c>
      <c r="R4475" s="147">
        <v>102.32907510162788</v>
      </c>
    </row>
    <row r="4476" spans="2:18" ht="15.75" hidden="1" thickBot="1" x14ac:dyDescent="0.3">
      <c r="B4476" s="725" t="s">
        <v>808</v>
      </c>
      <c r="C4476" s="722" t="s">
        <v>63</v>
      </c>
      <c r="D4476" t="s">
        <v>64</v>
      </c>
      <c r="E4476" s="148">
        <v>274.46060999999997</v>
      </c>
      <c r="F4476" s="148">
        <v>289.31569000000002</v>
      </c>
      <c r="G4476" s="148">
        <v>-14.855079999999999</v>
      </c>
      <c r="H4476" s="148">
        <v>-5.134557341152151</v>
      </c>
      <c r="I4476" s="728"/>
      <c r="J4476" s="148">
        <v>274.46060999999997</v>
      </c>
      <c r="K4476" s="148">
        <v>0</v>
      </c>
      <c r="L4476" s="148">
        <v>3286.2396699999999</v>
      </c>
      <c r="M4476" s="148">
        <v>3415.1774399999999</v>
      </c>
      <c r="N4476" s="148">
        <v>-128.93777</v>
      </c>
      <c r="O4476" s="148">
        <v>-3.7754339932627339</v>
      </c>
      <c r="P4476" s="148">
        <v>1623.2379900000001</v>
      </c>
      <c r="Q4476" s="148">
        <v>1663.0016800000001</v>
      </c>
      <c r="R4476" s="148">
        <v>102.44965249981612</v>
      </c>
    </row>
    <row r="4477" spans="2:18" ht="15.75" hidden="1" thickBot="1" x14ac:dyDescent="0.3">
      <c r="B4477" s="725" t="s">
        <v>808</v>
      </c>
      <c r="C4477" s="722" t="s">
        <v>156</v>
      </c>
      <c r="D4477" t="s">
        <v>157</v>
      </c>
      <c r="E4477" s="147">
        <v>1.7161599999999999</v>
      </c>
      <c r="F4477" s="147">
        <v>1.97461</v>
      </c>
      <c r="G4477" s="147">
        <v>-0.25845000000000001</v>
      </c>
      <c r="H4477" s="147">
        <v>-13.088660545626732</v>
      </c>
      <c r="I4477" s="729"/>
      <c r="J4477" s="147">
        <v>1.7161599999999999</v>
      </c>
      <c r="K4477" s="147">
        <v>0</v>
      </c>
      <c r="L4477" s="147">
        <v>18.41133</v>
      </c>
      <c r="M4477" s="147">
        <v>23.571020000000001</v>
      </c>
      <c r="N4477" s="147">
        <v>-5.1596900000000003</v>
      </c>
      <c r="O4477" s="147">
        <v>-21.889973365598944</v>
      </c>
      <c r="P4477" s="147">
        <v>8.7514900000000004</v>
      </c>
      <c r="Q4477" s="147">
        <v>9.6598400000000009</v>
      </c>
      <c r="R4477" s="147">
        <v>110.3793753977894</v>
      </c>
    </row>
    <row r="4478" spans="2:18" ht="15.75" hidden="1" thickBot="1" x14ac:dyDescent="0.3">
      <c r="B4478" s="725" t="s">
        <v>808</v>
      </c>
      <c r="C4478" s="722" t="s">
        <v>182</v>
      </c>
      <c r="D4478" t="s">
        <v>183</v>
      </c>
      <c r="E4478" s="728"/>
      <c r="F4478" s="728"/>
      <c r="G4478" s="728"/>
      <c r="H4478" s="728"/>
      <c r="I4478" s="728"/>
      <c r="J4478" s="728"/>
      <c r="K4478" s="728"/>
      <c r="L4478" s="148">
        <v>2.0197799999999999</v>
      </c>
      <c r="M4478" s="728"/>
      <c r="N4478" s="148">
        <v>2.0197799999999999</v>
      </c>
      <c r="O4478" s="148">
        <v>0</v>
      </c>
      <c r="P4478" s="148">
        <v>0.18176</v>
      </c>
      <c r="Q4478" s="148">
        <v>1.83802</v>
      </c>
      <c r="R4478" s="148">
        <v>1011.2345950704225</v>
      </c>
    </row>
    <row r="4479" spans="2:18" ht="15.75" hidden="1" thickBot="1" x14ac:dyDescent="0.3">
      <c r="B4479" s="725" t="s">
        <v>808</v>
      </c>
      <c r="C4479" s="722" t="s">
        <v>184</v>
      </c>
      <c r="D4479" t="s">
        <v>185</v>
      </c>
      <c r="E4479" s="147">
        <v>73.511650000000003</v>
      </c>
      <c r="F4479" s="729"/>
      <c r="G4479" s="147">
        <v>73.511650000000003</v>
      </c>
      <c r="H4479" s="147">
        <v>0</v>
      </c>
      <c r="I4479" s="729"/>
      <c r="J4479" s="147">
        <v>73.511650000000003</v>
      </c>
      <c r="K4479" s="147">
        <v>0</v>
      </c>
      <c r="L4479" s="147">
        <v>1072.7856400000001</v>
      </c>
      <c r="M4479" s="729"/>
      <c r="N4479" s="147">
        <v>1072.7856400000001</v>
      </c>
      <c r="O4479" s="147">
        <v>0</v>
      </c>
      <c r="P4479" s="147">
        <v>568.79492000000005</v>
      </c>
      <c r="Q4479" s="147">
        <v>503.99072000000001</v>
      </c>
      <c r="R4479" s="147">
        <v>88.606754786065949</v>
      </c>
    </row>
    <row r="4480" spans="2:18" ht="15.75" hidden="1" thickBot="1" x14ac:dyDescent="0.3">
      <c r="B4480" s="725" t="s">
        <v>808</v>
      </c>
      <c r="C4480" s="722" t="s">
        <v>161</v>
      </c>
      <c r="D4480" t="s">
        <v>162</v>
      </c>
      <c r="E4480" s="148">
        <v>0.31596000000000002</v>
      </c>
      <c r="F4480" s="728"/>
      <c r="G4480" s="148">
        <v>0.31596000000000002</v>
      </c>
      <c r="H4480" s="148">
        <v>0</v>
      </c>
      <c r="I4480" s="728"/>
      <c r="J4480" s="148">
        <v>0.31596000000000002</v>
      </c>
      <c r="K4480" s="148">
        <v>0</v>
      </c>
      <c r="L4480" s="148">
        <v>12.895670000000001</v>
      </c>
      <c r="M4480" s="728"/>
      <c r="N4480" s="148">
        <v>12.895670000000001</v>
      </c>
      <c r="O4480" s="148">
        <v>0</v>
      </c>
      <c r="P4480" s="148">
        <v>6.4747000000000003</v>
      </c>
      <c r="Q4480" s="148">
        <v>6.4209699999999996</v>
      </c>
      <c r="R4480" s="148">
        <v>99.170154601757616</v>
      </c>
    </row>
    <row r="4481" spans="2:18" ht="15.75" hidden="1" thickBot="1" x14ac:dyDescent="0.3">
      <c r="B4481" s="725" t="s">
        <v>808</v>
      </c>
      <c r="C4481" s="722" t="s">
        <v>65</v>
      </c>
      <c r="D4481" t="s">
        <v>66</v>
      </c>
      <c r="E4481" s="147">
        <v>-264.13511</v>
      </c>
      <c r="F4481" s="147">
        <v>-364.78732000000002</v>
      </c>
      <c r="G4481" s="147">
        <v>100.65221</v>
      </c>
      <c r="H4481" s="147">
        <v>27.592025402637351</v>
      </c>
      <c r="I4481" s="729"/>
      <c r="J4481" s="147">
        <v>-264.13511</v>
      </c>
      <c r="K4481" s="147">
        <v>0</v>
      </c>
      <c r="L4481" s="147">
        <v>-4071.3675199999998</v>
      </c>
      <c r="M4481" s="147">
        <v>-4354.4830199999997</v>
      </c>
      <c r="N4481" s="147">
        <v>283.1155</v>
      </c>
      <c r="O4481" s="147">
        <v>6.5017017795145753</v>
      </c>
      <c r="P4481" s="147">
        <v>-2045.1555599999999</v>
      </c>
      <c r="Q4481" s="147">
        <v>-2026.2119600000001</v>
      </c>
      <c r="R4481" s="147">
        <v>-99.073733051387052</v>
      </c>
    </row>
    <row r="4482" spans="2:18" ht="15.75" hidden="1" thickBot="1" x14ac:dyDescent="0.3">
      <c r="B4482" s="725" t="s">
        <v>808</v>
      </c>
      <c r="C4482" s="722" t="s">
        <v>186</v>
      </c>
      <c r="D4482" t="s">
        <v>187</v>
      </c>
      <c r="E4482" s="728"/>
      <c r="F4482" s="728"/>
      <c r="G4482" s="728"/>
      <c r="H4482" s="728"/>
      <c r="I4482" s="728"/>
      <c r="J4482" s="728"/>
      <c r="K4482" s="728"/>
      <c r="L4482" s="148">
        <v>-2.2505299999999999</v>
      </c>
      <c r="M4482" s="728"/>
      <c r="N4482" s="148">
        <v>-2.2505299999999999</v>
      </c>
      <c r="O4482" s="148">
        <v>0</v>
      </c>
      <c r="P4482" s="148">
        <v>-0.20058000000000001</v>
      </c>
      <c r="Q4482" s="148">
        <v>-2.0499499999999999</v>
      </c>
      <c r="R4482" s="148">
        <v>-1022.0111676139196</v>
      </c>
    </row>
    <row r="4483" spans="2:18" ht="15.75" hidden="1" thickBot="1" x14ac:dyDescent="0.3">
      <c r="B4483" s="725" t="s">
        <v>808</v>
      </c>
      <c r="C4483" s="722" t="s">
        <v>163</v>
      </c>
      <c r="D4483" t="s">
        <v>164</v>
      </c>
      <c r="E4483" s="147">
        <v>-341.11984999999999</v>
      </c>
      <c r="F4483" s="147">
        <v>-282.90226000000001</v>
      </c>
      <c r="G4483" s="147">
        <v>-58.217590000000001</v>
      </c>
      <c r="H4483" s="147">
        <v>-20.578693857023271</v>
      </c>
      <c r="I4483" s="729"/>
      <c r="J4483" s="147">
        <v>-341.11984999999999</v>
      </c>
      <c r="K4483" s="147">
        <v>0</v>
      </c>
      <c r="L4483" s="147">
        <v>-4391.0289199999997</v>
      </c>
      <c r="M4483" s="147">
        <v>-3304.1885499999999</v>
      </c>
      <c r="N4483" s="147">
        <v>-1086.8403699999999</v>
      </c>
      <c r="O4483" s="147">
        <v>-32.892807221912321</v>
      </c>
      <c r="P4483" s="147">
        <v>-2221.0651499999999</v>
      </c>
      <c r="Q4483" s="147">
        <v>-2169.9637699999998</v>
      </c>
      <c r="R4483" s="147">
        <v>-97.6992399344972</v>
      </c>
    </row>
    <row r="4484" spans="2:18" ht="15.75" hidden="1" thickBot="1" x14ac:dyDescent="0.3">
      <c r="B4484" s="725" t="s">
        <v>808</v>
      </c>
      <c r="C4484" s="722" t="s">
        <v>97</v>
      </c>
      <c r="D4484" t="s">
        <v>98</v>
      </c>
      <c r="E4484" s="148">
        <v>-21.154229999999998</v>
      </c>
      <c r="F4484" s="728"/>
      <c r="G4484" s="148">
        <v>-21.154229999999998</v>
      </c>
      <c r="H4484" s="148">
        <v>0</v>
      </c>
      <c r="I4484" s="728"/>
      <c r="J4484" s="148">
        <v>-21.154229999999998</v>
      </c>
      <c r="K4484" s="148">
        <v>0</v>
      </c>
      <c r="L4484" s="148">
        <v>-241.23107999999999</v>
      </c>
      <c r="M4484" s="728"/>
      <c r="N4484" s="148">
        <v>-241.23107999999999</v>
      </c>
      <c r="O4484" s="148">
        <v>0</v>
      </c>
      <c r="P4484" s="148">
        <v>-106.03646000000001</v>
      </c>
      <c r="Q4484" s="148">
        <v>-135.19461999999999</v>
      </c>
      <c r="R4484" s="148">
        <v>-127.49823975640076</v>
      </c>
    </row>
    <row r="4485" spans="2:18" ht="15.75" hidden="1" thickBot="1" x14ac:dyDescent="0.3">
      <c r="B4485" s="725" t="s">
        <v>808</v>
      </c>
      <c r="C4485" s="149" t="s">
        <v>67</v>
      </c>
      <c r="D4485" t="s">
        <v>68</v>
      </c>
      <c r="E4485" s="147">
        <v>163.03746000000001</v>
      </c>
      <c r="F4485" s="147">
        <v>197.76262</v>
      </c>
      <c r="G4485" s="147">
        <v>-34.725160000000002</v>
      </c>
      <c r="H4485" s="147">
        <v>-17.559010899026319</v>
      </c>
      <c r="I4485" s="729"/>
      <c r="J4485" s="147">
        <v>163.03746000000001</v>
      </c>
      <c r="K4485" s="147">
        <v>0</v>
      </c>
      <c r="L4485" s="147">
        <v>2055.3888999999999</v>
      </c>
      <c r="M4485" s="147">
        <v>2321.5860200000002</v>
      </c>
      <c r="N4485" s="147">
        <v>-266.19711999999998</v>
      </c>
      <c r="O4485" s="147">
        <v>-11.466175179673076</v>
      </c>
      <c r="P4485" s="147">
        <v>1044.9686999999999</v>
      </c>
      <c r="Q4485" s="147">
        <v>1010.4202</v>
      </c>
      <c r="R4485" s="147">
        <v>96.693824417898838</v>
      </c>
    </row>
    <row r="4486" spans="2:18" ht="15.75" hidden="1" thickBot="1" x14ac:dyDescent="0.3">
      <c r="B4486" s="725" t="s">
        <v>808</v>
      </c>
      <c r="C4486" s="722" t="s">
        <v>69</v>
      </c>
      <c r="D4486" t="s">
        <v>70</v>
      </c>
      <c r="E4486" s="728"/>
      <c r="F4486" s="728"/>
      <c r="G4486" s="728"/>
      <c r="H4486" s="728"/>
      <c r="I4486" s="728"/>
      <c r="J4486" s="728"/>
      <c r="K4486" s="728"/>
      <c r="L4486" s="148">
        <v>5.0750000000000002</v>
      </c>
      <c r="M4486" s="728"/>
      <c r="N4486" s="148">
        <v>5.0750000000000002</v>
      </c>
      <c r="O4486" s="148">
        <v>0</v>
      </c>
      <c r="P4486" s="148">
        <v>0.625</v>
      </c>
      <c r="Q4486" s="148">
        <v>4.45</v>
      </c>
      <c r="R4486" s="148">
        <v>712</v>
      </c>
    </row>
    <row r="4487" spans="2:18" ht="15.75" hidden="1" thickBot="1" x14ac:dyDescent="0.3">
      <c r="B4487" s="725" t="s">
        <v>808</v>
      </c>
      <c r="C4487" s="722" t="s">
        <v>582</v>
      </c>
      <c r="D4487" t="s">
        <v>583</v>
      </c>
      <c r="E4487" s="729"/>
      <c r="F4487" s="147">
        <v>0</v>
      </c>
      <c r="G4487" s="147">
        <v>0</v>
      </c>
      <c r="H4487" s="147">
        <v>0</v>
      </c>
      <c r="I4487" s="729"/>
      <c r="J4487" s="729"/>
      <c r="K4487" s="729"/>
      <c r="L4487" s="729"/>
      <c r="M4487" s="147">
        <v>0</v>
      </c>
      <c r="N4487" s="147">
        <v>0</v>
      </c>
      <c r="O4487" s="147">
        <v>0</v>
      </c>
      <c r="P4487" s="729"/>
      <c r="Q4487" s="729"/>
      <c r="R4487" s="729"/>
    </row>
    <row r="4488" spans="2:18" ht="15.75" hidden="1" thickBot="1" x14ac:dyDescent="0.3">
      <c r="B4488" s="725" t="s">
        <v>808</v>
      </c>
      <c r="C4488" s="722" t="s">
        <v>99</v>
      </c>
      <c r="D4488" t="s">
        <v>100</v>
      </c>
      <c r="E4488" s="148">
        <v>0.24127999999999999</v>
      </c>
      <c r="F4488" s="148">
        <v>0.75</v>
      </c>
      <c r="G4488" s="148">
        <v>-0.50871999999999995</v>
      </c>
      <c r="H4488" s="148">
        <v>-67.829333333333338</v>
      </c>
      <c r="I4488" s="728"/>
      <c r="J4488" s="148">
        <v>0.24127999999999999</v>
      </c>
      <c r="K4488" s="148">
        <v>0</v>
      </c>
      <c r="L4488" s="148">
        <v>9.7344299999999997</v>
      </c>
      <c r="M4488" s="148">
        <v>9</v>
      </c>
      <c r="N4488" s="148">
        <v>0.73443000000000003</v>
      </c>
      <c r="O4488" s="148">
        <v>8.1603333333333339</v>
      </c>
      <c r="P4488" s="148">
        <v>5.94998</v>
      </c>
      <c r="Q4488" s="148">
        <v>3.7844500000000001</v>
      </c>
      <c r="R4488" s="148">
        <v>63.604415477026812</v>
      </c>
    </row>
    <row r="4489" spans="2:18" ht="15.75" hidden="1" thickBot="1" x14ac:dyDescent="0.3">
      <c r="B4489" s="725" t="s">
        <v>808</v>
      </c>
      <c r="C4489" s="722" t="s">
        <v>165</v>
      </c>
      <c r="D4489" t="s">
        <v>166</v>
      </c>
      <c r="E4489" s="147">
        <v>0.93672999999999995</v>
      </c>
      <c r="F4489" s="729"/>
      <c r="G4489" s="147">
        <v>0.93672999999999995</v>
      </c>
      <c r="H4489" s="147">
        <v>0</v>
      </c>
      <c r="I4489" s="729"/>
      <c r="J4489" s="147">
        <v>0.93672999999999995</v>
      </c>
      <c r="K4489" s="147">
        <v>0</v>
      </c>
      <c r="L4489" s="147">
        <v>7.64093</v>
      </c>
      <c r="M4489" s="729"/>
      <c r="N4489" s="147">
        <v>7.64093</v>
      </c>
      <c r="O4489" s="147">
        <v>0</v>
      </c>
      <c r="P4489" s="147">
        <v>4.2741100000000003</v>
      </c>
      <c r="Q4489" s="147">
        <v>3.3668200000000001</v>
      </c>
      <c r="R4489" s="147">
        <v>78.772422796792782</v>
      </c>
    </row>
    <row r="4490" spans="2:18" ht="15.75" hidden="1" thickBot="1" x14ac:dyDescent="0.3">
      <c r="B4490" s="725" t="s">
        <v>808</v>
      </c>
      <c r="C4490" s="722" t="s">
        <v>188</v>
      </c>
      <c r="D4490" t="s">
        <v>189</v>
      </c>
      <c r="E4490" s="728"/>
      <c r="F4490" s="728"/>
      <c r="G4490" s="728"/>
      <c r="H4490" s="728"/>
      <c r="I4490" s="728"/>
      <c r="J4490" s="728"/>
      <c r="K4490" s="728"/>
      <c r="L4490" s="148">
        <v>6.4740000000000006E-2</v>
      </c>
      <c r="M4490" s="728"/>
      <c r="N4490" s="148">
        <v>6.4740000000000006E-2</v>
      </c>
      <c r="O4490" s="148">
        <v>0</v>
      </c>
      <c r="P4490" s="148">
        <v>4.8559999999999999E-2</v>
      </c>
      <c r="Q4490" s="148">
        <v>1.618E-2</v>
      </c>
      <c r="R4490" s="148">
        <v>33.319604612850085</v>
      </c>
    </row>
    <row r="4491" spans="2:18" ht="15.75" hidden="1" thickBot="1" x14ac:dyDescent="0.3">
      <c r="B4491" s="725" t="s">
        <v>808</v>
      </c>
      <c r="C4491" s="722" t="s">
        <v>586</v>
      </c>
      <c r="D4491" t="s">
        <v>587</v>
      </c>
      <c r="E4491" s="729"/>
      <c r="F4491" s="729"/>
      <c r="G4491" s="729"/>
      <c r="H4491" s="729"/>
      <c r="I4491" s="729"/>
      <c r="J4491" s="729"/>
      <c r="K4491" s="729"/>
      <c r="L4491" s="147">
        <v>0.18718000000000001</v>
      </c>
      <c r="M4491" s="729"/>
      <c r="N4491" s="147">
        <v>0.18718000000000001</v>
      </c>
      <c r="O4491" s="147">
        <v>0</v>
      </c>
      <c r="P4491" s="147">
        <v>0.18718000000000001</v>
      </c>
      <c r="Q4491" s="147">
        <v>0</v>
      </c>
      <c r="R4491" s="147">
        <v>0</v>
      </c>
    </row>
    <row r="4492" spans="2:18" ht="15.75" hidden="1" thickBot="1" x14ac:dyDescent="0.3">
      <c r="B4492" s="725" t="s">
        <v>808</v>
      </c>
      <c r="C4492" s="722" t="s">
        <v>137</v>
      </c>
      <c r="D4492" t="s">
        <v>138</v>
      </c>
      <c r="E4492" s="728"/>
      <c r="F4492" s="148">
        <v>0.25</v>
      </c>
      <c r="G4492" s="148">
        <v>-0.25</v>
      </c>
      <c r="H4492" s="148">
        <v>-100</v>
      </c>
      <c r="I4492" s="728"/>
      <c r="J4492" s="728"/>
      <c r="K4492" s="728"/>
      <c r="L4492" s="148">
        <v>1.05261</v>
      </c>
      <c r="M4492" s="148">
        <v>3</v>
      </c>
      <c r="N4492" s="148">
        <v>-1.94739</v>
      </c>
      <c r="O4492" s="148">
        <v>-64.912999999999997</v>
      </c>
      <c r="P4492" s="148">
        <v>0.63424999999999998</v>
      </c>
      <c r="Q4492" s="148">
        <v>0.41836000000000001</v>
      </c>
      <c r="R4492" s="148">
        <v>65.961371698856922</v>
      </c>
    </row>
    <row r="4493" spans="2:18" ht="15.75" hidden="1" thickBot="1" x14ac:dyDescent="0.3">
      <c r="B4493" s="725" t="s">
        <v>808</v>
      </c>
      <c r="C4493" s="722" t="s">
        <v>190</v>
      </c>
      <c r="D4493" t="s">
        <v>191</v>
      </c>
      <c r="E4493" s="147">
        <v>0.754</v>
      </c>
      <c r="F4493" s="147">
        <v>0.8</v>
      </c>
      <c r="G4493" s="147">
        <v>-4.5999999999999999E-2</v>
      </c>
      <c r="H4493" s="147">
        <v>-5.75</v>
      </c>
      <c r="I4493" s="729"/>
      <c r="J4493" s="147">
        <v>0.754</v>
      </c>
      <c r="K4493" s="147">
        <v>0</v>
      </c>
      <c r="L4493" s="147">
        <v>9.3130500000000005</v>
      </c>
      <c r="M4493" s="147">
        <v>9.6</v>
      </c>
      <c r="N4493" s="147">
        <v>-0.28694999999999998</v>
      </c>
      <c r="O4493" s="147">
        <v>-2.9890625000000002</v>
      </c>
      <c r="P4493" s="147">
        <v>4.6365499999999997</v>
      </c>
      <c r="Q4493" s="147">
        <v>4.6764999999999999</v>
      </c>
      <c r="R4493" s="147">
        <v>100.86163203243791</v>
      </c>
    </row>
    <row r="4494" spans="2:18" ht="15.75" hidden="1" thickBot="1" x14ac:dyDescent="0.3">
      <c r="B4494" s="725" t="s">
        <v>808</v>
      </c>
      <c r="C4494" s="722" t="s">
        <v>36</v>
      </c>
      <c r="D4494" t="s">
        <v>192</v>
      </c>
      <c r="E4494" s="148">
        <v>10.249090000000001</v>
      </c>
      <c r="F4494" s="148">
        <v>15</v>
      </c>
      <c r="G4494" s="148">
        <v>-4.7509100000000002</v>
      </c>
      <c r="H4494" s="148">
        <v>-31.672733333333333</v>
      </c>
      <c r="I4494" s="728"/>
      <c r="J4494" s="148">
        <v>10.249090000000001</v>
      </c>
      <c r="K4494" s="148">
        <v>0</v>
      </c>
      <c r="L4494" s="148">
        <v>194.26388</v>
      </c>
      <c r="M4494" s="148">
        <v>180</v>
      </c>
      <c r="N4494" s="148">
        <v>14.26388</v>
      </c>
      <c r="O4494" s="148">
        <v>7.924377777777778</v>
      </c>
      <c r="P4494" s="148">
        <v>102.38015</v>
      </c>
      <c r="Q4494" s="148">
        <v>91.88373</v>
      </c>
      <c r="R4494" s="148">
        <v>89.747602440512154</v>
      </c>
    </row>
    <row r="4495" spans="2:18" ht="15.75" hidden="1" thickBot="1" x14ac:dyDescent="0.3">
      <c r="B4495" s="725" t="s">
        <v>808</v>
      </c>
      <c r="C4495" s="722" t="s">
        <v>139</v>
      </c>
      <c r="D4495" t="s">
        <v>140</v>
      </c>
      <c r="E4495" s="729"/>
      <c r="F4495" s="147">
        <v>0.7</v>
      </c>
      <c r="G4495" s="147">
        <v>-0.7</v>
      </c>
      <c r="H4495" s="147">
        <v>-100</v>
      </c>
      <c r="I4495" s="729"/>
      <c r="J4495" s="729"/>
      <c r="K4495" s="729"/>
      <c r="L4495" s="147">
        <v>6.7990000000000004</v>
      </c>
      <c r="M4495" s="147">
        <v>8.4</v>
      </c>
      <c r="N4495" s="147">
        <v>-1.601</v>
      </c>
      <c r="O4495" s="147">
        <v>-19.05952380952381</v>
      </c>
      <c r="P4495" s="147">
        <v>5.6440000000000001</v>
      </c>
      <c r="Q4495" s="147">
        <v>1.155</v>
      </c>
      <c r="R4495" s="147">
        <v>20.464209780297661</v>
      </c>
    </row>
    <row r="4496" spans="2:18" ht="15.75" hidden="1" thickBot="1" x14ac:dyDescent="0.3">
      <c r="B4496" s="725" t="s">
        <v>808</v>
      </c>
      <c r="C4496" s="722" t="s">
        <v>169</v>
      </c>
      <c r="D4496" t="s">
        <v>170</v>
      </c>
      <c r="E4496" s="728"/>
      <c r="F4496" s="728"/>
      <c r="G4496" s="728"/>
      <c r="H4496" s="728"/>
      <c r="I4496" s="728"/>
      <c r="J4496" s="728"/>
      <c r="K4496" s="728"/>
      <c r="L4496" s="148">
        <v>25.700089999999999</v>
      </c>
      <c r="M4496" s="728"/>
      <c r="N4496" s="148">
        <v>25.700089999999999</v>
      </c>
      <c r="O4496" s="148">
        <v>0</v>
      </c>
      <c r="P4496" s="148">
        <v>25.700089999999999</v>
      </c>
      <c r="Q4496" s="148">
        <v>0</v>
      </c>
      <c r="R4496" s="148">
        <v>0</v>
      </c>
    </row>
    <row r="4497" spans="2:18" ht="15.75" hidden="1" thickBot="1" x14ac:dyDescent="0.3">
      <c r="B4497" s="725" t="s">
        <v>808</v>
      </c>
      <c r="C4497" s="722" t="s">
        <v>101</v>
      </c>
      <c r="D4497" t="s">
        <v>102</v>
      </c>
      <c r="E4497" s="729"/>
      <c r="F4497" s="147">
        <v>0.69</v>
      </c>
      <c r="G4497" s="147">
        <v>-0.69</v>
      </c>
      <c r="H4497" s="147">
        <v>-100</v>
      </c>
      <c r="I4497" s="729"/>
      <c r="J4497" s="729"/>
      <c r="K4497" s="729"/>
      <c r="L4497" s="147">
        <v>22.331060000000001</v>
      </c>
      <c r="M4497" s="147">
        <v>8.2799999999999994</v>
      </c>
      <c r="N4497" s="147">
        <v>14.05106</v>
      </c>
      <c r="O4497" s="147">
        <v>169.69879227053141</v>
      </c>
      <c r="P4497" s="147">
        <v>20.662759999999999</v>
      </c>
      <c r="Q4497" s="147">
        <v>1.6682999999999999</v>
      </c>
      <c r="R4497" s="147">
        <v>8.073945591005268</v>
      </c>
    </row>
    <row r="4498" spans="2:18" ht="15.75" hidden="1" thickBot="1" x14ac:dyDescent="0.3">
      <c r="B4498" s="725" t="s">
        <v>808</v>
      </c>
      <c r="C4498" s="722" t="s">
        <v>218</v>
      </c>
      <c r="D4498" t="s">
        <v>219</v>
      </c>
      <c r="E4498" s="728"/>
      <c r="F4498" s="728"/>
      <c r="G4498" s="728"/>
      <c r="H4498" s="728"/>
      <c r="I4498" s="728"/>
      <c r="J4498" s="728"/>
      <c r="K4498" s="728"/>
      <c r="L4498" s="148">
        <v>8.9559999999999995</v>
      </c>
      <c r="M4498" s="728"/>
      <c r="N4498" s="148">
        <v>8.9559999999999995</v>
      </c>
      <c r="O4498" s="148">
        <v>0</v>
      </c>
      <c r="P4498" s="148">
        <v>8.9559999999999995</v>
      </c>
      <c r="Q4498" s="148">
        <v>0</v>
      </c>
      <c r="R4498" s="148">
        <v>0</v>
      </c>
    </row>
    <row r="4499" spans="2:18" ht="15.75" hidden="1" thickBot="1" x14ac:dyDescent="0.3">
      <c r="B4499" s="725" t="s">
        <v>808</v>
      </c>
      <c r="C4499" s="722" t="s">
        <v>193</v>
      </c>
      <c r="D4499" t="s">
        <v>194</v>
      </c>
      <c r="E4499" s="729"/>
      <c r="F4499" s="729"/>
      <c r="G4499" s="729"/>
      <c r="H4499" s="729"/>
      <c r="I4499" s="729"/>
      <c r="J4499" s="729"/>
      <c r="K4499" s="729"/>
      <c r="L4499" s="147">
        <v>2.8693499999999998</v>
      </c>
      <c r="M4499" s="729"/>
      <c r="N4499" s="147">
        <v>2.8693499999999998</v>
      </c>
      <c r="O4499" s="147">
        <v>0</v>
      </c>
      <c r="P4499" s="147">
        <v>2.8693499999999998</v>
      </c>
      <c r="Q4499" s="147">
        <v>0</v>
      </c>
      <c r="R4499" s="147">
        <v>0</v>
      </c>
    </row>
    <row r="4500" spans="2:18" ht="15.75" hidden="1" thickBot="1" x14ac:dyDescent="0.3">
      <c r="B4500" s="725" t="s">
        <v>808</v>
      </c>
      <c r="C4500" s="722" t="s">
        <v>103</v>
      </c>
      <c r="D4500" t="s">
        <v>104</v>
      </c>
      <c r="E4500" s="148">
        <v>1.1641999999999999</v>
      </c>
      <c r="F4500" s="148">
        <v>1.5249999999999999</v>
      </c>
      <c r="G4500" s="148">
        <v>-0.36080000000000001</v>
      </c>
      <c r="H4500" s="148">
        <v>-23.659016393442624</v>
      </c>
      <c r="I4500" s="728"/>
      <c r="J4500" s="148">
        <v>1.1641999999999999</v>
      </c>
      <c r="K4500" s="148">
        <v>0</v>
      </c>
      <c r="L4500" s="148">
        <v>2.4138099999999998</v>
      </c>
      <c r="M4500" s="148">
        <v>18.3</v>
      </c>
      <c r="N4500" s="148">
        <v>-15.886189999999999</v>
      </c>
      <c r="O4500" s="148">
        <v>-86.80978142076502</v>
      </c>
      <c r="P4500" s="148">
        <v>1.2496100000000001</v>
      </c>
      <c r="Q4500" s="148">
        <v>1.1641999999999999</v>
      </c>
      <c r="R4500" s="148">
        <v>93.165067501060335</v>
      </c>
    </row>
    <row r="4501" spans="2:18" ht="15.75" hidden="1" thickBot="1" x14ac:dyDescent="0.3">
      <c r="B4501" s="725" t="s">
        <v>808</v>
      </c>
      <c r="C4501" s="722" t="s">
        <v>71</v>
      </c>
      <c r="D4501" t="s">
        <v>72</v>
      </c>
      <c r="E4501" s="729"/>
      <c r="F4501" s="729"/>
      <c r="G4501" s="729"/>
      <c r="H4501" s="729"/>
      <c r="I4501" s="729"/>
      <c r="J4501" s="729"/>
      <c r="K4501" s="729"/>
      <c r="L4501" s="147">
        <v>0</v>
      </c>
      <c r="M4501" s="729"/>
      <c r="N4501" s="147">
        <v>0</v>
      </c>
      <c r="O4501" s="147">
        <v>0</v>
      </c>
      <c r="P4501" s="729"/>
      <c r="Q4501" s="147">
        <v>0</v>
      </c>
      <c r="R4501" s="147">
        <v>0</v>
      </c>
    </row>
    <row r="4502" spans="2:18" ht="15.75" hidden="1" thickBot="1" x14ac:dyDescent="0.3">
      <c r="B4502" s="725" t="s">
        <v>808</v>
      </c>
      <c r="C4502" s="722" t="s">
        <v>627</v>
      </c>
      <c r="D4502" t="s">
        <v>628</v>
      </c>
      <c r="E4502" s="148">
        <v>7.6833200000000001</v>
      </c>
      <c r="F4502" s="148">
        <v>8.5</v>
      </c>
      <c r="G4502" s="148">
        <v>-0.81667999999999996</v>
      </c>
      <c r="H4502" s="148">
        <v>-9.6080000000000005</v>
      </c>
      <c r="I4502" s="728"/>
      <c r="J4502" s="148">
        <v>7.6833200000000001</v>
      </c>
      <c r="K4502" s="148">
        <v>0</v>
      </c>
      <c r="L4502" s="148">
        <v>85.911689999999993</v>
      </c>
      <c r="M4502" s="148">
        <v>100</v>
      </c>
      <c r="N4502" s="148">
        <v>-14.08831</v>
      </c>
      <c r="O4502" s="148">
        <v>-14.08831</v>
      </c>
      <c r="P4502" s="148">
        <v>41.803989999999999</v>
      </c>
      <c r="Q4502" s="148">
        <v>44.107700000000001</v>
      </c>
      <c r="R4502" s="148">
        <v>105.51074191721891</v>
      </c>
    </row>
    <row r="4503" spans="2:18" ht="15.75" hidden="1" thickBot="1" x14ac:dyDescent="0.3">
      <c r="B4503" s="725" t="s">
        <v>808</v>
      </c>
      <c r="C4503" s="722" t="s">
        <v>107</v>
      </c>
      <c r="D4503" t="s">
        <v>108</v>
      </c>
      <c r="E4503" s="729"/>
      <c r="F4503" s="729"/>
      <c r="G4503" s="729"/>
      <c r="H4503" s="729"/>
      <c r="I4503" s="729"/>
      <c r="J4503" s="729"/>
      <c r="K4503" s="729"/>
      <c r="L4503" s="147">
        <v>3.7539999999999997E-2</v>
      </c>
      <c r="M4503" s="729"/>
      <c r="N4503" s="147">
        <v>3.7539999999999997E-2</v>
      </c>
      <c r="O4503" s="147">
        <v>0</v>
      </c>
      <c r="P4503" s="147">
        <v>3.7539999999999997E-2</v>
      </c>
      <c r="Q4503" s="147">
        <v>0</v>
      </c>
      <c r="R4503" s="147">
        <v>0</v>
      </c>
    </row>
    <row r="4504" spans="2:18" ht="15.75" hidden="1" thickBot="1" x14ac:dyDescent="0.3">
      <c r="B4504" s="725" t="s">
        <v>808</v>
      </c>
      <c r="C4504" s="722" t="s">
        <v>109</v>
      </c>
      <c r="D4504" t="s">
        <v>110</v>
      </c>
      <c r="E4504" s="148">
        <v>0.10478999999999999</v>
      </c>
      <c r="F4504" s="728"/>
      <c r="G4504" s="148">
        <v>0.10478999999999999</v>
      </c>
      <c r="H4504" s="148">
        <v>0</v>
      </c>
      <c r="I4504" s="728"/>
      <c r="J4504" s="148">
        <v>0.10478999999999999</v>
      </c>
      <c r="K4504" s="148">
        <v>0</v>
      </c>
      <c r="L4504" s="148">
        <v>0.26780999999999999</v>
      </c>
      <c r="M4504" s="728"/>
      <c r="N4504" s="148">
        <v>0.26780999999999999</v>
      </c>
      <c r="O4504" s="148">
        <v>0</v>
      </c>
      <c r="P4504" s="148">
        <v>0.13802</v>
      </c>
      <c r="Q4504" s="148">
        <v>0.12978999999999999</v>
      </c>
      <c r="R4504" s="148">
        <v>94.037096073032899</v>
      </c>
    </row>
    <row r="4505" spans="2:18" ht="15.75" hidden="1" thickBot="1" x14ac:dyDescent="0.3">
      <c r="B4505" s="725" t="s">
        <v>808</v>
      </c>
      <c r="C4505" s="722" t="s">
        <v>73</v>
      </c>
      <c r="D4505" t="s">
        <v>74</v>
      </c>
      <c r="E4505" s="147">
        <v>0.52200999999999997</v>
      </c>
      <c r="F4505" s="147">
        <v>0.35</v>
      </c>
      <c r="G4505" s="147">
        <v>0.17201</v>
      </c>
      <c r="H4505" s="147">
        <v>49.145714285714284</v>
      </c>
      <c r="I4505" s="729"/>
      <c r="J4505" s="147">
        <v>0.52200999999999997</v>
      </c>
      <c r="K4505" s="147">
        <v>0</v>
      </c>
      <c r="L4505" s="147">
        <v>7.9495500000000003</v>
      </c>
      <c r="M4505" s="147">
        <v>4</v>
      </c>
      <c r="N4505" s="147">
        <v>3.9495499999999999</v>
      </c>
      <c r="O4505" s="147">
        <v>98.738749999999996</v>
      </c>
      <c r="P4505" s="147">
        <v>3.6065900000000002</v>
      </c>
      <c r="Q4505" s="147">
        <v>4.3429599999999997</v>
      </c>
      <c r="R4505" s="147">
        <v>120.41734713399637</v>
      </c>
    </row>
    <row r="4506" spans="2:18" ht="15.75" hidden="1" thickBot="1" x14ac:dyDescent="0.3">
      <c r="B4506" s="725" t="s">
        <v>808</v>
      </c>
      <c r="C4506" s="722" t="s">
        <v>111</v>
      </c>
      <c r="D4506" t="s">
        <v>112</v>
      </c>
      <c r="E4506" s="728"/>
      <c r="F4506" s="728"/>
      <c r="G4506" s="728"/>
      <c r="H4506" s="728"/>
      <c r="I4506" s="728"/>
      <c r="J4506" s="728"/>
      <c r="K4506" s="728"/>
      <c r="L4506" s="148">
        <v>8.8400000000000006E-2</v>
      </c>
      <c r="M4506" s="728"/>
      <c r="N4506" s="148">
        <v>8.8400000000000006E-2</v>
      </c>
      <c r="O4506" s="148">
        <v>0</v>
      </c>
      <c r="P4506" s="148">
        <v>8.8400000000000006E-2</v>
      </c>
      <c r="Q4506" s="148">
        <v>0</v>
      </c>
      <c r="R4506" s="148">
        <v>0</v>
      </c>
    </row>
    <row r="4507" spans="2:18" ht="15.75" hidden="1" thickBot="1" x14ac:dyDescent="0.3">
      <c r="B4507" s="725" t="s">
        <v>808</v>
      </c>
      <c r="C4507" s="722" t="s">
        <v>141</v>
      </c>
      <c r="D4507" t="s">
        <v>142</v>
      </c>
      <c r="E4507" s="147">
        <v>3.184E-2</v>
      </c>
      <c r="F4507" s="729"/>
      <c r="G4507" s="147">
        <v>3.184E-2</v>
      </c>
      <c r="H4507" s="147">
        <v>0</v>
      </c>
      <c r="I4507" s="729"/>
      <c r="J4507" s="147">
        <v>3.184E-2</v>
      </c>
      <c r="K4507" s="147">
        <v>0</v>
      </c>
      <c r="L4507" s="147">
        <v>0.36434</v>
      </c>
      <c r="M4507" s="729"/>
      <c r="N4507" s="147">
        <v>0.36434</v>
      </c>
      <c r="O4507" s="147">
        <v>0</v>
      </c>
      <c r="P4507" s="147">
        <v>0.15257999999999999</v>
      </c>
      <c r="Q4507" s="147">
        <v>0.21176</v>
      </c>
      <c r="R4507" s="147">
        <v>138.78621051251801</v>
      </c>
    </row>
    <row r="4508" spans="2:18" ht="15.75" hidden="1" thickBot="1" x14ac:dyDescent="0.3">
      <c r="B4508" s="725" t="s">
        <v>808</v>
      </c>
      <c r="C4508" s="722" t="s">
        <v>113</v>
      </c>
      <c r="D4508" t="s">
        <v>114</v>
      </c>
      <c r="E4508" s="148">
        <v>0.14777000000000001</v>
      </c>
      <c r="F4508" s="728"/>
      <c r="G4508" s="148">
        <v>0.14777000000000001</v>
      </c>
      <c r="H4508" s="148">
        <v>0</v>
      </c>
      <c r="I4508" s="728"/>
      <c r="J4508" s="148">
        <v>0.14777000000000001</v>
      </c>
      <c r="K4508" s="148">
        <v>0</v>
      </c>
      <c r="L4508" s="148">
        <v>1.6679900000000001</v>
      </c>
      <c r="M4508" s="728"/>
      <c r="N4508" s="148">
        <v>1.6679900000000001</v>
      </c>
      <c r="O4508" s="148">
        <v>0</v>
      </c>
      <c r="P4508" s="148">
        <v>0.74997999999999998</v>
      </c>
      <c r="Q4508" s="148">
        <v>0.91800999999999999</v>
      </c>
      <c r="R4508" s="148">
        <v>122.40459745593216</v>
      </c>
    </row>
    <row r="4509" spans="2:18" ht="15.75" hidden="1" thickBot="1" x14ac:dyDescent="0.3">
      <c r="B4509" s="725" t="s">
        <v>808</v>
      </c>
      <c r="C4509" s="722" t="s">
        <v>201</v>
      </c>
      <c r="D4509" t="s">
        <v>202</v>
      </c>
      <c r="E4509" s="729"/>
      <c r="F4509" s="147">
        <v>4.4999999999999998E-2</v>
      </c>
      <c r="G4509" s="147">
        <v>-4.4999999999999998E-2</v>
      </c>
      <c r="H4509" s="147">
        <v>-100</v>
      </c>
      <c r="I4509" s="729"/>
      <c r="J4509" s="729"/>
      <c r="K4509" s="729"/>
      <c r="L4509" s="147">
        <v>3.8785500000000002</v>
      </c>
      <c r="M4509" s="147">
        <v>0.54</v>
      </c>
      <c r="N4509" s="147">
        <v>3.3385500000000001</v>
      </c>
      <c r="O4509" s="147">
        <v>618.25</v>
      </c>
      <c r="P4509" s="147">
        <v>3.8785500000000002</v>
      </c>
      <c r="Q4509" s="147">
        <v>0</v>
      </c>
      <c r="R4509" s="147">
        <v>0</v>
      </c>
    </row>
    <row r="4510" spans="2:18" ht="15.75" hidden="1" thickBot="1" x14ac:dyDescent="0.3">
      <c r="B4510" s="725" t="s">
        <v>808</v>
      </c>
      <c r="C4510" s="722" t="s">
        <v>145</v>
      </c>
      <c r="D4510" t="s">
        <v>146</v>
      </c>
      <c r="E4510" s="148">
        <v>0.193</v>
      </c>
      <c r="F4510" s="148">
        <v>0.1</v>
      </c>
      <c r="G4510" s="148">
        <v>9.2999999999999999E-2</v>
      </c>
      <c r="H4510" s="148">
        <v>93</v>
      </c>
      <c r="I4510" s="728"/>
      <c r="J4510" s="148">
        <v>0.193</v>
      </c>
      <c r="K4510" s="148">
        <v>0</v>
      </c>
      <c r="L4510" s="148">
        <v>1.85765</v>
      </c>
      <c r="M4510" s="148">
        <v>1.2</v>
      </c>
      <c r="N4510" s="148">
        <v>0.65764999999999996</v>
      </c>
      <c r="O4510" s="148">
        <v>54.804166666666667</v>
      </c>
      <c r="P4510" s="148">
        <v>0.74309999999999998</v>
      </c>
      <c r="Q4510" s="148">
        <v>1.1145499999999999</v>
      </c>
      <c r="R4510" s="148">
        <v>149.98654286098775</v>
      </c>
    </row>
    <row r="4511" spans="2:18" ht="15.75" hidden="1" thickBot="1" x14ac:dyDescent="0.3">
      <c r="B4511" s="725" t="s">
        <v>808</v>
      </c>
      <c r="C4511" s="722" t="s">
        <v>203</v>
      </c>
      <c r="D4511" t="s">
        <v>204</v>
      </c>
      <c r="E4511" s="729"/>
      <c r="F4511" s="729"/>
      <c r="G4511" s="729"/>
      <c r="H4511" s="729"/>
      <c r="I4511" s="729"/>
      <c r="J4511" s="729"/>
      <c r="K4511" s="729"/>
      <c r="L4511" s="147">
        <v>0.28665000000000002</v>
      </c>
      <c r="M4511" s="729"/>
      <c r="N4511" s="147">
        <v>0.28665000000000002</v>
      </c>
      <c r="O4511" s="147">
        <v>0</v>
      </c>
      <c r="P4511" s="147">
        <v>0.21915000000000001</v>
      </c>
      <c r="Q4511" s="147">
        <v>6.7500000000000004E-2</v>
      </c>
      <c r="R4511" s="147">
        <v>30.800821355236138</v>
      </c>
    </row>
    <row r="4512" spans="2:18" ht="15.75" hidden="1" thickBot="1" x14ac:dyDescent="0.3">
      <c r="B4512" s="725" t="s">
        <v>808</v>
      </c>
      <c r="C4512" s="722" t="s">
        <v>149</v>
      </c>
      <c r="D4512" t="s">
        <v>150</v>
      </c>
      <c r="E4512" s="728"/>
      <c r="F4512" s="148">
        <v>1</v>
      </c>
      <c r="G4512" s="148">
        <v>-1</v>
      </c>
      <c r="H4512" s="148">
        <v>-100</v>
      </c>
      <c r="I4512" s="728"/>
      <c r="J4512" s="728"/>
      <c r="K4512" s="728"/>
      <c r="L4512" s="728"/>
      <c r="M4512" s="148">
        <v>10</v>
      </c>
      <c r="N4512" s="148">
        <v>-10</v>
      </c>
      <c r="O4512" s="148">
        <v>-100</v>
      </c>
      <c r="P4512" s="728"/>
      <c r="Q4512" s="728"/>
      <c r="R4512" s="728"/>
    </row>
    <row r="4513" spans="2:18" ht="15.75" hidden="1" thickBot="1" x14ac:dyDescent="0.3">
      <c r="B4513" s="725" t="s">
        <v>808</v>
      </c>
      <c r="C4513" s="722" t="s">
        <v>645</v>
      </c>
      <c r="D4513" t="s">
        <v>646</v>
      </c>
      <c r="E4513" s="729"/>
      <c r="F4513" s="729"/>
      <c r="G4513" s="729"/>
      <c r="H4513" s="729"/>
      <c r="I4513" s="729"/>
      <c r="J4513" s="729"/>
      <c r="K4513" s="729"/>
      <c r="L4513" s="147">
        <v>0.60350000000000004</v>
      </c>
      <c r="M4513" s="729"/>
      <c r="N4513" s="147">
        <v>0.60350000000000004</v>
      </c>
      <c r="O4513" s="147">
        <v>0</v>
      </c>
      <c r="P4513" s="147">
        <v>0.60350000000000004</v>
      </c>
      <c r="Q4513" s="147">
        <v>0</v>
      </c>
      <c r="R4513" s="147">
        <v>0</v>
      </c>
    </row>
    <row r="4514" spans="2:18" ht="15.75" hidden="1" thickBot="1" x14ac:dyDescent="0.3">
      <c r="B4514" s="725" t="s">
        <v>808</v>
      </c>
      <c r="C4514" s="722" t="s">
        <v>649</v>
      </c>
      <c r="D4514" t="s">
        <v>650</v>
      </c>
      <c r="E4514" s="728"/>
      <c r="F4514" s="728"/>
      <c r="G4514" s="728"/>
      <c r="H4514" s="728"/>
      <c r="I4514" s="728"/>
      <c r="J4514" s="728"/>
      <c r="K4514" s="728"/>
      <c r="L4514" s="148">
        <v>0.05</v>
      </c>
      <c r="M4514" s="728"/>
      <c r="N4514" s="148">
        <v>0.05</v>
      </c>
      <c r="O4514" s="148">
        <v>0</v>
      </c>
      <c r="P4514" s="728"/>
      <c r="Q4514" s="148">
        <v>0.05</v>
      </c>
      <c r="R4514" s="148">
        <v>0</v>
      </c>
    </row>
    <row r="4515" spans="2:18" ht="15.75" hidden="1" thickBot="1" x14ac:dyDescent="0.3">
      <c r="B4515" s="725" t="s">
        <v>808</v>
      </c>
      <c r="C4515" s="722" t="s">
        <v>173</v>
      </c>
      <c r="D4515" t="s">
        <v>174</v>
      </c>
      <c r="E4515" s="729"/>
      <c r="F4515" s="147">
        <v>0.5</v>
      </c>
      <c r="G4515" s="147">
        <v>-0.5</v>
      </c>
      <c r="H4515" s="147">
        <v>-100</v>
      </c>
      <c r="I4515" s="729"/>
      <c r="J4515" s="729"/>
      <c r="K4515" s="729"/>
      <c r="L4515" s="147">
        <v>4.1635900000000001</v>
      </c>
      <c r="M4515" s="147">
        <v>6</v>
      </c>
      <c r="N4515" s="147">
        <v>-1.8364100000000001</v>
      </c>
      <c r="O4515" s="147">
        <v>-30.606833333333334</v>
      </c>
      <c r="P4515" s="147">
        <v>2.6100099999999999</v>
      </c>
      <c r="Q4515" s="147">
        <v>1.55358</v>
      </c>
      <c r="R4515" s="147">
        <v>59.523909870077127</v>
      </c>
    </row>
    <row r="4516" spans="2:18" ht="15.75" hidden="1" thickBot="1" x14ac:dyDescent="0.3">
      <c r="B4516" s="725" t="s">
        <v>808</v>
      </c>
      <c r="C4516" s="722" t="s">
        <v>151</v>
      </c>
      <c r="D4516" t="s">
        <v>152</v>
      </c>
      <c r="E4516" s="728"/>
      <c r="F4516" s="728"/>
      <c r="G4516" s="728"/>
      <c r="H4516" s="728"/>
      <c r="I4516" s="728"/>
      <c r="J4516" s="728"/>
      <c r="K4516" s="728"/>
      <c r="L4516" s="148">
        <v>7.3597999999999999</v>
      </c>
      <c r="M4516" s="728"/>
      <c r="N4516" s="148">
        <v>7.3597999999999999</v>
      </c>
      <c r="O4516" s="148">
        <v>0</v>
      </c>
      <c r="P4516" s="148">
        <v>2.5021</v>
      </c>
      <c r="Q4516" s="148">
        <v>4.8577000000000004</v>
      </c>
      <c r="R4516" s="148">
        <v>194.14491826865432</v>
      </c>
    </row>
    <row r="4517" spans="2:18" ht="15.75" hidden="1" thickBot="1" x14ac:dyDescent="0.3">
      <c r="B4517" s="725" t="s">
        <v>808</v>
      </c>
      <c r="C4517" s="722" t="s">
        <v>481</v>
      </c>
      <c r="D4517" t="s">
        <v>482</v>
      </c>
      <c r="E4517" s="729"/>
      <c r="F4517" s="729"/>
      <c r="G4517" s="729"/>
      <c r="H4517" s="729"/>
      <c r="I4517" s="729"/>
      <c r="J4517" s="729"/>
      <c r="K4517" s="729"/>
      <c r="L4517" s="147">
        <v>8.9899999999999997E-3</v>
      </c>
      <c r="M4517" s="729"/>
      <c r="N4517" s="147">
        <v>8.9899999999999997E-3</v>
      </c>
      <c r="O4517" s="147">
        <v>0</v>
      </c>
      <c r="P4517" s="147">
        <v>8.9899999999999997E-3</v>
      </c>
      <c r="Q4517" s="147">
        <v>0</v>
      </c>
      <c r="R4517" s="147">
        <v>0</v>
      </c>
    </row>
    <row r="4518" spans="2:18" ht="15.75" hidden="1" thickBot="1" x14ac:dyDescent="0.3">
      <c r="B4518" s="725" t="s">
        <v>808</v>
      </c>
      <c r="C4518" s="722" t="s">
        <v>483</v>
      </c>
      <c r="D4518" t="s">
        <v>484</v>
      </c>
      <c r="E4518" s="148">
        <v>0.5</v>
      </c>
      <c r="F4518" s="728"/>
      <c r="G4518" s="148">
        <v>0.5</v>
      </c>
      <c r="H4518" s="148">
        <v>0</v>
      </c>
      <c r="I4518" s="728"/>
      <c r="J4518" s="148">
        <v>0.5</v>
      </c>
      <c r="K4518" s="148">
        <v>0</v>
      </c>
      <c r="L4518" s="148">
        <v>0.5</v>
      </c>
      <c r="M4518" s="728"/>
      <c r="N4518" s="148">
        <v>0.5</v>
      </c>
      <c r="O4518" s="148">
        <v>0</v>
      </c>
      <c r="P4518" s="728"/>
      <c r="Q4518" s="148">
        <v>0.5</v>
      </c>
      <c r="R4518" s="148">
        <v>0</v>
      </c>
    </row>
    <row r="4519" spans="2:18" ht="15.75" hidden="1" thickBot="1" x14ac:dyDescent="0.3">
      <c r="B4519" s="725" t="s">
        <v>808</v>
      </c>
      <c r="C4519" s="722" t="s">
        <v>657</v>
      </c>
      <c r="D4519" t="s">
        <v>658</v>
      </c>
      <c r="E4519" s="147">
        <v>3.2280000000000003E-2</v>
      </c>
      <c r="F4519" s="729"/>
      <c r="G4519" s="147">
        <v>3.2280000000000003E-2</v>
      </c>
      <c r="H4519" s="147">
        <v>0</v>
      </c>
      <c r="I4519" s="729"/>
      <c r="J4519" s="147">
        <v>3.2280000000000003E-2</v>
      </c>
      <c r="K4519" s="147">
        <v>0</v>
      </c>
      <c r="L4519" s="147">
        <v>3.2280000000000003E-2</v>
      </c>
      <c r="M4519" s="729"/>
      <c r="N4519" s="147">
        <v>3.2280000000000003E-2</v>
      </c>
      <c r="O4519" s="147">
        <v>0</v>
      </c>
      <c r="P4519" s="729"/>
      <c r="Q4519" s="147">
        <v>3.2280000000000003E-2</v>
      </c>
      <c r="R4519" s="147">
        <v>0</v>
      </c>
    </row>
    <row r="4520" spans="2:18" ht="15.75" hidden="1" thickBot="1" x14ac:dyDescent="0.3">
      <c r="B4520" s="725" t="s">
        <v>808</v>
      </c>
      <c r="C4520" s="722" t="s">
        <v>207</v>
      </c>
      <c r="D4520" t="s">
        <v>208</v>
      </c>
      <c r="E4520" s="728"/>
      <c r="F4520" s="728"/>
      <c r="G4520" s="728"/>
      <c r="H4520" s="728"/>
      <c r="I4520" s="728"/>
      <c r="J4520" s="728"/>
      <c r="K4520" s="728"/>
      <c r="L4520" s="148">
        <v>1.2393700000000001</v>
      </c>
      <c r="M4520" s="728"/>
      <c r="N4520" s="148">
        <v>1.2393700000000001</v>
      </c>
      <c r="O4520" s="148">
        <v>0</v>
      </c>
      <c r="P4520" s="148">
        <v>0.76597000000000004</v>
      </c>
      <c r="Q4520" s="148">
        <v>0.47339999999999999</v>
      </c>
      <c r="R4520" s="148">
        <v>61.803987101322505</v>
      </c>
    </row>
    <row r="4521" spans="2:18" ht="15.75" hidden="1" thickBot="1" x14ac:dyDescent="0.3">
      <c r="B4521" s="725" t="s">
        <v>808</v>
      </c>
      <c r="C4521" s="722" t="s">
        <v>75</v>
      </c>
      <c r="D4521" t="s">
        <v>76</v>
      </c>
      <c r="E4521" s="147">
        <v>1.45004</v>
      </c>
      <c r="F4521" s="147">
        <v>1.5</v>
      </c>
      <c r="G4521" s="147">
        <v>-4.9959999999999997E-2</v>
      </c>
      <c r="H4521" s="147">
        <v>-3.3306666666666667</v>
      </c>
      <c r="I4521" s="729"/>
      <c r="J4521" s="147">
        <v>1.45004</v>
      </c>
      <c r="K4521" s="147">
        <v>0</v>
      </c>
      <c r="L4521" s="147">
        <v>13.308999999999999</v>
      </c>
      <c r="M4521" s="147">
        <v>14</v>
      </c>
      <c r="N4521" s="147">
        <v>-0.69099999999999995</v>
      </c>
      <c r="O4521" s="147">
        <v>-4.9357142857142859</v>
      </c>
      <c r="P4521" s="147">
        <v>6.5748600000000001</v>
      </c>
      <c r="Q4521" s="147">
        <v>6.73414</v>
      </c>
      <c r="R4521" s="147">
        <v>102.42256108875323</v>
      </c>
    </row>
    <row r="4522" spans="2:18" ht="15.75" hidden="1" thickBot="1" x14ac:dyDescent="0.3">
      <c r="B4522" s="725" t="s">
        <v>808</v>
      </c>
      <c r="C4522" s="722" t="s">
        <v>121</v>
      </c>
      <c r="D4522" t="s">
        <v>122</v>
      </c>
      <c r="E4522" s="148">
        <v>0.10603</v>
      </c>
      <c r="F4522" s="148">
        <v>0.375</v>
      </c>
      <c r="G4522" s="148">
        <v>-0.26896999999999999</v>
      </c>
      <c r="H4522" s="148">
        <v>-71.725333333333339</v>
      </c>
      <c r="I4522" s="728"/>
      <c r="J4522" s="148">
        <v>0.10603</v>
      </c>
      <c r="K4522" s="148">
        <v>0</v>
      </c>
      <c r="L4522" s="148">
        <v>7.0691300000000004</v>
      </c>
      <c r="M4522" s="148">
        <v>4</v>
      </c>
      <c r="N4522" s="148">
        <v>3.0691299999999999</v>
      </c>
      <c r="O4522" s="148">
        <v>76.728250000000003</v>
      </c>
      <c r="P4522" s="148">
        <v>3.1423199999999998</v>
      </c>
      <c r="Q4522" s="148">
        <v>3.9268100000000001</v>
      </c>
      <c r="R4522" s="148">
        <v>124.96531225336695</v>
      </c>
    </row>
    <row r="4523" spans="2:18" ht="15.75" hidden="1" thickBot="1" x14ac:dyDescent="0.3">
      <c r="B4523" s="725" t="s">
        <v>808</v>
      </c>
      <c r="C4523" s="722" t="s">
        <v>77</v>
      </c>
      <c r="D4523" t="s">
        <v>78</v>
      </c>
      <c r="E4523" s="729"/>
      <c r="F4523" s="147">
        <v>1.75</v>
      </c>
      <c r="G4523" s="147">
        <v>-1.75</v>
      </c>
      <c r="H4523" s="147">
        <v>-100</v>
      </c>
      <c r="I4523" s="729"/>
      <c r="J4523" s="729"/>
      <c r="K4523" s="729"/>
      <c r="L4523" s="147">
        <v>8.90367</v>
      </c>
      <c r="M4523" s="147">
        <v>21</v>
      </c>
      <c r="N4523" s="147">
        <v>-12.09633</v>
      </c>
      <c r="O4523" s="147">
        <v>-57.601571428571425</v>
      </c>
      <c r="P4523" s="147">
        <v>4.2113399999999999</v>
      </c>
      <c r="Q4523" s="147">
        <v>4.6923300000000001</v>
      </c>
      <c r="R4523" s="147">
        <v>111.42130533274445</v>
      </c>
    </row>
    <row r="4524" spans="2:18" ht="15.75" hidden="1" thickBot="1" x14ac:dyDescent="0.3">
      <c r="B4524" s="725" t="s">
        <v>808</v>
      </c>
      <c r="C4524" s="722" t="s">
        <v>79</v>
      </c>
      <c r="D4524" t="s">
        <v>80</v>
      </c>
      <c r="E4524" s="148">
        <v>0.24840000000000001</v>
      </c>
      <c r="F4524" s="148">
        <v>1.35</v>
      </c>
      <c r="G4524" s="148">
        <v>-1.1015999999999999</v>
      </c>
      <c r="H4524" s="148">
        <v>-81.599999999999994</v>
      </c>
      <c r="I4524" s="728"/>
      <c r="J4524" s="148">
        <v>0.24840000000000001</v>
      </c>
      <c r="K4524" s="148">
        <v>0</v>
      </c>
      <c r="L4524" s="148">
        <v>1.49573</v>
      </c>
      <c r="M4524" s="148">
        <v>16</v>
      </c>
      <c r="N4524" s="148">
        <v>-14.50427</v>
      </c>
      <c r="O4524" s="148">
        <v>-90.651687499999994</v>
      </c>
      <c r="P4524" s="148">
        <v>1.0330900000000001</v>
      </c>
      <c r="Q4524" s="148">
        <v>0.46264</v>
      </c>
      <c r="R4524" s="148">
        <v>44.782158379231241</v>
      </c>
    </row>
    <row r="4525" spans="2:18" ht="15.75" hidden="1" thickBot="1" x14ac:dyDescent="0.3">
      <c r="B4525" s="725" t="s">
        <v>808</v>
      </c>
      <c r="C4525" s="722" t="s">
        <v>81</v>
      </c>
      <c r="D4525" t="s">
        <v>82</v>
      </c>
      <c r="E4525" s="147">
        <v>3.86538</v>
      </c>
      <c r="F4525" s="147">
        <v>0.4</v>
      </c>
      <c r="G4525" s="147">
        <v>3.4653800000000001</v>
      </c>
      <c r="H4525" s="147">
        <v>866.34500000000003</v>
      </c>
      <c r="I4525" s="729"/>
      <c r="J4525" s="147">
        <v>3.86538</v>
      </c>
      <c r="K4525" s="147">
        <v>0</v>
      </c>
      <c r="L4525" s="147">
        <v>4.4408599999999998</v>
      </c>
      <c r="M4525" s="147">
        <v>4.5</v>
      </c>
      <c r="N4525" s="147">
        <v>-5.9139999999999998E-2</v>
      </c>
      <c r="O4525" s="147">
        <v>-1.3142222222222222</v>
      </c>
      <c r="P4525" s="147">
        <v>0.42548000000000002</v>
      </c>
      <c r="Q4525" s="147">
        <v>4.0153800000000004</v>
      </c>
      <c r="R4525" s="147">
        <v>943.72943499106896</v>
      </c>
    </row>
    <row r="4526" spans="2:18" ht="15.75" hidden="1" thickBot="1" x14ac:dyDescent="0.3">
      <c r="B4526" s="725" t="s">
        <v>808</v>
      </c>
      <c r="C4526" s="722" t="s">
        <v>123</v>
      </c>
      <c r="D4526" t="s">
        <v>124</v>
      </c>
      <c r="E4526" s="148">
        <v>0.66939000000000004</v>
      </c>
      <c r="F4526" s="148">
        <v>0.6</v>
      </c>
      <c r="G4526" s="148">
        <v>6.9389999999999993E-2</v>
      </c>
      <c r="H4526" s="148">
        <v>11.565</v>
      </c>
      <c r="I4526" s="728"/>
      <c r="J4526" s="148">
        <v>0.66939000000000004</v>
      </c>
      <c r="K4526" s="148">
        <v>0</v>
      </c>
      <c r="L4526" s="148">
        <v>2.3028200000000001</v>
      </c>
      <c r="M4526" s="148">
        <v>7</v>
      </c>
      <c r="N4526" s="148">
        <v>-4.6971800000000004</v>
      </c>
      <c r="O4526" s="148">
        <v>-67.102571428571423</v>
      </c>
      <c r="P4526" s="148">
        <v>1.0606800000000001</v>
      </c>
      <c r="Q4526" s="148">
        <v>1.24214</v>
      </c>
      <c r="R4526" s="148">
        <v>117.10789304974168</v>
      </c>
    </row>
    <row r="4527" spans="2:18" ht="15.75" hidden="1" thickBot="1" x14ac:dyDescent="0.3">
      <c r="B4527" s="725" t="s">
        <v>808</v>
      </c>
      <c r="C4527" s="722" t="s">
        <v>125</v>
      </c>
      <c r="D4527" t="s">
        <v>126</v>
      </c>
      <c r="E4527" s="147">
        <v>7.9000000000000001E-2</v>
      </c>
      <c r="F4527" s="729"/>
      <c r="G4527" s="147">
        <v>7.9000000000000001E-2</v>
      </c>
      <c r="H4527" s="147">
        <v>0</v>
      </c>
      <c r="I4527" s="729"/>
      <c r="J4527" s="147">
        <v>7.9000000000000001E-2</v>
      </c>
      <c r="K4527" s="147">
        <v>0</v>
      </c>
      <c r="L4527" s="147">
        <v>0.18654999999999999</v>
      </c>
      <c r="M4527" s="729"/>
      <c r="N4527" s="147">
        <v>0.18654999999999999</v>
      </c>
      <c r="O4527" s="147">
        <v>0</v>
      </c>
      <c r="P4527" s="147">
        <v>0.10755000000000001</v>
      </c>
      <c r="Q4527" s="147">
        <v>7.9000000000000001E-2</v>
      </c>
      <c r="R4527" s="147">
        <v>73.454207345420741</v>
      </c>
    </row>
    <row r="4528" spans="2:18" ht="15.75" hidden="1" thickBot="1" x14ac:dyDescent="0.3">
      <c r="B4528" s="725" t="s">
        <v>808</v>
      </c>
      <c r="C4528" s="722" t="s">
        <v>691</v>
      </c>
      <c r="D4528" t="s">
        <v>692</v>
      </c>
      <c r="E4528" s="148">
        <v>5.0939100000000002</v>
      </c>
      <c r="F4528" s="148">
        <v>0.85</v>
      </c>
      <c r="G4528" s="148">
        <v>4.2439099999999996</v>
      </c>
      <c r="H4528" s="148">
        <v>499.28352941176473</v>
      </c>
      <c r="I4528" s="728"/>
      <c r="J4528" s="148">
        <v>5.0939100000000002</v>
      </c>
      <c r="K4528" s="148">
        <v>0</v>
      </c>
      <c r="L4528" s="148">
        <v>-31.34262</v>
      </c>
      <c r="M4528" s="148">
        <v>10</v>
      </c>
      <c r="N4528" s="148">
        <v>-41.342619999999997</v>
      </c>
      <c r="O4528" s="148">
        <v>-413.42619999999999</v>
      </c>
      <c r="P4528" s="148">
        <v>-32.365729999999999</v>
      </c>
      <c r="Q4528" s="148">
        <v>1.02311</v>
      </c>
      <c r="R4528" s="148">
        <v>3.1610904496824266</v>
      </c>
    </row>
    <row r="4529" spans="2:18" ht="15.75" hidden="1" thickBot="1" x14ac:dyDescent="0.3">
      <c r="B4529" s="725" t="s">
        <v>808</v>
      </c>
      <c r="C4529" s="722" t="s">
        <v>209</v>
      </c>
      <c r="D4529" t="s">
        <v>210</v>
      </c>
      <c r="E4529" s="729"/>
      <c r="F4529" s="729"/>
      <c r="G4529" s="729"/>
      <c r="H4529" s="729"/>
      <c r="I4529" s="729"/>
      <c r="J4529" s="729"/>
      <c r="K4529" s="729"/>
      <c r="L4529" s="147">
        <v>0.38988</v>
      </c>
      <c r="M4529" s="729"/>
      <c r="N4529" s="147">
        <v>0.38988</v>
      </c>
      <c r="O4529" s="147">
        <v>0</v>
      </c>
      <c r="P4529" s="147">
        <v>0.31428</v>
      </c>
      <c r="Q4529" s="147">
        <v>7.5600000000000001E-2</v>
      </c>
      <c r="R4529" s="147">
        <v>24.054982817869416</v>
      </c>
    </row>
    <row r="4530" spans="2:18" ht="15.75" hidden="1" thickBot="1" x14ac:dyDescent="0.3">
      <c r="B4530" s="725" t="s">
        <v>808</v>
      </c>
      <c r="C4530" s="722" t="s">
        <v>211</v>
      </c>
      <c r="D4530" t="s">
        <v>212</v>
      </c>
      <c r="E4530" s="728"/>
      <c r="F4530" s="728"/>
      <c r="G4530" s="728"/>
      <c r="H4530" s="728"/>
      <c r="I4530" s="728"/>
      <c r="J4530" s="728"/>
      <c r="K4530" s="728"/>
      <c r="L4530" s="148">
        <v>0.15001</v>
      </c>
      <c r="M4530" s="728"/>
      <c r="N4530" s="148">
        <v>0.15001</v>
      </c>
      <c r="O4530" s="148">
        <v>0</v>
      </c>
      <c r="P4530" s="148">
        <v>0.15001</v>
      </c>
      <c r="Q4530" s="148">
        <v>0</v>
      </c>
      <c r="R4530" s="148">
        <v>0</v>
      </c>
    </row>
    <row r="4531" spans="2:18" ht="15.75" hidden="1" thickBot="1" x14ac:dyDescent="0.3">
      <c r="B4531" s="725" t="s">
        <v>808</v>
      </c>
      <c r="C4531" s="722" t="s">
        <v>697</v>
      </c>
      <c r="D4531" t="s">
        <v>698</v>
      </c>
      <c r="E4531" s="729"/>
      <c r="F4531" s="729"/>
      <c r="G4531" s="729"/>
      <c r="H4531" s="729"/>
      <c r="I4531" s="729"/>
      <c r="J4531" s="729"/>
      <c r="K4531" s="729"/>
      <c r="L4531" s="147">
        <v>2.8756599999999999</v>
      </c>
      <c r="M4531" s="729"/>
      <c r="N4531" s="147">
        <v>2.8756599999999999</v>
      </c>
      <c r="O4531" s="147">
        <v>0</v>
      </c>
      <c r="P4531" s="147">
        <v>2.4567800000000002</v>
      </c>
      <c r="Q4531" s="147">
        <v>0.41887999999999997</v>
      </c>
      <c r="R4531" s="147">
        <v>17.04995970335154</v>
      </c>
    </row>
    <row r="4532" spans="2:18" ht="15.75" hidden="1" thickBot="1" x14ac:dyDescent="0.3">
      <c r="B4532" s="725" t="s">
        <v>808</v>
      </c>
      <c r="C4532" s="722" t="s">
        <v>213</v>
      </c>
      <c r="D4532" t="s">
        <v>214</v>
      </c>
      <c r="E4532" s="728"/>
      <c r="F4532" s="728"/>
      <c r="G4532" s="728"/>
      <c r="H4532" s="728"/>
      <c r="I4532" s="728"/>
      <c r="J4532" s="728"/>
      <c r="K4532" s="728"/>
      <c r="L4532" s="148">
        <v>-0.38988</v>
      </c>
      <c r="M4532" s="728"/>
      <c r="N4532" s="148">
        <v>-0.38988</v>
      </c>
      <c r="O4532" s="148">
        <v>0</v>
      </c>
      <c r="P4532" s="148">
        <v>-0.31428</v>
      </c>
      <c r="Q4532" s="148">
        <v>-7.5600000000000001E-2</v>
      </c>
      <c r="R4532" s="148">
        <v>-24.054982817869416</v>
      </c>
    </row>
    <row r="4533" spans="2:18" ht="15.75" hidden="1" thickBot="1" x14ac:dyDescent="0.3">
      <c r="B4533" s="725" t="s">
        <v>808</v>
      </c>
      <c r="C4533" s="722" t="s">
        <v>215</v>
      </c>
      <c r="D4533" t="s">
        <v>216</v>
      </c>
      <c r="E4533" s="729"/>
      <c r="F4533" s="729"/>
      <c r="G4533" s="729"/>
      <c r="H4533" s="729"/>
      <c r="I4533" s="729"/>
      <c r="J4533" s="729"/>
      <c r="K4533" s="729"/>
      <c r="L4533" s="147">
        <v>-0.12858</v>
      </c>
      <c r="M4533" s="729"/>
      <c r="N4533" s="147">
        <v>-0.12858</v>
      </c>
      <c r="O4533" s="147">
        <v>0</v>
      </c>
      <c r="P4533" s="147">
        <v>-4.2860000000000002E-2</v>
      </c>
      <c r="Q4533" s="147">
        <v>-8.5720000000000005E-2</v>
      </c>
      <c r="R4533" s="147">
        <v>-200</v>
      </c>
    </row>
    <row r="4534" spans="2:18" ht="15.75" hidden="1" thickBot="1" x14ac:dyDescent="0.3">
      <c r="B4534" s="725" t="s">
        <v>808</v>
      </c>
      <c r="C4534" s="149" t="s">
        <v>85</v>
      </c>
      <c r="D4534" t="s">
        <v>86</v>
      </c>
      <c r="E4534" s="148">
        <v>34.07246</v>
      </c>
      <c r="F4534" s="148">
        <v>37.034999999999997</v>
      </c>
      <c r="G4534" s="148">
        <v>-2.9625400000000002</v>
      </c>
      <c r="H4534" s="148">
        <v>-7.9992979613878763</v>
      </c>
      <c r="I4534" s="728"/>
      <c r="J4534" s="148">
        <v>34.07246</v>
      </c>
      <c r="K4534" s="148">
        <v>0</v>
      </c>
      <c r="L4534" s="148">
        <v>421.93106</v>
      </c>
      <c r="M4534" s="148">
        <v>434.82</v>
      </c>
      <c r="N4534" s="148">
        <v>-12.88894</v>
      </c>
      <c r="O4534" s="148">
        <v>-2.9642012786900325</v>
      </c>
      <c r="P4534" s="148">
        <v>228.47958</v>
      </c>
      <c r="Q4534" s="148">
        <v>193.45148</v>
      </c>
      <c r="R4534" s="148">
        <v>84.669045697650532</v>
      </c>
    </row>
    <row r="4535" spans="2:18" ht="15.75" hidden="1" thickBot="1" x14ac:dyDescent="0.3">
      <c r="B4535" s="725" t="s">
        <v>808</v>
      </c>
      <c r="C4535" s="144" t="s">
        <v>87</v>
      </c>
      <c r="D4535" t="s">
        <v>87</v>
      </c>
      <c r="E4535" s="147">
        <v>197.10991999999999</v>
      </c>
      <c r="F4535" s="147">
        <v>234.79761999999999</v>
      </c>
      <c r="G4535" s="147">
        <v>-37.6877</v>
      </c>
      <c r="H4535" s="147">
        <v>-16.051142256041608</v>
      </c>
      <c r="I4535" s="729"/>
      <c r="J4535" s="147">
        <v>197.10991999999999</v>
      </c>
      <c r="K4535" s="147">
        <v>0</v>
      </c>
      <c r="L4535" s="147">
        <v>2477.3199599999998</v>
      </c>
      <c r="M4535" s="147">
        <v>2756.4060199999999</v>
      </c>
      <c r="N4535" s="147">
        <v>-279.08605999999997</v>
      </c>
      <c r="O4535" s="147">
        <v>-10.124998203276308</v>
      </c>
      <c r="P4535" s="147">
        <v>1273.4482800000001</v>
      </c>
      <c r="Q4535" s="147">
        <v>1203.87168</v>
      </c>
      <c r="R4535" s="147">
        <v>94.536362324820914</v>
      </c>
    </row>
    <row r="4536" spans="2:18" ht="15.75" hidden="1" thickBot="1" x14ac:dyDescent="0.3">
      <c r="B4536" s="725" t="s">
        <v>809</v>
      </c>
      <c r="C4536" s="722" t="s">
        <v>59</v>
      </c>
      <c r="D4536" t="s">
        <v>60</v>
      </c>
      <c r="E4536" s="148">
        <v>78.543509999999998</v>
      </c>
      <c r="F4536" s="148">
        <v>72.456630000000004</v>
      </c>
      <c r="G4536" s="148">
        <v>6.0868799999999998</v>
      </c>
      <c r="H4536" s="148">
        <v>8.4007219215136004</v>
      </c>
      <c r="I4536" s="728"/>
      <c r="J4536" s="148">
        <v>78.543509999999998</v>
      </c>
      <c r="K4536" s="148">
        <v>0</v>
      </c>
      <c r="L4536" s="148">
        <v>1025.21054</v>
      </c>
      <c r="M4536" s="148">
        <v>864.91812000000004</v>
      </c>
      <c r="N4536" s="148">
        <v>160.29241999999999</v>
      </c>
      <c r="O4536" s="148">
        <v>18.532669890185673</v>
      </c>
      <c r="P4536" s="148">
        <v>514.30597999999998</v>
      </c>
      <c r="Q4536" s="148">
        <v>510.90456</v>
      </c>
      <c r="R4536" s="148">
        <v>99.338638839081753</v>
      </c>
    </row>
    <row r="4537" spans="2:18" ht="15.75" hidden="1" thickBot="1" x14ac:dyDescent="0.3">
      <c r="B4537" s="725" t="s">
        <v>809</v>
      </c>
      <c r="C4537" s="722" t="s">
        <v>134</v>
      </c>
      <c r="D4537" t="s">
        <v>135</v>
      </c>
      <c r="E4537" s="729"/>
      <c r="F4537" s="729"/>
      <c r="G4537" s="729"/>
      <c r="H4537" s="729"/>
      <c r="I4537" s="729"/>
      <c r="J4537" s="729"/>
      <c r="K4537" s="729"/>
      <c r="L4537" s="147">
        <v>3.5</v>
      </c>
      <c r="M4537" s="729"/>
      <c r="N4537" s="147">
        <v>3.5</v>
      </c>
      <c r="O4537" s="147">
        <v>0</v>
      </c>
      <c r="P4537" s="147">
        <v>3.5</v>
      </c>
      <c r="Q4537" s="147">
        <v>0</v>
      </c>
      <c r="R4537" s="147">
        <v>0</v>
      </c>
    </row>
    <row r="4538" spans="2:18" ht="15.75" hidden="1" thickBot="1" x14ac:dyDescent="0.3">
      <c r="B4538" s="725" t="s">
        <v>809</v>
      </c>
      <c r="C4538" s="722" t="s">
        <v>61</v>
      </c>
      <c r="D4538" t="s">
        <v>62</v>
      </c>
      <c r="E4538" s="148">
        <v>13.56293</v>
      </c>
      <c r="F4538" s="148">
        <v>11.230779999999999</v>
      </c>
      <c r="G4538" s="148">
        <v>2.3321499999999999</v>
      </c>
      <c r="H4538" s="148">
        <v>20.765699265767829</v>
      </c>
      <c r="I4538" s="728"/>
      <c r="J4538" s="148">
        <v>13.56293</v>
      </c>
      <c r="K4538" s="148">
        <v>0</v>
      </c>
      <c r="L4538" s="148">
        <v>156.73472000000001</v>
      </c>
      <c r="M4538" s="148">
        <v>134.06234000000001</v>
      </c>
      <c r="N4538" s="148">
        <v>22.67238</v>
      </c>
      <c r="O4538" s="148">
        <v>16.911818785200975</v>
      </c>
      <c r="P4538" s="148">
        <v>75.356930000000006</v>
      </c>
      <c r="Q4538" s="148">
        <v>81.377790000000005</v>
      </c>
      <c r="R4538" s="148">
        <v>107.98978939295961</v>
      </c>
    </row>
    <row r="4539" spans="2:18" ht="15.75" hidden="1" thickBot="1" x14ac:dyDescent="0.3">
      <c r="B4539" s="725" t="s">
        <v>809</v>
      </c>
      <c r="C4539" s="722" t="s">
        <v>63</v>
      </c>
      <c r="D4539" t="s">
        <v>64</v>
      </c>
      <c r="E4539" s="147">
        <v>52.690939999999998</v>
      </c>
      <c r="F4539" s="147">
        <v>43.69135</v>
      </c>
      <c r="G4539" s="147">
        <v>8.9995899999999995</v>
      </c>
      <c r="H4539" s="147">
        <v>20.598104659160224</v>
      </c>
      <c r="I4539" s="729"/>
      <c r="J4539" s="147">
        <v>52.690939999999998</v>
      </c>
      <c r="K4539" s="147">
        <v>0</v>
      </c>
      <c r="L4539" s="147">
        <v>608.90170000000001</v>
      </c>
      <c r="M4539" s="147">
        <v>521.54564000000005</v>
      </c>
      <c r="N4539" s="147">
        <v>87.356059999999999</v>
      </c>
      <c r="O4539" s="147">
        <v>16.749456480932331</v>
      </c>
      <c r="P4539" s="147">
        <v>292.75567000000001</v>
      </c>
      <c r="Q4539" s="147">
        <v>316.14603</v>
      </c>
      <c r="R4539" s="147">
        <v>107.98972057483977</v>
      </c>
    </row>
    <row r="4540" spans="2:18" ht="15.75" hidden="1" thickBot="1" x14ac:dyDescent="0.3">
      <c r="B4540" s="725" t="s">
        <v>809</v>
      </c>
      <c r="C4540" s="722" t="s">
        <v>156</v>
      </c>
      <c r="D4540" t="s">
        <v>157</v>
      </c>
      <c r="E4540" s="148">
        <v>4.8614100000000002</v>
      </c>
      <c r="F4540" s="728"/>
      <c r="G4540" s="148">
        <v>4.8614100000000002</v>
      </c>
      <c r="H4540" s="148">
        <v>0</v>
      </c>
      <c r="I4540" s="728"/>
      <c r="J4540" s="148">
        <v>4.8614100000000002</v>
      </c>
      <c r="K4540" s="148">
        <v>0</v>
      </c>
      <c r="L4540" s="148">
        <v>145.86100999999999</v>
      </c>
      <c r="M4540" s="728"/>
      <c r="N4540" s="148">
        <v>145.86100999999999</v>
      </c>
      <c r="O4540" s="148">
        <v>0</v>
      </c>
      <c r="P4540" s="148">
        <v>79.307779999999994</v>
      </c>
      <c r="Q4540" s="148">
        <v>66.553229999999999</v>
      </c>
      <c r="R4540" s="148">
        <v>83.917655997936137</v>
      </c>
    </row>
    <row r="4541" spans="2:18" ht="15.75" hidden="1" thickBot="1" x14ac:dyDescent="0.3">
      <c r="B4541" s="725" t="s">
        <v>809</v>
      </c>
      <c r="C4541" s="722" t="s">
        <v>182</v>
      </c>
      <c r="D4541" t="s">
        <v>183</v>
      </c>
      <c r="E4541" s="729"/>
      <c r="F4541" s="729"/>
      <c r="G4541" s="729"/>
      <c r="H4541" s="729"/>
      <c r="I4541" s="729"/>
      <c r="J4541" s="729"/>
      <c r="K4541" s="729"/>
      <c r="L4541" s="147">
        <v>1.9130499999999999</v>
      </c>
      <c r="M4541" s="729"/>
      <c r="N4541" s="147">
        <v>1.9130499999999999</v>
      </c>
      <c r="O4541" s="147">
        <v>0</v>
      </c>
      <c r="P4541" s="147">
        <v>0.38532</v>
      </c>
      <c r="Q4541" s="147">
        <v>1.52773</v>
      </c>
      <c r="R4541" s="147">
        <v>396.48344233364475</v>
      </c>
    </row>
    <row r="4542" spans="2:18" ht="15.75" hidden="1" thickBot="1" x14ac:dyDescent="0.3">
      <c r="B4542" s="725" t="s">
        <v>809</v>
      </c>
      <c r="C4542" s="722" t="s">
        <v>184</v>
      </c>
      <c r="D4542" t="s">
        <v>185</v>
      </c>
      <c r="E4542" s="148">
        <v>3.8593000000000002</v>
      </c>
      <c r="F4542" s="148">
        <v>13.12388</v>
      </c>
      <c r="G4542" s="148">
        <v>-9.2645800000000005</v>
      </c>
      <c r="H4542" s="148">
        <v>-70.593300152089171</v>
      </c>
      <c r="I4542" s="728"/>
      <c r="J4542" s="148">
        <v>3.8593000000000002</v>
      </c>
      <c r="K4542" s="148">
        <v>0</v>
      </c>
      <c r="L4542" s="148">
        <v>217.66086999999999</v>
      </c>
      <c r="M4542" s="148">
        <v>153.28192000000001</v>
      </c>
      <c r="N4542" s="148">
        <v>64.378950000000003</v>
      </c>
      <c r="O4542" s="148">
        <v>42.000354640651686</v>
      </c>
      <c r="P4542" s="148">
        <v>48.926389999999998</v>
      </c>
      <c r="Q4542" s="148">
        <v>168.73447999999999</v>
      </c>
      <c r="R4542" s="148">
        <v>344.87416709060284</v>
      </c>
    </row>
    <row r="4543" spans="2:18" ht="15.75" hidden="1" thickBot="1" x14ac:dyDescent="0.3">
      <c r="B4543" s="725" t="s">
        <v>809</v>
      </c>
      <c r="C4543" s="722" t="s">
        <v>161</v>
      </c>
      <c r="D4543" t="s">
        <v>162</v>
      </c>
      <c r="E4543" s="147">
        <v>0.77112000000000003</v>
      </c>
      <c r="F4543" s="729"/>
      <c r="G4543" s="147">
        <v>0.77112000000000003</v>
      </c>
      <c r="H4543" s="147">
        <v>0</v>
      </c>
      <c r="I4543" s="729"/>
      <c r="J4543" s="147">
        <v>0.77112000000000003</v>
      </c>
      <c r="K4543" s="147">
        <v>0</v>
      </c>
      <c r="L4543" s="147">
        <v>42.869199999999999</v>
      </c>
      <c r="M4543" s="729"/>
      <c r="N4543" s="147">
        <v>42.869199999999999</v>
      </c>
      <c r="O4543" s="147">
        <v>0</v>
      </c>
      <c r="P4543" s="147">
        <v>7.7384599999999999</v>
      </c>
      <c r="Q4543" s="147">
        <v>35.130740000000003</v>
      </c>
      <c r="R4543" s="147">
        <v>453.97585566120392</v>
      </c>
    </row>
    <row r="4544" spans="2:18" ht="15.75" hidden="1" thickBot="1" x14ac:dyDescent="0.3">
      <c r="B4544" s="725" t="s">
        <v>809</v>
      </c>
      <c r="C4544" s="722" t="s">
        <v>65</v>
      </c>
      <c r="D4544" t="s">
        <v>66</v>
      </c>
      <c r="E4544" s="148">
        <v>-79.505650000000003</v>
      </c>
      <c r="F4544" s="148">
        <v>-37.568939999999998</v>
      </c>
      <c r="G4544" s="148">
        <v>-41.936709999999998</v>
      </c>
      <c r="H4544" s="148">
        <v>-111.62601340362544</v>
      </c>
      <c r="I4544" s="728"/>
      <c r="J4544" s="148">
        <v>-79.505650000000003</v>
      </c>
      <c r="K4544" s="148">
        <v>0</v>
      </c>
      <c r="L4544" s="148">
        <v>-1021.45856</v>
      </c>
      <c r="M4544" s="148">
        <v>-448.46215999999998</v>
      </c>
      <c r="N4544" s="148">
        <v>-572.99639999999999</v>
      </c>
      <c r="O4544" s="148">
        <v>-127.76917454975465</v>
      </c>
      <c r="P4544" s="148">
        <v>-479.83569999999997</v>
      </c>
      <c r="Q4544" s="148">
        <v>-541.62285999999995</v>
      </c>
      <c r="R4544" s="148">
        <v>-112.87673259826228</v>
      </c>
    </row>
    <row r="4545" spans="2:18" ht="15.75" hidden="1" thickBot="1" x14ac:dyDescent="0.3">
      <c r="B4545" s="725" t="s">
        <v>809</v>
      </c>
      <c r="C4545" s="149" t="s">
        <v>67</v>
      </c>
      <c r="D4545" t="s">
        <v>68</v>
      </c>
      <c r="E4545" s="147">
        <v>74.783559999999994</v>
      </c>
      <c r="F4545" s="147">
        <v>102.9337</v>
      </c>
      <c r="G4545" s="147">
        <v>-28.15014</v>
      </c>
      <c r="H4545" s="147">
        <v>-27.347836520012397</v>
      </c>
      <c r="I4545" s="729"/>
      <c r="J4545" s="147">
        <v>74.783559999999994</v>
      </c>
      <c r="K4545" s="147">
        <v>0</v>
      </c>
      <c r="L4545" s="147">
        <v>1181.19253</v>
      </c>
      <c r="M4545" s="147">
        <v>1225.3458599999999</v>
      </c>
      <c r="N4545" s="147">
        <v>-44.153329999999997</v>
      </c>
      <c r="O4545" s="147">
        <v>-3.6033361225866467</v>
      </c>
      <c r="P4545" s="147">
        <v>542.44083000000001</v>
      </c>
      <c r="Q4545" s="147">
        <v>638.75170000000003</v>
      </c>
      <c r="R4545" s="147">
        <v>117.75509229273909</v>
      </c>
    </row>
    <row r="4546" spans="2:18" ht="15.75" hidden="1" thickBot="1" x14ac:dyDescent="0.3">
      <c r="B4546" s="725" t="s">
        <v>809</v>
      </c>
      <c r="C4546" s="722" t="s">
        <v>69</v>
      </c>
      <c r="D4546" t="s">
        <v>70</v>
      </c>
      <c r="E4546" s="728"/>
      <c r="F4546" s="148">
        <v>0.2</v>
      </c>
      <c r="G4546" s="148">
        <v>-0.2</v>
      </c>
      <c r="H4546" s="148">
        <v>-100</v>
      </c>
      <c r="I4546" s="728"/>
      <c r="J4546" s="728"/>
      <c r="K4546" s="728"/>
      <c r="L4546" s="148">
        <v>0.69345000000000001</v>
      </c>
      <c r="M4546" s="148">
        <v>2.4</v>
      </c>
      <c r="N4546" s="148">
        <v>-1.70655</v>
      </c>
      <c r="O4546" s="148">
        <v>-71.106250000000003</v>
      </c>
      <c r="P4546" s="148">
        <v>0.125</v>
      </c>
      <c r="Q4546" s="148">
        <v>0.56845000000000001</v>
      </c>
      <c r="R4546" s="148">
        <v>454.76</v>
      </c>
    </row>
    <row r="4547" spans="2:18" ht="15.75" hidden="1" thickBot="1" x14ac:dyDescent="0.3">
      <c r="B4547" s="725" t="s">
        <v>809</v>
      </c>
      <c r="C4547" s="722" t="s">
        <v>99</v>
      </c>
      <c r="D4547" t="s">
        <v>100</v>
      </c>
      <c r="E4547" s="729"/>
      <c r="F4547" s="147">
        <v>1.5</v>
      </c>
      <c r="G4547" s="147">
        <v>-1.5</v>
      </c>
      <c r="H4547" s="147">
        <v>-100</v>
      </c>
      <c r="I4547" s="729"/>
      <c r="J4547" s="729"/>
      <c r="K4547" s="729"/>
      <c r="L4547" s="147">
        <v>88.184809999999999</v>
      </c>
      <c r="M4547" s="147">
        <v>52.5</v>
      </c>
      <c r="N4547" s="147">
        <v>35.684809999999999</v>
      </c>
      <c r="O4547" s="147">
        <v>67.971066666666673</v>
      </c>
      <c r="P4547" s="147">
        <v>35.538789999999999</v>
      </c>
      <c r="Q4547" s="147">
        <v>52.64602</v>
      </c>
      <c r="R4547" s="147">
        <v>148.13678237216291</v>
      </c>
    </row>
    <row r="4548" spans="2:18" ht="15.75" hidden="1" thickBot="1" x14ac:dyDescent="0.3">
      <c r="B4548" s="725" t="s">
        <v>809</v>
      </c>
      <c r="C4548" s="722" t="s">
        <v>165</v>
      </c>
      <c r="D4548" t="s">
        <v>166</v>
      </c>
      <c r="E4548" s="148">
        <v>0.26602999999999999</v>
      </c>
      <c r="F4548" s="728"/>
      <c r="G4548" s="148">
        <v>0.26602999999999999</v>
      </c>
      <c r="H4548" s="148">
        <v>0</v>
      </c>
      <c r="I4548" s="728"/>
      <c r="J4548" s="148">
        <v>0.26602999999999999</v>
      </c>
      <c r="K4548" s="148">
        <v>0</v>
      </c>
      <c r="L4548" s="148">
        <v>37.227760000000004</v>
      </c>
      <c r="M4548" s="728"/>
      <c r="N4548" s="148">
        <v>37.227760000000004</v>
      </c>
      <c r="O4548" s="148">
        <v>0</v>
      </c>
      <c r="P4548" s="148">
        <v>8.2908000000000008</v>
      </c>
      <c r="Q4548" s="148">
        <v>28.936959999999999</v>
      </c>
      <c r="R4548" s="148">
        <v>349.02494331065759</v>
      </c>
    </row>
    <row r="4549" spans="2:18" ht="15.75" hidden="1" thickBot="1" x14ac:dyDescent="0.3">
      <c r="B4549" s="725" t="s">
        <v>809</v>
      </c>
      <c r="C4549" s="722" t="s">
        <v>188</v>
      </c>
      <c r="D4549" t="s">
        <v>189</v>
      </c>
      <c r="E4549" s="147">
        <v>7.6999999999999996E-4</v>
      </c>
      <c r="F4549" s="729"/>
      <c r="G4549" s="147">
        <v>7.6999999999999996E-4</v>
      </c>
      <c r="H4549" s="147">
        <v>0</v>
      </c>
      <c r="I4549" s="729"/>
      <c r="J4549" s="147">
        <v>7.6999999999999996E-4</v>
      </c>
      <c r="K4549" s="147">
        <v>0</v>
      </c>
      <c r="L4549" s="147">
        <v>10.494820000000001</v>
      </c>
      <c r="M4549" s="729"/>
      <c r="N4549" s="147">
        <v>10.494820000000001</v>
      </c>
      <c r="O4549" s="147">
        <v>0</v>
      </c>
      <c r="P4549" s="147">
        <v>1.24E-3</v>
      </c>
      <c r="Q4549" s="147">
        <v>10.49358</v>
      </c>
      <c r="R4549" s="147">
        <v>846256.45161290327</v>
      </c>
    </row>
    <row r="4550" spans="2:18" ht="15.75" hidden="1" thickBot="1" x14ac:dyDescent="0.3">
      <c r="B4550" s="725" t="s">
        <v>809</v>
      </c>
      <c r="C4550" s="722" t="s">
        <v>584</v>
      </c>
      <c r="D4550" t="s">
        <v>585</v>
      </c>
      <c r="E4550" s="148">
        <v>4.0000000000000003E-5</v>
      </c>
      <c r="F4550" s="728"/>
      <c r="G4550" s="148">
        <v>4.0000000000000003E-5</v>
      </c>
      <c r="H4550" s="148">
        <v>0</v>
      </c>
      <c r="I4550" s="728"/>
      <c r="J4550" s="148">
        <v>4.0000000000000003E-5</v>
      </c>
      <c r="K4550" s="148">
        <v>0</v>
      </c>
      <c r="L4550" s="148">
        <v>1E-4</v>
      </c>
      <c r="M4550" s="728"/>
      <c r="N4550" s="148">
        <v>1E-4</v>
      </c>
      <c r="O4550" s="148">
        <v>0</v>
      </c>
      <c r="P4550" s="148">
        <v>6.0000000000000002E-5</v>
      </c>
      <c r="Q4550" s="148">
        <v>4.0000000000000003E-5</v>
      </c>
      <c r="R4550" s="148">
        <v>66.666666666666671</v>
      </c>
    </row>
    <row r="4551" spans="2:18" ht="15.75" hidden="1" thickBot="1" x14ac:dyDescent="0.3">
      <c r="B4551" s="725" t="s">
        <v>809</v>
      </c>
      <c r="C4551" s="722" t="s">
        <v>586</v>
      </c>
      <c r="D4551" t="s">
        <v>587</v>
      </c>
      <c r="E4551" s="729"/>
      <c r="F4551" s="729"/>
      <c r="G4551" s="729"/>
      <c r="H4551" s="729"/>
      <c r="I4551" s="729"/>
      <c r="J4551" s="729"/>
      <c r="K4551" s="729"/>
      <c r="L4551" s="147">
        <v>3.3562799999999999</v>
      </c>
      <c r="M4551" s="729"/>
      <c r="N4551" s="147">
        <v>3.3562799999999999</v>
      </c>
      <c r="O4551" s="147">
        <v>0</v>
      </c>
      <c r="P4551" s="147">
        <v>3.3562799999999999</v>
      </c>
      <c r="Q4551" s="147">
        <v>0</v>
      </c>
      <c r="R4551" s="147">
        <v>0</v>
      </c>
    </row>
    <row r="4552" spans="2:18" ht="15.75" hidden="1" thickBot="1" x14ac:dyDescent="0.3">
      <c r="B4552" s="725" t="s">
        <v>809</v>
      </c>
      <c r="C4552" s="722" t="s">
        <v>592</v>
      </c>
      <c r="D4552" t="s">
        <v>593</v>
      </c>
      <c r="E4552" s="728"/>
      <c r="F4552" s="728"/>
      <c r="G4552" s="728"/>
      <c r="H4552" s="728"/>
      <c r="I4552" s="728"/>
      <c r="J4552" s="728"/>
      <c r="K4552" s="728"/>
      <c r="L4552" s="148">
        <v>4.7488000000000001</v>
      </c>
      <c r="M4552" s="728"/>
      <c r="N4552" s="148">
        <v>4.7488000000000001</v>
      </c>
      <c r="O4552" s="148">
        <v>0</v>
      </c>
      <c r="P4552" s="148">
        <v>0.32262999999999997</v>
      </c>
      <c r="Q4552" s="148">
        <v>4.4261699999999999</v>
      </c>
      <c r="R4552" s="148">
        <v>1371.9027988717726</v>
      </c>
    </row>
    <row r="4553" spans="2:18" ht="15.75" hidden="1" thickBot="1" x14ac:dyDescent="0.3">
      <c r="B4553" s="725" t="s">
        <v>809</v>
      </c>
      <c r="C4553" s="722" t="s">
        <v>137</v>
      </c>
      <c r="D4553" t="s">
        <v>138</v>
      </c>
      <c r="E4553" s="147">
        <v>0.20111000000000001</v>
      </c>
      <c r="F4553" s="147">
        <v>0.5</v>
      </c>
      <c r="G4553" s="147">
        <v>-0.29888999999999999</v>
      </c>
      <c r="H4553" s="147">
        <v>-59.777999999999999</v>
      </c>
      <c r="I4553" s="729"/>
      <c r="J4553" s="147">
        <v>0.20111000000000001</v>
      </c>
      <c r="K4553" s="147">
        <v>0</v>
      </c>
      <c r="L4553" s="147">
        <v>3.5809600000000001</v>
      </c>
      <c r="M4553" s="147">
        <v>8.6999999999999993</v>
      </c>
      <c r="N4553" s="147">
        <v>-5.11904</v>
      </c>
      <c r="O4553" s="147">
        <v>-58.83954022988506</v>
      </c>
      <c r="P4553" s="147">
        <v>1.42327</v>
      </c>
      <c r="Q4553" s="147">
        <v>2.1576900000000001</v>
      </c>
      <c r="R4553" s="147">
        <v>151.60089090615273</v>
      </c>
    </row>
    <row r="4554" spans="2:18" ht="15.75" hidden="1" thickBot="1" x14ac:dyDescent="0.3">
      <c r="B4554" s="725" t="s">
        <v>809</v>
      </c>
      <c r="C4554" s="722" t="s">
        <v>190</v>
      </c>
      <c r="D4554" t="s">
        <v>191</v>
      </c>
      <c r="E4554" s="148">
        <v>7.0000000000000001E-3</v>
      </c>
      <c r="F4554" s="728"/>
      <c r="G4554" s="148">
        <v>7.0000000000000001E-3</v>
      </c>
      <c r="H4554" s="148">
        <v>0</v>
      </c>
      <c r="I4554" s="728"/>
      <c r="J4554" s="148">
        <v>7.0000000000000001E-3</v>
      </c>
      <c r="K4554" s="148">
        <v>0</v>
      </c>
      <c r="L4554" s="148">
        <v>1.3923700000000001</v>
      </c>
      <c r="M4554" s="728"/>
      <c r="N4554" s="148">
        <v>1.3923700000000001</v>
      </c>
      <c r="O4554" s="148">
        <v>0</v>
      </c>
      <c r="P4554" s="148">
        <v>0.30381999999999998</v>
      </c>
      <c r="Q4554" s="148">
        <v>1.0885499999999999</v>
      </c>
      <c r="R4554" s="148">
        <v>358.28780198801923</v>
      </c>
    </row>
    <row r="4555" spans="2:18" ht="15.75" hidden="1" thickBot="1" x14ac:dyDescent="0.3">
      <c r="B4555" s="725" t="s">
        <v>809</v>
      </c>
      <c r="C4555" s="722" t="s">
        <v>36</v>
      </c>
      <c r="D4555" t="s">
        <v>192</v>
      </c>
      <c r="E4555" s="147">
        <v>0.11341</v>
      </c>
      <c r="F4555" s="147">
        <v>0.5</v>
      </c>
      <c r="G4555" s="147">
        <v>-0.38658999999999999</v>
      </c>
      <c r="H4555" s="147">
        <v>-77.317999999999998</v>
      </c>
      <c r="I4555" s="729"/>
      <c r="J4555" s="147">
        <v>0.11341</v>
      </c>
      <c r="K4555" s="147">
        <v>0</v>
      </c>
      <c r="L4555" s="147">
        <v>20.546340000000001</v>
      </c>
      <c r="M4555" s="147">
        <v>79.5</v>
      </c>
      <c r="N4555" s="147">
        <v>-58.953659999999999</v>
      </c>
      <c r="O4555" s="147">
        <v>-74.155547169811314</v>
      </c>
      <c r="P4555" s="147">
        <v>3.0438499999999999</v>
      </c>
      <c r="Q4555" s="147">
        <v>17.502490000000002</v>
      </c>
      <c r="R4555" s="147">
        <v>575.01158072835392</v>
      </c>
    </row>
    <row r="4556" spans="2:18" ht="15.75" hidden="1" thickBot="1" x14ac:dyDescent="0.3">
      <c r="B4556" s="725" t="s">
        <v>809</v>
      </c>
      <c r="C4556" s="722" t="s">
        <v>139</v>
      </c>
      <c r="D4556" t="s">
        <v>140</v>
      </c>
      <c r="E4556" s="148">
        <v>3.7499999999999999E-2</v>
      </c>
      <c r="F4556" s="148">
        <v>0</v>
      </c>
      <c r="G4556" s="148">
        <v>3.7499999999999999E-2</v>
      </c>
      <c r="H4556" s="148">
        <v>0</v>
      </c>
      <c r="I4556" s="728"/>
      <c r="J4556" s="148">
        <v>3.7499999999999999E-2</v>
      </c>
      <c r="K4556" s="148">
        <v>0</v>
      </c>
      <c r="L4556" s="148">
        <v>1.83074</v>
      </c>
      <c r="M4556" s="148">
        <v>1</v>
      </c>
      <c r="N4556" s="148">
        <v>0.83074000000000003</v>
      </c>
      <c r="O4556" s="148">
        <v>83.073999999999998</v>
      </c>
      <c r="P4556" s="148">
        <v>1.4950000000000001</v>
      </c>
      <c r="Q4556" s="148">
        <v>0.33573999999999998</v>
      </c>
      <c r="R4556" s="148">
        <v>22.45752508361204</v>
      </c>
    </row>
    <row r="4557" spans="2:18" ht="15.75" hidden="1" thickBot="1" x14ac:dyDescent="0.3">
      <c r="B4557" s="725" t="s">
        <v>809</v>
      </c>
      <c r="C4557" s="722" t="s">
        <v>101</v>
      </c>
      <c r="D4557" t="s">
        <v>102</v>
      </c>
      <c r="E4557" s="147">
        <v>217.99605</v>
      </c>
      <c r="F4557" s="147">
        <v>10</v>
      </c>
      <c r="G4557" s="147">
        <v>207.99605</v>
      </c>
      <c r="H4557" s="147">
        <v>2079.9605000000001</v>
      </c>
      <c r="I4557" s="729"/>
      <c r="J4557" s="147">
        <v>217.99605</v>
      </c>
      <c r="K4557" s="147">
        <v>0</v>
      </c>
      <c r="L4557" s="147">
        <v>2082.23947</v>
      </c>
      <c r="M4557" s="147">
        <v>2701.4540000000002</v>
      </c>
      <c r="N4557" s="147">
        <v>-619.21452999999997</v>
      </c>
      <c r="O4557" s="147">
        <v>-22.921527814280754</v>
      </c>
      <c r="P4557" s="147">
        <v>909.47645999999997</v>
      </c>
      <c r="Q4557" s="147">
        <v>1172.7630099999999</v>
      </c>
      <c r="R4557" s="147">
        <v>128.94924295236845</v>
      </c>
    </row>
    <row r="4558" spans="2:18" ht="15.75" hidden="1" thickBot="1" x14ac:dyDescent="0.3">
      <c r="B4558" s="725" t="s">
        <v>809</v>
      </c>
      <c r="C4558" s="722" t="s">
        <v>601</v>
      </c>
      <c r="D4558" t="s">
        <v>602</v>
      </c>
      <c r="E4558" s="148">
        <v>-0.18</v>
      </c>
      <c r="F4558" s="728"/>
      <c r="G4558" s="148">
        <v>-0.18</v>
      </c>
      <c r="H4558" s="148">
        <v>0</v>
      </c>
      <c r="I4558" s="728"/>
      <c r="J4558" s="148">
        <v>-0.18</v>
      </c>
      <c r="K4558" s="148">
        <v>0</v>
      </c>
      <c r="L4558" s="148">
        <v>0</v>
      </c>
      <c r="M4558" s="728"/>
      <c r="N4558" s="148">
        <v>0</v>
      </c>
      <c r="O4558" s="148">
        <v>0</v>
      </c>
      <c r="P4558" s="728"/>
      <c r="Q4558" s="148">
        <v>0</v>
      </c>
      <c r="R4558" s="148">
        <v>0</v>
      </c>
    </row>
    <row r="4559" spans="2:18" ht="15.75" hidden="1" thickBot="1" x14ac:dyDescent="0.3">
      <c r="B4559" s="725" t="s">
        <v>809</v>
      </c>
      <c r="C4559" s="722" t="s">
        <v>605</v>
      </c>
      <c r="D4559" t="s">
        <v>606</v>
      </c>
      <c r="E4559" s="147">
        <v>-0.8</v>
      </c>
      <c r="F4559" s="729"/>
      <c r="G4559" s="147">
        <v>-0.8</v>
      </c>
      <c r="H4559" s="147">
        <v>0</v>
      </c>
      <c r="I4559" s="729"/>
      <c r="J4559" s="147">
        <v>-0.8</v>
      </c>
      <c r="K4559" s="147">
        <v>0</v>
      </c>
      <c r="L4559" s="147">
        <v>19.4239</v>
      </c>
      <c r="M4559" s="729"/>
      <c r="N4559" s="147">
        <v>19.4239</v>
      </c>
      <c r="O4559" s="147">
        <v>0</v>
      </c>
      <c r="P4559" s="147">
        <v>8.5300999999999991</v>
      </c>
      <c r="Q4559" s="147">
        <v>10.893800000000001</v>
      </c>
      <c r="R4559" s="147">
        <v>127.71010890845359</v>
      </c>
    </row>
    <row r="4560" spans="2:18" ht="15.75" hidden="1" thickBot="1" x14ac:dyDescent="0.3">
      <c r="B4560" s="725" t="s">
        <v>809</v>
      </c>
      <c r="C4560" s="722" t="s">
        <v>218</v>
      </c>
      <c r="D4560" t="s">
        <v>219</v>
      </c>
      <c r="E4560" s="728"/>
      <c r="F4560" s="728"/>
      <c r="G4560" s="728"/>
      <c r="H4560" s="728"/>
      <c r="I4560" s="728"/>
      <c r="J4560" s="728"/>
      <c r="K4560" s="728"/>
      <c r="L4560" s="148">
        <v>2.0750000000000002</v>
      </c>
      <c r="M4560" s="728"/>
      <c r="N4560" s="148">
        <v>2.0750000000000002</v>
      </c>
      <c r="O4560" s="148">
        <v>0</v>
      </c>
      <c r="P4560" s="148">
        <v>0.78</v>
      </c>
      <c r="Q4560" s="148">
        <v>1.2949999999999999</v>
      </c>
      <c r="R4560" s="148">
        <v>166.02564102564102</v>
      </c>
    </row>
    <row r="4561" spans="2:18" ht="15.75" hidden="1" thickBot="1" x14ac:dyDescent="0.3">
      <c r="B4561" s="725" t="s">
        <v>809</v>
      </c>
      <c r="C4561" s="722" t="s">
        <v>609</v>
      </c>
      <c r="D4561" t="s">
        <v>610</v>
      </c>
      <c r="E4561" s="729"/>
      <c r="F4561" s="729"/>
      <c r="G4561" s="729"/>
      <c r="H4561" s="729"/>
      <c r="I4561" s="729"/>
      <c r="J4561" s="729"/>
      <c r="K4561" s="729"/>
      <c r="L4561" s="147">
        <v>0.47049999999999997</v>
      </c>
      <c r="M4561" s="729"/>
      <c r="N4561" s="147">
        <v>0.47049999999999997</v>
      </c>
      <c r="O4561" s="147">
        <v>0</v>
      </c>
      <c r="P4561" s="729"/>
      <c r="Q4561" s="147">
        <v>0.47049999999999997</v>
      </c>
      <c r="R4561" s="147">
        <v>0</v>
      </c>
    </row>
    <row r="4562" spans="2:18" ht="15.75" hidden="1" thickBot="1" x14ac:dyDescent="0.3">
      <c r="B4562" s="725" t="s">
        <v>809</v>
      </c>
      <c r="C4562" s="722" t="s">
        <v>462</v>
      </c>
      <c r="D4562" t="s">
        <v>463</v>
      </c>
      <c r="E4562" s="728"/>
      <c r="F4562" s="728"/>
      <c r="G4562" s="728"/>
      <c r="H4562" s="728"/>
      <c r="I4562" s="728"/>
      <c r="J4562" s="728"/>
      <c r="K4562" s="728"/>
      <c r="L4562" s="148">
        <v>22.370799999999999</v>
      </c>
      <c r="M4562" s="728"/>
      <c r="N4562" s="148">
        <v>22.370799999999999</v>
      </c>
      <c r="O4562" s="148">
        <v>0</v>
      </c>
      <c r="P4562" s="728"/>
      <c r="Q4562" s="148">
        <v>22.370799999999999</v>
      </c>
      <c r="R4562" s="148">
        <v>0</v>
      </c>
    </row>
    <row r="4563" spans="2:18" ht="15.75" hidden="1" thickBot="1" x14ac:dyDescent="0.3">
      <c r="B4563" s="725" t="s">
        <v>809</v>
      </c>
      <c r="C4563" s="722" t="s">
        <v>613</v>
      </c>
      <c r="D4563" t="s">
        <v>614</v>
      </c>
      <c r="E4563" s="147">
        <v>0.41249999999999998</v>
      </c>
      <c r="F4563" s="729"/>
      <c r="G4563" s="147">
        <v>0.41249999999999998</v>
      </c>
      <c r="H4563" s="147">
        <v>0</v>
      </c>
      <c r="I4563" s="729"/>
      <c r="J4563" s="147">
        <v>0.41249999999999998</v>
      </c>
      <c r="K4563" s="147">
        <v>0</v>
      </c>
      <c r="L4563" s="147">
        <v>9.9955499999999997</v>
      </c>
      <c r="M4563" s="729"/>
      <c r="N4563" s="147">
        <v>9.9955499999999997</v>
      </c>
      <c r="O4563" s="147">
        <v>0</v>
      </c>
      <c r="P4563" s="147">
        <v>4.2874999999999996</v>
      </c>
      <c r="Q4563" s="147">
        <v>5.7080500000000001</v>
      </c>
      <c r="R4563" s="147">
        <v>133.13236151603499</v>
      </c>
    </row>
    <row r="4564" spans="2:18" ht="15.75" hidden="1" thickBot="1" x14ac:dyDescent="0.3">
      <c r="B4564" s="725" t="s">
        <v>809</v>
      </c>
      <c r="C4564" s="722" t="s">
        <v>615</v>
      </c>
      <c r="D4564" t="s">
        <v>616</v>
      </c>
      <c r="E4564" s="148">
        <v>4.3749999999999997E-2</v>
      </c>
      <c r="F4564" s="728"/>
      <c r="G4564" s="148">
        <v>4.3749999999999997E-2</v>
      </c>
      <c r="H4564" s="148">
        <v>0</v>
      </c>
      <c r="I4564" s="728"/>
      <c r="J4564" s="148">
        <v>4.3749999999999997E-2</v>
      </c>
      <c r="K4564" s="148">
        <v>0</v>
      </c>
      <c r="L4564" s="148">
        <v>13.864750000000001</v>
      </c>
      <c r="M4564" s="728"/>
      <c r="N4564" s="148">
        <v>13.864750000000001</v>
      </c>
      <c r="O4564" s="148">
        <v>0</v>
      </c>
      <c r="P4564" s="148">
        <v>2.161</v>
      </c>
      <c r="Q4564" s="148">
        <v>11.703749999999999</v>
      </c>
      <c r="R4564" s="148">
        <v>541.58954187875986</v>
      </c>
    </row>
    <row r="4565" spans="2:18" ht="15.75" hidden="1" thickBot="1" x14ac:dyDescent="0.3">
      <c r="B4565" s="725" t="s">
        <v>809</v>
      </c>
      <c r="C4565" s="722" t="s">
        <v>193</v>
      </c>
      <c r="D4565" t="s">
        <v>194</v>
      </c>
      <c r="E4565" s="147">
        <v>0.18</v>
      </c>
      <c r="F4565" s="729"/>
      <c r="G4565" s="147">
        <v>0.18</v>
      </c>
      <c r="H4565" s="147">
        <v>0</v>
      </c>
      <c r="I4565" s="729"/>
      <c r="J4565" s="147">
        <v>0.18</v>
      </c>
      <c r="K4565" s="147">
        <v>0</v>
      </c>
      <c r="L4565" s="147">
        <v>63.985059999999997</v>
      </c>
      <c r="M4565" s="729"/>
      <c r="N4565" s="147">
        <v>63.985059999999997</v>
      </c>
      <c r="O4565" s="147">
        <v>0</v>
      </c>
      <c r="P4565" s="147">
        <v>25.17925</v>
      </c>
      <c r="Q4565" s="147">
        <v>38.805810000000001</v>
      </c>
      <c r="R4565" s="147">
        <v>154.11821241697032</v>
      </c>
    </row>
    <row r="4566" spans="2:18" ht="15.75" hidden="1" thickBot="1" x14ac:dyDescent="0.3">
      <c r="B4566" s="725" t="s">
        <v>809</v>
      </c>
      <c r="C4566" s="722" t="s">
        <v>195</v>
      </c>
      <c r="D4566" t="s">
        <v>196</v>
      </c>
      <c r="E4566" s="728"/>
      <c r="F4566" s="728"/>
      <c r="G4566" s="728"/>
      <c r="H4566" s="728"/>
      <c r="I4566" s="728"/>
      <c r="J4566" s="728"/>
      <c r="K4566" s="728"/>
      <c r="L4566" s="148">
        <v>25.1571</v>
      </c>
      <c r="M4566" s="728"/>
      <c r="N4566" s="148">
        <v>25.1571</v>
      </c>
      <c r="O4566" s="148">
        <v>0</v>
      </c>
      <c r="P4566" s="148">
        <v>4.6173999999999999</v>
      </c>
      <c r="Q4566" s="148">
        <v>20.5397</v>
      </c>
      <c r="R4566" s="148">
        <v>444.83258976913413</v>
      </c>
    </row>
    <row r="4567" spans="2:18" ht="15.75" hidden="1" thickBot="1" x14ac:dyDescent="0.3">
      <c r="B4567" s="725" t="s">
        <v>809</v>
      </c>
      <c r="C4567" s="722" t="s">
        <v>197</v>
      </c>
      <c r="D4567" t="s">
        <v>198</v>
      </c>
      <c r="E4567" s="147">
        <v>0.2</v>
      </c>
      <c r="F4567" s="729"/>
      <c r="G4567" s="147">
        <v>0.2</v>
      </c>
      <c r="H4567" s="147">
        <v>0</v>
      </c>
      <c r="I4567" s="729"/>
      <c r="J4567" s="147">
        <v>0.2</v>
      </c>
      <c r="K4567" s="147">
        <v>0</v>
      </c>
      <c r="L4567" s="147">
        <v>2.2210000000000001</v>
      </c>
      <c r="M4567" s="729"/>
      <c r="N4567" s="147">
        <v>2.2210000000000001</v>
      </c>
      <c r="O4567" s="147">
        <v>0</v>
      </c>
      <c r="P4567" s="147">
        <v>0.2</v>
      </c>
      <c r="Q4567" s="147">
        <v>2.0209999999999999</v>
      </c>
      <c r="R4567" s="147">
        <v>1010.5</v>
      </c>
    </row>
    <row r="4568" spans="2:18" ht="15.75" hidden="1" thickBot="1" x14ac:dyDescent="0.3">
      <c r="B4568" s="725" t="s">
        <v>809</v>
      </c>
      <c r="C4568" s="722" t="s">
        <v>464</v>
      </c>
      <c r="D4568" t="s">
        <v>465</v>
      </c>
      <c r="E4568" s="728"/>
      <c r="F4568" s="148">
        <v>0.5</v>
      </c>
      <c r="G4568" s="148">
        <v>-0.5</v>
      </c>
      <c r="H4568" s="148">
        <v>-100</v>
      </c>
      <c r="I4568" s="728"/>
      <c r="J4568" s="728"/>
      <c r="K4568" s="728"/>
      <c r="L4568" s="148">
        <v>6.5460000000000004E-2</v>
      </c>
      <c r="M4568" s="148">
        <v>61</v>
      </c>
      <c r="N4568" s="148">
        <v>-60.934539999999998</v>
      </c>
      <c r="O4568" s="148">
        <v>-99.89268852459017</v>
      </c>
      <c r="P4568" s="728"/>
      <c r="Q4568" s="148">
        <v>6.5460000000000004E-2</v>
      </c>
      <c r="R4568" s="148">
        <v>0</v>
      </c>
    </row>
    <row r="4569" spans="2:18" ht="15.75" hidden="1" thickBot="1" x14ac:dyDescent="0.3">
      <c r="B4569" s="725" t="s">
        <v>809</v>
      </c>
      <c r="C4569" s="722" t="s">
        <v>619</v>
      </c>
      <c r="D4569" t="s">
        <v>620</v>
      </c>
      <c r="E4569" s="729"/>
      <c r="F4569" s="729"/>
      <c r="G4569" s="729"/>
      <c r="H4569" s="729"/>
      <c r="I4569" s="729"/>
      <c r="J4569" s="729"/>
      <c r="K4569" s="729"/>
      <c r="L4569" s="147">
        <v>15.67038</v>
      </c>
      <c r="M4569" s="729"/>
      <c r="N4569" s="147">
        <v>15.67038</v>
      </c>
      <c r="O4569" s="147">
        <v>0</v>
      </c>
      <c r="P4569" s="147">
        <v>5.87432</v>
      </c>
      <c r="Q4569" s="147">
        <v>9.7960600000000007</v>
      </c>
      <c r="R4569" s="147">
        <v>166.76074847812171</v>
      </c>
    </row>
    <row r="4570" spans="2:18" ht="15.75" hidden="1" thickBot="1" x14ac:dyDescent="0.3">
      <c r="B4570" s="725" t="s">
        <v>809</v>
      </c>
      <c r="C4570" s="722" t="s">
        <v>103</v>
      </c>
      <c r="D4570" t="s">
        <v>104</v>
      </c>
      <c r="E4570" s="728"/>
      <c r="F4570" s="728"/>
      <c r="G4570" s="728"/>
      <c r="H4570" s="728"/>
      <c r="I4570" s="728"/>
      <c r="J4570" s="728"/>
      <c r="K4570" s="728"/>
      <c r="L4570" s="148">
        <v>8.87913</v>
      </c>
      <c r="M4570" s="728"/>
      <c r="N4570" s="148">
        <v>8.87913</v>
      </c>
      <c r="O4570" s="148">
        <v>0</v>
      </c>
      <c r="P4570" s="148">
        <v>0.65798999999999996</v>
      </c>
      <c r="Q4570" s="148">
        <v>8.2211400000000001</v>
      </c>
      <c r="R4570" s="148">
        <v>1249.4323621939543</v>
      </c>
    </row>
    <row r="4571" spans="2:18" ht="15.75" hidden="1" thickBot="1" x14ac:dyDescent="0.3">
      <c r="B4571" s="725" t="s">
        <v>809</v>
      </c>
      <c r="C4571" s="722" t="s">
        <v>71</v>
      </c>
      <c r="D4571" t="s">
        <v>72</v>
      </c>
      <c r="E4571" s="147">
        <v>0</v>
      </c>
      <c r="F4571" s="729"/>
      <c r="G4571" s="147">
        <v>0</v>
      </c>
      <c r="H4571" s="147">
        <v>0</v>
      </c>
      <c r="I4571" s="729"/>
      <c r="J4571" s="147">
        <v>0</v>
      </c>
      <c r="K4571" s="147">
        <v>0</v>
      </c>
      <c r="L4571" s="147">
        <v>0</v>
      </c>
      <c r="M4571" s="729"/>
      <c r="N4571" s="147">
        <v>0</v>
      </c>
      <c r="O4571" s="147">
        <v>0</v>
      </c>
      <c r="P4571" s="729"/>
      <c r="Q4571" s="147">
        <v>0</v>
      </c>
      <c r="R4571" s="147">
        <v>0</v>
      </c>
    </row>
    <row r="4572" spans="2:18" ht="15.75" hidden="1" thickBot="1" x14ac:dyDescent="0.3">
      <c r="B4572" s="725" t="s">
        <v>809</v>
      </c>
      <c r="C4572" s="722" t="s">
        <v>107</v>
      </c>
      <c r="D4572" t="s">
        <v>108</v>
      </c>
      <c r="E4572" s="148">
        <v>3.6220000000000002E-2</v>
      </c>
      <c r="F4572" s="728"/>
      <c r="G4572" s="148">
        <v>3.6220000000000002E-2</v>
      </c>
      <c r="H4572" s="148">
        <v>0</v>
      </c>
      <c r="I4572" s="728"/>
      <c r="J4572" s="148">
        <v>3.6220000000000002E-2</v>
      </c>
      <c r="K4572" s="148">
        <v>0</v>
      </c>
      <c r="L4572" s="148">
        <v>6.6189999999999999E-2</v>
      </c>
      <c r="M4572" s="728"/>
      <c r="N4572" s="148">
        <v>6.6189999999999999E-2</v>
      </c>
      <c r="O4572" s="148">
        <v>0</v>
      </c>
      <c r="P4572" s="728"/>
      <c r="Q4572" s="148">
        <v>6.6189999999999999E-2</v>
      </c>
      <c r="R4572" s="148">
        <v>0</v>
      </c>
    </row>
    <row r="4573" spans="2:18" ht="15.75" hidden="1" thickBot="1" x14ac:dyDescent="0.3">
      <c r="B4573" s="725" t="s">
        <v>809</v>
      </c>
      <c r="C4573" s="722" t="s">
        <v>109</v>
      </c>
      <c r="D4573" t="s">
        <v>110</v>
      </c>
      <c r="E4573" s="729"/>
      <c r="F4573" s="729"/>
      <c r="G4573" s="729"/>
      <c r="H4573" s="729"/>
      <c r="I4573" s="729"/>
      <c r="J4573" s="729"/>
      <c r="K4573" s="729"/>
      <c r="L4573" s="147">
        <v>0.50283999999999995</v>
      </c>
      <c r="M4573" s="729"/>
      <c r="N4573" s="147">
        <v>0.50283999999999995</v>
      </c>
      <c r="O4573" s="147">
        <v>0</v>
      </c>
      <c r="P4573" s="729"/>
      <c r="Q4573" s="147">
        <v>0.50283999999999995</v>
      </c>
      <c r="R4573" s="147">
        <v>0</v>
      </c>
    </row>
    <row r="4574" spans="2:18" ht="15.75" hidden="1" thickBot="1" x14ac:dyDescent="0.3">
      <c r="B4574" s="725" t="s">
        <v>809</v>
      </c>
      <c r="C4574" s="722" t="s">
        <v>73</v>
      </c>
      <c r="D4574" t="s">
        <v>74</v>
      </c>
      <c r="E4574" s="148">
        <v>9.9799999999999993E-3</v>
      </c>
      <c r="F4574" s="148">
        <v>0.1</v>
      </c>
      <c r="G4574" s="148">
        <v>-9.0020000000000003E-2</v>
      </c>
      <c r="H4574" s="148">
        <v>-90.02</v>
      </c>
      <c r="I4574" s="728"/>
      <c r="J4574" s="148">
        <v>9.9799999999999993E-3</v>
      </c>
      <c r="K4574" s="148">
        <v>0</v>
      </c>
      <c r="L4574" s="148">
        <v>0.46858</v>
      </c>
      <c r="M4574" s="148">
        <v>1.2</v>
      </c>
      <c r="N4574" s="148">
        <v>-0.73141999999999996</v>
      </c>
      <c r="O4574" s="148">
        <v>-60.951666666666668</v>
      </c>
      <c r="P4574" s="148">
        <v>0.25935999999999998</v>
      </c>
      <c r="Q4574" s="148">
        <v>0.20921999999999999</v>
      </c>
      <c r="R4574" s="148">
        <v>80.667797655768041</v>
      </c>
    </row>
    <row r="4575" spans="2:18" ht="15.75" hidden="1" thickBot="1" x14ac:dyDescent="0.3">
      <c r="B4575" s="725" t="s">
        <v>809</v>
      </c>
      <c r="C4575" s="722" t="s">
        <v>111</v>
      </c>
      <c r="D4575" t="s">
        <v>112</v>
      </c>
      <c r="E4575" s="729"/>
      <c r="F4575" s="729"/>
      <c r="G4575" s="729"/>
      <c r="H4575" s="729"/>
      <c r="I4575" s="729"/>
      <c r="J4575" s="729"/>
      <c r="K4575" s="729"/>
      <c r="L4575" s="147">
        <v>0.18439</v>
      </c>
      <c r="M4575" s="729"/>
      <c r="N4575" s="147">
        <v>0.18439</v>
      </c>
      <c r="O4575" s="147">
        <v>0</v>
      </c>
      <c r="P4575" s="147">
        <v>0.1744</v>
      </c>
      <c r="Q4575" s="147">
        <v>9.9900000000000006E-3</v>
      </c>
      <c r="R4575" s="147">
        <v>5.7282110091743119</v>
      </c>
    </row>
    <row r="4576" spans="2:18" ht="15.75" hidden="1" thickBot="1" x14ac:dyDescent="0.3">
      <c r="B4576" s="725" t="s">
        <v>809</v>
      </c>
      <c r="C4576" s="722" t="s">
        <v>141</v>
      </c>
      <c r="D4576" t="s">
        <v>142</v>
      </c>
      <c r="E4576" s="728"/>
      <c r="F4576" s="728"/>
      <c r="G4576" s="728"/>
      <c r="H4576" s="728"/>
      <c r="I4576" s="728"/>
      <c r="J4576" s="728"/>
      <c r="K4576" s="728"/>
      <c r="L4576" s="728"/>
      <c r="M4576" s="148">
        <v>0.3</v>
      </c>
      <c r="N4576" s="148">
        <v>-0.3</v>
      </c>
      <c r="O4576" s="148">
        <v>-100</v>
      </c>
      <c r="P4576" s="728"/>
      <c r="Q4576" s="728"/>
      <c r="R4576" s="728"/>
    </row>
    <row r="4577" spans="2:18" ht="15.75" hidden="1" thickBot="1" x14ac:dyDescent="0.3">
      <c r="B4577" s="725" t="s">
        <v>809</v>
      </c>
      <c r="C4577" s="722" t="s">
        <v>113</v>
      </c>
      <c r="D4577" t="s">
        <v>114</v>
      </c>
      <c r="E4577" s="147">
        <v>0.27359</v>
      </c>
      <c r="F4577" s="729"/>
      <c r="G4577" s="147">
        <v>0.27359</v>
      </c>
      <c r="H4577" s="147">
        <v>0</v>
      </c>
      <c r="I4577" s="729"/>
      <c r="J4577" s="147">
        <v>0.27359</v>
      </c>
      <c r="K4577" s="147">
        <v>0</v>
      </c>
      <c r="L4577" s="147">
        <v>2.6807699999999999</v>
      </c>
      <c r="M4577" s="729"/>
      <c r="N4577" s="147">
        <v>2.6807699999999999</v>
      </c>
      <c r="O4577" s="147">
        <v>0</v>
      </c>
      <c r="P4577" s="147">
        <v>0.45451000000000003</v>
      </c>
      <c r="Q4577" s="147">
        <v>2.2262599999999999</v>
      </c>
      <c r="R4577" s="147">
        <v>489.81540560163694</v>
      </c>
    </row>
    <row r="4578" spans="2:18" ht="15.75" hidden="1" thickBot="1" x14ac:dyDescent="0.3">
      <c r="B4578" s="725" t="s">
        <v>809</v>
      </c>
      <c r="C4578" s="722" t="s">
        <v>201</v>
      </c>
      <c r="D4578" t="s">
        <v>202</v>
      </c>
      <c r="E4578" s="728"/>
      <c r="F4578" s="148">
        <v>0.5</v>
      </c>
      <c r="G4578" s="148">
        <v>-0.5</v>
      </c>
      <c r="H4578" s="148">
        <v>-100</v>
      </c>
      <c r="I4578" s="728"/>
      <c r="J4578" s="728"/>
      <c r="K4578" s="728"/>
      <c r="L4578" s="148">
        <v>0.28505999999999998</v>
      </c>
      <c r="M4578" s="148">
        <v>1</v>
      </c>
      <c r="N4578" s="148">
        <v>-0.71494000000000002</v>
      </c>
      <c r="O4578" s="148">
        <v>-71.494</v>
      </c>
      <c r="P4578" s="728"/>
      <c r="Q4578" s="148">
        <v>0.28505999999999998</v>
      </c>
      <c r="R4578" s="148">
        <v>0</v>
      </c>
    </row>
    <row r="4579" spans="2:18" ht="15.75" hidden="1" thickBot="1" x14ac:dyDescent="0.3">
      <c r="B4579" s="725" t="s">
        <v>809</v>
      </c>
      <c r="C4579" s="722" t="s">
        <v>631</v>
      </c>
      <c r="D4579" t="s">
        <v>632</v>
      </c>
      <c r="E4579" s="147">
        <v>0.21498999999999999</v>
      </c>
      <c r="F4579" s="729"/>
      <c r="G4579" s="147">
        <v>0.21498999999999999</v>
      </c>
      <c r="H4579" s="147">
        <v>0</v>
      </c>
      <c r="I4579" s="729"/>
      <c r="J4579" s="147">
        <v>0.21498999999999999</v>
      </c>
      <c r="K4579" s="147">
        <v>0</v>
      </c>
      <c r="L4579" s="147">
        <v>0.54134000000000004</v>
      </c>
      <c r="M4579" s="729"/>
      <c r="N4579" s="147">
        <v>0.54134000000000004</v>
      </c>
      <c r="O4579" s="147">
        <v>0</v>
      </c>
      <c r="P4579" s="729"/>
      <c r="Q4579" s="147">
        <v>0.54134000000000004</v>
      </c>
      <c r="R4579" s="147">
        <v>0</v>
      </c>
    </row>
    <row r="4580" spans="2:18" ht="15.75" hidden="1" thickBot="1" x14ac:dyDescent="0.3">
      <c r="B4580" s="725" t="s">
        <v>809</v>
      </c>
      <c r="C4580" s="722" t="s">
        <v>145</v>
      </c>
      <c r="D4580" t="s">
        <v>146</v>
      </c>
      <c r="E4580" s="148">
        <v>2.1100000000000001E-2</v>
      </c>
      <c r="F4580" s="728"/>
      <c r="G4580" s="148">
        <v>2.1100000000000001E-2</v>
      </c>
      <c r="H4580" s="148">
        <v>0</v>
      </c>
      <c r="I4580" s="728"/>
      <c r="J4580" s="148">
        <v>2.1100000000000001E-2</v>
      </c>
      <c r="K4580" s="148">
        <v>0</v>
      </c>
      <c r="L4580" s="148">
        <v>0.15275</v>
      </c>
      <c r="M4580" s="728"/>
      <c r="N4580" s="148">
        <v>0.15275</v>
      </c>
      <c r="O4580" s="148">
        <v>0</v>
      </c>
      <c r="P4580" s="148">
        <v>6.6199999999999995E-2</v>
      </c>
      <c r="Q4580" s="148">
        <v>8.6550000000000002E-2</v>
      </c>
      <c r="R4580" s="148">
        <v>130.74018126888217</v>
      </c>
    </row>
    <row r="4581" spans="2:18" ht="15.75" hidden="1" thickBot="1" x14ac:dyDescent="0.3">
      <c r="B4581" s="725" t="s">
        <v>809</v>
      </c>
      <c r="C4581" s="722" t="s">
        <v>149</v>
      </c>
      <c r="D4581" t="s">
        <v>150</v>
      </c>
      <c r="E4581" s="147">
        <v>172.32453000000001</v>
      </c>
      <c r="F4581" s="147">
        <v>5</v>
      </c>
      <c r="G4581" s="147">
        <v>167.32453000000001</v>
      </c>
      <c r="H4581" s="147">
        <v>3346.4906000000001</v>
      </c>
      <c r="I4581" s="729"/>
      <c r="J4581" s="147">
        <v>172.32453000000001</v>
      </c>
      <c r="K4581" s="147">
        <v>0</v>
      </c>
      <c r="L4581" s="147">
        <v>835.52292999999997</v>
      </c>
      <c r="M4581" s="147">
        <v>170</v>
      </c>
      <c r="N4581" s="147">
        <v>665.52292999999997</v>
      </c>
      <c r="O4581" s="147">
        <v>391.48407647058826</v>
      </c>
      <c r="P4581" s="147">
        <v>181.08877000000001</v>
      </c>
      <c r="Q4581" s="147">
        <v>654.43416000000002</v>
      </c>
      <c r="R4581" s="147">
        <v>361.3885941132628</v>
      </c>
    </row>
    <row r="4582" spans="2:18" ht="15.75" hidden="1" thickBot="1" x14ac:dyDescent="0.3">
      <c r="B4582" s="725" t="s">
        <v>809</v>
      </c>
      <c r="C4582" s="722" t="s">
        <v>647</v>
      </c>
      <c r="D4582" t="s">
        <v>648</v>
      </c>
      <c r="E4582" s="728"/>
      <c r="F4582" s="728"/>
      <c r="G4582" s="728"/>
      <c r="H4582" s="728"/>
      <c r="I4582" s="728"/>
      <c r="J4582" s="728"/>
      <c r="K4582" s="728"/>
      <c r="L4582" s="148">
        <v>-1.3434600000000001</v>
      </c>
      <c r="M4582" s="728"/>
      <c r="N4582" s="148">
        <v>-1.3434600000000001</v>
      </c>
      <c r="O4582" s="148">
        <v>0</v>
      </c>
      <c r="P4582" s="148">
        <v>-0.61180999999999996</v>
      </c>
      <c r="Q4582" s="148">
        <v>-0.73165000000000002</v>
      </c>
      <c r="R4582" s="148">
        <v>-119.5877805200961</v>
      </c>
    </row>
    <row r="4583" spans="2:18" ht="15.75" hidden="1" thickBot="1" x14ac:dyDescent="0.3">
      <c r="B4583" s="725" t="s">
        <v>809</v>
      </c>
      <c r="C4583" s="722" t="s">
        <v>173</v>
      </c>
      <c r="D4583" t="s">
        <v>174</v>
      </c>
      <c r="E4583" s="729"/>
      <c r="F4583" s="729"/>
      <c r="G4583" s="729"/>
      <c r="H4583" s="729"/>
      <c r="I4583" s="729"/>
      <c r="J4583" s="729"/>
      <c r="K4583" s="729"/>
      <c r="L4583" s="147">
        <v>4.5599999999999996</v>
      </c>
      <c r="M4583" s="729"/>
      <c r="N4583" s="147">
        <v>4.5599999999999996</v>
      </c>
      <c r="O4583" s="147">
        <v>0</v>
      </c>
      <c r="P4583" s="147">
        <v>2.1</v>
      </c>
      <c r="Q4583" s="147">
        <v>2.46</v>
      </c>
      <c r="R4583" s="147">
        <v>117.14285714285714</v>
      </c>
    </row>
    <row r="4584" spans="2:18" ht="15.75" hidden="1" thickBot="1" x14ac:dyDescent="0.3">
      <c r="B4584" s="725" t="s">
        <v>809</v>
      </c>
      <c r="C4584" s="722" t="s">
        <v>151</v>
      </c>
      <c r="D4584" t="s">
        <v>152</v>
      </c>
      <c r="E4584" s="728"/>
      <c r="F4584" s="728"/>
      <c r="G4584" s="728"/>
      <c r="H4584" s="728"/>
      <c r="I4584" s="728"/>
      <c r="J4584" s="728"/>
      <c r="K4584" s="728"/>
      <c r="L4584" s="148">
        <v>7.4000000000000003E-3</v>
      </c>
      <c r="M4584" s="728"/>
      <c r="N4584" s="148">
        <v>7.4000000000000003E-3</v>
      </c>
      <c r="O4584" s="148">
        <v>0</v>
      </c>
      <c r="P4584" s="728"/>
      <c r="Q4584" s="148">
        <v>7.4000000000000003E-3</v>
      </c>
      <c r="R4584" s="148">
        <v>0</v>
      </c>
    </row>
    <row r="4585" spans="2:18" ht="15.75" hidden="1" thickBot="1" x14ac:dyDescent="0.3">
      <c r="B4585" s="725" t="s">
        <v>809</v>
      </c>
      <c r="C4585" s="722" t="s">
        <v>481</v>
      </c>
      <c r="D4585" t="s">
        <v>482</v>
      </c>
      <c r="E4585" s="729"/>
      <c r="F4585" s="729"/>
      <c r="G4585" s="729"/>
      <c r="H4585" s="729"/>
      <c r="I4585" s="729"/>
      <c r="J4585" s="729"/>
      <c r="K4585" s="729"/>
      <c r="L4585" s="147">
        <v>6.6720000000000002E-2</v>
      </c>
      <c r="M4585" s="729"/>
      <c r="N4585" s="147">
        <v>6.6720000000000002E-2</v>
      </c>
      <c r="O4585" s="147">
        <v>0</v>
      </c>
      <c r="P4585" s="147">
        <v>6.6720000000000002E-2</v>
      </c>
      <c r="Q4585" s="147">
        <v>0</v>
      </c>
      <c r="R4585" s="147">
        <v>0</v>
      </c>
    </row>
    <row r="4586" spans="2:18" ht="15.75" hidden="1" thickBot="1" x14ac:dyDescent="0.3">
      <c r="B4586" s="725" t="s">
        <v>809</v>
      </c>
      <c r="C4586" s="722" t="s">
        <v>175</v>
      </c>
      <c r="D4586" t="s">
        <v>176</v>
      </c>
      <c r="E4586" s="728"/>
      <c r="F4586" s="728"/>
      <c r="G4586" s="728"/>
      <c r="H4586" s="728"/>
      <c r="I4586" s="728"/>
      <c r="J4586" s="728"/>
      <c r="K4586" s="728"/>
      <c r="L4586" s="148">
        <v>2.6540000000000001E-2</v>
      </c>
      <c r="M4586" s="728"/>
      <c r="N4586" s="148">
        <v>2.6540000000000001E-2</v>
      </c>
      <c r="O4586" s="148">
        <v>0</v>
      </c>
      <c r="P4586" s="728"/>
      <c r="Q4586" s="148">
        <v>2.6540000000000001E-2</v>
      </c>
      <c r="R4586" s="148">
        <v>0</v>
      </c>
    </row>
    <row r="4587" spans="2:18" ht="15.75" hidden="1" thickBot="1" x14ac:dyDescent="0.3">
      <c r="B4587" s="725" t="s">
        <v>809</v>
      </c>
      <c r="C4587" s="722" t="s">
        <v>661</v>
      </c>
      <c r="D4587" t="s">
        <v>662</v>
      </c>
      <c r="E4587" s="147">
        <v>19.253160000000001</v>
      </c>
      <c r="F4587" s="729"/>
      <c r="G4587" s="147">
        <v>19.253160000000001</v>
      </c>
      <c r="H4587" s="147">
        <v>0</v>
      </c>
      <c r="I4587" s="729"/>
      <c r="J4587" s="147">
        <v>19.253160000000001</v>
      </c>
      <c r="K4587" s="147">
        <v>0</v>
      </c>
      <c r="L4587" s="147">
        <v>19.253160000000001</v>
      </c>
      <c r="M4587" s="729"/>
      <c r="N4587" s="147">
        <v>19.253160000000001</v>
      </c>
      <c r="O4587" s="147">
        <v>0</v>
      </c>
      <c r="P4587" s="729"/>
      <c r="Q4587" s="147">
        <v>19.253160000000001</v>
      </c>
      <c r="R4587" s="147">
        <v>0</v>
      </c>
    </row>
    <row r="4588" spans="2:18" ht="15.75" hidden="1" thickBot="1" x14ac:dyDescent="0.3">
      <c r="B4588" s="725" t="s">
        <v>809</v>
      </c>
      <c r="C4588" s="722" t="s">
        <v>663</v>
      </c>
      <c r="D4588" t="s">
        <v>664</v>
      </c>
      <c r="E4588" s="728"/>
      <c r="F4588" s="728"/>
      <c r="G4588" s="728"/>
      <c r="H4588" s="728"/>
      <c r="I4588" s="728"/>
      <c r="J4588" s="728"/>
      <c r="K4588" s="728"/>
      <c r="L4588" s="148">
        <v>-2.71733</v>
      </c>
      <c r="M4588" s="728"/>
      <c r="N4588" s="148">
        <v>-2.71733</v>
      </c>
      <c r="O4588" s="148">
        <v>0</v>
      </c>
      <c r="P4588" s="148">
        <v>-2.71733</v>
      </c>
      <c r="Q4588" s="148">
        <v>0</v>
      </c>
      <c r="R4588" s="148">
        <v>0</v>
      </c>
    </row>
    <row r="4589" spans="2:18" ht="15.75" hidden="1" thickBot="1" x14ac:dyDescent="0.3">
      <c r="B4589" s="725" t="s">
        <v>809</v>
      </c>
      <c r="C4589" s="722" t="s">
        <v>207</v>
      </c>
      <c r="D4589" t="s">
        <v>208</v>
      </c>
      <c r="E4589" s="729"/>
      <c r="F4589" s="729"/>
      <c r="G4589" s="729"/>
      <c r="H4589" s="729"/>
      <c r="I4589" s="729"/>
      <c r="J4589" s="729"/>
      <c r="K4589" s="729"/>
      <c r="L4589" s="147">
        <v>3.9510000000000003E-2</v>
      </c>
      <c r="M4589" s="729"/>
      <c r="N4589" s="147">
        <v>3.9510000000000003E-2</v>
      </c>
      <c r="O4589" s="147">
        <v>0</v>
      </c>
      <c r="P4589" s="147">
        <v>3.9510000000000003E-2</v>
      </c>
      <c r="Q4589" s="147">
        <v>0</v>
      </c>
      <c r="R4589" s="147">
        <v>0</v>
      </c>
    </row>
    <row r="4590" spans="2:18" ht="15.75" hidden="1" thickBot="1" x14ac:dyDescent="0.3">
      <c r="B4590" s="725" t="s">
        <v>809</v>
      </c>
      <c r="C4590" s="722" t="s">
        <v>75</v>
      </c>
      <c r="D4590" t="s">
        <v>76</v>
      </c>
      <c r="E4590" s="148">
        <v>1.01616</v>
      </c>
      <c r="F4590" s="148">
        <v>1.2</v>
      </c>
      <c r="G4590" s="148">
        <v>-0.18384</v>
      </c>
      <c r="H4590" s="148">
        <v>-15.32</v>
      </c>
      <c r="I4590" s="728"/>
      <c r="J4590" s="148">
        <v>1.01616</v>
      </c>
      <c r="K4590" s="148">
        <v>0</v>
      </c>
      <c r="L4590" s="148">
        <v>22.529699999999998</v>
      </c>
      <c r="M4590" s="148">
        <v>12.6</v>
      </c>
      <c r="N4590" s="148">
        <v>9.9297000000000004</v>
      </c>
      <c r="O4590" s="148">
        <v>78.807142857142864</v>
      </c>
      <c r="P4590" s="148">
        <v>9.7508900000000001</v>
      </c>
      <c r="Q4590" s="148">
        <v>12.77881</v>
      </c>
      <c r="R4590" s="148">
        <v>131.05275518439856</v>
      </c>
    </row>
    <row r="4591" spans="2:18" ht="15.75" hidden="1" thickBot="1" x14ac:dyDescent="0.3">
      <c r="B4591" s="725" t="s">
        <v>809</v>
      </c>
      <c r="C4591" s="722" t="s">
        <v>121</v>
      </c>
      <c r="D4591" t="s">
        <v>122</v>
      </c>
      <c r="E4591" s="147">
        <v>0.14888999999999999</v>
      </c>
      <c r="F4591" s="729"/>
      <c r="G4591" s="147">
        <v>0.14888999999999999</v>
      </c>
      <c r="H4591" s="147">
        <v>0</v>
      </c>
      <c r="I4591" s="729"/>
      <c r="J4591" s="147">
        <v>0.14888999999999999</v>
      </c>
      <c r="K4591" s="147">
        <v>0</v>
      </c>
      <c r="L4591" s="147">
        <v>7.6538000000000004</v>
      </c>
      <c r="M4591" s="729"/>
      <c r="N4591" s="147">
        <v>7.6538000000000004</v>
      </c>
      <c r="O4591" s="147">
        <v>0</v>
      </c>
      <c r="P4591" s="147">
        <v>3.88253</v>
      </c>
      <c r="Q4591" s="147">
        <v>3.7712699999999999</v>
      </c>
      <c r="R4591" s="147">
        <v>97.134342812547487</v>
      </c>
    </row>
    <row r="4592" spans="2:18" ht="15.75" hidden="1" thickBot="1" x14ac:dyDescent="0.3">
      <c r="B4592" s="725" t="s">
        <v>809</v>
      </c>
      <c r="C4592" s="722" t="s">
        <v>77</v>
      </c>
      <c r="D4592" t="s">
        <v>78</v>
      </c>
      <c r="E4592" s="728"/>
      <c r="F4592" s="148">
        <v>1.5</v>
      </c>
      <c r="G4592" s="148">
        <v>-1.5</v>
      </c>
      <c r="H4592" s="148">
        <v>-100</v>
      </c>
      <c r="I4592" s="728"/>
      <c r="J4592" s="728"/>
      <c r="K4592" s="728"/>
      <c r="L4592" s="148">
        <v>13.03288</v>
      </c>
      <c r="M4592" s="148">
        <v>18</v>
      </c>
      <c r="N4592" s="148">
        <v>-4.9671200000000004</v>
      </c>
      <c r="O4592" s="148">
        <v>-27.595111111111112</v>
      </c>
      <c r="P4592" s="148">
        <v>7.5254599999999998</v>
      </c>
      <c r="Q4592" s="148">
        <v>5.5074199999999998</v>
      </c>
      <c r="R4592" s="148">
        <v>73.183831951800954</v>
      </c>
    </row>
    <row r="4593" spans="2:18" ht="15.75" hidden="1" thickBot="1" x14ac:dyDescent="0.3">
      <c r="B4593" s="725" t="s">
        <v>809</v>
      </c>
      <c r="C4593" s="722" t="s">
        <v>79</v>
      </c>
      <c r="D4593" t="s">
        <v>80</v>
      </c>
      <c r="E4593" s="147">
        <v>0.13786000000000001</v>
      </c>
      <c r="F4593" s="729"/>
      <c r="G4593" s="147">
        <v>0.13786000000000001</v>
      </c>
      <c r="H4593" s="147">
        <v>0</v>
      </c>
      <c r="I4593" s="729"/>
      <c r="J4593" s="147">
        <v>0.13786000000000001</v>
      </c>
      <c r="K4593" s="147">
        <v>0</v>
      </c>
      <c r="L4593" s="147">
        <v>12.266579999999999</v>
      </c>
      <c r="M4593" s="729"/>
      <c r="N4593" s="147">
        <v>12.266579999999999</v>
      </c>
      <c r="O4593" s="147">
        <v>0</v>
      </c>
      <c r="P4593" s="147">
        <v>6.2395399999999999</v>
      </c>
      <c r="Q4593" s="147">
        <v>6.0270400000000004</v>
      </c>
      <c r="R4593" s="147">
        <v>96.594300220849618</v>
      </c>
    </row>
    <row r="4594" spans="2:18" ht="15.75" hidden="1" thickBot="1" x14ac:dyDescent="0.3">
      <c r="B4594" s="725" t="s">
        <v>809</v>
      </c>
      <c r="C4594" s="722" t="s">
        <v>123</v>
      </c>
      <c r="D4594" t="s">
        <v>124</v>
      </c>
      <c r="E4594" s="728"/>
      <c r="F4594" s="728"/>
      <c r="G4594" s="728"/>
      <c r="H4594" s="728"/>
      <c r="I4594" s="728"/>
      <c r="J4594" s="728"/>
      <c r="K4594" s="728"/>
      <c r="L4594" s="148">
        <v>1.23244</v>
      </c>
      <c r="M4594" s="728"/>
      <c r="N4594" s="148">
        <v>1.23244</v>
      </c>
      <c r="O4594" s="148">
        <v>0</v>
      </c>
      <c r="P4594" s="148">
        <v>1.0709200000000001</v>
      </c>
      <c r="Q4594" s="148">
        <v>0.16152</v>
      </c>
      <c r="R4594" s="148">
        <v>15.082359093116199</v>
      </c>
    </row>
    <row r="4595" spans="2:18" ht="15.75" hidden="1" thickBot="1" x14ac:dyDescent="0.3">
      <c r="B4595" s="725" t="s">
        <v>809</v>
      </c>
      <c r="C4595" s="722" t="s">
        <v>681</v>
      </c>
      <c r="D4595" t="s">
        <v>682</v>
      </c>
      <c r="E4595" s="147">
        <v>0.41971999999999998</v>
      </c>
      <c r="F4595" s="729"/>
      <c r="G4595" s="147">
        <v>0.41971999999999998</v>
      </c>
      <c r="H4595" s="147">
        <v>0</v>
      </c>
      <c r="I4595" s="729"/>
      <c r="J4595" s="147">
        <v>0.41971999999999998</v>
      </c>
      <c r="K4595" s="147">
        <v>0</v>
      </c>
      <c r="L4595" s="147">
        <v>1.0495300000000001</v>
      </c>
      <c r="M4595" s="729"/>
      <c r="N4595" s="147">
        <v>1.0495300000000001</v>
      </c>
      <c r="O4595" s="147">
        <v>0</v>
      </c>
      <c r="P4595" s="729"/>
      <c r="Q4595" s="147">
        <v>1.0495300000000001</v>
      </c>
      <c r="R4595" s="147">
        <v>0</v>
      </c>
    </row>
    <row r="4596" spans="2:18" ht="15.75" hidden="1" thickBot="1" x14ac:dyDescent="0.3">
      <c r="B4596" s="725" t="s">
        <v>809</v>
      </c>
      <c r="C4596" s="722" t="s">
        <v>683</v>
      </c>
      <c r="D4596" t="s">
        <v>684</v>
      </c>
      <c r="E4596" s="148">
        <v>0.37440000000000001</v>
      </c>
      <c r="F4596" s="728"/>
      <c r="G4596" s="148">
        <v>0.37440000000000001</v>
      </c>
      <c r="H4596" s="148">
        <v>0</v>
      </c>
      <c r="I4596" s="728"/>
      <c r="J4596" s="148">
        <v>0.37440000000000001</v>
      </c>
      <c r="K4596" s="148">
        <v>0</v>
      </c>
      <c r="L4596" s="148">
        <v>0.92517000000000005</v>
      </c>
      <c r="M4596" s="728"/>
      <c r="N4596" s="148">
        <v>0.92517000000000005</v>
      </c>
      <c r="O4596" s="148">
        <v>0</v>
      </c>
      <c r="P4596" s="728"/>
      <c r="Q4596" s="148">
        <v>0.92517000000000005</v>
      </c>
      <c r="R4596" s="148">
        <v>0</v>
      </c>
    </row>
    <row r="4597" spans="2:18" ht="15.75" hidden="1" thickBot="1" x14ac:dyDescent="0.3">
      <c r="B4597" s="725" t="s">
        <v>809</v>
      </c>
      <c r="C4597" s="722" t="s">
        <v>209</v>
      </c>
      <c r="D4597" t="s">
        <v>210</v>
      </c>
      <c r="E4597" s="729"/>
      <c r="F4597" s="729"/>
      <c r="G4597" s="729"/>
      <c r="H4597" s="729"/>
      <c r="I4597" s="729"/>
      <c r="J4597" s="729"/>
      <c r="K4597" s="729"/>
      <c r="L4597" s="147">
        <v>4.5359999999999998E-2</v>
      </c>
      <c r="M4597" s="729"/>
      <c r="N4597" s="147">
        <v>4.5359999999999998E-2</v>
      </c>
      <c r="O4597" s="147">
        <v>0</v>
      </c>
      <c r="P4597" s="729"/>
      <c r="Q4597" s="147">
        <v>4.5359999999999998E-2</v>
      </c>
      <c r="R4597" s="147">
        <v>0</v>
      </c>
    </row>
    <row r="4598" spans="2:18" ht="15.75" hidden="1" thickBot="1" x14ac:dyDescent="0.3">
      <c r="B4598" s="725" t="s">
        <v>809</v>
      </c>
      <c r="C4598" s="722" t="s">
        <v>211</v>
      </c>
      <c r="D4598" t="s">
        <v>212</v>
      </c>
      <c r="E4598" s="728"/>
      <c r="F4598" s="728"/>
      <c r="G4598" s="728"/>
      <c r="H4598" s="728"/>
      <c r="I4598" s="728"/>
      <c r="J4598" s="728"/>
      <c r="K4598" s="728"/>
      <c r="L4598" s="148">
        <v>0.57860999999999996</v>
      </c>
      <c r="M4598" s="728"/>
      <c r="N4598" s="148">
        <v>0.57860999999999996</v>
      </c>
      <c r="O4598" s="148">
        <v>0</v>
      </c>
      <c r="P4598" s="728"/>
      <c r="Q4598" s="148">
        <v>0.57860999999999996</v>
      </c>
      <c r="R4598" s="148">
        <v>0</v>
      </c>
    </row>
    <row r="4599" spans="2:18" ht="15.75" hidden="1" thickBot="1" x14ac:dyDescent="0.3">
      <c r="B4599" s="725" t="s">
        <v>809</v>
      </c>
      <c r="C4599" s="149" t="s">
        <v>85</v>
      </c>
      <c r="D4599" t="s">
        <v>86</v>
      </c>
      <c r="E4599" s="147">
        <v>412.70875999999998</v>
      </c>
      <c r="F4599" s="147">
        <v>21.5</v>
      </c>
      <c r="G4599" s="147">
        <v>391.20875999999998</v>
      </c>
      <c r="H4599" s="147">
        <v>1819.5756279069767</v>
      </c>
      <c r="I4599" s="729"/>
      <c r="J4599" s="147">
        <v>412.70875999999998</v>
      </c>
      <c r="K4599" s="147">
        <v>0</v>
      </c>
      <c r="L4599" s="147">
        <v>3358.08599</v>
      </c>
      <c r="M4599" s="147">
        <v>3109.654</v>
      </c>
      <c r="N4599" s="147">
        <v>248.43199000000001</v>
      </c>
      <c r="O4599" s="147">
        <v>7.9890556955854253</v>
      </c>
      <c r="P4599" s="147">
        <v>1225.0544299999999</v>
      </c>
      <c r="Q4599" s="147">
        <v>2133.0315599999999</v>
      </c>
      <c r="R4599" s="147">
        <v>174.11728881303665</v>
      </c>
    </row>
    <row r="4600" spans="2:18" ht="15.75" hidden="1" thickBot="1" x14ac:dyDescent="0.3">
      <c r="B4600" s="725" t="s">
        <v>809</v>
      </c>
      <c r="C4600" s="144" t="s">
        <v>87</v>
      </c>
      <c r="D4600" t="s">
        <v>87</v>
      </c>
      <c r="E4600" s="148">
        <v>487.49232000000001</v>
      </c>
      <c r="F4600" s="148">
        <v>124.4337</v>
      </c>
      <c r="G4600" s="148">
        <v>363.05862000000002</v>
      </c>
      <c r="H4600" s="148">
        <v>291.76872503188446</v>
      </c>
      <c r="I4600" s="728"/>
      <c r="J4600" s="148">
        <v>487.49232000000001</v>
      </c>
      <c r="K4600" s="148">
        <v>0</v>
      </c>
      <c r="L4600" s="148">
        <v>4539.2785199999998</v>
      </c>
      <c r="M4600" s="148">
        <v>4334.9998599999999</v>
      </c>
      <c r="N4600" s="148">
        <v>204.27866</v>
      </c>
      <c r="O4600" s="148">
        <v>4.7123106481484411</v>
      </c>
      <c r="P4600" s="148">
        <v>1767.4952599999999</v>
      </c>
      <c r="Q4600" s="148">
        <v>2771.7832600000002</v>
      </c>
      <c r="R4600" s="148">
        <v>156.81984120285563</v>
      </c>
    </row>
    <row r="4601" spans="2:18" ht="15.75" hidden="1" thickBot="1" x14ac:dyDescent="0.3">
      <c r="B4601" s="724" t="s">
        <v>810</v>
      </c>
      <c r="C4601" s="722" t="s">
        <v>59</v>
      </c>
      <c r="D4601" t="s">
        <v>60</v>
      </c>
      <c r="E4601" s="147">
        <v>210.53142</v>
      </c>
      <c r="F4601" s="147">
        <v>213.33458999999999</v>
      </c>
      <c r="G4601" s="147">
        <v>-2.8031700000000002</v>
      </c>
      <c r="H4601" s="147">
        <v>-1.3139781973471814</v>
      </c>
      <c r="I4601" s="729"/>
      <c r="J4601" s="147">
        <v>210.53142</v>
      </c>
      <c r="K4601" s="147">
        <v>0</v>
      </c>
      <c r="L4601" s="147">
        <v>2632.1233000000002</v>
      </c>
      <c r="M4601" s="147">
        <v>2546.58482</v>
      </c>
      <c r="N4601" s="147">
        <v>85.538480000000007</v>
      </c>
      <c r="O4601" s="147">
        <v>3.3589487900897801</v>
      </c>
      <c r="P4601" s="147">
        <v>1344.94299</v>
      </c>
      <c r="Q4601" s="147">
        <v>1287.18031</v>
      </c>
      <c r="R4601" s="147">
        <v>95.705194909413962</v>
      </c>
    </row>
    <row r="4602" spans="2:18" ht="15.75" hidden="1" thickBot="1" x14ac:dyDescent="0.3">
      <c r="B4602" s="724" t="s">
        <v>810</v>
      </c>
      <c r="C4602" s="722" t="s">
        <v>178</v>
      </c>
      <c r="D4602" t="s">
        <v>179</v>
      </c>
      <c r="E4602" s="728"/>
      <c r="F4602" s="728"/>
      <c r="G4602" s="728"/>
      <c r="H4602" s="728"/>
      <c r="I4602" s="728"/>
      <c r="J4602" s="728"/>
      <c r="K4602" s="728"/>
      <c r="L4602" s="148">
        <v>0</v>
      </c>
      <c r="M4602" s="728"/>
      <c r="N4602" s="148">
        <v>0</v>
      </c>
      <c r="O4602" s="148">
        <v>0</v>
      </c>
      <c r="P4602" s="148">
        <v>0</v>
      </c>
      <c r="Q4602" s="148">
        <v>0</v>
      </c>
      <c r="R4602" s="148">
        <v>0</v>
      </c>
    </row>
    <row r="4603" spans="2:18" ht="15.75" hidden="1" thickBot="1" x14ac:dyDescent="0.3">
      <c r="B4603" s="724" t="s">
        <v>810</v>
      </c>
      <c r="C4603" s="722" t="s">
        <v>89</v>
      </c>
      <c r="D4603" t="s">
        <v>90</v>
      </c>
      <c r="E4603" s="147">
        <v>55.073569999999997</v>
      </c>
      <c r="F4603" s="729"/>
      <c r="G4603" s="147">
        <v>55.073569999999997</v>
      </c>
      <c r="H4603" s="147">
        <v>0</v>
      </c>
      <c r="I4603" s="729"/>
      <c r="J4603" s="147">
        <v>55.073569999999997</v>
      </c>
      <c r="K4603" s="147">
        <v>0</v>
      </c>
      <c r="L4603" s="147">
        <v>615.65715999999998</v>
      </c>
      <c r="M4603" s="729"/>
      <c r="N4603" s="147">
        <v>615.65715999999998</v>
      </c>
      <c r="O4603" s="147">
        <v>0</v>
      </c>
      <c r="P4603" s="147">
        <v>275.15363000000002</v>
      </c>
      <c r="Q4603" s="147">
        <v>340.50353000000001</v>
      </c>
      <c r="R4603" s="147">
        <v>123.75033176920108</v>
      </c>
    </row>
    <row r="4604" spans="2:18" ht="15.75" hidden="1" thickBot="1" x14ac:dyDescent="0.3">
      <c r="B4604" s="724" t="s">
        <v>810</v>
      </c>
      <c r="C4604" s="722" t="s">
        <v>91</v>
      </c>
      <c r="D4604" t="s">
        <v>92</v>
      </c>
      <c r="E4604" s="148">
        <v>916.11108000000002</v>
      </c>
      <c r="F4604" s="148">
        <v>1229.35169</v>
      </c>
      <c r="G4604" s="148">
        <v>-313.24061</v>
      </c>
      <c r="H4604" s="148">
        <v>-25.480146368855603</v>
      </c>
      <c r="I4604" s="728"/>
      <c r="J4604" s="148">
        <v>916.11108000000002</v>
      </c>
      <c r="K4604" s="148">
        <v>0</v>
      </c>
      <c r="L4604" s="148">
        <v>13596.54387</v>
      </c>
      <c r="M4604" s="148">
        <v>14379.68477</v>
      </c>
      <c r="N4604" s="148">
        <v>-783.14089999999999</v>
      </c>
      <c r="O4604" s="148">
        <v>-5.4461618076207658</v>
      </c>
      <c r="P4604" s="148">
        <v>6922.7946199999997</v>
      </c>
      <c r="Q4604" s="148">
        <v>6673.7492499999998</v>
      </c>
      <c r="R4604" s="148">
        <v>96.402531294507767</v>
      </c>
    </row>
    <row r="4605" spans="2:18" ht="15.75" hidden="1" thickBot="1" x14ac:dyDescent="0.3">
      <c r="B4605" s="724" t="s">
        <v>810</v>
      </c>
      <c r="C4605" s="722" t="s">
        <v>93</v>
      </c>
      <c r="D4605" t="s">
        <v>94</v>
      </c>
      <c r="E4605" s="147">
        <v>116.97537</v>
      </c>
      <c r="F4605" s="147">
        <v>84.158029999999997</v>
      </c>
      <c r="G4605" s="147">
        <v>32.817340000000002</v>
      </c>
      <c r="H4605" s="147">
        <v>38.994900427208194</v>
      </c>
      <c r="I4605" s="729"/>
      <c r="J4605" s="147">
        <v>116.97537</v>
      </c>
      <c r="K4605" s="147">
        <v>0</v>
      </c>
      <c r="L4605" s="147">
        <v>2181.4161800000002</v>
      </c>
      <c r="M4605" s="147">
        <v>719.78697</v>
      </c>
      <c r="N4605" s="147">
        <v>1461.6292100000001</v>
      </c>
      <c r="O4605" s="147">
        <v>203.06413854643688</v>
      </c>
      <c r="P4605" s="147">
        <v>1107.52403</v>
      </c>
      <c r="Q4605" s="147">
        <v>1073.8921499999999</v>
      </c>
      <c r="R4605" s="147">
        <v>96.963327287806123</v>
      </c>
    </row>
    <row r="4606" spans="2:18" ht="15.75" hidden="1" thickBot="1" x14ac:dyDescent="0.3">
      <c r="B4606" s="724" t="s">
        <v>810</v>
      </c>
      <c r="C4606" s="722" t="s">
        <v>134</v>
      </c>
      <c r="D4606" t="s">
        <v>135</v>
      </c>
      <c r="E4606" s="148">
        <v>109.57342</v>
      </c>
      <c r="F4606" s="728"/>
      <c r="G4606" s="148">
        <v>109.57342</v>
      </c>
      <c r="H4606" s="148">
        <v>0</v>
      </c>
      <c r="I4606" s="728"/>
      <c r="J4606" s="148">
        <v>109.57342</v>
      </c>
      <c r="K4606" s="148">
        <v>0</v>
      </c>
      <c r="L4606" s="148">
        <v>110.91074999999999</v>
      </c>
      <c r="M4606" s="728"/>
      <c r="N4606" s="148">
        <v>110.91074999999999</v>
      </c>
      <c r="O4606" s="148">
        <v>0</v>
      </c>
      <c r="P4606" s="148">
        <v>0.504</v>
      </c>
      <c r="Q4606" s="148">
        <v>110.40675</v>
      </c>
      <c r="R4606" s="148">
        <v>21906.101190476191</v>
      </c>
    </row>
    <row r="4607" spans="2:18" ht="15.75" hidden="1" thickBot="1" x14ac:dyDescent="0.3">
      <c r="B4607" s="724" t="s">
        <v>810</v>
      </c>
      <c r="C4607" s="722" t="s">
        <v>95</v>
      </c>
      <c r="D4607" t="s">
        <v>96</v>
      </c>
      <c r="E4607" s="729"/>
      <c r="F4607" s="729"/>
      <c r="G4607" s="729"/>
      <c r="H4607" s="729"/>
      <c r="I4607" s="729"/>
      <c r="J4607" s="729"/>
      <c r="K4607" s="729"/>
      <c r="L4607" s="147">
        <v>0.75602000000000003</v>
      </c>
      <c r="M4607" s="729"/>
      <c r="N4607" s="147">
        <v>0.75602000000000003</v>
      </c>
      <c r="O4607" s="147">
        <v>0</v>
      </c>
      <c r="P4607" s="147">
        <v>0.75602000000000003</v>
      </c>
      <c r="Q4607" s="147">
        <v>0</v>
      </c>
      <c r="R4607" s="147">
        <v>0</v>
      </c>
    </row>
    <row r="4608" spans="2:18" ht="15.75" hidden="1" thickBot="1" x14ac:dyDescent="0.3">
      <c r="B4608" s="724" t="s">
        <v>810</v>
      </c>
      <c r="C4608" s="722" t="s">
        <v>61</v>
      </c>
      <c r="D4608" t="s">
        <v>62</v>
      </c>
      <c r="E4608" s="148">
        <v>216.04062999999999</v>
      </c>
      <c r="F4608" s="148">
        <v>223.61637999999999</v>
      </c>
      <c r="G4608" s="148">
        <v>-7.5757500000000002</v>
      </c>
      <c r="H4608" s="148">
        <v>-3.3878332168689966</v>
      </c>
      <c r="I4608" s="728"/>
      <c r="J4608" s="148">
        <v>216.04062999999999</v>
      </c>
      <c r="K4608" s="148">
        <v>0</v>
      </c>
      <c r="L4608" s="148">
        <v>2536.51359</v>
      </c>
      <c r="M4608" s="148">
        <v>2623.57186</v>
      </c>
      <c r="N4608" s="148">
        <v>-87.058269999999993</v>
      </c>
      <c r="O4608" s="148">
        <v>-3.3183108618949739</v>
      </c>
      <c r="P4608" s="148">
        <v>1240.3586499999999</v>
      </c>
      <c r="Q4608" s="148">
        <v>1296.1549399999999</v>
      </c>
      <c r="R4608" s="148">
        <v>104.49839971688834</v>
      </c>
    </row>
    <row r="4609" spans="2:18" ht="15.75" hidden="1" thickBot="1" x14ac:dyDescent="0.3">
      <c r="B4609" s="724" t="s">
        <v>810</v>
      </c>
      <c r="C4609" s="722" t="s">
        <v>63</v>
      </c>
      <c r="D4609" t="s">
        <v>64</v>
      </c>
      <c r="E4609" s="147">
        <v>864.87724000000003</v>
      </c>
      <c r="F4609" s="147">
        <v>869.93983000000003</v>
      </c>
      <c r="G4609" s="147">
        <v>-5.0625900000000001</v>
      </c>
      <c r="H4609" s="147">
        <v>-0.58194714455136509</v>
      </c>
      <c r="I4609" s="729"/>
      <c r="J4609" s="147">
        <v>864.87724000000003</v>
      </c>
      <c r="K4609" s="147">
        <v>0</v>
      </c>
      <c r="L4609" s="147">
        <v>10273.972100000001</v>
      </c>
      <c r="M4609" s="147">
        <v>10206.54061</v>
      </c>
      <c r="N4609" s="147">
        <v>67.431489999999997</v>
      </c>
      <c r="O4609" s="147">
        <v>0.66066939403477276</v>
      </c>
      <c r="P4609" s="147">
        <v>5045.1763000000001</v>
      </c>
      <c r="Q4609" s="147">
        <v>5228.7957999999999</v>
      </c>
      <c r="R4609" s="147">
        <v>103.63950611597062</v>
      </c>
    </row>
    <row r="4610" spans="2:18" ht="15.75" hidden="1" thickBot="1" x14ac:dyDescent="0.3">
      <c r="B4610" s="724" t="s">
        <v>810</v>
      </c>
      <c r="C4610" s="722" t="s">
        <v>156</v>
      </c>
      <c r="D4610" t="s">
        <v>157</v>
      </c>
      <c r="E4610" s="148">
        <v>21.558869999999999</v>
      </c>
      <c r="F4610" s="728"/>
      <c r="G4610" s="148">
        <v>21.558869999999999</v>
      </c>
      <c r="H4610" s="148">
        <v>0</v>
      </c>
      <c r="I4610" s="728"/>
      <c r="J4610" s="148">
        <v>21.558869999999999</v>
      </c>
      <c r="K4610" s="148">
        <v>0</v>
      </c>
      <c r="L4610" s="148">
        <v>278.25263999999999</v>
      </c>
      <c r="M4610" s="728"/>
      <c r="N4610" s="148">
        <v>278.25263999999999</v>
      </c>
      <c r="O4610" s="148">
        <v>0</v>
      </c>
      <c r="P4610" s="148">
        <v>145.54008999999999</v>
      </c>
      <c r="Q4610" s="148">
        <v>132.71254999999999</v>
      </c>
      <c r="R4610" s="148">
        <v>91.186249781761163</v>
      </c>
    </row>
    <row r="4611" spans="2:18" ht="15.75" hidden="1" thickBot="1" x14ac:dyDescent="0.3">
      <c r="B4611" s="724" t="s">
        <v>810</v>
      </c>
      <c r="C4611" s="722" t="s">
        <v>182</v>
      </c>
      <c r="D4611" t="s">
        <v>183</v>
      </c>
      <c r="E4611" s="147">
        <v>26.663150000000002</v>
      </c>
      <c r="F4611" s="729"/>
      <c r="G4611" s="147">
        <v>26.663150000000002</v>
      </c>
      <c r="H4611" s="147">
        <v>0</v>
      </c>
      <c r="I4611" s="729"/>
      <c r="J4611" s="147">
        <v>26.663150000000002</v>
      </c>
      <c r="K4611" s="147">
        <v>0</v>
      </c>
      <c r="L4611" s="147">
        <v>428.31997999999999</v>
      </c>
      <c r="M4611" s="729"/>
      <c r="N4611" s="147">
        <v>428.31997999999999</v>
      </c>
      <c r="O4611" s="147">
        <v>0</v>
      </c>
      <c r="P4611" s="147">
        <v>197.52260999999999</v>
      </c>
      <c r="Q4611" s="147">
        <v>230.79737</v>
      </c>
      <c r="R4611" s="147">
        <v>116.84605119383548</v>
      </c>
    </row>
    <row r="4612" spans="2:18" ht="15.75" hidden="1" thickBot="1" x14ac:dyDescent="0.3">
      <c r="B4612" s="724" t="s">
        <v>810</v>
      </c>
      <c r="C4612" s="722" t="s">
        <v>184</v>
      </c>
      <c r="D4612" t="s">
        <v>185</v>
      </c>
      <c r="E4612" s="148">
        <v>324.21546000000001</v>
      </c>
      <c r="F4612" s="728"/>
      <c r="G4612" s="148">
        <v>324.21546000000001</v>
      </c>
      <c r="H4612" s="148">
        <v>0</v>
      </c>
      <c r="I4612" s="728"/>
      <c r="J4612" s="148">
        <v>324.21546000000001</v>
      </c>
      <c r="K4612" s="148">
        <v>0</v>
      </c>
      <c r="L4612" s="148">
        <v>6409.66579</v>
      </c>
      <c r="M4612" s="728"/>
      <c r="N4612" s="148">
        <v>6409.66579</v>
      </c>
      <c r="O4612" s="148">
        <v>0</v>
      </c>
      <c r="P4612" s="148">
        <v>3436.3741100000002</v>
      </c>
      <c r="Q4612" s="148">
        <v>2973.2916799999998</v>
      </c>
      <c r="R4612" s="148">
        <v>86.52409734282395</v>
      </c>
    </row>
    <row r="4613" spans="2:18" ht="15.75" hidden="1" thickBot="1" x14ac:dyDescent="0.3">
      <c r="B4613" s="724" t="s">
        <v>810</v>
      </c>
      <c r="C4613" s="722" t="s">
        <v>161</v>
      </c>
      <c r="D4613" t="s">
        <v>162</v>
      </c>
      <c r="E4613" s="147">
        <v>38.717889999999997</v>
      </c>
      <c r="F4613" s="729"/>
      <c r="G4613" s="147">
        <v>38.717889999999997</v>
      </c>
      <c r="H4613" s="147">
        <v>0</v>
      </c>
      <c r="I4613" s="729"/>
      <c r="J4613" s="147">
        <v>38.717889999999997</v>
      </c>
      <c r="K4613" s="147">
        <v>0</v>
      </c>
      <c r="L4613" s="147">
        <v>664.23209999999995</v>
      </c>
      <c r="M4613" s="729"/>
      <c r="N4613" s="147">
        <v>664.23209999999995</v>
      </c>
      <c r="O4613" s="147">
        <v>0</v>
      </c>
      <c r="P4613" s="147">
        <v>328.77030999999999</v>
      </c>
      <c r="Q4613" s="147">
        <v>335.46179000000001</v>
      </c>
      <c r="R4613" s="147">
        <v>102.03530543862065</v>
      </c>
    </row>
    <row r="4614" spans="2:18" ht="15.75" hidden="1" thickBot="1" x14ac:dyDescent="0.3">
      <c r="B4614" s="724" t="s">
        <v>810</v>
      </c>
      <c r="C4614" s="722" t="s">
        <v>65</v>
      </c>
      <c r="D4614" t="s">
        <v>66</v>
      </c>
      <c r="E4614" s="148">
        <v>-252.79736</v>
      </c>
      <c r="F4614" s="148">
        <v>-276.19891000000001</v>
      </c>
      <c r="G4614" s="148">
        <v>23.40155</v>
      </c>
      <c r="H4614" s="148">
        <v>8.4727162753828384</v>
      </c>
      <c r="I4614" s="728"/>
      <c r="J4614" s="148">
        <v>-252.79736</v>
      </c>
      <c r="K4614" s="148">
        <v>0</v>
      </c>
      <c r="L4614" s="148">
        <v>-3581.1047800000001</v>
      </c>
      <c r="M4614" s="148">
        <v>-3296.9991</v>
      </c>
      <c r="N4614" s="148">
        <v>-284.10568000000001</v>
      </c>
      <c r="O4614" s="148">
        <v>-8.6170991068817706</v>
      </c>
      <c r="P4614" s="148">
        <v>-1849.8345999999999</v>
      </c>
      <c r="Q4614" s="148">
        <v>-1731.27018</v>
      </c>
      <c r="R4614" s="148">
        <v>-93.590539392008338</v>
      </c>
    </row>
    <row r="4615" spans="2:18" ht="15.75" hidden="1" thickBot="1" x14ac:dyDescent="0.3">
      <c r="B4615" s="724" t="s">
        <v>810</v>
      </c>
      <c r="C4615" s="722" t="s">
        <v>186</v>
      </c>
      <c r="D4615" t="s">
        <v>187</v>
      </c>
      <c r="E4615" s="147">
        <v>-54.43459</v>
      </c>
      <c r="F4615" s="729"/>
      <c r="G4615" s="147">
        <v>-54.43459</v>
      </c>
      <c r="H4615" s="147">
        <v>0</v>
      </c>
      <c r="I4615" s="729"/>
      <c r="J4615" s="147">
        <v>-54.43459</v>
      </c>
      <c r="K4615" s="147">
        <v>0</v>
      </c>
      <c r="L4615" s="147">
        <v>-711.05546000000004</v>
      </c>
      <c r="M4615" s="729"/>
      <c r="N4615" s="147">
        <v>-711.05546000000004</v>
      </c>
      <c r="O4615" s="147">
        <v>0</v>
      </c>
      <c r="P4615" s="147">
        <v>-315.79676999999998</v>
      </c>
      <c r="Q4615" s="147">
        <v>-395.25869</v>
      </c>
      <c r="R4615" s="147">
        <v>-125.16235995700653</v>
      </c>
    </row>
    <row r="4616" spans="2:18" ht="15.75" hidden="1" thickBot="1" x14ac:dyDescent="0.3">
      <c r="B4616" s="724" t="s">
        <v>810</v>
      </c>
      <c r="C4616" s="722" t="s">
        <v>163</v>
      </c>
      <c r="D4616" t="s">
        <v>164</v>
      </c>
      <c r="E4616" s="148">
        <v>-1731.48954</v>
      </c>
      <c r="F4616" s="148">
        <v>-1480.6955</v>
      </c>
      <c r="G4616" s="148">
        <v>-250.79404</v>
      </c>
      <c r="H4616" s="148">
        <v>-16.937583723324614</v>
      </c>
      <c r="I4616" s="728"/>
      <c r="J4616" s="148">
        <v>-1731.48954</v>
      </c>
      <c r="K4616" s="148">
        <v>0</v>
      </c>
      <c r="L4616" s="148">
        <v>-23123.619620000001</v>
      </c>
      <c r="M4616" s="148">
        <v>-17305.455119999999</v>
      </c>
      <c r="N4616" s="148">
        <v>-5818.1644999999999</v>
      </c>
      <c r="O4616" s="148">
        <v>-33.620407320440357</v>
      </c>
      <c r="P4616" s="148">
        <v>-11744.847879999999</v>
      </c>
      <c r="Q4616" s="148">
        <v>-11378.77174</v>
      </c>
      <c r="R4616" s="148">
        <v>-96.883091686326722</v>
      </c>
    </row>
    <row r="4617" spans="2:18" ht="15.75" hidden="1" thickBot="1" x14ac:dyDescent="0.3">
      <c r="B4617" s="724" t="s">
        <v>810</v>
      </c>
      <c r="C4617" s="722" t="s">
        <v>97</v>
      </c>
      <c r="D4617" t="s">
        <v>98</v>
      </c>
      <c r="E4617" s="147">
        <v>-162.82016999999999</v>
      </c>
      <c r="F4617" s="729"/>
      <c r="G4617" s="147">
        <v>-162.82016999999999</v>
      </c>
      <c r="H4617" s="147">
        <v>0</v>
      </c>
      <c r="I4617" s="729"/>
      <c r="J4617" s="147">
        <v>-162.82016999999999</v>
      </c>
      <c r="K4617" s="147">
        <v>0</v>
      </c>
      <c r="L4617" s="147">
        <v>-2557.1621300000002</v>
      </c>
      <c r="M4617" s="729"/>
      <c r="N4617" s="147">
        <v>-2557.1621300000002</v>
      </c>
      <c r="O4617" s="147">
        <v>0</v>
      </c>
      <c r="P4617" s="147">
        <v>-1303.3724299999999</v>
      </c>
      <c r="Q4617" s="147">
        <v>-1253.7897</v>
      </c>
      <c r="R4617" s="147">
        <v>-96.195812581366326</v>
      </c>
    </row>
    <row r="4618" spans="2:18" ht="15.75" hidden="1" thickBot="1" x14ac:dyDescent="0.3">
      <c r="B4618" s="724" t="s">
        <v>810</v>
      </c>
      <c r="C4618" s="149" t="s">
        <v>67</v>
      </c>
      <c r="D4618" t="s">
        <v>68</v>
      </c>
      <c r="E4618" s="148">
        <v>698.79643999999996</v>
      </c>
      <c r="F4618" s="148">
        <v>863.50611000000004</v>
      </c>
      <c r="G4618" s="148">
        <v>-164.70966999999999</v>
      </c>
      <c r="H4618" s="148">
        <v>-19.074522819531641</v>
      </c>
      <c r="I4618" s="728"/>
      <c r="J4618" s="148">
        <v>698.79643999999996</v>
      </c>
      <c r="K4618" s="148">
        <v>0</v>
      </c>
      <c r="L4618" s="148">
        <v>9755.4214900000006</v>
      </c>
      <c r="M4618" s="148">
        <v>9873.7148099999995</v>
      </c>
      <c r="N4618" s="148">
        <v>-118.29331999999999</v>
      </c>
      <c r="O4618" s="148">
        <v>-1.1980629608644733</v>
      </c>
      <c r="P4618" s="148">
        <v>4831.5656799999997</v>
      </c>
      <c r="Q4618" s="148">
        <v>4923.85581</v>
      </c>
      <c r="R4618" s="148">
        <v>101.91014954804464</v>
      </c>
    </row>
    <row r="4619" spans="2:18" ht="15.75" hidden="1" thickBot="1" x14ac:dyDescent="0.3">
      <c r="B4619" s="724" t="s">
        <v>810</v>
      </c>
      <c r="C4619" s="722" t="s">
        <v>69</v>
      </c>
      <c r="D4619" t="s">
        <v>70</v>
      </c>
      <c r="E4619" s="729"/>
      <c r="F4619" s="729"/>
      <c r="G4619" s="729"/>
      <c r="H4619" s="729"/>
      <c r="I4619" s="729"/>
      <c r="J4619" s="729"/>
      <c r="K4619" s="729"/>
      <c r="L4619" s="147">
        <v>1.69259</v>
      </c>
      <c r="M4619" s="729"/>
      <c r="N4619" s="147">
        <v>1.69259</v>
      </c>
      <c r="O4619" s="147">
        <v>0</v>
      </c>
      <c r="P4619" s="147">
        <v>0.38883000000000001</v>
      </c>
      <c r="Q4619" s="147">
        <v>1.30376</v>
      </c>
      <c r="R4619" s="147">
        <v>335.30334593524162</v>
      </c>
    </row>
    <row r="4620" spans="2:18" ht="15.75" hidden="1" thickBot="1" x14ac:dyDescent="0.3">
      <c r="B4620" s="724" t="s">
        <v>810</v>
      </c>
      <c r="C4620" s="722" t="s">
        <v>99</v>
      </c>
      <c r="D4620" t="s">
        <v>100</v>
      </c>
      <c r="E4620" s="148">
        <v>64.082599999999999</v>
      </c>
      <c r="F4620" s="148">
        <v>52.12941</v>
      </c>
      <c r="G4620" s="148">
        <v>11.953189999999999</v>
      </c>
      <c r="H4620" s="148">
        <v>22.929839413106727</v>
      </c>
      <c r="I4620" s="728"/>
      <c r="J4620" s="148">
        <v>64.082599999999999</v>
      </c>
      <c r="K4620" s="148">
        <v>0</v>
      </c>
      <c r="L4620" s="148">
        <v>473.08780999999999</v>
      </c>
      <c r="M4620" s="148">
        <v>654.64706999999999</v>
      </c>
      <c r="N4620" s="148">
        <v>-181.55925999999999</v>
      </c>
      <c r="O4620" s="148">
        <v>-27.733914703078103</v>
      </c>
      <c r="P4620" s="148">
        <v>240.52001000000001</v>
      </c>
      <c r="Q4620" s="148">
        <v>232.56780000000001</v>
      </c>
      <c r="R4620" s="148">
        <v>96.693742861560665</v>
      </c>
    </row>
    <row r="4621" spans="2:18" ht="15.75" hidden="1" thickBot="1" x14ac:dyDescent="0.3">
      <c r="B4621" s="724" t="s">
        <v>810</v>
      </c>
      <c r="C4621" s="722" t="s">
        <v>165</v>
      </c>
      <c r="D4621" t="s">
        <v>166</v>
      </c>
      <c r="E4621" s="147">
        <v>46.418559999999999</v>
      </c>
      <c r="F4621" s="729"/>
      <c r="G4621" s="147">
        <v>46.418559999999999</v>
      </c>
      <c r="H4621" s="147">
        <v>0</v>
      </c>
      <c r="I4621" s="729"/>
      <c r="J4621" s="147">
        <v>46.418559999999999</v>
      </c>
      <c r="K4621" s="147">
        <v>0</v>
      </c>
      <c r="L4621" s="147">
        <v>457.42536000000001</v>
      </c>
      <c r="M4621" s="729"/>
      <c r="N4621" s="147">
        <v>457.42536000000001</v>
      </c>
      <c r="O4621" s="147">
        <v>0</v>
      </c>
      <c r="P4621" s="147">
        <v>250.7945</v>
      </c>
      <c r="Q4621" s="147">
        <v>206.63086000000001</v>
      </c>
      <c r="R4621" s="147">
        <v>82.390506968852989</v>
      </c>
    </row>
    <row r="4622" spans="2:18" ht="15.75" hidden="1" thickBot="1" x14ac:dyDescent="0.3">
      <c r="B4622" s="724" t="s">
        <v>810</v>
      </c>
      <c r="C4622" s="722" t="s">
        <v>188</v>
      </c>
      <c r="D4622" t="s">
        <v>189</v>
      </c>
      <c r="E4622" s="148">
        <v>2.8850000000000001E-2</v>
      </c>
      <c r="F4622" s="728"/>
      <c r="G4622" s="148">
        <v>2.8850000000000001E-2</v>
      </c>
      <c r="H4622" s="148">
        <v>0</v>
      </c>
      <c r="I4622" s="728"/>
      <c r="J4622" s="148">
        <v>2.8850000000000001E-2</v>
      </c>
      <c r="K4622" s="148">
        <v>0</v>
      </c>
      <c r="L4622" s="148">
        <v>22.290790000000001</v>
      </c>
      <c r="M4622" s="728"/>
      <c r="N4622" s="148">
        <v>22.290790000000001</v>
      </c>
      <c r="O4622" s="148">
        <v>0</v>
      </c>
      <c r="P4622" s="148">
        <v>20.690100000000001</v>
      </c>
      <c r="Q4622" s="148">
        <v>1.6006899999999999</v>
      </c>
      <c r="R4622" s="148">
        <v>7.7365019985403647</v>
      </c>
    </row>
    <row r="4623" spans="2:18" ht="15.75" hidden="1" thickBot="1" x14ac:dyDescent="0.3">
      <c r="B4623" s="724" t="s">
        <v>810</v>
      </c>
      <c r="C4623" s="722" t="s">
        <v>584</v>
      </c>
      <c r="D4623" t="s">
        <v>585</v>
      </c>
      <c r="E4623" s="147">
        <v>1.4300000000000001E-3</v>
      </c>
      <c r="F4623" s="729"/>
      <c r="G4623" s="147">
        <v>1.4300000000000001E-3</v>
      </c>
      <c r="H4623" s="147">
        <v>0</v>
      </c>
      <c r="I4623" s="729"/>
      <c r="J4623" s="147">
        <v>1.4300000000000001E-3</v>
      </c>
      <c r="K4623" s="147">
        <v>0</v>
      </c>
      <c r="L4623" s="147">
        <v>7.596E-2</v>
      </c>
      <c r="M4623" s="729"/>
      <c r="N4623" s="147">
        <v>7.596E-2</v>
      </c>
      <c r="O4623" s="147">
        <v>0</v>
      </c>
      <c r="P4623" s="147">
        <v>2.3359999999999999E-2</v>
      </c>
      <c r="Q4623" s="147">
        <v>5.2600000000000001E-2</v>
      </c>
      <c r="R4623" s="147">
        <v>225.17123287671234</v>
      </c>
    </row>
    <row r="4624" spans="2:18" ht="15.75" hidden="1" thickBot="1" x14ac:dyDescent="0.3">
      <c r="B4624" s="724" t="s">
        <v>810</v>
      </c>
      <c r="C4624" s="722" t="s">
        <v>586</v>
      </c>
      <c r="D4624" t="s">
        <v>587</v>
      </c>
      <c r="E4624" s="728"/>
      <c r="F4624" s="728"/>
      <c r="G4624" s="728"/>
      <c r="H4624" s="728"/>
      <c r="I4624" s="728"/>
      <c r="J4624" s="728"/>
      <c r="K4624" s="728"/>
      <c r="L4624" s="148">
        <v>0.14645</v>
      </c>
      <c r="M4624" s="728"/>
      <c r="N4624" s="148">
        <v>0.14645</v>
      </c>
      <c r="O4624" s="148">
        <v>0</v>
      </c>
      <c r="P4624" s="148">
        <v>0.14645</v>
      </c>
      <c r="Q4624" s="148">
        <v>0</v>
      </c>
      <c r="R4624" s="148">
        <v>0</v>
      </c>
    </row>
    <row r="4625" spans="2:18" ht="15.75" hidden="1" thickBot="1" x14ac:dyDescent="0.3">
      <c r="B4625" s="724" t="s">
        <v>810</v>
      </c>
      <c r="C4625" s="722" t="s">
        <v>588</v>
      </c>
      <c r="D4625" t="s">
        <v>589</v>
      </c>
      <c r="E4625" s="147">
        <v>1.3522099999999999</v>
      </c>
      <c r="F4625" s="729"/>
      <c r="G4625" s="147">
        <v>1.3522099999999999</v>
      </c>
      <c r="H4625" s="147">
        <v>0</v>
      </c>
      <c r="I4625" s="729"/>
      <c r="J4625" s="147">
        <v>1.3522099999999999</v>
      </c>
      <c r="K4625" s="147">
        <v>0</v>
      </c>
      <c r="L4625" s="147">
        <v>1.8162100000000001</v>
      </c>
      <c r="M4625" s="729"/>
      <c r="N4625" s="147">
        <v>1.8162100000000001</v>
      </c>
      <c r="O4625" s="147">
        <v>0</v>
      </c>
      <c r="P4625" s="147">
        <v>0.33900000000000002</v>
      </c>
      <c r="Q4625" s="147">
        <v>1.4772099999999999</v>
      </c>
      <c r="R4625" s="147">
        <v>435.75516224188789</v>
      </c>
    </row>
    <row r="4626" spans="2:18" ht="15.75" hidden="1" thickBot="1" x14ac:dyDescent="0.3">
      <c r="B4626" s="724" t="s">
        <v>810</v>
      </c>
      <c r="C4626" s="722" t="s">
        <v>590</v>
      </c>
      <c r="D4626" t="s">
        <v>591</v>
      </c>
      <c r="E4626" s="728"/>
      <c r="F4626" s="728"/>
      <c r="G4626" s="728"/>
      <c r="H4626" s="728"/>
      <c r="I4626" s="728"/>
      <c r="J4626" s="728"/>
      <c r="K4626" s="728"/>
      <c r="L4626" s="148">
        <v>2.7534200000000002</v>
      </c>
      <c r="M4626" s="728"/>
      <c r="N4626" s="148">
        <v>2.7534200000000002</v>
      </c>
      <c r="O4626" s="148">
        <v>0</v>
      </c>
      <c r="P4626" s="148">
        <v>2.7534200000000002</v>
      </c>
      <c r="Q4626" s="148">
        <v>0</v>
      </c>
      <c r="R4626" s="148">
        <v>0</v>
      </c>
    </row>
    <row r="4627" spans="2:18" ht="15.75" hidden="1" thickBot="1" x14ac:dyDescent="0.3">
      <c r="B4627" s="724" t="s">
        <v>810</v>
      </c>
      <c r="C4627" s="722" t="s">
        <v>592</v>
      </c>
      <c r="D4627" t="s">
        <v>593</v>
      </c>
      <c r="E4627" s="147">
        <v>2.9764900000000001</v>
      </c>
      <c r="F4627" s="729"/>
      <c r="G4627" s="147">
        <v>2.9764900000000001</v>
      </c>
      <c r="H4627" s="147">
        <v>0</v>
      </c>
      <c r="I4627" s="729"/>
      <c r="J4627" s="147">
        <v>2.9764900000000001</v>
      </c>
      <c r="K4627" s="147">
        <v>0</v>
      </c>
      <c r="L4627" s="147">
        <v>50.705219999999997</v>
      </c>
      <c r="M4627" s="729"/>
      <c r="N4627" s="147">
        <v>50.705219999999997</v>
      </c>
      <c r="O4627" s="147">
        <v>0</v>
      </c>
      <c r="P4627" s="147">
        <v>33.141649999999998</v>
      </c>
      <c r="Q4627" s="147">
        <v>17.563569999999999</v>
      </c>
      <c r="R4627" s="147">
        <v>52.995460395001459</v>
      </c>
    </row>
    <row r="4628" spans="2:18" ht="15.75" hidden="1" thickBot="1" x14ac:dyDescent="0.3">
      <c r="B4628" s="724" t="s">
        <v>810</v>
      </c>
      <c r="C4628" s="722" t="s">
        <v>594</v>
      </c>
      <c r="D4628" t="s">
        <v>595</v>
      </c>
      <c r="E4628" s="728"/>
      <c r="F4628" s="728"/>
      <c r="G4628" s="728"/>
      <c r="H4628" s="728"/>
      <c r="I4628" s="728"/>
      <c r="J4628" s="728"/>
      <c r="K4628" s="728"/>
      <c r="L4628" s="148">
        <v>3.5360000000000003E-2</v>
      </c>
      <c r="M4628" s="728"/>
      <c r="N4628" s="148">
        <v>3.5360000000000003E-2</v>
      </c>
      <c r="O4628" s="148">
        <v>0</v>
      </c>
      <c r="P4628" s="148">
        <v>3.5360000000000003E-2</v>
      </c>
      <c r="Q4628" s="148">
        <v>0</v>
      </c>
      <c r="R4628" s="148">
        <v>0</v>
      </c>
    </row>
    <row r="4629" spans="2:18" ht="15.75" hidden="1" thickBot="1" x14ac:dyDescent="0.3">
      <c r="B4629" s="724" t="s">
        <v>810</v>
      </c>
      <c r="C4629" s="722" t="s">
        <v>137</v>
      </c>
      <c r="D4629" t="s">
        <v>138</v>
      </c>
      <c r="E4629" s="147">
        <v>13.26803</v>
      </c>
      <c r="F4629" s="147">
        <v>2.74</v>
      </c>
      <c r="G4629" s="147">
        <v>10.528029999999999</v>
      </c>
      <c r="H4629" s="147">
        <v>384.23467153284673</v>
      </c>
      <c r="I4629" s="729"/>
      <c r="J4629" s="147">
        <v>13.26803</v>
      </c>
      <c r="K4629" s="147">
        <v>0</v>
      </c>
      <c r="L4629" s="147">
        <v>74.745810000000006</v>
      </c>
      <c r="M4629" s="147">
        <v>33.700000000000003</v>
      </c>
      <c r="N4629" s="147">
        <v>41.045810000000003</v>
      </c>
      <c r="O4629" s="147">
        <v>121.79765578635015</v>
      </c>
      <c r="P4629" s="147">
        <v>35.25179</v>
      </c>
      <c r="Q4629" s="147">
        <v>39.494019999999999</v>
      </c>
      <c r="R4629" s="147">
        <v>112.03408394297141</v>
      </c>
    </row>
    <row r="4630" spans="2:18" ht="15.75" hidden="1" thickBot="1" x14ac:dyDescent="0.3">
      <c r="B4630" s="724" t="s">
        <v>810</v>
      </c>
      <c r="C4630" s="722" t="s">
        <v>190</v>
      </c>
      <c r="D4630" t="s">
        <v>191</v>
      </c>
      <c r="E4630" s="148">
        <v>6.9</v>
      </c>
      <c r="F4630" s="148">
        <v>6.8959999999999999</v>
      </c>
      <c r="G4630" s="148">
        <v>4.0000000000000001E-3</v>
      </c>
      <c r="H4630" s="148">
        <v>5.8004640371229696E-2</v>
      </c>
      <c r="I4630" s="728"/>
      <c r="J4630" s="148">
        <v>6.9</v>
      </c>
      <c r="K4630" s="148">
        <v>0</v>
      </c>
      <c r="L4630" s="148">
        <v>83.069029999999998</v>
      </c>
      <c r="M4630" s="148">
        <v>82.792000000000002</v>
      </c>
      <c r="N4630" s="148">
        <v>0.27703</v>
      </c>
      <c r="O4630" s="148">
        <v>0.33460962411827228</v>
      </c>
      <c r="P4630" s="148">
        <v>41.617629999999998</v>
      </c>
      <c r="Q4630" s="148">
        <v>41.4514</v>
      </c>
      <c r="R4630" s="148">
        <v>99.600577928152077</v>
      </c>
    </row>
    <row r="4631" spans="2:18" ht="15.75" hidden="1" thickBot="1" x14ac:dyDescent="0.3">
      <c r="B4631" s="724" t="s">
        <v>810</v>
      </c>
      <c r="C4631" s="722" t="s">
        <v>36</v>
      </c>
      <c r="D4631" t="s">
        <v>192</v>
      </c>
      <c r="E4631" s="147">
        <v>45.765149999999998</v>
      </c>
      <c r="F4631" s="147">
        <v>79</v>
      </c>
      <c r="G4631" s="147">
        <v>-33.234850000000002</v>
      </c>
      <c r="H4631" s="147">
        <v>-42.069430379746834</v>
      </c>
      <c r="I4631" s="729"/>
      <c r="J4631" s="147">
        <v>45.765149999999998</v>
      </c>
      <c r="K4631" s="147">
        <v>0</v>
      </c>
      <c r="L4631" s="147">
        <v>1210.4141099999999</v>
      </c>
      <c r="M4631" s="147">
        <v>946</v>
      </c>
      <c r="N4631" s="147">
        <v>264.41410999999999</v>
      </c>
      <c r="O4631" s="147">
        <v>27.950751585623678</v>
      </c>
      <c r="P4631" s="147">
        <v>622.89089000000001</v>
      </c>
      <c r="Q4631" s="147">
        <v>587.52322000000004</v>
      </c>
      <c r="R4631" s="147">
        <v>94.322011997960033</v>
      </c>
    </row>
    <row r="4632" spans="2:18" ht="15.75" hidden="1" thickBot="1" x14ac:dyDescent="0.3">
      <c r="B4632" s="724" t="s">
        <v>810</v>
      </c>
      <c r="C4632" s="722" t="s">
        <v>596</v>
      </c>
      <c r="D4632" t="s">
        <v>597</v>
      </c>
      <c r="E4632" s="728"/>
      <c r="F4632" s="148">
        <v>0</v>
      </c>
      <c r="G4632" s="148">
        <v>0</v>
      </c>
      <c r="H4632" s="148">
        <v>0</v>
      </c>
      <c r="I4632" s="728"/>
      <c r="J4632" s="728"/>
      <c r="K4632" s="728"/>
      <c r="L4632" s="728"/>
      <c r="M4632" s="148">
        <v>2</v>
      </c>
      <c r="N4632" s="148">
        <v>-2</v>
      </c>
      <c r="O4632" s="148">
        <v>-100</v>
      </c>
      <c r="P4632" s="728"/>
      <c r="Q4632" s="728"/>
      <c r="R4632" s="728"/>
    </row>
    <row r="4633" spans="2:18" ht="15.75" hidden="1" thickBot="1" x14ac:dyDescent="0.3">
      <c r="B4633" s="724" t="s">
        <v>810</v>
      </c>
      <c r="C4633" s="722" t="s">
        <v>139</v>
      </c>
      <c r="D4633" t="s">
        <v>140</v>
      </c>
      <c r="E4633" s="729"/>
      <c r="F4633" s="147">
        <v>0.15587999999999999</v>
      </c>
      <c r="G4633" s="147">
        <v>-0.15587999999999999</v>
      </c>
      <c r="H4633" s="147">
        <v>-100</v>
      </c>
      <c r="I4633" s="729"/>
      <c r="J4633" s="729"/>
      <c r="K4633" s="729"/>
      <c r="L4633" s="147">
        <v>0.2238</v>
      </c>
      <c r="M4633" s="147">
        <v>0.80457999999999996</v>
      </c>
      <c r="N4633" s="147">
        <v>-0.58077999999999996</v>
      </c>
      <c r="O4633" s="147">
        <v>-72.184245196251467</v>
      </c>
      <c r="P4633" s="147">
        <v>0.12180000000000001</v>
      </c>
      <c r="Q4633" s="147">
        <v>0.10199999999999999</v>
      </c>
      <c r="R4633" s="147">
        <v>83.743842364532014</v>
      </c>
    </row>
    <row r="4634" spans="2:18" ht="15.75" hidden="1" thickBot="1" x14ac:dyDescent="0.3">
      <c r="B4634" s="724" t="s">
        <v>810</v>
      </c>
      <c r="C4634" s="722" t="s">
        <v>169</v>
      </c>
      <c r="D4634" t="s">
        <v>170</v>
      </c>
      <c r="E4634" s="728"/>
      <c r="F4634" s="148">
        <v>0</v>
      </c>
      <c r="G4634" s="148">
        <v>0</v>
      </c>
      <c r="H4634" s="148">
        <v>0</v>
      </c>
      <c r="I4634" s="728"/>
      <c r="J4634" s="728"/>
      <c r="K4634" s="728"/>
      <c r="L4634" s="728"/>
      <c r="M4634" s="148">
        <v>0</v>
      </c>
      <c r="N4634" s="148">
        <v>0</v>
      </c>
      <c r="O4634" s="148">
        <v>0</v>
      </c>
      <c r="P4634" s="728"/>
      <c r="Q4634" s="728"/>
      <c r="R4634" s="728"/>
    </row>
    <row r="4635" spans="2:18" ht="15.75" hidden="1" thickBot="1" x14ac:dyDescent="0.3">
      <c r="B4635" s="724" t="s">
        <v>810</v>
      </c>
      <c r="C4635" s="722" t="s">
        <v>101</v>
      </c>
      <c r="D4635" t="s">
        <v>102</v>
      </c>
      <c r="E4635" s="147">
        <v>443.67788000000002</v>
      </c>
      <c r="F4635" s="147">
        <v>293.27978999999999</v>
      </c>
      <c r="G4635" s="147">
        <v>150.39809</v>
      </c>
      <c r="H4635" s="147">
        <v>51.281436746800729</v>
      </c>
      <c r="I4635" s="729"/>
      <c r="J4635" s="147">
        <v>443.67788000000002</v>
      </c>
      <c r="K4635" s="147">
        <v>0</v>
      </c>
      <c r="L4635" s="147">
        <v>4996.9370699999999</v>
      </c>
      <c r="M4635" s="147">
        <v>5375.2472200000002</v>
      </c>
      <c r="N4635" s="147">
        <v>-378.31015000000002</v>
      </c>
      <c r="O4635" s="147">
        <v>-7.0380046631604047</v>
      </c>
      <c r="P4635" s="147">
        <v>2366.29648</v>
      </c>
      <c r="Q4635" s="147">
        <v>2630.64059</v>
      </c>
      <c r="R4635" s="147">
        <v>111.17121680373712</v>
      </c>
    </row>
    <row r="4636" spans="2:18" ht="15.75" hidden="1" thickBot="1" x14ac:dyDescent="0.3">
      <c r="B4636" s="724" t="s">
        <v>810</v>
      </c>
      <c r="C4636" s="722" t="s">
        <v>601</v>
      </c>
      <c r="D4636" t="s">
        <v>602</v>
      </c>
      <c r="E4636" s="148">
        <v>-1.1399999999999999</v>
      </c>
      <c r="F4636" s="728"/>
      <c r="G4636" s="148">
        <v>-1.1399999999999999</v>
      </c>
      <c r="H4636" s="148">
        <v>0</v>
      </c>
      <c r="I4636" s="728"/>
      <c r="J4636" s="148">
        <v>-1.1399999999999999</v>
      </c>
      <c r="K4636" s="148">
        <v>0</v>
      </c>
      <c r="L4636" s="148">
        <v>0</v>
      </c>
      <c r="M4636" s="728"/>
      <c r="N4636" s="148">
        <v>0</v>
      </c>
      <c r="O4636" s="148">
        <v>0</v>
      </c>
      <c r="P4636" s="728"/>
      <c r="Q4636" s="148">
        <v>0</v>
      </c>
      <c r="R4636" s="148">
        <v>0</v>
      </c>
    </row>
    <row r="4637" spans="2:18" ht="15.75" hidden="1" thickBot="1" x14ac:dyDescent="0.3">
      <c r="B4637" s="724" t="s">
        <v>810</v>
      </c>
      <c r="C4637" s="722" t="s">
        <v>603</v>
      </c>
      <c r="D4637" t="s">
        <v>604</v>
      </c>
      <c r="E4637" s="729"/>
      <c r="F4637" s="729"/>
      <c r="G4637" s="729"/>
      <c r="H4637" s="729"/>
      <c r="I4637" s="729"/>
      <c r="J4637" s="729"/>
      <c r="K4637" s="729"/>
      <c r="L4637" s="147">
        <v>1.7</v>
      </c>
      <c r="M4637" s="729"/>
      <c r="N4637" s="147">
        <v>1.7</v>
      </c>
      <c r="O4637" s="147">
        <v>0</v>
      </c>
      <c r="P4637" s="147">
        <v>1.7</v>
      </c>
      <c r="Q4637" s="147">
        <v>0</v>
      </c>
      <c r="R4637" s="147">
        <v>0</v>
      </c>
    </row>
    <row r="4638" spans="2:18" ht="15.75" hidden="1" thickBot="1" x14ac:dyDescent="0.3">
      <c r="B4638" s="724" t="s">
        <v>810</v>
      </c>
      <c r="C4638" s="722" t="s">
        <v>605</v>
      </c>
      <c r="D4638" t="s">
        <v>606</v>
      </c>
      <c r="E4638" s="728"/>
      <c r="F4638" s="728"/>
      <c r="G4638" s="728"/>
      <c r="H4638" s="728"/>
      <c r="I4638" s="728"/>
      <c r="J4638" s="728"/>
      <c r="K4638" s="728"/>
      <c r="L4638" s="148">
        <v>9.3821499999999993</v>
      </c>
      <c r="M4638" s="728"/>
      <c r="N4638" s="148">
        <v>9.3821499999999993</v>
      </c>
      <c r="O4638" s="148">
        <v>0</v>
      </c>
      <c r="P4638" s="148">
        <v>8.1315500000000007</v>
      </c>
      <c r="Q4638" s="148">
        <v>1.2505999999999999</v>
      </c>
      <c r="R4638" s="148">
        <v>15.379601674957419</v>
      </c>
    </row>
    <row r="4639" spans="2:18" ht="15.75" hidden="1" thickBot="1" x14ac:dyDescent="0.3">
      <c r="B4639" s="724" t="s">
        <v>810</v>
      </c>
      <c r="C4639" s="722" t="s">
        <v>218</v>
      </c>
      <c r="D4639" t="s">
        <v>219</v>
      </c>
      <c r="E4639" s="147">
        <v>-2.0649999999999999</v>
      </c>
      <c r="F4639" s="729"/>
      <c r="G4639" s="147">
        <v>-2.0649999999999999</v>
      </c>
      <c r="H4639" s="147">
        <v>0</v>
      </c>
      <c r="I4639" s="729"/>
      <c r="J4639" s="147">
        <v>-2.0649999999999999</v>
      </c>
      <c r="K4639" s="147">
        <v>0</v>
      </c>
      <c r="L4639" s="147">
        <v>26.65081</v>
      </c>
      <c r="M4639" s="729"/>
      <c r="N4639" s="147">
        <v>26.65081</v>
      </c>
      <c r="O4639" s="147">
        <v>0</v>
      </c>
      <c r="P4639" s="147">
        <v>25.546250000000001</v>
      </c>
      <c r="Q4639" s="147">
        <v>1.10456</v>
      </c>
      <c r="R4639" s="147">
        <v>4.323765719038998</v>
      </c>
    </row>
    <row r="4640" spans="2:18" ht="15.75" hidden="1" thickBot="1" x14ac:dyDescent="0.3">
      <c r="B4640" s="724" t="s">
        <v>810</v>
      </c>
      <c r="C4640" s="722" t="s">
        <v>607</v>
      </c>
      <c r="D4640" t="s">
        <v>608</v>
      </c>
      <c r="E4640" s="728"/>
      <c r="F4640" s="728"/>
      <c r="G4640" s="728"/>
      <c r="H4640" s="728"/>
      <c r="I4640" s="728"/>
      <c r="J4640" s="728"/>
      <c r="K4640" s="728"/>
      <c r="L4640" s="148">
        <v>4.2511999999999999</v>
      </c>
      <c r="M4640" s="728"/>
      <c r="N4640" s="148">
        <v>4.2511999999999999</v>
      </c>
      <c r="O4640" s="148">
        <v>0</v>
      </c>
      <c r="P4640" s="728"/>
      <c r="Q4640" s="148">
        <v>4.2511999999999999</v>
      </c>
      <c r="R4640" s="148">
        <v>0</v>
      </c>
    </row>
    <row r="4641" spans="2:18" ht="15.75" hidden="1" thickBot="1" x14ac:dyDescent="0.3">
      <c r="B4641" s="724" t="s">
        <v>810</v>
      </c>
      <c r="C4641" s="722" t="s">
        <v>462</v>
      </c>
      <c r="D4641" t="s">
        <v>463</v>
      </c>
      <c r="E4641" s="147">
        <v>3.0488</v>
      </c>
      <c r="F4641" s="729"/>
      <c r="G4641" s="147">
        <v>3.0488</v>
      </c>
      <c r="H4641" s="147">
        <v>0</v>
      </c>
      <c r="I4641" s="729"/>
      <c r="J4641" s="147">
        <v>3.0488</v>
      </c>
      <c r="K4641" s="147">
        <v>0</v>
      </c>
      <c r="L4641" s="147">
        <v>48.358379999999997</v>
      </c>
      <c r="M4641" s="729"/>
      <c r="N4641" s="147">
        <v>48.358379999999997</v>
      </c>
      <c r="O4641" s="147">
        <v>0</v>
      </c>
      <c r="P4641" s="147">
        <v>36.912680000000002</v>
      </c>
      <c r="Q4641" s="147">
        <v>11.4457</v>
      </c>
      <c r="R4641" s="147">
        <v>31.007502029113031</v>
      </c>
    </row>
    <row r="4642" spans="2:18" ht="15.75" hidden="1" thickBot="1" x14ac:dyDescent="0.3">
      <c r="B4642" s="724" t="s">
        <v>810</v>
      </c>
      <c r="C4642" s="722" t="s">
        <v>611</v>
      </c>
      <c r="D4642" t="s">
        <v>612</v>
      </c>
      <c r="E4642" s="728"/>
      <c r="F4642" s="728"/>
      <c r="G4642" s="728"/>
      <c r="H4642" s="728"/>
      <c r="I4642" s="728"/>
      <c r="J4642" s="728"/>
      <c r="K4642" s="728"/>
      <c r="L4642" s="148">
        <v>0</v>
      </c>
      <c r="M4642" s="728"/>
      <c r="N4642" s="148">
        <v>0</v>
      </c>
      <c r="O4642" s="148">
        <v>0</v>
      </c>
      <c r="P4642" s="148">
        <v>0</v>
      </c>
      <c r="Q4642" s="148">
        <v>0</v>
      </c>
      <c r="R4642" s="148">
        <v>0</v>
      </c>
    </row>
    <row r="4643" spans="2:18" ht="15.75" hidden="1" thickBot="1" x14ac:dyDescent="0.3">
      <c r="B4643" s="724" t="s">
        <v>810</v>
      </c>
      <c r="C4643" s="722" t="s">
        <v>613</v>
      </c>
      <c r="D4643" t="s">
        <v>614</v>
      </c>
      <c r="E4643" s="147">
        <v>6.2925000000000004</v>
      </c>
      <c r="F4643" s="729"/>
      <c r="G4643" s="147">
        <v>6.2925000000000004</v>
      </c>
      <c r="H4643" s="147">
        <v>0</v>
      </c>
      <c r="I4643" s="729"/>
      <c r="J4643" s="147">
        <v>6.2925000000000004</v>
      </c>
      <c r="K4643" s="147">
        <v>0</v>
      </c>
      <c r="L4643" s="147">
        <v>54.854689999999998</v>
      </c>
      <c r="M4643" s="729"/>
      <c r="N4643" s="147">
        <v>54.854689999999998</v>
      </c>
      <c r="O4643" s="147">
        <v>0</v>
      </c>
      <c r="P4643" s="147">
        <v>15.95495</v>
      </c>
      <c r="Q4643" s="147">
        <v>38.899740000000001</v>
      </c>
      <c r="R4643" s="147">
        <v>243.80985211486092</v>
      </c>
    </row>
    <row r="4644" spans="2:18" ht="15.75" hidden="1" thickBot="1" x14ac:dyDescent="0.3">
      <c r="B4644" s="724" t="s">
        <v>810</v>
      </c>
      <c r="C4644" s="722" t="s">
        <v>615</v>
      </c>
      <c r="D4644" t="s">
        <v>616</v>
      </c>
      <c r="E4644" s="148">
        <v>1.62822</v>
      </c>
      <c r="F4644" s="728"/>
      <c r="G4644" s="148">
        <v>1.62822</v>
      </c>
      <c r="H4644" s="148">
        <v>0</v>
      </c>
      <c r="I4644" s="728"/>
      <c r="J4644" s="148">
        <v>1.62822</v>
      </c>
      <c r="K4644" s="148">
        <v>0</v>
      </c>
      <c r="L4644" s="148">
        <v>20.609850000000002</v>
      </c>
      <c r="M4644" s="728"/>
      <c r="N4644" s="148">
        <v>20.609850000000002</v>
      </c>
      <c r="O4644" s="148">
        <v>0</v>
      </c>
      <c r="P4644" s="148">
        <v>9.9667499999999993</v>
      </c>
      <c r="Q4644" s="148">
        <v>10.6431</v>
      </c>
      <c r="R4644" s="148">
        <v>106.78606366167507</v>
      </c>
    </row>
    <row r="4645" spans="2:18" ht="15.75" hidden="1" thickBot="1" x14ac:dyDescent="0.3">
      <c r="B4645" s="724" t="s">
        <v>810</v>
      </c>
      <c r="C4645" s="722" t="s">
        <v>193</v>
      </c>
      <c r="D4645" t="s">
        <v>194</v>
      </c>
      <c r="E4645" s="147">
        <v>28.374549999999999</v>
      </c>
      <c r="F4645" s="729"/>
      <c r="G4645" s="147">
        <v>28.374549999999999</v>
      </c>
      <c r="H4645" s="147">
        <v>0</v>
      </c>
      <c r="I4645" s="729"/>
      <c r="J4645" s="147">
        <v>28.374549999999999</v>
      </c>
      <c r="K4645" s="147">
        <v>0</v>
      </c>
      <c r="L4645" s="147">
        <v>425.65251000000001</v>
      </c>
      <c r="M4645" s="729"/>
      <c r="N4645" s="147">
        <v>425.65251000000001</v>
      </c>
      <c r="O4645" s="147">
        <v>0</v>
      </c>
      <c r="P4645" s="147">
        <v>185.00425000000001</v>
      </c>
      <c r="Q4645" s="147">
        <v>240.64825999999999</v>
      </c>
      <c r="R4645" s="147">
        <v>130.07715228163678</v>
      </c>
    </row>
    <row r="4646" spans="2:18" ht="15.75" hidden="1" thickBot="1" x14ac:dyDescent="0.3">
      <c r="B4646" s="724" t="s">
        <v>810</v>
      </c>
      <c r="C4646" s="722" t="s">
        <v>195</v>
      </c>
      <c r="D4646" t="s">
        <v>196</v>
      </c>
      <c r="E4646" s="148">
        <v>30.067119999999999</v>
      </c>
      <c r="F4646" s="728"/>
      <c r="G4646" s="148">
        <v>30.067119999999999</v>
      </c>
      <c r="H4646" s="148">
        <v>0</v>
      </c>
      <c r="I4646" s="728"/>
      <c r="J4646" s="148">
        <v>30.067119999999999</v>
      </c>
      <c r="K4646" s="148">
        <v>0</v>
      </c>
      <c r="L4646" s="148">
        <v>247.89055999999999</v>
      </c>
      <c r="M4646" s="728"/>
      <c r="N4646" s="148">
        <v>247.89055999999999</v>
      </c>
      <c r="O4646" s="148">
        <v>0</v>
      </c>
      <c r="P4646" s="148">
        <v>114.49961999999999</v>
      </c>
      <c r="Q4646" s="148">
        <v>133.39094</v>
      </c>
      <c r="R4646" s="148">
        <v>116.49902418890125</v>
      </c>
    </row>
    <row r="4647" spans="2:18" ht="15.75" hidden="1" thickBot="1" x14ac:dyDescent="0.3">
      <c r="B4647" s="724" t="s">
        <v>810</v>
      </c>
      <c r="C4647" s="722" t="s">
        <v>197</v>
      </c>
      <c r="D4647" t="s">
        <v>198</v>
      </c>
      <c r="E4647" s="147">
        <v>4.2881999999999998</v>
      </c>
      <c r="F4647" s="729"/>
      <c r="G4647" s="147">
        <v>4.2881999999999998</v>
      </c>
      <c r="H4647" s="147">
        <v>0</v>
      </c>
      <c r="I4647" s="729"/>
      <c r="J4647" s="147">
        <v>4.2881999999999998</v>
      </c>
      <c r="K4647" s="147">
        <v>0</v>
      </c>
      <c r="L4647" s="147">
        <v>93.695430000000002</v>
      </c>
      <c r="M4647" s="729"/>
      <c r="N4647" s="147">
        <v>93.695430000000002</v>
      </c>
      <c r="O4647" s="147">
        <v>0</v>
      </c>
      <c r="P4647" s="147">
        <v>49.859310000000001</v>
      </c>
      <c r="Q4647" s="147">
        <v>43.836120000000001</v>
      </c>
      <c r="R4647" s="147">
        <v>87.919628249969762</v>
      </c>
    </row>
    <row r="4648" spans="2:18" ht="15.75" hidden="1" thickBot="1" x14ac:dyDescent="0.3">
      <c r="B4648" s="724" t="s">
        <v>810</v>
      </c>
      <c r="C4648" s="722" t="s">
        <v>464</v>
      </c>
      <c r="D4648" t="s">
        <v>465</v>
      </c>
      <c r="E4648" s="728"/>
      <c r="F4648" s="148">
        <v>1.9999899999999999</v>
      </c>
      <c r="G4648" s="148">
        <v>-1.9999899999999999</v>
      </c>
      <c r="H4648" s="148">
        <v>-100</v>
      </c>
      <c r="I4648" s="728"/>
      <c r="J4648" s="728"/>
      <c r="K4648" s="728"/>
      <c r="L4648" s="148">
        <v>3.5212699999999999</v>
      </c>
      <c r="M4648" s="148">
        <v>53.999949999999998</v>
      </c>
      <c r="N4648" s="148">
        <v>-50.478679999999997</v>
      </c>
      <c r="O4648" s="148">
        <v>-93.479123591781104</v>
      </c>
      <c r="P4648" s="148">
        <v>-2.1631100000000001</v>
      </c>
      <c r="Q4648" s="148">
        <v>5.68438</v>
      </c>
      <c r="R4648" s="148">
        <v>262.78737558422824</v>
      </c>
    </row>
    <row r="4649" spans="2:18" ht="15.75" hidden="1" thickBot="1" x14ac:dyDescent="0.3">
      <c r="B4649" s="724" t="s">
        <v>810</v>
      </c>
      <c r="C4649" s="722" t="s">
        <v>619</v>
      </c>
      <c r="D4649" t="s">
        <v>620</v>
      </c>
      <c r="E4649" s="147">
        <v>0.63444</v>
      </c>
      <c r="F4649" s="729"/>
      <c r="G4649" s="147">
        <v>0.63444</v>
      </c>
      <c r="H4649" s="147">
        <v>0</v>
      </c>
      <c r="I4649" s="729"/>
      <c r="J4649" s="147">
        <v>0.63444</v>
      </c>
      <c r="K4649" s="147">
        <v>0</v>
      </c>
      <c r="L4649" s="147">
        <v>100.17054</v>
      </c>
      <c r="M4649" s="729"/>
      <c r="N4649" s="147">
        <v>100.17054</v>
      </c>
      <c r="O4649" s="147">
        <v>0</v>
      </c>
      <c r="P4649" s="147">
        <v>74.458929999999995</v>
      </c>
      <c r="Q4649" s="147">
        <v>25.71161</v>
      </c>
      <c r="R4649" s="147">
        <v>34.531264416504506</v>
      </c>
    </row>
    <row r="4650" spans="2:18" ht="15.75" hidden="1" thickBot="1" x14ac:dyDescent="0.3">
      <c r="B4650" s="724" t="s">
        <v>810</v>
      </c>
      <c r="C4650" s="722" t="s">
        <v>621</v>
      </c>
      <c r="D4650" t="s">
        <v>622</v>
      </c>
      <c r="E4650" s="728"/>
      <c r="F4650" s="728"/>
      <c r="G4650" s="728"/>
      <c r="H4650" s="728"/>
      <c r="I4650" s="728"/>
      <c r="J4650" s="728"/>
      <c r="K4650" s="728"/>
      <c r="L4650" s="148">
        <v>5.3439300000000003</v>
      </c>
      <c r="M4650" s="728"/>
      <c r="N4650" s="148">
        <v>5.3439300000000003</v>
      </c>
      <c r="O4650" s="148">
        <v>0</v>
      </c>
      <c r="P4650" s="148">
        <v>4.18865</v>
      </c>
      <c r="Q4650" s="148">
        <v>1.1552800000000001</v>
      </c>
      <c r="R4650" s="148">
        <v>27.581201580461485</v>
      </c>
    </row>
    <row r="4651" spans="2:18" ht="15.75" hidden="1" thickBot="1" x14ac:dyDescent="0.3">
      <c r="B4651" s="724" t="s">
        <v>810</v>
      </c>
      <c r="C4651" s="722" t="s">
        <v>103</v>
      </c>
      <c r="D4651" t="s">
        <v>104</v>
      </c>
      <c r="E4651" s="729"/>
      <c r="F4651" s="729"/>
      <c r="G4651" s="729"/>
      <c r="H4651" s="729"/>
      <c r="I4651" s="729"/>
      <c r="J4651" s="729"/>
      <c r="K4651" s="729"/>
      <c r="L4651" s="147">
        <v>1.1150599999999999</v>
      </c>
      <c r="M4651" s="729"/>
      <c r="N4651" s="147">
        <v>1.1150599999999999</v>
      </c>
      <c r="O4651" s="147">
        <v>0</v>
      </c>
      <c r="P4651" s="147">
        <v>0.96406000000000003</v>
      </c>
      <c r="Q4651" s="147">
        <v>0.151</v>
      </c>
      <c r="R4651" s="147">
        <v>15.662925544053275</v>
      </c>
    </row>
    <row r="4652" spans="2:18" ht="15.75" hidden="1" thickBot="1" x14ac:dyDescent="0.3">
      <c r="B4652" s="724" t="s">
        <v>810</v>
      </c>
      <c r="C4652" s="722" t="s">
        <v>625</v>
      </c>
      <c r="D4652" t="s">
        <v>626</v>
      </c>
      <c r="E4652" s="728"/>
      <c r="F4652" s="728"/>
      <c r="G4652" s="728"/>
      <c r="H4652" s="728"/>
      <c r="I4652" s="728"/>
      <c r="J4652" s="728"/>
      <c r="K4652" s="728"/>
      <c r="L4652" s="148">
        <v>-0.52500000000000002</v>
      </c>
      <c r="M4652" s="728"/>
      <c r="N4652" s="148">
        <v>-0.52500000000000002</v>
      </c>
      <c r="O4652" s="148">
        <v>0</v>
      </c>
      <c r="P4652" s="148">
        <v>-0.52500000000000002</v>
      </c>
      <c r="Q4652" s="148">
        <v>0</v>
      </c>
      <c r="R4652" s="148">
        <v>0</v>
      </c>
    </row>
    <row r="4653" spans="2:18" ht="15.75" hidden="1" thickBot="1" x14ac:dyDescent="0.3">
      <c r="B4653" s="724" t="s">
        <v>810</v>
      </c>
      <c r="C4653" s="722" t="s">
        <v>71</v>
      </c>
      <c r="D4653" t="s">
        <v>72</v>
      </c>
      <c r="E4653" s="147">
        <v>0</v>
      </c>
      <c r="F4653" s="729"/>
      <c r="G4653" s="147">
        <v>0</v>
      </c>
      <c r="H4653" s="147">
        <v>0</v>
      </c>
      <c r="I4653" s="729"/>
      <c r="J4653" s="147">
        <v>0</v>
      </c>
      <c r="K4653" s="147">
        <v>0</v>
      </c>
      <c r="L4653" s="147">
        <v>0</v>
      </c>
      <c r="M4653" s="729"/>
      <c r="N4653" s="147">
        <v>0</v>
      </c>
      <c r="O4653" s="147">
        <v>0</v>
      </c>
      <c r="P4653" s="147">
        <v>1.9431700000000001</v>
      </c>
      <c r="Q4653" s="147">
        <v>-1.9431700000000001</v>
      </c>
      <c r="R4653" s="147">
        <v>-100</v>
      </c>
    </row>
    <row r="4654" spans="2:18" ht="15.75" hidden="1" thickBot="1" x14ac:dyDescent="0.3">
      <c r="B4654" s="724" t="s">
        <v>810</v>
      </c>
      <c r="C4654" s="722" t="s">
        <v>627</v>
      </c>
      <c r="D4654" t="s">
        <v>628</v>
      </c>
      <c r="E4654" s="148">
        <v>2.4750000000000001E-2</v>
      </c>
      <c r="F4654" s="728"/>
      <c r="G4654" s="148">
        <v>2.4750000000000001E-2</v>
      </c>
      <c r="H4654" s="148">
        <v>0</v>
      </c>
      <c r="I4654" s="728"/>
      <c r="J4654" s="148">
        <v>2.4750000000000001E-2</v>
      </c>
      <c r="K4654" s="148">
        <v>0</v>
      </c>
      <c r="L4654" s="148">
        <v>0.28935</v>
      </c>
      <c r="M4654" s="728"/>
      <c r="N4654" s="148">
        <v>0.28935</v>
      </c>
      <c r="O4654" s="148">
        <v>0</v>
      </c>
      <c r="P4654" s="148">
        <v>0.14566999999999999</v>
      </c>
      <c r="Q4654" s="148">
        <v>0.14368</v>
      </c>
      <c r="R4654" s="148">
        <v>98.633898537790898</v>
      </c>
    </row>
    <row r="4655" spans="2:18" ht="15.75" hidden="1" thickBot="1" x14ac:dyDescent="0.3">
      <c r="B4655" s="724" t="s">
        <v>810</v>
      </c>
      <c r="C4655" s="722" t="s">
        <v>109</v>
      </c>
      <c r="D4655" t="s">
        <v>110</v>
      </c>
      <c r="E4655" s="729"/>
      <c r="F4655" s="729"/>
      <c r="G4655" s="729"/>
      <c r="H4655" s="729"/>
      <c r="I4655" s="729"/>
      <c r="J4655" s="729"/>
      <c r="K4655" s="729"/>
      <c r="L4655" s="147">
        <v>1.79291</v>
      </c>
      <c r="M4655" s="729"/>
      <c r="N4655" s="147">
        <v>1.79291</v>
      </c>
      <c r="O4655" s="147">
        <v>0</v>
      </c>
      <c r="P4655" s="147">
        <v>1.6693199999999999</v>
      </c>
      <c r="Q4655" s="147">
        <v>0.12359000000000001</v>
      </c>
      <c r="R4655" s="147">
        <v>7.4036134473917521</v>
      </c>
    </row>
    <row r="4656" spans="2:18" ht="15.75" hidden="1" thickBot="1" x14ac:dyDescent="0.3">
      <c r="B4656" s="724" t="s">
        <v>810</v>
      </c>
      <c r="C4656" s="722" t="s">
        <v>199</v>
      </c>
      <c r="D4656" t="s">
        <v>200</v>
      </c>
      <c r="E4656" s="148">
        <v>9.4313800000000008</v>
      </c>
      <c r="F4656" s="148">
        <v>28</v>
      </c>
      <c r="G4656" s="148">
        <v>-18.568619999999999</v>
      </c>
      <c r="H4656" s="148">
        <v>-66.316500000000005</v>
      </c>
      <c r="I4656" s="728"/>
      <c r="J4656" s="148">
        <v>9.4313800000000008</v>
      </c>
      <c r="K4656" s="148">
        <v>0</v>
      </c>
      <c r="L4656" s="148">
        <v>71.842100000000002</v>
      </c>
      <c r="M4656" s="148">
        <v>165</v>
      </c>
      <c r="N4656" s="148">
        <v>-93.157899999999998</v>
      </c>
      <c r="O4656" s="148">
        <v>-56.459333333333333</v>
      </c>
      <c r="P4656" s="148">
        <v>54.662300000000002</v>
      </c>
      <c r="Q4656" s="148">
        <v>17.1798</v>
      </c>
      <c r="R4656" s="148">
        <v>31.428973899744431</v>
      </c>
    </row>
    <row r="4657" spans="2:18" ht="15.75" hidden="1" thickBot="1" x14ac:dyDescent="0.3">
      <c r="B4657" s="724" t="s">
        <v>810</v>
      </c>
      <c r="C4657" s="722" t="s">
        <v>73</v>
      </c>
      <c r="D4657" t="s">
        <v>74</v>
      </c>
      <c r="E4657" s="147">
        <v>0.79152</v>
      </c>
      <c r="F4657" s="147">
        <v>0.41941000000000001</v>
      </c>
      <c r="G4657" s="147">
        <v>0.37211</v>
      </c>
      <c r="H4657" s="147">
        <v>88.72225268830023</v>
      </c>
      <c r="I4657" s="729"/>
      <c r="J4657" s="147">
        <v>0.79152</v>
      </c>
      <c r="K4657" s="147">
        <v>0</v>
      </c>
      <c r="L4657" s="147">
        <v>9.2690400000000004</v>
      </c>
      <c r="M4657" s="147">
        <v>5.0329199999999998</v>
      </c>
      <c r="N4657" s="147">
        <v>4.2361199999999997</v>
      </c>
      <c r="O4657" s="147">
        <v>84.168236331990173</v>
      </c>
      <c r="P4657" s="147">
        <v>5.1118100000000002</v>
      </c>
      <c r="Q4657" s="147">
        <v>4.1572300000000002</v>
      </c>
      <c r="R4657" s="147">
        <v>81.325988250737012</v>
      </c>
    </row>
    <row r="4658" spans="2:18" ht="15.75" hidden="1" thickBot="1" x14ac:dyDescent="0.3">
      <c r="B4658" s="724" t="s">
        <v>810</v>
      </c>
      <c r="C4658" s="722" t="s">
        <v>111</v>
      </c>
      <c r="D4658" t="s">
        <v>112</v>
      </c>
      <c r="E4658" s="728"/>
      <c r="F4658" s="148">
        <v>0</v>
      </c>
      <c r="G4658" s="148">
        <v>0</v>
      </c>
      <c r="H4658" s="148">
        <v>0</v>
      </c>
      <c r="I4658" s="728"/>
      <c r="J4658" s="728"/>
      <c r="K4658" s="728"/>
      <c r="L4658" s="148">
        <v>3.7506599999999999</v>
      </c>
      <c r="M4658" s="148">
        <v>0</v>
      </c>
      <c r="N4658" s="148">
        <v>3.7506599999999999</v>
      </c>
      <c r="O4658" s="148">
        <v>0</v>
      </c>
      <c r="P4658" s="148">
        <v>1.36192</v>
      </c>
      <c r="Q4658" s="148">
        <v>2.3887399999999999</v>
      </c>
      <c r="R4658" s="148">
        <v>175.39503054511277</v>
      </c>
    </row>
    <row r="4659" spans="2:18" ht="15.75" hidden="1" thickBot="1" x14ac:dyDescent="0.3">
      <c r="B4659" s="724" t="s">
        <v>810</v>
      </c>
      <c r="C4659" s="722" t="s">
        <v>141</v>
      </c>
      <c r="D4659" t="s">
        <v>142</v>
      </c>
      <c r="E4659" s="729"/>
      <c r="F4659" s="147">
        <v>0</v>
      </c>
      <c r="G4659" s="147">
        <v>0</v>
      </c>
      <c r="H4659" s="147">
        <v>0</v>
      </c>
      <c r="I4659" s="729"/>
      <c r="J4659" s="729"/>
      <c r="K4659" s="729"/>
      <c r="L4659" s="147">
        <v>2.6419999999999999E-2</v>
      </c>
      <c r="M4659" s="147">
        <v>0.3</v>
      </c>
      <c r="N4659" s="147">
        <v>-0.27357999999999999</v>
      </c>
      <c r="O4659" s="147">
        <v>-91.193333333333328</v>
      </c>
      <c r="P4659" s="147">
        <v>1.167E-2</v>
      </c>
      <c r="Q4659" s="147">
        <v>1.4749999999999999E-2</v>
      </c>
      <c r="R4659" s="147">
        <v>126.39245929734362</v>
      </c>
    </row>
    <row r="4660" spans="2:18" ht="15.75" hidden="1" thickBot="1" x14ac:dyDescent="0.3">
      <c r="B4660" s="724" t="s">
        <v>810</v>
      </c>
      <c r="C4660" s="722" t="s">
        <v>113</v>
      </c>
      <c r="D4660" t="s">
        <v>114</v>
      </c>
      <c r="E4660" s="148">
        <v>0.36520999999999998</v>
      </c>
      <c r="F4660" s="148">
        <v>0.41687999999999997</v>
      </c>
      <c r="G4660" s="148">
        <v>-5.1670000000000001E-2</v>
      </c>
      <c r="H4660" s="148">
        <v>-12.394454039531761</v>
      </c>
      <c r="I4660" s="728"/>
      <c r="J4660" s="148">
        <v>0.36520999999999998</v>
      </c>
      <c r="K4660" s="148">
        <v>0</v>
      </c>
      <c r="L4660" s="148">
        <v>7.02956</v>
      </c>
      <c r="M4660" s="148">
        <v>5.0025599999999999</v>
      </c>
      <c r="N4660" s="148">
        <v>2.0270000000000001</v>
      </c>
      <c r="O4660" s="148">
        <v>40.519254141879358</v>
      </c>
      <c r="P4660" s="148">
        <v>4.2181300000000004</v>
      </c>
      <c r="Q4660" s="148">
        <v>2.8114300000000001</v>
      </c>
      <c r="R4660" s="148">
        <v>66.651098946689643</v>
      </c>
    </row>
    <row r="4661" spans="2:18" ht="15.75" hidden="1" thickBot="1" x14ac:dyDescent="0.3">
      <c r="B4661" s="724" t="s">
        <v>810</v>
      </c>
      <c r="C4661" s="722" t="s">
        <v>201</v>
      </c>
      <c r="D4661" t="s">
        <v>202</v>
      </c>
      <c r="E4661" s="147">
        <v>0.41893999999999998</v>
      </c>
      <c r="F4661" s="147">
        <v>0.85014999999999996</v>
      </c>
      <c r="G4661" s="147">
        <v>-0.43120999999999998</v>
      </c>
      <c r="H4661" s="147">
        <v>-50.721637358113277</v>
      </c>
      <c r="I4661" s="729"/>
      <c r="J4661" s="147">
        <v>0.41893999999999998</v>
      </c>
      <c r="K4661" s="147">
        <v>0</v>
      </c>
      <c r="L4661" s="147">
        <v>6.3609</v>
      </c>
      <c r="M4661" s="147">
        <v>10.2659</v>
      </c>
      <c r="N4661" s="147">
        <v>-3.9049999999999998</v>
      </c>
      <c r="O4661" s="147">
        <v>-38.038554827146186</v>
      </c>
      <c r="P4661" s="147">
        <v>3.1117900000000001</v>
      </c>
      <c r="Q4661" s="147">
        <v>3.2491099999999999</v>
      </c>
      <c r="R4661" s="147">
        <v>104.41289418630434</v>
      </c>
    </row>
    <row r="4662" spans="2:18" ht="15.75" hidden="1" thickBot="1" x14ac:dyDescent="0.3">
      <c r="B4662" s="724" t="s">
        <v>810</v>
      </c>
      <c r="C4662" s="722" t="s">
        <v>117</v>
      </c>
      <c r="D4662" t="s">
        <v>118</v>
      </c>
      <c r="E4662" s="148">
        <v>-4.1563600000000003</v>
      </c>
      <c r="F4662" s="148">
        <v>-3.7</v>
      </c>
      <c r="G4662" s="148">
        <v>-0.45635999999999999</v>
      </c>
      <c r="H4662" s="148">
        <v>-12.334054054054054</v>
      </c>
      <c r="I4662" s="728"/>
      <c r="J4662" s="148">
        <v>-4.1563600000000003</v>
      </c>
      <c r="K4662" s="148">
        <v>0</v>
      </c>
      <c r="L4662" s="148">
        <v>-60.557049999999997</v>
      </c>
      <c r="M4662" s="148">
        <v>-34.700000000000003</v>
      </c>
      <c r="N4662" s="148">
        <v>-25.857050000000001</v>
      </c>
      <c r="O4662" s="148">
        <v>-74.515994236311244</v>
      </c>
      <c r="P4662" s="148">
        <v>-42.558019999999999</v>
      </c>
      <c r="Q4662" s="148">
        <v>-17.999030000000001</v>
      </c>
      <c r="R4662" s="148">
        <v>-42.292921522194874</v>
      </c>
    </row>
    <row r="4663" spans="2:18" ht="15.75" hidden="1" thickBot="1" x14ac:dyDescent="0.3">
      <c r="B4663" s="724" t="s">
        <v>810</v>
      </c>
      <c r="C4663" s="722" t="s">
        <v>145</v>
      </c>
      <c r="D4663" t="s">
        <v>146</v>
      </c>
      <c r="E4663" s="147">
        <v>0.76990000000000003</v>
      </c>
      <c r="F4663" s="147">
        <v>0.55515000000000003</v>
      </c>
      <c r="G4663" s="147">
        <v>0.21475</v>
      </c>
      <c r="H4663" s="147">
        <v>38.68323876429794</v>
      </c>
      <c r="I4663" s="729"/>
      <c r="J4663" s="147">
        <v>0.76990000000000003</v>
      </c>
      <c r="K4663" s="147">
        <v>0</v>
      </c>
      <c r="L4663" s="147">
        <v>7.14595</v>
      </c>
      <c r="M4663" s="147">
        <v>6.3026999999999997</v>
      </c>
      <c r="N4663" s="147">
        <v>0.84325000000000006</v>
      </c>
      <c r="O4663" s="147">
        <v>13.37918669776445</v>
      </c>
      <c r="P4663" s="147">
        <v>2.6727500000000002</v>
      </c>
      <c r="Q4663" s="147">
        <v>4.4732000000000003</v>
      </c>
      <c r="R4663" s="147">
        <v>167.36320269385465</v>
      </c>
    </row>
    <row r="4664" spans="2:18" ht="15.75" hidden="1" thickBot="1" x14ac:dyDescent="0.3">
      <c r="B4664" s="724" t="s">
        <v>810</v>
      </c>
      <c r="C4664" s="722" t="s">
        <v>147</v>
      </c>
      <c r="D4664" t="s">
        <v>148</v>
      </c>
      <c r="E4664" s="728"/>
      <c r="F4664" s="728"/>
      <c r="G4664" s="728"/>
      <c r="H4664" s="728"/>
      <c r="I4664" s="728"/>
      <c r="J4664" s="728"/>
      <c r="K4664" s="728"/>
      <c r="L4664" s="148">
        <v>1.8500000000000001E-3</v>
      </c>
      <c r="M4664" s="728"/>
      <c r="N4664" s="148">
        <v>1.8500000000000001E-3</v>
      </c>
      <c r="O4664" s="148">
        <v>0</v>
      </c>
      <c r="P4664" s="728"/>
      <c r="Q4664" s="148">
        <v>1.8500000000000001E-3</v>
      </c>
      <c r="R4664" s="148">
        <v>0</v>
      </c>
    </row>
    <row r="4665" spans="2:18" ht="15.75" hidden="1" thickBot="1" x14ac:dyDescent="0.3">
      <c r="B4665" s="724" t="s">
        <v>810</v>
      </c>
      <c r="C4665" s="722" t="s">
        <v>203</v>
      </c>
      <c r="D4665" t="s">
        <v>204</v>
      </c>
      <c r="E4665" s="147">
        <v>0.13566</v>
      </c>
      <c r="F4665" s="729"/>
      <c r="G4665" s="147">
        <v>0.13566</v>
      </c>
      <c r="H4665" s="147">
        <v>0</v>
      </c>
      <c r="I4665" s="729"/>
      <c r="J4665" s="147">
        <v>0.13566</v>
      </c>
      <c r="K4665" s="147">
        <v>0</v>
      </c>
      <c r="L4665" s="147">
        <v>0.22952</v>
      </c>
      <c r="M4665" s="729"/>
      <c r="N4665" s="147">
        <v>0.22952</v>
      </c>
      <c r="O4665" s="147">
        <v>0</v>
      </c>
      <c r="P4665" s="147">
        <v>9.3859999999999999E-2</v>
      </c>
      <c r="Q4665" s="147">
        <v>0.13566</v>
      </c>
      <c r="R4665" s="147">
        <v>144.5344129554656</v>
      </c>
    </row>
    <row r="4666" spans="2:18" ht="15.75" hidden="1" thickBot="1" x14ac:dyDescent="0.3">
      <c r="B4666" s="724" t="s">
        <v>810</v>
      </c>
      <c r="C4666" s="722" t="s">
        <v>149</v>
      </c>
      <c r="D4666" t="s">
        <v>150</v>
      </c>
      <c r="E4666" s="148">
        <v>30.2315</v>
      </c>
      <c r="F4666" s="148">
        <v>0</v>
      </c>
      <c r="G4666" s="148">
        <v>30.2315</v>
      </c>
      <c r="H4666" s="148">
        <v>0</v>
      </c>
      <c r="I4666" s="728"/>
      <c r="J4666" s="148">
        <v>30.2315</v>
      </c>
      <c r="K4666" s="148">
        <v>0</v>
      </c>
      <c r="L4666" s="148">
        <v>45.781059999999997</v>
      </c>
      <c r="M4666" s="148">
        <v>33.1</v>
      </c>
      <c r="N4666" s="148">
        <v>12.68106</v>
      </c>
      <c r="O4666" s="148">
        <v>38.311359516616314</v>
      </c>
      <c r="P4666" s="148">
        <v>11.44994</v>
      </c>
      <c r="Q4666" s="148">
        <v>34.331119999999999</v>
      </c>
      <c r="R4666" s="148">
        <v>299.83668036688402</v>
      </c>
    </row>
    <row r="4667" spans="2:18" ht="15.75" hidden="1" thickBot="1" x14ac:dyDescent="0.3">
      <c r="B4667" s="724" t="s">
        <v>810</v>
      </c>
      <c r="C4667" s="722" t="s">
        <v>647</v>
      </c>
      <c r="D4667" t="s">
        <v>648</v>
      </c>
      <c r="E4667" s="147">
        <v>-7.1475900000000001</v>
      </c>
      <c r="F4667" s="729"/>
      <c r="G4667" s="147">
        <v>-7.1475900000000001</v>
      </c>
      <c r="H4667" s="147">
        <v>0</v>
      </c>
      <c r="I4667" s="729"/>
      <c r="J4667" s="147">
        <v>-7.1475900000000001</v>
      </c>
      <c r="K4667" s="147">
        <v>0</v>
      </c>
      <c r="L4667" s="147">
        <v>-97.195949999999996</v>
      </c>
      <c r="M4667" s="729"/>
      <c r="N4667" s="147">
        <v>-97.195949999999996</v>
      </c>
      <c r="O4667" s="147">
        <v>0</v>
      </c>
      <c r="P4667" s="147">
        <v>-40.138770000000001</v>
      </c>
      <c r="Q4667" s="147">
        <v>-57.057180000000002</v>
      </c>
      <c r="R4667" s="147">
        <v>-142.14979681739126</v>
      </c>
    </row>
    <row r="4668" spans="2:18" ht="15.75" hidden="1" thickBot="1" x14ac:dyDescent="0.3">
      <c r="B4668" s="724" t="s">
        <v>810</v>
      </c>
      <c r="C4668" s="722" t="s">
        <v>205</v>
      </c>
      <c r="D4668" t="s">
        <v>206</v>
      </c>
      <c r="E4668" s="728"/>
      <c r="F4668" s="148">
        <v>0.17</v>
      </c>
      <c r="G4668" s="148">
        <v>-0.17</v>
      </c>
      <c r="H4668" s="148">
        <v>-100</v>
      </c>
      <c r="I4668" s="728"/>
      <c r="J4668" s="728"/>
      <c r="K4668" s="728"/>
      <c r="L4668" s="148">
        <v>0.78988000000000003</v>
      </c>
      <c r="M4668" s="148">
        <v>2</v>
      </c>
      <c r="N4668" s="148">
        <v>-1.2101200000000001</v>
      </c>
      <c r="O4668" s="148">
        <v>-60.506</v>
      </c>
      <c r="P4668" s="148">
        <v>0.60768999999999995</v>
      </c>
      <c r="Q4668" s="148">
        <v>0.18218999999999999</v>
      </c>
      <c r="R4668" s="148">
        <v>29.980746762329478</v>
      </c>
    </row>
    <row r="4669" spans="2:18" ht="15.75" hidden="1" thickBot="1" x14ac:dyDescent="0.3">
      <c r="B4669" s="724" t="s">
        <v>810</v>
      </c>
      <c r="C4669" s="722" t="s">
        <v>173</v>
      </c>
      <c r="D4669" t="s">
        <v>174</v>
      </c>
      <c r="E4669" s="147">
        <v>9.6265000000000001</v>
      </c>
      <c r="F4669" s="147">
        <v>3.1635300000000002</v>
      </c>
      <c r="G4669" s="147">
        <v>6.4629700000000003</v>
      </c>
      <c r="H4669" s="147">
        <v>204.29615018665856</v>
      </c>
      <c r="I4669" s="729"/>
      <c r="J4669" s="147">
        <v>9.6265000000000001</v>
      </c>
      <c r="K4669" s="147">
        <v>0</v>
      </c>
      <c r="L4669" s="147">
        <v>96.304680000000005</v>
      </c>
      <c r="M4669" s="147">
        <v>37.962359999999997</v>
      </c>
      <c r="N4669" s="147">
        <v>58.342320000000001</v>
      </c>
      <c r="O4669" s="147">
        <v>153.68464974253445</v>
      </c>
      <c r="P4669" s="147">
        <v>42.289540000000002</v>
      </c>
      <c r="Q4669" s="147">
        <v>54.015140000000002</v>
      </c>
      <c r="R4669" s="147">
        <v>127.72695091977828</v>
      </c>
    </row>
    <row r="4670" spans="2:18" ht="15.75" hidden="1" thickBot="1" x14ac:dyDescent="0.3">
      <c r="B4670" s="724" t="s">
        <v>810</v>
      </c>
      <c r="C4670" s="722" t="s">
        <v>653</v>
      </c>
      <c r="D4670" t="s">
        <v>654</v>
      </c>
      <c r="E4670" s="728"/>
      <c r="F4670" s="728"/>
      <c r="G4670" s="728"/>
      <c r="H4670" s="728"/>
      <c r="I4670" s="728"/>
      <c r="J4670" s="728"/>
      <c r="K4670" s="728"/>
      <c r="L4670" s="148">
        <v>0.12525</v>
      </c>
      <c r="M4670" s="728"/>
      <c r="N4670" s="148">
        <v>0.12525</v>
      </c>
      <c r="O4670" s="148">
        <v>0</v>
      </c>
      <c r="P4670" s="728"/>
      <c r="Q4670" s="148">
        <v>0.12525</v>
      </c>
      <c r="R4670" s="148">
        <v>0</v>
      </c>
    </row>
    <row r="4671" spans="2:18" ht="15.75" hidden="1" thickBot="1" x14ac:dyDescent="0.3">
      <c r="B4671" s="724" t="s">
        <v>810</v>
      </c>
      <c r="C4671" s="722" t="s">
        <v>151</v>
      </c>
      <c r="D4671" t="s">
        <v>152</v>
      </c>
      <c r="E4671" s="729"/>
      <c r="F4671" s="147">
        <v>0.16941000000000001</v>
      </c>
      <c r="G4671" s="147">
        <v>-0.16941000000000001</v>
      </c>
      <c r="H4671" s="147">
        <v>-100</v>
      </c>
      <c r="I4671" s="729"/>
      <c r="J4671" s="729"/>
      <c r="K4671" s="729"/>
      <c r="L4671" s="147">
        <v>-2.5449999999999999</v>
      </c>
      <c r="M4671" s="147">
        <v>3.0741000000000001</v>
      </c>
      <c r="N4671" s="147">
        <v>-5.6191000000000004</v>
      </c>
      <c r="O4671" s="147">
        <v>-182.78845841059172</v>
      </c>
      <c r="P4671" s="147">
        <v>-2.5449999999999999</v>
      </c>
      <c r="Q4671" s="147">
        <v>0</v>
      </c>
      <c r="R4671" s="147">
        <v>0</v>
      </c>
    </row>
    <row r="4672" spans="2:18" ht="15.75" hidden="1" thickBot="1" x14ac:dyDescent="0.3">
      <c r="B4672" s="724" t="s">
        <v>810</v>
      </c>
      <c r="C4672" s="722" t="s">
        <v>481</v>
      </c>
      <c r="D4672" t="s">
        <v>482</v>
      </c>
      <c r="E4672" s="148">
        <v>5.4050000000000001E-2</v>
      </c>
      <c r="F4672" s="728"/>
      <c r="G4672" s="148">
        <v>5.4050000000000001E-2</v>
      </c>
      <c r="H4672" s="148">
        <v>0</v>
      </c>
      <c r="I4672" s="728"/>
      <c r="J4672" s="148">
        <v>5.4050000000000001E-2</v>
      </c>
      <c r="K4672" s="148">
        <v>0</v>
      </c>
      <c r="L4672" s="148">
        <v>0.90908999999999995</v>
      </c>
      <c r="M4672" s="728"/>
      <c r="N4672" s="148">
        <v>0.90908999999999995</v>
      </c>
      <c r="O4672" s="148">
        <v>0</v>
      </c>
      <c r="P4672" s="148">
        <v>0.66034999999999999</v>
      </c>
      <c r="Q4672" s="148">
        <v>0.24873999999999999</v>
      </c>
      <c r="R4672" s="148">
        <v>37.667903384568788</v>
      </c>
    </row>
    <row r="4673" spans="2:18" ht="15.75" hidden="1" thickBot="1" x14ac:dyDescent="0.3">
      <c r="B4673" s="724" t="s">
        <v>810</v>
      </c>
      <c r="C4673" s="722" t="s">
        <v>175</v>
      </c>
      <c r="D4673" t="s">
        <v>176</v>
      </c>
      <c r="E4673" s="729"/>
      <c r="F4673" s="729"/>
      <c r="G4673" s="729"/>
      <c r="H4673" s="729"/>
      <c r="I4673" s="729"/>
      <c r="J4673" s="729"/>
      <c r="K4673" s="729"/>
      <c r="L4673" s="147">
        <v>2.5319999999999999E-2</v>
      </c>
      <c r="M4673" s="729"/>
      <c r="N4673" s="147">
        <v>2.5319999999999999E-2</v>
      </c>
      <c r="O4673" s="147">
        <v>0</v>
      </c>
      <c r="P4673" s="729"/>
      <c r="Q4673" s="147">
        <v>2.5319999999999999E-2</v>
      </c>
      <c r="R4673" s="147">
        <v>0</v>
      </c>
    </row>
    <row r="4674" spans="2:18" ht="15.75" hidden="1" thickBot="1" x14ac:dyDescent="0.3">
      <c r="B4674" s="724" t="s">
        <v>810</v>
      </c>
      <c r="C4674" s="722" t="s">
        <v>661</v>
      </c>
      <c r="D4674" t="s">
        <v>662</v>
      </c>
      <c r="E4674" s="148">
        <v>-197.38883000000001</v>
      </c>
      <c r="F4674" s="728"/>
      <c r="G4674" s="148">
        <v>-197.38883000000001</v>
      </c>
      <c r="H4674" s="148">
        <v>0</v>
      </c>
      <c r="I4674" s="728"/>
      <c r="J4674" s="148">
        <v>-197.38883000000001</v>
      </c>
      <c r="K4674" s="148">
        <v>0</v>
      </c>
      <c r="L4674" s="148">
        <v>-280.54664000000002</v>
      </c>
      <c r="M4674" s="728"/>
      <c r="N4674" s="148">
        <v>-280.54664000000002</v>
      </c>
      <c r="O4674" s="148">
        <v>0</v>
      </c>
      <c r="P4674" s="148">
        <v>-74.574250000000006</v>
      </c>
      <c r="Q4674" s="148">
        <v>-205.97238999999999</v>
      </c>
      <c r="R4674" s="148">
        <v>-276.1977358136354</v>
      </c>
    </row>
    <row r="4675" spans="2:18" ht="15.75" hidden="1" thickBot="1" x14ac:dyDescent="0.3">
      <c r="B4675" s="724" t="s">
        <v>810</v>
      </c>
      <c r="C4675" s="722" t="s">
        <v>663</v>
      </c>
      <c r="D4675" t="s">
        <v>664</v>
      </c>
      <c r="E4675" s="729"/>
      <c r="F4675" s="729"/>
      <c r="G4675" s="729"/>
      <c r="H4675" s="729"/>
      <c r="I4675" s="729"/>
      <c r="J4675" s="729"/>
      <c r="K4675" s="729"/>
      <c r="L4675" s="147">
        <v>-0.28338999999999998</v>
      </c>
      <c r="M4675" s="729"/>
      <c r="N4675" s="147">
        <v>-0.28338999999999998</v>
      </c>
      <c r="O4675" s="147">
        <v>0</v>
      </c>
      <c r="P4675" s="147">
        <v>-0.28338999999999998</v>
      </c>
      <c r="Q4675" s="147">
        <v>0</v>
      </c>
      <c r="R4675" s="147">
        <v>0</v>
      </c>
    </row>
    <row r="4676" spans="2:18" ht="15.75" hidden="1" thickBot="1" x14ac:dyDescent="0.3">
      <c r="B4676" s="724" t="s">
        <v>810</v>
      </c>
      <c r="C4676" s="722" t="s">
        <v>153</v>
      </c>
      <c r="D4676" t="s">
        <v>154</v>
      </c>
      <c r="E4676" s="728"/>
      <c r="F4676" s="728"/>
      <c r="G4676" s="728"/>
      <c r="H4676" s="728"/>
      <c r="I4676" s="728"/>
      <c r="J4676" s="728"/>
      <c r="K4676" s="728"/>
      <c r="L4676" s="148">
        <v>1.0740099999999999</v>
      </c>
      <c r="M4676" s="728"/>
      <c r="N4676" s="148">
        <v>1.0740099999999999</v>
      </c>
      <c r="O4676" s="148">
        <v>0</v>
      </c>
      <c r="P4676" s="148">
        <v>1.0740099999999999</v>
      </c>
      <c r="Q4676" s="148">
        <v>0</v>
      </c>
      <c r="R4676" s="148">
        <v>0</v>
      </c>
    </row>
    <row r="4677" spans="2:18" ht="15.75" hidden="1" thickBot="1" x14ac:dyDescent="0.3">
      <c r="B4677" s="724" t="s">
        <v>810</v>
      </c>
      <c r="C4677" s="722" t="s">
        <v>207</v>
      </c>
      <c r="D4677" t="s">
        <v>208</v>
      </c>
      <c r="E4677" s="147">
        <v>0.11065999999999999</v>
      </c>
      <c r="F4677" s="729"/>
      <c r="G4677" s="147">
        <v>0.11065999999999999</v>
      </c>
      <c r="H4677" s="147">
        <v>0</v>
      </c>
      <c r="I4677" s="729"/>
      <c r="J4677" s="147">
        <v>0.11065999999999999</v>
      </c>
      <c r="K4677" s="147">
        <v>0</v>
      </c>
      <c r="L4677" s="147">
        <v>1.31436</v>
      </c>
      <c r="M4677" s="729"/>
      <c r="N4677" s="147">
        <v>1.31436</v>
      </c>
      <c r="O4677" s="147">
        <v>0</v>
      </c>
      <c r="P4677" s="147">
        <v>9.196E-2</v>
      </c>
      <c r="Q4677" s="147">
        <v>1.2223999999999999</v>
      </c>
      <c r="R4677" s="147">
        <v>1329.2735972161809</v>
      </c>
    </row>
    <row r="4678" spans="2:18" ht="15.75" hidden="1" thickBot="1" x14ac:dyDescent="0.3">
      <c r="B4678" s="724" t="s">
        <v>810</v>
      </c>
      <c r="C4678" s="722" t="s">
        <v>75</v>
      </c>
      <c r="D4678" t="s">
        <v>76</v>
      </c>
      <c r="E4678" s="148">
        <v>0.21537000000000001</v>
      </c>
      <c r="F4678" s="148">
        <v>1.2785299999999999</v>
      </c>
      <c r="G4678" s="148">
        <v>-1.0631600000000001</v>
      </c>
      <c r="H4678" s="148">
        <v>-83.154873174661532</v>
      </c>
      <c r="I4678" s="728"/>
      <c r="J4678" s="148">
        <v>0.21537000000000001</v>
      </c>
      <c r="K4678" s="148">
        <v>0</v>
      </c>
      <c r="L4678" s="148">
        <v>19.238320000000002</v>
      </c>
      <c r="M4678" s="148">
        <v>17.707979999999999</v>
      </c>
      <c r="N4678" s="148">
        <v>1.53034</v>
      </c>
      <c r="O4678" s="148">
        <v>8.6420924351620005</v>
      </c>
      <c r="P4678" s="148">
        <v>8.9735700000000005</v>
      </c>
      <c r="Q4678" s="148">
        <v>10.264749999999999</v>
      </c>
      <c r="R4678" s="148">
        <v>114.3886992579319</v>
      </c>
    </row>
    <row r="4679" spans="2:18" ht="15.75" hidden="1" thickBot="1" x14ac:dyDescent="0.3">
      <c r="B4679" s="724" t="s">
        <v>810</v>
      </c>
      <c r="C4679" s="722" t="s">
        <v>121</v>
      </c>
      <c r="D4679" t="s">
        <v>122</v>
      </c>
      <c r="E4679" s="147">
        <v>1.2184699999999999</v>
      </c>
      <c r="F4679" s="147">
        <v>0.75</v>
      </c>
      <c r="G4679" s="147">
        <v>0.46847</v>
      </c>
      <c r="H4679" s="147">
        <v>62.462666666666664</v>
      </c>
      <c r="I4679" s="729"/>
      <c r="J4679" s="147">
        <v>1.2184699999999999</v>
      </c>
      <c r="K4679" s="147">
        <v>0</v>
      </c>
      <c r="L4679" s="147">
        <v>21.240749999999998</v>
      </c>
      <c r="M4679" s="147">
        <v>10.8</v>
      </c>
      <c r="N4679" s="147">
        <v>10.44075</v>
      </c>
      <c r="O4679" s="147">
        <v>96.673611111111114</v>
      </c>
      <c r="P4679" s="147">
        <v>9.9945500000000003</v>
      </c>
      <c r="Q4679" s="147">
        <v>11.2462</v>
      </c>
      <c r="R4679" s="147">
        <v>112.52332521224068</v>
      </c>
    </row>
    <row r="4680" spans="2:18" ht="15.75" hidden="1" thickBot="1" x14ac:dyDescent="0.3">
      <c r="B4680" s="724" t="s">
        <v>810</v>
      </c>
      <c r="C4680" s="722" t="s">
        <v>77</v>
      </c>
      <c r="D4680" t="s">
        <v>78</v>
      </c>
      <c r="E4680" s="728"/>
      <c r="F4680" s="148">
        <v>2</v>
      </c>
      <c r="G4680" s="148">
        <v>-2</v>
      </c>
      <c r="H4680" s="148">
        <v>-100</v>
      </c>
      <c r="I4680" s="728"/>
      <c r="J4680" s="728"/>
      <c r="K4680" s="728"/>
      <c r="L4680" s="148">
        <v>8.9240600000000008</v>
      </c>
      <c r="M4680" s="148">
        <v>26</v>
      </c>
      <c r="N4680" s="148">
        <v>-17.075939999999999</v>
      </c>
      <c r="O4680" s="148">
        <v>-65.676692307692306</v>
      </c>
      <c r="P4680" s="148">
        <v>4.9870000000000001</v>
      </c>
      <c r="Q4680" s="148">
        <v>3.9370599999999998</v>
      </c>
      <c r="R4680" s="148">
        <v>78.946460798074995</v>
      </c>
    </row>
    <row r="4681" spans="2:18" ht="15.75" hidden="1" thickBot="1" x14ac:dyDescent="0.3">
      <c r="B4681" s="724" t="s">
        <v>810</v>
      </c>
      <c r="C4681" s="722" t="s">
        <v>79</v>
      </c>
      <c r="D4681" t="s">
        <v>80</v>
      </c>
      <c r="E4681" s="729"/>
      <c r="F4681" s="729"/>
      <c r="G4681" s="729"/>
      <c r="H4681" s="729"/>
      <c r="I4681" s="729"/>
      <c r="J4681" s="729"/>
      <c r="K4681" s="729"/>
      <c r="L4681" s="147">
        <v>1.97936</v>
      </c>
      <c r="M4681" s="729"/>
      <c r="N4681" s="147">
        <v>1.97936</v>
      </c>
      <c r="O4681" s="147">
        <v>0</v>
      </c>
      <c r="P4681" s="147">
        <v>0.53159999999999996</v>
      </c>
      <c r="Q4681" s="147">
        <v>1.4477599999999999</v>
      </c>
      <c r="R4681" s="147">
        <v>272.34010534236268</v>
      </c>
    </row>
    <row r="4682" spans="2:18" ht="15.75" hidden="1" thickBot="1" x14ac:dyDescent="0.3">
      <c r="B4682" s="724" t="s">
        <v>810</v>
      </c>
      <c r="C4682" s="722" t="s">
        <v>81</v>
      </c>
      <c r="D4682" t="s">
        <v>82</v>
      </c>
      <c r="E4682" s="148">
        <v>2.1120000000000001</v>
      </c>
      <c r="F4682" s="148">
        <v>4.4147100000000004</v>
      </c>
      <c r="G4682" s="148">
        <v>-2.3027099999999998</v>
      </c>
      <c r="H4682" s="148">
        <v>-52.159938025374259</v>
      </c>
      <c r="I4682" s="728"/>
      <c r="J4682" s="148">
        <v>2.1120000000000001</v>
      </c>
      <c r="K4682" s="148">
        <v>0</v>
      </c>
      <c r="L4682" s="148">
        <v>2.2120000000000002</v>
      </c>
      <c r="M4682" s="148">
        <v>6.3784700000000001</v>
      </c>
      <c r="N4682" s="148">
        <v>-4.1664700000000003</v>
      </c>
      <c r="O4682" s="148">
        <v>-65.32083712865311</v>
      </c>
      <c r="P4682" s="148">
        <v>0.1</v>
      </c>
      <c r="Q4682" s="148">
        <v>2.1120000000000001</v>
      </c>
      <c r="R4682" s="148">
        <v>2112</v>
      </c>
    </row>
    <row r="4683" spans="2:18" ht="15.75" hidden="1" thickBot="1" x14ac:dyDescent="0.3">
      <c r="B4683" s="724" t="s">
        <v>810</v>
      </c>
      <c r="C4683" s="722" t="s">
        <v>123</v>
      </c>
      <c r="D4683" t="s">
        <v>124</v>
      </c>
      <c r="E4683" s="729"/>
      <c r="F4683" s="147">
        <v>0.41471000000000002</v>
      </c>
      <c r="G4683" s="147">
        <v>-0.41471000000000002</v>
      </c>
      <c r="H4683" s="147">
        <v>-100</v>
      </c>
      <c r="I4683" s="729"/>
      <c r="J4683" s="729"/>
      <c r="K4683" s="729"/>
      <c r="L4683" s="147">
        <v>4.7172499999999999</v>
      </c>
      <c r="M4683" s="147">
        <v>1.7976399999999999</v>
      </c>
      <c r="N4683" s="147">
        <v>2.91961</v>
      </c>
      <c r="O4683" s="147">
        <v>162.4134976969805</v>
      </c>
      <c r="P4683" s="147">
        <v>4.5529599999999997</v>
      </c>
      <c r="Q4683" s="147">
        <v>0.16428999999999999</v>
      </c>
      <c r="R4683" s="147">
        <v>3.6084217739668261</v>
      </c>
    </row>
    <row r="4684" spans="2:18" ht="15.75" hidden="1" thickBot="1" x14ac:dyDescent="0.3">
      <c r="B4684" s="724" t="s">
        <v>810</v>
      </c>
      <c r="C4684" s="722" t="s">
        <v>125</v>
      </c>
      <c r="D4684" t="s">
        <v>126</v>
      </c>
      <c r="E4684" s="728"/>
      <c r="F4684" s="728"/>
      <c r="G4684" s="728"/>
      <c r="H4684" s="728"/>
      <c r="I4684" s="728"/>
      <c r="J4684" s="728"/>
      <c r="K4684" s="728"/>
      <c r="L4684" s="148">
        <v>0.33095000000000002</v>
      </c>
      <c r="M4684" s="728"/>
      <c r="N4684" s="148">
        <v>0.33095000000000002</v>
      </c>
      <c r="O4684" s="148">
        <v>0</v>
      </c>
      <c r="P4684" s="148">
        <v>0.10595</v>
      </c>
      <c r="Q4684" s="148">
        <v>0.22500000000000001</v>
      </c>
      <c r="R4684" s="148">
        <v>212.36432279377064</v>
      </c>
    </row>
    <row r="4685" spans="2:18" ht="15.75" hidden="1" thickBot="1" x14ac:dyDescent="0.3">
      <c r="B4685" s="724" t="s">
        <v>810</v>
      </c>
      <c r="C4685" s="722" t="s">
        <v>685</v>
      </c>
      <c r="D4685" t="s">
        <v>686</v>
      </c>
      <c r="E4685" s="147">
        <v>-0.29038000000000003</v>
      </c>
      <c r="F4685" s="729"/>
      <c r="G4685" s="147">
        <v>-0.29038000000000003</v>
      </c>
      <c r="H4685" s="147">
        <v>0</v>
      </c>
      <c r="I4685" s="729"/>
      <c r="J4685" s="147">
        <v>-0.29038000000000003</v>
      </c>
      <c r="K4685" s="147">
        <v>0</v>
      </c>
      <c r="L4685" s="147">
        <v>-3.42733</v>
      </c>
      <c r="M4685" s="729"/>
      <c r="N4685" s="147">
        <v>-3.42733</v>
      </c>
      <c r="O4685" s="147">
        <v>0</v>
      </c>
      <c r="P4685" s="147">
        <v>-2.2319499999999999</v>
      </c>
      <c r="Q4685" s="147">
        <v>-1.1953800000000001</v>
      </c>
      <c r="R4685" s="147">
        <v>-53.557651381079324</v>
      </c>
    </row>
    <row r="4686" spans="2:18" ht="15.75" hidden="1" thickBot="1" x14ac:dyDescent="0.3">
      <c r="B4686" s="724" t="s">
        <v>810</v>
      </c>
      <c r="C4686" s="722" t="s">
        <v>209</v>
      </c>
      <c r="D4686" t="s">
        <v>210</v>
      </c>
      <c r="E4686" s="148">
        <v>1.83819</v>
      </c>
      <c r="F4686" s="728"/>
      <c r="G4686" s="148">
        <v>1.83819</v>
      </c>
      <c r="H4686" s="148">
        <v>0</v>
      </c>
      <c r="I4686" s="728"/>
      <c r="J4686" s="148">
        <v>1.83819</v>
      </c>
      <c r="K4686" s="148">
        <v>0</v>
      </c>
      <c r="L4686" s="148">
        <v>15.38772</v>
      </c>
      <c r="M4686" s="728"/>
      <c r="N4686" s="148">
        <v>15.38772</v>
      </c>
      <c r="O4686" s="148">
        <v>0</v>
      </c>
      <c r="P4686" s="148">
        <v>8.3890999999999991</v>
      </c>
      <c r="Q4686" s="148">
        <v>6.9986199999999998</v>
      </c>
      <c r="R4686" s="148">
        <v>83.425158837062384</v>
      </c>
    </row>
    <row r="4687" spans="2:18" ht="15.75" hidden="1" thickBot="1" x14ac:dyDescent="0.3">
      <c r="B4687" s="724" t="s">
        <v>810</v>
      </c>
      <c r="C4687" s="722" t="s">
        <v>211</v>
      </c>
      <c r="D4687" t="s">
        <v>212</v>
      </c>
      <c r="E4687" s="147">
        <v>0.57004999999999995</v>
      </c>
      <c r="F4687" s="729"/>
      <c r="G4687" s="147">
        <v>0.57004999999999995</v>
      </c>
      <c r="H4687" s="147">
        <v>0</v>
      </c>
      <c r="I4687" s="729"/>
      <c r="J4687" s="147">
        <v>0.57004999999999995</v>
      </c>
      <c r="K4687" s="147">
        <v>0</v>
      </c>
      <c r="L4687" s="147">
        <v>15.41671</v>
      </c>
      <c r="M4687" s="729"/>
      <c r="N4687" s="147">
        <v>15.41671</v>
      </c>
      <c r="O4687" s="147">
        <v>0</v>
      </c>
      <c r="P4687" s="147">
        <v>7.1618500000000003</v>
      </c>
      <c r="Q4687" s="147">
        <v>8.2548600000000008</v>
      </c>
      <c r="R4687" s="147">
        <v>115.26155951325426</v>
      </c>
    </row>
    <row r="4688" spans="2:18" ht="15.75" hidden="1" thickBot="1" x14ac:dyDescent="0.3">
      <c r="B4688" s="724" t="s">
        <v>810</v>
      </c>
      <c r="C4688" s="722" t="s">
        <v>213</v>
      </c>
      <c r="D4688" t="s">
        <v>214</v>
      </c>
      <c r="E4688" s="148">
        <v>-7.2503000000000002</v>
      </c>
      <c r="F4688" s="728"/>
      <c r="G4688" s="148">
        <v>-7.2503000000000002</v>
      </c>
      <c r="H4688" s="148">
        <v>0</v>
      </c>
      <c r="I4688" s="728"/>
      <c r="J4688" s="148">
        <v>-7.2503000000000002</v>
      </c>
      <c r="K4688" s="148">
        <v>0</v>
      </c>
      <c r="L4688" s="148">
        <v>-60.487819999999999</v>
      </c>
      <c r="M4688" s="728"/>
      <c r="N4688" s="148">
        <v>-60.487819999999999</v>
      </c>
      <c r="O4688" s="148">
        <v>0</v>
      </c>
      <c r="P4688" s="148">
        <v>-30.090959999999999</v>
      </c>
      <c r="Q4688" s="148">
        <v>-30.39686</v>
      </c>
      <c r="R4688" s="148">
        <v>-101.01658438281797</v>
      </c>
    </row>
    <row r="4689" spans="2:18" ht="15.75" hidden="1" thickBot="1" x14ac:dyDescent="0.3">
      <c r="B4689" s="724" t="s">
        <v>810</v>
      </c>
      <c r="C4689" s="722" t="s">
        <v>215</v>
      </c>
      <c r="D4689" t="s">
        <v>216</v>
      </c>
      <c r="E4689" s="147">
        <v>-2.1215700000000002</v>
      </c>
      <c r="F4689" s="729"/>
      <c r="G4689" s="147">
        <v>-2.1215700000000002</v>
      </c>
      <c r="H4689" s="147">
        <v>0</v>
      </c>
      <c r="I4689" s="729"/>
      <c r="J4689" s="147">
        <v>-2.1215700000000002</v>
      </c>
      <c r="K4689" s="147">
        <v>0</v>
      </c>
      <c r="L4689" s="147">
        <v>-44.702979999999997</v>
      </c>
      <c r="M4689" s="729"/>
      <c r="N4689" s="147">
        <v>-44.702979999999997</v>
      </c>
      <c r="O4689" s="147">
        <v>0</v>
      </c>
      <c r="P4689" s="147">
        <v>-19.737030000000001</v>
      </c>
      <c r="Q4689" s="147">
        <v>-24.965949999999999</v>
      </c>
      <c r="R4689" s="147">
        <v>-126.49294245385451</v>
      </c>
    </row>
    <row r="4690" spans="2:18" ht="15.75" hidden="1" thickBot="1" x14ac:dyDescent="0.3">
      <c r="B4690" s="724" t="s">
        <v>810</v>
      </c>
      <c r="C4690" s="722" t="s">
        <v>83</v>
      </c>
      <c r="D4690" t="s">
        <v>84</v>
      </c>
      <c r="E4690" s="728"/>
      <c r="F4690" s="148">
        <v>4.91</v>
      </c>
      <c r="G4690" s="148">
        <v>-4.91</v>
      </c>
      <c r="H4690" s="148">
        <v>-100</v>
      </c>
      <c r="I4690" s="728"/>
      <c r="J4690" s="728"/>
      <c r="K4690" s="728"/>
      <c r="L4690" s="728"/>
      <c r="M4690" s="148">
        <v>52.999540000000003</v>
      </c>
      <c r="N4690" s="148">
        <v>-52.999540000000003</v>
      </c>
      <c r="O4690" s="148">
        <v>-100</v>
      </c>
      <c r="P4690" s="728"/>
      <c r="Q4690" s="728"/>
      <c r="R4690" s="728"/>
    </row>
    <row r="4691" spans="2:18" ht="15.75" hidden="1" thickBot="1" x14ac:dyDescent="0.3">
      <c r="B4691" s="724" t="s">
        <v>810</v>
      </c>
      <c r="C4691" s="149" t="s">
        <v>85</v>
      </c>
      <c r="D4691" t="s">
        <v>86</v>
      </c>
      <c r="E4691" s="147">
        <v>535.15914999999995</v>
      </c>
      <c r="F4691" s="147">
        <v>480.01355000000001</v>
      </c>
      <c r="G4691" s="147">
        <v>55.145600000000002</v>
      </c>
      <c r="H4691" s="147">
        <v>11.488342360335453</v>
      </c>
      <c r="I4691" s="729"/>
      <c r="J4691" s="147">
        <v>535.15914999999995</v>
      </c>
      <c r="K4691" s="147">
        <v>0</v>
      </c>
      <c r="L4691" s="147">
        <v>8211.8532400000004</v>
      </c>
      <c r="M4691" s="147">
        <v>7498.2149900000004</v>
      </c>
      <c r="N4691" s="147">
        <v>713.63824999999997</v>
      </c>
      <c r="O4691" s="147">
        <v>9.5174418305122508</v>
      </c>
      <c r="P4691" s="147">
        <v>4103.3232500000004</v>
      </c>
      <c r="Q4691" s="147">
        <v>4108.52999</v>
      </c>
      <c r="R4691" s="147">
        <v>100.12689080734744</v>
      </c>
    </row>
    <row r="4692" spans="2:18" ht="15.75" hidden="1" thickBot="1" x14ac:dyDescent="0.3">
      <c r="B4692" s="724" t="s">
        <v>810</v>
      </c>
      <c r="C4692" s="144" t="s">
        <v>87</v>
      </c>
      <c r="D4692" t="s">
        <v>87</v>
      </c>
      <c r="E4692" s="148">
        <v>1233.95559</v>
      </c>
      <c r="F4692" s="148">
        <v>1343.5196599999999</v>
      </c>
      <c r="G4692" s="148">
        <v>-109.56407</v>
      </c>
      <c r="H4692" s="148">
        <v>-8.1550031057974994</v>
      </c>
      <c r="I4692" s="728"/>
      <c r="J4692" s="148">
        <v>1233.95559</v>
      </c>
      <c r="K4692" s="148">
        <v>0</v>
      </c>
      <c r="L4692" s="148">
        <v>17967.274730000001</v>
      </c>
      <c r="M4692" s="148">
        <v>17371.929800000002</v>
      </c>
      <c r="N4692" s="148">
        <v>595.34492999999998</v>
      </c>
      <c r="O4692" s="148">
        <v>3.427051207632672</v>
      </c>
      <c r="P4692" s="148">
        <v>8934.8889299999992</v>
      </c>
      <c r="Q4692" s="148">
        <v>9032.3858</v>
      </c>
      <c r="R4692" s="148">
        <v>101.09119285940581</v>
      </c>
    </row>
    <row r="4693" spans="2:18" ht="15.75" hidden="1" thickBot="1" x14ac:dyDescent="0.3">
      <c r="B4693" s="725" t="s">
        <v>811</v>
      </c>
      <c r="C4693" s="722" t="s">
        <v>59</v>
      </c>
      <c r="D4693" t="s">
        <v>60</v>
      </c>
      <c r="E4693" s="147">
        <v>12.865399999999999</v>
      </c>
      <c r="F4693" s="147">
        <v>15.13828</v>
      </c>
      <c r="G4693" s="147">
        <v>-2.2728799999999998</v>
      </c>
      <c r="H4693" s="147">
        <v>-15.014123136842494</v>
      </c>
      <c r="I4693" s="729"/>
      <c r="J4693" s="147">
        <v>12.865399999999999</v>
      </c>
      <c r="K4693" s="147">
        <v>0</v>
      </c>
      <c r="L4693" s="147">
        <v>184.62916999999999</v>
      </c>
      <c r="M4693" s="147">
        <v>180.70634000000001</v>
      </c>
      <c r="N4693" s="147">
        <v>3.9228299999999998</v>
      </c>
      <c r="O4693" s="147">
        <v>2.1708314163188742</v>
      </c>
      <c r="P4693" s="147">
        <v>90.693709999999996</v>
      </c>
      <c r="Q4693" s="147">
        <v>93.935460000000006</v>
      </c>
      <c r="R4693" s="147">
        <v>103.57439341713996</v>
      </c>
    </row>
    <row r="4694" spans="2:18" ht="15.75" hidden="1" thickBot="1" x14ac:dyDescent="0.3">
      <c r="B4694" s="725" t="s">
        <v>811</v>
      </c>
      <c r="C4694" s="722" t="s">
        <v>89</v>
      </c>
      <c r="D4694" t="s">
        <v>90</v>
      </c>
      <c r="E4694" s="148">
        <v>2.8185899999999999</v>
      </c>
      <c r="F4694" s="728"/>
      <c r="G4694" s="148">
        <v>2.8185899999999999</v>
      </c>
      <c r="H4694" s="148">
        <v>0</v>
      </c>
      <c r="I4694" s="728"/>
      <c r="J4694" s="148">
        <v>2.8185899999999999</v>
      </c>
      <c r="K4694" s="148">
        <v>0</v>
      </c>
      <c r="L4694" s="148">
        <v>54.864879999999999</v>
      </c>
      <c r="M4694" s="728"/>
      <c r="N4694" s="148">
        <v>54.864879999999999</v>
      </c>
      <c r="O4694" s="148">
        <v>0</v>
      </c>
      <c r="P4694" s="148">
        <v>20.183610000000002</v>
      </c>
      <c r="Q4694" s="148">
        <v>34.681269999999998</v>
      </c>
      <c r="R4694" s="148">
        <v>171.82887501294368</v>
      </c>
    </row>
    <row r="4695" spans="2:18" ht="15.75" hidden="1" thickBot="1" x14ac:dyDescent="0.3">
      <c r="B4695" s="725" t="s">
        <v>811</v>
      </c>
      <c r="C4695" s="722" t="s">
        <v>91</v>
      </c>
      <c r="D4695" t="s">
        <v>92</v>
      </c>
      <c r="E4695" s="147">
        <v>126.5213</v>
      </c>
      <c r="F4695" s="147">
        <v>160.08081000000001</v>
      </c>
      <c r="G4695" s="147">
        <v>-33.559510000000003</v>
      </c>
      <c r="H4695" s="147">
        <v>-20.964105566432355</v>
      </c>
      <c r="I4695" s="729"/>
      <c r="J4695" s="147">
        <v>126.5213</v>
      </c>
      <c r="K4695" s="147">
        <v>0</v>
      </c>
      <c r="L4695" s="147">
        <v>1680.8815400000001</v>
      </c>
      <c r="M4695" s="147">
        <v>1869.6817799999999</v>
      </c>
      <c r="N4695" s="147">
        <v>-188.80024</v>
      </c>
      <c r="O4695" s="147">
        <v>-10.0979879046583</v>
      </c>
      <c r="P4695" s="147">
        <v>854.30091000000004</v>
      </c>
      <c r="Q4695" s="147">
        <v>826.58063000000004</v>
      </c>
      <c r="R4695" s="147">
        <v>96.755208887697421</v>
      </c>
    </row>
    <row r="4696" spans="2:18" ht="15.75" hidden="1" thickBot="1" x14ac:dyDescent="0.3">
      <c r="B4696" s="725" t="s">
        <v>811</v>
      </c>
      <c r="C4696" s="722" t="s">
        <v>93</v>
      </c>
      <c r="D4696" t="s">
        <v>94</v>
      </c>
      <c r="E4696" s="148">
        <v>29.821110000000001</v>
      </c>
      <c r="F4696" s="148">
        <v>15.383050000000001</v>
      </c>
      <c r="G4696" s="148">
        <v>14.43806</v>
      </c>
      <c r="H4696" s="148">
        <v>93.856939943639262</v>
      </c>
      <c r="I4696" s="728"/>
      <c r="J4696" s="148">
        <v>29.821110000000001</v>
      </c>
      <c r="K4696" s="148">
        <v>0</v>
      </c>
      <c r="L4696" s="148">
        <v>382.30135000000001</v>
      </c>
      <c r="M4696" s="148">
        <v>191.61605</v>
      </c>
      <c r="N4696" s="148">
        <v>190.68530000000001</v>
      </c>
      <c r="O4696" s="148">
        <v>99.514263027549106</v>
      </c>
      <c r="P4696" s="148">
        <v>176.92939000000001</v>
      </c>
      <c r="Q4696" s="148">
        <v>205.37196</v>
      </c>
      <c r="R4696" s="148">
        <v>116.07566159584906</v>
      </c>
    </row>
    <row r="4697" spans="2:18" ht="15.75" hidden="1" thickBot="1" x14ac:dyDescent="0.3">
      <c r="B4697" s="725" t="s">
        <v>811</v>
      </c>
      <c r="C4697" s="722" t="s">
        <v>61</v>
      </c>
      <c r="D4697" t="s">
        <v>62</v>
      </c>
      <c r="E4697" s="147">
        <v>26.921119999999998</v>
      </c>
      <c r="F4697" s="147">
        <v>27.15896</v>
      </c>
      <c r="G4697" s="147">
        <v>-0.23784</v>
      </c>
      <c r="H4697" s="147">
        <v>-0.8757330913996707</v>
      </c>
      <c r="I4697" s="729"/>
      <c r="J4697" s="147">
        <v>26.921119999999998</v>
      </c>
      <c r="K4697" s="147">
        <v>0</v>
      </c>
      <c r="L4697" s="147">
        <v>302.26742000000002</v>
      </c>
      <c r="M4697" s="147">
        <v>317.81009999999998</v>
      </c>
      <c r="N4697" s="147">
        <v>-15.542680000000001</v>
      </c>
      <c r="O4697" s="147">
        <v>-4.8905557123577887</v>
      </c>
      <c r="P4697" s="147">
        <v>147.21072000000001</v>
      </c>
      <c r="Q4697" s="147">
        <v>155.05670000000001</v>
      </c>
      <c r="R4697" s="147">
        <v>105.32976131086106</v>
      </c>
    </row>
    <row r="4698" spans="2:18" ht="15.75" hidden="1" thickBot="1" x14ac:dyDescent="0.3">
      <c r="B4698" s="725" t="s">
        <v>811</v>
      </c>
      <c r="C4698" s="722" t="s">
        <v>63</v>
      </c>
      <c r="D4698" t="s">
        <v>64</v>
      </c>
      <c r="E4698" s="148">
        <v>109.85932</v>
      </c>
      <c r="F4698" s="148">
        <v>105.65711</v>
      </c>
      <c r="G4698" s="148">
        <v>4.20221</v>
      </c>
      <c r="H4698" s="148">
        <v>3.9772145954020512</v>
      </c>
      <c r="I4698" s="728"/>
      <c r="J4698" s="148">
        <v>109.85932</v>
      </c>
      <c r="K4698" s="148">
        <v>0</v>
      </c>
      <c r="L4698" s="148">
        <v>1245.4726900000001</v>
      </c>
      <c r="M4698" s="148">
        <v>1236.3840499999999</v>
      </c>
      <c r="N4698" s="148">
        <v>9.0886399999999998</v>
      </c>
      <c r="O4698" s="148">
        <v>0.73509845100314908</v>
      </c>
      <c r="P4698" s="148">
        <v>603.95582999999999</v>
      </c>
      <c r="Q4698" s="148">
        <v>641.51685999999995</v>
      </c>
      <c r="R4698" s="148">
        <v>106.21916837858822</v>
      </c>
    </row>
    <row r="4699" spans="2:18" ht="15.75" hidden="1" thickBot="1" x14ac:dyDescent="0.3">
      <c r="B4699" s="725" t="s">
        <v>811</v>
      </c>
      <c r="C4699" s="722" t="s">
        <v>156</v>
      </c>
      <c r="D4699" t="s">
        <v>157</v>
      </c>
      <c r="E4699" s="729"/>
      <c r="F4699" s="729"/>
      <c r="G4699" s="729"/>
      <c r="H4699" s="729"/>
      <c r="I4699" s="729"/>
      <c r="J4699" s="729"/>
      <c r="K4699" s="729"/>
      <c r="L4699" s="147">
        <v>1.0125599999999999</v>
      </c>
      <c r="M4699" s="729"/>
      <c r="N4699" s="147">
        <v>1.0125599999999999</v>
      </c>
      <c r="O4699" s="147">
        <v>0</v>
      </c>
      <c r="P4699" s="147">
        <v>1.0125599999999999</v>
      </c>
      <c r="Q4699" s="147">
        <v>0</v>
      </c>
      <c r="R4699" s="147">
        <v>0</v>
      </c>
    </row>
    <row r="4700" spans="2:18" ht="15.75" hidden="1" thickBot="1" x14ac:dyDescent="0.3">
      <c r="B4700" s="725" t="s">
        <v>811</v>
      </c>
      <c r="C4700" s="722" t="s">
        <v>182</v>
      </c>
      <c r="D4700" t="s">
        <v>183</v>
      </c>
      <c r="E4700" s="148">
        <v>3.0118999999999998</v>
      </c>
      <c r="F4700" s="728"/>
      <c r="G4700" s="148">
        <v>3.0118999999999998</v>
      </c>
      <c r="H4700" s="148">
        <v>0</v>
      </c>
      <c r="I4700" s="728"/>
      <c r="J4700" s="148">
        <v>3.0118999999999998</v>
      </c>
      <c r="K4700" s="148">
        <v>0</v>
      </c>
      <c r="L4700" s="148">
        <v>42.40813</v>
      </c>
      <c r="M4700" s="728"/>
      <c r="N4700" s="148">
        <v>42.40813</v>
      </c>
      <c r="O4700" s="148">
        <v>0</v>
      </c>
      <c r="P4700" s="148">
        <v>18.394490000000001</v>
      </c>
      <c r="Q4700" s="148">
        <v>24.013639999999999</v>
      </c>
      <c r="R4700" s="148">
        <v>130.54800649542335</v>
      </c>
    </row>
    <row r="4701" spans="2:18" ht="15.75" hidden="1" thickBot="1" x14ac:dyDescent="0.3">
      <c r="B4701" s="725" t="s">
        <v>811</v>
      </c>
      <c r="C4701" s="722" t="s">
        <v>184</v>
      </c>
      <c r="D4701" t="s">
        <v>185</v>
      </c>
      <c r="E4701" s="147">
        <v>205.88176000000001</v>
      </c>
      <c r="F4701" s="729"/>
      <c r="G4701" s="147">
        <v>205.88176000000001</v>
      </c>
      <c r="H4701" s="147">
        <v>0</v>
      </c>
      <c r="I4701" s="729"/>
      <c r="J4701" s="147">
        <v>205.88176000000001</v>
      </c>
      <c r="K4701" s="147">
        <v>0</v>
      </c>
      <c r="L4701" s="147">
        <v>2088.2986299999998</v>
      </c>
      <c r="M4701" s="729"/>
      <c r="N4701" s="147">
        <v>2088.2986299999998</v>
      </c>
      <c r="O4701" s="147">
        <v>0</v>
      </c>
      <c r="P4701" s="147">
        <v>1063.5216399999999</v>
      </c>
      <c r="Q4701" s="147">
        <v>1024.7769900000001</v>
      </c>
      <c r="R4701" s="147">
        <v>96.356947659287869</v>
      </c>
    </row>
    <row r="4702" spans="2:18" ht="15.75" hidden="1" thickBot="1" x14ac:dyDescent="0.3">
      <c r="B4702" s="725" t="s">
        <v>811</v>
      </c>
      <c r="C4702" s="722" t="s">
        <v>161</v>
      </c>
      <c r="D4702" t="s">
        <v>162</v>
      </c>
      <c r="E4702" s="148">
        <v>31.450970000000002</v>
      </c>
      <c r="F4702" s="728"/>
      <c r="G4702" s="148">
        <v>31.450970000000002</v>
      </c>
      <c r="H4702" s="148">
        <v>0</v>
      </c>
      <c r="I4702" s="728"/>
      <c r="J4702" s="148">
        <v>31.450970000000002</v>
      </c>
      <c r="K4702" s="148">
        <v>0</v>
      </c>
      <c r="L4702" s="148">
        <v>300.77472999999998</v>
      </c>
      <c r="M4702" s="728"/>
      <c r="N4702" s="148">
        <v>300.77472999999998</v>
      </c>
      <c r="O4702" s="148">
        <v>0</v>
      </c>
      <c r="P4702" s="148">
        <v>145.21749</v>
      </c>
      <c r="Q4702" s="148">
        <v>155.55724000000001</v>
      </c>
      <c r="R4702" s="148">
        <v>107.1201822865827</v>
      </c>
    </row>
    <row r="4703" spans="2:18" ht="15.75" hidden="1" thickBot="1" x14ac:dyDescent="0.3">
      <c r="B4703" s="725" t="s">
        <v>811</v>
      </c>
      <c r="C4703" s="722" t="s">
        <v>65</v>
      </c>
      <c r="D4703" t="s">
        <v>66</v>
      </c>
      <c r="E4703" s="147">
        <v>-3.1053000000000002</v>
      </c>
      <c r="F4703" s="147">
        <v>-3.9919500000000001</v>
      </c>
      <c r="G4703" s="147">
        <v>0.88665000000000005</v>
      </c>
      <c r="H4703" s="147">
        <v>22.210949535941083</v>
      </c>
      <c r="I4703" s="729"/>
      <c r="J4703" s="147">
        <v>-3.1053000000000002</v>
      </c>
      <c r="K4703" s="147">
        <v>0</v>
      </c>
      <c r="L4703" s="147">
        <v>-63.809310000000004</v>
      </c>
      <c r="M4703" s="147">
        <v>-47.652099999999997</v>
      </c>
      <c r="N4703" s="147">
        <v>-16.157209999999999</v>
      </c>
      <c r="O4703" s="147">
        <v>-33.906606424480771</v>
      </c>
      <c r="P4703" s="147">
        <v>-33.290959999999998</v>
      </c>
      <c r="Q4703" s="147">
        <v>-30.518350000000002</v>
      </c>
      <c r="R4703" s="147">
        <v>-91.671582916203079</v>
      </c>
    </row>
    <row r="4704" spans="2:18" ht="15.75" hidden="1" thickBot="1" x14ac:dyDescent="0.3">
      <c r="B4704" s="725" t="s">
        <v>811</v>
      </c>
      <c r="C4704" s="722" t="s">
        <v>186</v>
      </c>
      <c r="D4704" t="s">
        <v>187</v>
      </c>
      <c r="E4704" s="148">
        <v>-2.6587000000000001</v>
      </c>
      <c r="F4704" s="728"/>
      <c r="G4704" s="148">
        <v>-2.6587000000000001</v>
      </c>
      <c r="H4704" s="148">
        <v>0</v>
      </c>
      <c r="I4704" s="728"/>
      <c r="J4704" s="148">
        <v>-2.6587000000000001</v>
      </c>
      <c r="K4704" s="148">
        <v>0</v>
      </c>
      <c r="L4704" s="148">
        <v>-63.261389999999999</v>
      </c>
      <c r="M4704" s="728"/>
      <c r="N4704" s="148">
        <v>-63.261389999999999</v>
      </c>
      <c r="O4704" s="148">
        <v>0</v>
      </c>
      <c r="P4704" s="148">
        <v>-25.008410000000001</v>
      </c>
      <c r="Q4704" s="148">
        <v>-38.252980000000001</v>
      </c>
      <c r="R4704" s="148">
        <v>-152.96046409987679</v>
      </c>
    </row>
    <row r="4705" spans="2:18" ht="15.75" hidden="1" thickBot="1" x14ac:dyDescent="0.3">
      <c r="B4705" s="725" t="s">
        <v>811</v>
      </c>
      <c r="C4705" s="722" t="s">
        <v>163</v>
      </c>
      <c r="D4705" t="s">
        <v>164</v>
      </c>
      <c r="E4705" s="147">
        <v>-235.93186</v>
      </c>
      <c r="F4705" s="147">
        <v>-42.213320000000003</v>
      </c>
      <c r="G4705" s="147">
        <v>-193.71853999999999</v>
      </c>
      <c r="H4705" s="147">
        <v>-458.9038246695593</v>
      </c>
      <c r="I4705" s="729"/>
      <c r="J4705" s="147">
        <v>-235.93186</v>
      </c>
      <c r="K4705" s="147">
        <v>0</v>
      </c>
      <c r="L4705" s="147">
        <v>-2825.0819299999998</v>
      </c>
      <c r="M4705" s="147">
        <v>-493.03512000000001</v>
      </c>
      <c r="N4705" s="147">
        <v>-2332.0468099999998</v>
      </c>
      <c r="O4705" s="147">
        <v>-472.99811218316455</v>
      </c>
      <c r="P4705" s="147">
        <v>-1380.9552799999999</v>
      </c>
      <c r="Q4705" s="147">
        <v>-1444.1266499999999</v>
      </c>
      <c r="R4705" s="147">
        <v>-104.57446891401146</v>
      </c>
    </row>
    <row r="4706" spans="2:18" ht="15.75" hidden="1" thickBot="1" x14ac:dyDescent="0.3">
      <c r="B4706" s="725" t="s">
        <v>811</v>
      </c>
      <c r="C4706" s="722" t="s">
        <v>97</v>
      </c>
      <c r="D4706" t="s">
        <v>98</v>
      </c>
      <c r="E4706" s="148">
        <v>-36.838459999999998</v>
      </c>
      <c r="F4706" s="728"/>
      <c r="G4706" s="148">
        <v>-36.838459999999998</v>
      </c>
      <c r="H4706" s="148">
        <v>0</v>
      </c>
      <c r="I4706" s="728"/>
      <c r="J4706" s="148">
        <v>-36.838459999999998</v>
      </c>
      <c r="K4706" s="148">
        <v>0</v>
      </c>
      <c r="L4706" s="148">
        <v>-440.3331</v>
      </c>
      <c r="M4706" s="728"/>
      <c r="N4706" s="148">
        <v>-440.3331</v>
      </c>
      <c r="O4706" s="148">
        <v>0</v>
      </c>
      <c r="P4706" s="148">
        <v>-207.99831</v>
      </c>
      <c r="Q4706" s="148">
        <v>-232.33479</v>
      </c>
      <c r="R4706" s="148">
        <v>-111.70032583437818</v>
      </c>
    </row>
    <row r="4707" spans="2:18" ht="15.75" hidden="1" thickBot="1" x14ac:dyDescent="0.3">
      <c r="B4707" s="725" t="s">
        <v>811</v>
      </c>
      <c r="C4707" s="149" t="s">
        <v>67</v>
      </c>
      <c r="D4707" t="s">
        <v>68</v>
      </c>
      <c r="E4707" s="147">
        <v>270.61714999999998</v>
      </c>
      <c r="F4707" s="147">
        <v>277.21294</v>
      </c>
      <c r="G4707" s="147">
        <v>-6.59579</v>
      </c>
      <c r="H4707" s="147">
        <v>-2.379322552547511</v>
      </c>
      <c r="I4707" s="729"/>
      <c r="J4707" s="147">
        <v>270.61714999999998</v>
      </c>
      <c r="K4707" s="147">
        <v>0</v>
      </c>
      <c r="L4707" s="147">
        <v>2890.4253699999999</v>
      </c>
      <c r="M4707" s="147">
        <v>3255.5111000000002</v>
      </c>
      <c r="N4707" s="147">
        <v>-365.08573000000001</v>
      </c>
      <c r="O4707" s="147">
        <v>-11.214390576029675</v>
      </c>
      <c r="P4707" s="147">
        <v>1474.1673900000001</v>
      </c>
      <c r="Q4707" s="147">
        <v>1416.2579800000001</v>
      </c>
      <c r="R4707" s="147">
        <v>96.071720864751995</v>
      </c>
    </row>
    <row r="4708" spans="2:18" ht="15.75" hidden="1" thickBot="1" x14ac:dyDescent="0.3">
      <c r="B4708" s="725" t="s">
        <v>811</v>
      </c>
      <c r="C4708" s="722" t="s">
        <v>99</v>
      </c>
      <c r="D4708" t="s">
        <v>100</v>
      </c>
      <c r="E4708" s="148">
        <v>56.631340000000002</v>
      </c>
      <c r="F4708" s="148">
        <v>38</v>
      </c>
      <c r="G4708" s="148">
        <v>18.631340000000002</v>
      </c>
      <c r="H4708" s="148">
        <v>49.029842105263157</v>
      </c>
      <c r="I4708" s="728"/>
      <c r="J4708" s="148">
        <v>56.631340000000002</v>
      </c>
      <c r="K4708" s="148">
        <v>0</v>
      </c>
      <c r="L4708" s="148">
        <v>408.04012</v>
      </c>
      <c r="M4708" s="148">
        <v>464</v>
      </c>
      <c r="N4708" s="148">
        <v>-55.959879999999998</v>
      </c>
      <c r="O4708" s="148">
        <v>-12.060318965517242</v>
      </c>
      <c r="P4708" s="148">
        <v>215.68075999999999</v>
      </c>
      <c r="Q4708" s="148">
        <v>192.35936000000001</v>
      </c>
      <c r="R4708" s="148">
        <v>89.187074452074441</v>
      </c>
    </row>
    <row r="4709" spans="2:18" ht="15.75" hidden="1" thickBot="1" x14ac:dyDescent="0.3">
      <c r="B4709" s="725" t="s">
        <v>811</v>
      </c>
      <c r="C4709" s="722" t="s">
        <v>165</v>
      </c>
      <c r="D4709" t="s">
        <v>166</v>
      </c>
      <c r="E4709" s="147">
        <v>36.509120000000003</v>
      </c>
      <c r="F4709" s="729"/>
      <c r="G4709" s="147">
        <v>36.509120000000003</v>
      </c>
      <c r="H4709" s="147">
        <v>0</v>
      </c>
      <c r="I4709" s="729"/>
      <c r="J4709" s="147">
        <v>36.509120000000003</v>
      </c>
      <c r="K4709" s="147">
        <v>0</v>
      </c>
      <c r="L4709" s="147">
        <v>368.36356999999998</v>
      </c>
      <c r="M4709" s="729"/>
      <c r="N4709" s="147">
        <v>368.36356999999998</v>
      </c>
      <c r="O4709" s="147">
        <v>0</v>
      </c>
      <c r="P4709" s="147">
        <v>208.59784999999999</v>
      </c>
      <c r="Q4709" s="147">
        <v>159.76571999999999</v>
      </c>
      <c r="R4709" s="147">
        <v>76.590300427353398</v>
      </c>
    </row>
    <row r="4710" spans="2:18" ht="15.75" hidden="1" thickBot="1" x14ac:dyDescent="0.3">
      <c r="B4710" s="725" t="s">
        <v>811</v>
      </c>
      <c r="C4710" s="722" t="s">
        <v>188</v>
      </c>
      <c r="D4710" t="s">
        <v>189</v>
      </c>
      <c r="E4710" s="728"/>
      <c r="F4710" s="728"/>
      <c r="G4710" s="728"/>
      <c r="H4710" s="728"/>
      <c r="I4710" s="728"/>
      <c r="J4710" s="728"/>
      <c r="K4710" s="728"/>
      <c r="L4710" s="148">
        <v>0.20699999999999999</v>
      </c>
      <c r="M4710" s="728"/>
      <c r="N4710" s="148">
        <v>0.20699999999999999</v>
      </c>
      <c r="O4710" s="148">
        <v>0</v>
      </c>
      <c r="P4710" s="148">
        <v>0.20699999999999999</v>
      </c>
      <c r="Q4710" s="148">
        <v>0</v>
      </c>
      <c r="R4710" s="148">
        <v>0</v>
      </c>
    </row>
    <row r="4711" spans="2:18" ht="15.75" hidden="1" thickBot="1" x14ac:dyDescent="0.3">
      <c r="B4711" s="725" t="s">
        <v>811</v>
      </c>
      <c r="C4711" s="722" t="s">
        <v>592</v>
      </c>
      <c r="D4711" t="s">
        <v>593</v>
      </c>
      <c r="E4711" s="729"/>
      <c r="F4711" s="729"/>
      <c r="G4711" s="729"/>
      <c r="H4711" s="729"/>
      <c r="I4711" s="729"/>
      <c r="J4711" s="729"/>
      <c r="K4711" s="729"/>
      <c r="L4711" s="147">
        <v>0.09</v>
      </c>
      <c r="M4711" s="729"/>
      <c r="N4711" s="147">
        <v>0.09</v>
      </c>
      <c r="O4711" s="147">
        <v>0</v>
      </c>
      <c r="P4711" s="729"/>
      <c r="Q4711" s="147">
        <v>0.09</v>
      </c>
      <c r="R4711" s="147">
        <v>0</v>
      </c>
    </row>
    <row r="4712" spans="2:18" ht="15.75" hidden="1" thickBot="1" x14ac:dyDescent="0.3">
      <c r="B4712" s="725" t="s">
        <v>811</v>
      </c>
      <c r="C4712" s="722" t="s">
        <v>137</v>
      </c>
      <c r="D4712" t="s">
        <v>138</v>
      </c>
      <c r="E4712" s="148">
        <v>1.9587300000000001</v>
      </c>
      <c r="F4712" s="148">
        <v>0.14000000000000001</v>
      </c>
      <c r="G4712" s="148">
        <v>1.81873</v>
      </c>
      <c r="H4712" s="148">
        <v>1299.0928571428572</v>
      </c>
      <c r="I4712" s="728"/>
      <c r="J4712" s="148">
        <v>1.9587300000000001</v>
      </c>
      <c r="K4712" s="148">
        <v>0</v>
      </c>
      <c r="L4712" s="148">
        <v>12.2249</v>
      </c>
      <c r="M4712" s="148">
        <v>2.5</v>
      </c>
      <c r="N4712" s="148">
        <v>9.7248999999999999</v>
      </c>
      <c r="O4712" s="148">
        <v>388.99599999999998</v>
      </c>
      <c r="P4712" s="148">
        <v>4.8684900000000004</v>
      </c>
      <c r="Q4712" s="148">
        <v>7.3564100000000003</v>
      </c>
      <c r="R4712" s="148">
        <v>151.10249789975947</v>
      </c>
    </row>
    <row r="4713" spans="2:18" ht="15.75" hidden="1" thickBot="1" x14ac:dyDescent="0.3">
      <c r="B4713" s="725" t="s">
        <v>811</v>
      </c>
      <c r="C4713" s="722" t="s">
        <v>190</v>
      </c>
      <c r="D4713" t="s">
        <v>191</v>
      </c>
      <c r="E4713" s="147">
        <v>1.46</v>
      </c>
      <c r="F4713" s="147">
        <v>1.46</v>
      </c>
      <c r="G4713" s="147">
        <v>0</v>
      </c>
      <c r="H4713" s="147">
        <v>0</v>
      </c>
      <c r="I4713" s="729"/>
      <c r="J4713" s="147">
        <v>1.46</v>
      </c>
      <c r="K4713" s="147">
        <v>0</v>
      </c>
      <c r="L4713" s="147">
        <v>17.765630000000002</v>
      </c>
      <c r="M4713" s="147">
        <v>17.559999999999999</v>
      </c>
      <c r="N4713" s="147">
        <v>0.20563000000000001</v>
      </c>
      <c r="O4713" s="147">
        <v>1.1710136674259681</v>
      </c>
      <c r="P4713" s="147">
        <v>8.9776299999999996</v>
      </c>
      <c r="Q4713" s="147">
        <v>8.7880000000000003</v>
      </c>
      <c r="R4713" s="147">
        <v>97.887749884991919</v>
      </c>
    </row>
    <row r="4714" spans="2:18" ht="15.75" hidden="1" thickBot="1" x14ac:dyDescent="0.3">
      <c r="B4714" s="725" t="s">
        <v>811</v>
      </c>
      <c r="C4714" s="722" t="s">
        <v>36</v>
      </c>
      <c r="D4714" t="s">
        <v>192</v>
      </c>
      <c r="E4714" s="148">
        <v>18.96388</v>
      </c>
      <c r="F4714" s="148">
        <v>18</v>
      </c>
      <c r="G4714" s="148">
        <v>0.96387999999999996</v>
      </c>
      <c r="H4714" s="148">
        <v>5.3548888888888886</v>
      </c>
      <c r="I4714" s="728"/>
      <c r="J4714" s="148">
        <v>18.96388</v>
      </c>
      <c r="K4714" s="148">
        <v>0</v>
      </c>
      <c r="L4714" s="148">
        <v>217.99315999999999</v>
      </c>
      <c r="M4714" s="148">
        <v>216</v>
      </c>
      <c r="N4714" s="148">
        <v>1.99316</v>
      </c>
      <c r="O4714" s="148">
        <v>0.92275925925925928</v>
      </c>
      <c r="P4714" s="148">
        <v>111.75514</v>
      </c>
      <c r="Q4714" s="148">
        <v>106.23802000000001</v>
      </c>
      <c r="R4714" s="148">
        <v>95.063206936164192</v>
      </c>
    </row>
    <row r="4715" spans="2:18" ht="15.75" hidden="1" thickBot="1" x14ac:dyDescent="0.3">
      <c r="B4715" s="725" t="s">
        <v>811</v>
      </c>
      <c r="C4715" s="722" t="s">
        <v>596</v>
      </c>
      <c r="D4715" t="s">
        <v>597</v>
      </c>
      <c r="E4715" s="729"/>
      <c r="F4715" s="147">
        <v>0</v>
      </c>
      <c r="G4715" s="147">
        <v>0</v>
      </c>
      <c r="H4715" s="147">
        <v>0</v>
      </c>
      <c r="I4715" s="729"/>
      <c r="J4715" s="729"/>
      <c r="K4715" s="729"/>
      <c r="L4715" s="729"/>
      <c r="M4715" s="147">
        <v>2</v>
      </c>
      <c r="N4715" s="147">
        <v>-2</v>
      </c>
      <c r="O4715" s="147">
        <v>-100</v>
      </c>
      <c r="P4715" s="729"/>
      <c r="Q4715" s="729"/>
      <c r="R4715" s="729"/>
    </row>
    <row r="4716" spans="2:18" ht="15.75" hidden="1" thickBot="1" x14ac:dyDescent="0.3">
      <c r="B4716" s="725" t="s">
        <v>811</v>
      </c>
      <c r="C4716" s="722" t="s">
        <v>139</v>
      </c>
      <c r="D4716" t="s">
        <v>140</v>
      </c>
      <c r="E4716" s="728"/>
      <c r="F4716" s="728"/>
      <c r="G4716" s="728"/>
      <c r="H4716" s="728"/>
      <c r="I4716" s="728"/>
      <c r="J4716" s="728"/>
      <c r="K4716" s="728"/>
      <c r="L4716" s="148">
        <v>0.10199999999999999</v>
      </c>
      <c r="M4716" s="728"/>
      <c r="N4716" s="148">
        <v>0.10199999999999999</v>
      </c>
      <c r="O4716" s="148">
        <v>0</v>
      </c>
      <c r="P4716" s="728"/>
      <c r="Q4716" s="148">
        <v>0.10199999999999999</v>
      </c>
      <c r="R4716" s="148">
        <v>0</v>
      </c>
    </row>
    <row r="4717" spans="2:18" ht="15.75" hidden="1" thickBot="1" x14ac:dyDescent="0.3">
      <c r="B4717" s="725" t="s">
        <v>811</v>
      </c>
      <c r="C4717" s="722" t="s">
        <v>101</v>
      </c>
      <c r="D4717" t="s">
        <v>102</v>
      </c>
      <c r="E4717" s="147">
        <v>2.7661799999999999</v>
      </c>
      <c r="F4717" s="147">
        <v>2</v>
      </c>
      <c r="G4717" s="147">
        <v>0.76617999999999997</v>
      </c>
      <c r="H4717" s="147">
        <v>38.308999999999997</v>
      </c>
      <c r="I4717" s="729"/>
      <c r="J4717" s="147">
        <v>2.7661799999999999</v>
      </c>
      <c r="K4717" s="147">
        <v>0</v>
      </c>
      <c r="L4717" s="147">
        <v>22.460909999999998</v>
      </c>
      <c r="M4717" s="147">
        <v>22.7</v>
      </c>
      <c r="N4717" s="147">
        <v>-0.23909</v>
      </c>
      <c r="O4717" s="147">
        <v>-1.0532599118942731</v>
      </c>
      <c r="P4717" s="147">
        <v>-19.87256</v>
      </c>
      <c r="Q4717" s="147">
        <v>42.333469999999998</v>
      </c>
      <c r="R4717" s="147">
        <v>213.02474366664384</v>
      </c>
    </row>
    <row r="4718" spans="2:18" ht="15.75" hidden="1" thickBot="1" x14ac:dyDescent="0.3">
      <c r="B4718" s="725" t="s">
        <v>811</v>
      </c>
      <c r="C4718" s="722" t="s">
        <v>605</v>
      </c>
      <c r="D4718" t="s">
        <v>606</v>
      </c>
      <c r="E4718" s="728"/>
      <c r="F4718" s="728"/>
      <c r="G4718" s="728"/>
      <c r="H4718" s="728"/>
      <c r="I4718" s="728"/>
      <c r="J4718" s="728"/>
      <c r="K4718" s="728"/>
      <c r="L4718" s="148">
        <v>1.3392999999999999</v>
      </c>
      <c r="M4718" s="728"/>
      <c r="N4718" s="148">
        <v>1.3392999999999999</v>
      </c>
      <c r="O4718" s="148">
        <v>0</v>
      </c>
      <c r="P4718" s="148">
        <v>1.3392999999999999</v>
      </c>
      <c r="Q4718" s="148">
        <v>0</v>
      </c>
      <c r="R4718" s="148">
        <v>0</v>
      </c>
    </row>
    <row r="4719" spans="2:18" ht="15.75" hidden="1" thickBot="1" x14ac:dyDescent="0.3">
      <c r="B4719" s="725" t="s">
        <v>811</v>
      </c>
      <c r="C4719" s="722" t="s">
        <v>462</v>
      </c>
      <c r="D4719" t="s">
        <v>463</v>
      </c>
      <c r="E4719" s="729"/>
      <c r="F4719" s="729"/>
      <c r="G4719" s="729"/>
      <c r="H4719" s="729"/>
      <c r="I4719" s="729"/>
      <c r="J4719" s="729"/>
      <c r="K4719" s="729"/>
      <c r="L4719" s="147">
        <v>10.324199999999999</v>
      </c>
      <c r="M4719" s="729"/>
      <c r="N4719" s="147">
        <v>10.324199999999999</v>
      </c>
      <c r="O4719" s="147">
        <v>0</v>
      </c>
      <c r="P4719" s="147">
        <v>10.9642</v>
      </c>
      <c r="Q4719" s="147">
        <v>-0.64</v>
      </c>
      <c r="R4719" s="147">
        <v>-5.8371791831597379</v>
      </c>
    </row>
    <row r="4720" spans="2:18" ht="15.75" hidden="1" thickBot="1" x14ac:dyDescent="0.3">
      <c r="B4720" s="725" t="s">
        <v>811</v>
      </c>
      <c r="C4720" s="722" t="s">
        <v>615</v>
      </c>
      <c r="D4720" t="s">
        <v>616</v>
      </c>
      <c r="E4720" s="148">
        <v>1.6</v>
      </c>
      <c r="F4720" s="728"/>
      <c r="G4720" s="148">
        <v>1.6</v>
      </c>
      <c r="H4720" s="148">
        <v>0</v>
      </c>
      <c r="I4720" s="728"/>
      <c r="J4720" s="148">
        <v>1.6</v>
      </c>
      <c r="K4720" s="148">
        <v>0</v>
      </c>
      <c r="L4720" s="148">
        <v>1.6</v>
      </c>
      <c r="M4720" s="728"/>
      <c r="N4720" s="148">
        <v>1.6</v>
      </c>
      <c r="O4720" s="148">
        <v>0</v>
      </c>
      <c r="P4720" s="728"/>
      <c r="Q4720" s="148">
        <v>1.6</v>
      </c>
      <c r="R4720" s="148">
        <v>0</v>
      </c>
    </row>
    <row r="4721" spans="2:18" ht="15.75" hidden="1" thickBot="1" x14ac:dyDescent="0.3">
      <c r="B4721" s="725" t="s">
        <v>811</v>
      </c>
      <c r="C4721" s="722" t="s">
        <v>193</v>
      </c>
      <c r="D4721" t="s">
        <v>194</v>
      </c>
      <c r="E4721" s="729"/>
      <c r="F4721" s="729"/>
      <c r="G4721" s="729"/>
      <c r="H4721" s="729"/>
      <c r="I4721" s="729"/>
      <c r="J4721" s="729"/>
      <c r="K4721" s="729"/>
      <c r="L4721" s="147">
        <v>4.4923000000000002</v>
      </c>
      <c r="M4721" s="729"/>
      <c r="N4721" s="147">
        <v>4.4923000000000002</v>
      </c>
      <c r="O4721" s="147">
        <v>0</v>
      </c>
      <c r="P4721" s="147">
        <v>2.9482499999999998</v>
      </c>
      <c r="Q4721" s="147">
        <v>1.5440499999999999</v>
      </c>
      <c r="R4721" s="147">
        <v>52.371745950987872</v>
      </c>
    </row>
    <row r="4722" spans="2:18" ht="15.75" hidden="1" thickBot="1" x14ac:dyDescent="0.3">
      <c r="B4722" s="725" t="s">
        <v>811</v>
      </c>
      <c r="C4722" s="722" t="s">
        <v>195</v>
      </c>
      <c r="D4722" t="s">
        <v>196</v>
      </c>
      <c r="E4722" s="728"/>
      <c r="F4722" s="728"/>
      <c r="G4722" s="728"/>
      <c r="H4722" s="728"/>
      <c r="I4722" s="728"/>
      <c r="J4722" s="728"/>
      <c r="K4722" s="728"/>
      <c r="L4722" s="148">
        <v>0.57999999999999996</v>
      </c>
      <c r="M4722" s="728"/>
      <c r="N4722" s="148">
        <v>0.57999999999999996</v>
      </c>
      <c r="O4722" s="148">
        <v>0</v>
      </c>
      <c r="P4722" s="148">
        <v>0.57999999999999996</v>
      </c>
      <c r="Q4722" s="148">
        <v>0</v>
      </c>
      <c r="R4722" s="148">
        <v>0</v>
      </c>
    </row>
    <row r="4723" spans="2:18" ht="15.75" hidden="1" thickBot="1" x14ac:dyDescent="0.3">
      <c r="B4723" s="725" t="s">
        <v>811</v>
      </c>
      <c r="C4723" s="722" t="s">
        <v>197</v>
      </c>
      <c r="D4723" t="s">
        <v>198</v>
      </c>
      <c r="E4723" s="729"/>
      <c r="F4723" s="729"/>
      <c r="G4723" s="729"/>
      <c r="H4723" s="729"/>
      <c r="I4723" s="729"/>
      <c r="J4723" s="729"/>
      <c r="K4723" s="729"/>
      <c r="L4723" s="147">
        <v>0.20760000000000001</v>
      </c>
      <c r="M4723" s="729"/>
      <c r="N4723" s="147">
        <v>0.20760000000000001</v>
      </c>
      <c r="O4723" s="147">
        <v>0</v>
      </c>
      <c r="P4723" s="147">
        <v>0.20760000000000001</v>
      </c>
      <c r="Q4723" s="147">
        <v>0</v>
      </c>
      <c r="R4723" s="147">
        <v>0</v>
      </c>
    </row>
    <row r="4724" spans="2:18" ht="15.75" hidden="1" thickBot="1" x14ac:dyDescent="0.3">
      <c r="B4724" s="725" t="s">
        <v>811</v>
      </c>
      <c r="C4724" s="722" t="s">
        <v>103</v>
      </c>
      <c r="D4724" t="s">
        <v>104</v>
      </c>
      <c r="E4724" s="728"/>
      <c r="F4724" s="728"/>
      <c r="G4724" s="728"/>
      <c r="H4724" s="728"/>
      <c r="I4724" s="728"/>
      <c r="J4724" s="728"/>
      <c r="K4724" s="728"/>
      <c r="L4724" s="148">
        <v>0.49964999999999998</v>
      </c>
      <c r="M4724" s="728"/>
      <c r="N4724" s="148">
        <v>0.49964999999999998</v>
      </c>
      <c r="O4724" s="148">
        <v>0</v>
      </c>
      <c r="P4724" s="148">
        <v>0.45606000000000002</v>
      </c>
      <c r="Q4724" s="148">
        <v>4.3589999999999997E-2</v>
      </c>
      <c r="R4724" s="148">
        <v>9.5579529009340884</v>
      </c>
    </row>
    <row r="4725" spans="2:18" ht="15.75" hidden="1" thickBot="1" x14ac:dyDescent="0.3">
      <c r="B4725" s="725" t="s">
        <v>811</v>
      </c>
      <c r="C4725" s="722" t="s">
        <v>71</v>
      </c>
      <c r="D4725" t="s">
        <v>72</v>
      </c>
      <c r="E4725" s="729"/>
      <c r="F4725" s="729"/>
      <c r="G4725" s="729"/>
      <c r="H4725" s="729"/>
      <c r="I4725" s="729"/>
      <c r="J4725" s="729"/>
      <c r="K4725" s="729"/>
      <c r="L4725" s="147">
        <v>0</v>
      </c>
      <c r="M4725" s="729"/>
      <c r="N4725" s="147">
        <v>0</v>
      </c>
      <c r="O4725" s="147">
        <v>0</v>
      </c>
      <c r="P4725" s="147">
        <v>1.89317</v>
      </c>
      <c r="Q4725" s="147">
        <v>-1.89317</v>
      </c>
      <c r="R4725" s="147">
        <v>-100</v>
      </c>
    </row>
    <row r="4726" spans="2:18" ht="15.75" hidden="1" thickBot="1" x14ac:dyDescent="0.3">
      <c r="B4726" s="725" t="s">
        <v>811</v>
      </c>
      <c r="C4726" s="722" t="s">
        <v>627</v>
      </c>
      <c r="D4726" t="s">
        <v>628</v>
      </c>
      <c r="E4726" s="148">
        <v>2.4750000000000001E-2</v>
      </c>
      <c r="F4726" s="728"/>
      <c r="G4726" s="148">
        <v>2.4750000000000001E-2</v>
      </c>
      <c r="H4726" s="148">
        <v>0</v>
      </c>
      <c r="I4726" s="728"/>
      <c r="J4726" s="148">
        <v>2.4750000000000001E-2</v>
      </c>
      <c r="K4726" s="148">
        <v>0</v>
      </c>
      <c r="L4726" s="148">
        <v>0.28935</v>
      </c>
      <c r="M4726" s="728"/>
      <c r="N4726" s="148">
        <v>0.28935</v>
      </c>
      <c r="O4726" s="148">
        <v>0</v>
      </c>
      <c r="P4726" s="148">
        <v>0.14566999999999999</v>
      </c>
      <c r="Q4726" s="148">
        <v>0.14368</v>
      </c>
      <c r="R4726" s="148">
        <v>98.633898537790898</v>
      </c>
    </row>
    <row r="4727" spans="2:18" ht="15.75" hidden="1" thickBot="1" x14ac:dyDescent="0.3">
      <c r="B4727" s="725" t="s">
        <v>811</v>
      </c>
      <c r="C4727" s="722" t="s">
        <v>109</v>
      </c>
      <c r="D4727" t="s">
        <v>110</v>
      </c>
      <c r="E4727" s="729"/>
      <c r="F4727" s="729"/>
      <c r="G4727" s="729"/>
      <c r="H4727" s="729"/>
      <c r="I4727" s="729"/>
      <c r="J4727" s="729"/>
      <c r="K4727" s="729"/>
      <c r="L4727" s="147">
        <v>1.7604299999999999</v>
      </c>
      <c r="M4727" s="729"/>
      <c r="N4727" s="147">
        <v>1.7604299999999999</v>
      </c>
      <c r="O4727" s="147">
        <v>0</v>
      </c>
      <c r="P4727" s="147">
        <v>1.66188</v>
      </c>
      <c r="Q4727" s="147">
        <v>9.8549999999999999E-2</v>
      </c>
      <c r="R4727" s="147">
        <v>5.9300310491732251</v>
      </c>
    </row>
    <row r="4728" spans="2:18" ht="15.75" hidden="1" thickBot="1" x14ac:dyDescent="0.3">
      <c r="B4728" s="725" t="s">
        <v>811</v>
      </c>
      <c r="C4728" s="722" t="s">
        <v>199</v>
      </c>
      <c r="D4728" t="s">
        <v>200</v>
      </c>
      <c r="E4728" s="148">
        <v>9.4313800000000008</v>
      </c>
      <c r="F4728" s="148">
        <v>28</v>
      </c>
      <c r="G4728" s="148">
        <v>-18.568619999999999</v>
      </c>
      <c r="H4728" s="148">
        <v>-66.316500000000005</v>
      </c>
      <c r="I4728" s="728"/>
      <c r="J4728" s="148">
        <v>9.4313800000000008</v>
      </c>
      <c r="K4728" s="148">
        <v>0</v>
      </c>
      <c r="L4728" s="148">
        <v>71.842100000000002</v>
      </c>
      <c r="M4728" s="148">
        <v>165</v>
      </c>
      <c r="N4728" s="148">
        <v>-93.157899999999998</v>
      </c>
      <c r="O4728" s="148">
        <v>-56.459333333333333</v>
      </c>
      <c r="P4728" s="148">
        <v>54.662300000000002</v>
      </c>
      <c r="Q4728" s="148">
        <v>17.1798</v>
      </c>
      <c r="R4728" s="148">
        <v>31.428973899744431</v>
      </c>
    </row>
    <row r="4729" spans="2:18" ht="15.75" hidden="1" thickBot="1" x14ac:dyDescent="0.3">
      <c r="B4729" s="725" t="s">
        <v>811</v>
      </c>
      <c r="C4729" s="722" t="s">
        <v>73</v>
      </c>
      <c r="D4729" t="s">
        <v>74</v>
      </c>
      <c r="E4729" s="147">
        <v>0.48281000000000002</v>
      </c>
      <c r="F4729" s="147">
        <v>0.3</v>
      </c>
      <c r="G4729" s="147">
        <v>0.18281</v>
      </c>
      <c r="H4729" s="147">
        <v>60.936666666666667</v>
      </c>
      <c r="I4729" s="729"/>
      <c r="J4729" s="147">
        <v>0.48281000000000002</v>
      </c>
      <c r="K4729" s="147">
        <v>0</v>
      </c>
      <c r="L4729" s="147">
        <v>6.0499400000000003</v>
      </c>
      <c r="M4729" s="147">
        <v>3.6</v>
      </c>
      <c r="N4729" s="147">
        <v>2.4499399999999998</v>
      </c>
      <c r="O4729" s="147">
        <v>68.053888888888892</v>
      </c>
      <c r="P4729" s="147">
        <v>3.8858999999999999</v>
      </c>
      <c r="Q4729" s="147">
        <v>2.16404</v>
      </c>
      <c r="R4729" s="147">
        <v>55.689544249723362</v>
      </c>
    </row>
    <row r="4730" spans="2:18" ht="15.75" hidden="1" thickBot="1" x14ac:dyDescent="0.3">
      <c r="B4730" s="725" t="s">
        <v>811</v>
      </c>
      <c r="C4730" s="722" t="s">
        <v>111</v>
      </c>
      <c r="D4730" t="s">
        <v>112</v>
      </c>
      <c r="E4730" s="728"/>
      <c r="F4730" s="148">
        <v>0</v>
      </c>
      <c r="G4730" s="148">
        <v>0</v>
      </c>
      <c r="H4730" s="148">
        <v>0</v>
      </c>
      <c r="I4730" s="728"/>
      <c r="J4730" s="728"/>
      <c r="K4730" s="728"/>
      <c r="L4730" s="148">
        <v>3.6823800000000002</v>
      </c>
      <c r="M4730" s="148">
        <v>0</v>
      </c>
      <c r="N4730" s="148">
        <v>3.6823800000000002</v>
      </c>
      <c r="O4730" s="148">
        <v>0</v>
      </c>
      <c r="P4730" s="148">
        <v>1.2936399999999999</v>
      </c>
      <c r="Q4730" s="148">
        <v>2.3887399999999999</v>
      </c>
      <c r="R4730" s="148">
        <v>184.6526081444606</v>
      </c>
    </row>
    <row r="4731" spans="2:18" ht="15.75" hidden="1" thickBot="1" x14ac:dyDescent="0.3">
      <c r="B4731" s="725" t="s">
        <v>811</v>
      </c>
      <c r="C4731" s="722" t="s">
        <v>141</v>
      </c>
      <c r="D4731" t="s">
        <v>142</v>
      </c>
      <c r="E4731" s="729"/>
      <c r="F4731" s="147">
        <v>0</v>
      </c>
      <c r="G4731" s="147">
        <v>0</v>
      </c>
      <c r="H4731" s="147">
        <v>0</v>
      </c>
      <c r="I4731" s="729"/>
      <c r="J4731" s="729"/>
      <c r="K4731" s="729"/>
      <c r="L4731" s="147">
        <v>9.1699999999999993E-3</v>
      </c>
      <c r="M4731" s="147">
        <v>0.3</v>
      </c>
      <c r="N4731" s="147">
        <v>-0.29082999999999998</v>
      </c>
      <c r="O4731" s="147">
        <v>-96.943333333333328</v>
      </c>
      <c r="P4731" s="147">
        <v>6.4200000000000004E-3</v>
      </c>
      <c r="Q4731" s="147">
        <v>2.7499999999999998E-3</v>
      </c>
      <c r="R4731" s="147">
        <v>42.834890965732086</v>
      </c>
    </row>
    <row r="4732" spans="2:18" ht="15.75" hidden="1" thickBot="1" x14ac:dyDescent="0.3">
      <c r="B4732" s="725" t="s">
        <v>811</v>
      </c>
      <c r="C4732" s="722" t="s">
        <v>113</v>
      </c>
      <c r="D4732" t="s">
        <v>114</v>
      </c>
      <c r="E4732" s="148">
        <v>0.31573000000000001</v>
      </c>
      <c r="F4732" s="148">
        <v>0.2</v>
      </c>
      <c r="G4732" s="148">
        <v>0.11573</v>
      </c>
      <c r="H4732" s="148">
        <v>57.865000000000002</v>
      </c>
      <c r="I4732" s="728"/>
      <c r="J4732" s="148">
        <v>0.31573000000000001</v>
      </c>
      <c r="K4732" s="148">
        <v>0</v>
      </c>
      <c r="L4732" s="148">
        <v>3.9864000000000002</v>
      </c>
      <c r="M4732" s="148">
        <v>2.4</v>
      </c>
      <c r="N4732" s="148">
        <v>1.5864</v>
      </c>
      <c r="O4732" s="148">
        <v>66.099999999999994</v>
      </c>
      <c r="P4732" s="148">
        <v>2.21515</v>
      </c>
      <c r="Q4732" s="148">
        <v>1.77125</v>
      </c>
      <c r="R4732" s="148">
        <v>79.960725007335853</v>
      </c>
    </row>
    <row r="4733" spans="2:18" ht="15.75" hidden="1" thickBot="1" x14ac:dyDescent="0.3">
      <c r="B4733" s="725" t="s">
        <v>811</v>
      </c>
      <c r="C4733" s="722" t="s">
        <v>201</v>
      </c>
      <c r="D4733" t="s">
        <v>202</v>
      </c>
      <c r="E4733" s="147">
        <v>0.41893999999999998</v>
      </c>
      <c r="F4733" s="147">
        <v>0.42</v>
      </c>
      <c r="G4733" s="147">
        <v>-1.06E-3</v>
      </c>
      <c r="H4733" s="147">
        <v>-0.25238095238095237</v>
      </c>
      <c r="I4733" s="729"/>
      <c r="J4733" s="147">
        <v>0.41893999999999998</v>
      </c>
      <c r="K4733" s="147">
        <v>0</v>
      </c>
      <c r="L4733" s="147">
        <v>5.9843900000000003</v>
      </c>
      <c r="M4733" s="147">
        <v>5</v>
      </c>
      <c r="N4733" s="147">
        <v>0.98438999999999999</v>
      </c>
      <c r="O4733" s="147">
        <v>19.687799999999999</v>
      </c>
      <c r="P4733" s="147">
        <v>2.8538399999999999</v>
      </c>
      <c r="Q4733" s="147">
        <v>3.1305499999999999</v>
      </c>
      <c r="R4733" s="147">
        <v>109.69605864379223</v>
      </c>
    </row>
    <row r="4734" spans="2:18" ht="15.75" hidden="1" thickBot="1" x14ac:dyDescent="0.3">
      <c r="B4734" s="725" t="s">
        <v>811</v>
      </c>
      <c r="C4734" s="722" t="s">
        <v>117</v>
      </c>
      <c r="D4734" t="s">
        <v>118</v>
      </c>
      <c r="E4734" s="148">
        <v>-4.1563600000000003</v>
      </c>
      <c r="F4734" s="148">
        <v>-3.7</v>
      </c>
      <c r="G4734" s="148">
        <v>-0.45635999999999999</v>
      </c>
      <c r="H4734" s="148">
        <v>-12.334054054054054</v>
      </c>
      <c r="I4734" s="728"/>
      <c r="J4734" s="148">
        <v>-4.1563600000000003</v>
      </c>
      <c r="K4734" s="148">
        <v>0</v>
      </c>
      <c r="L4734" s="148">
        <v>-60.557049999999997</v>
      </c>
      <c r="M4734" s="148">
        <v>-34.700000000000003</v>
      </c>
      <c r="N4734" s="148">
        <v>-25.857050000000001</v>
      </c>
      <c r="O4734" s="148">
        <v>-74.515994236311244</v>
      </c>
      <c r="P4734" s="148">
        <v>-42.558019999999999</v>
      </c>
      <c r="Q4734" s="148">
        <v>-17.999030000000001</v>
      </c>
      <c r="R4734" s="148">
        <v>-42.292921522194874</v>
      </c>
    </row>
    <row r="4735" spans="2:18" ht="15.75" hidden="1" thickBot="1" x14ac:dyDescent="0.3">
      <c r="B4735" s="725" t="s">
        <v>811</v>
      </c>
      <c r="C4735" s="722" t="s">
        <v>145</v>
      </c>
      <c r="D4735" t="s">
        <v>146</v>
      </c>
      <c r="E4735" s="147">
        <v>0.74099999999999999</v>
      </c>
      <c r="F4735" s="147">
        <v>0.2</v>
      </c>
      <c r="G4735" s="147">
        <v>0.54100000000000004</v>
      </c>
      <c r="H4735" s="147">
        <v>270.5</v>
      </c>
      <c r="I4735" s="729"/>
      <c r="J4735" s="147">
        <v>0.74099999999999999</v>
      </c>
      <c r="K4735" s="147">
        <v>0</v>
      </c>
      <c r="L4735" s="147">
        <v>6.9207999999999998</v>
      </c>
      <c r="M4735" s="147">
        <v>4</v>
      </c>
      <c r="N4735" s="147">
        <v>2.9207999999999998</v>
      </c>
      <c r="O4735" s="147">
        <v>73.02</v>
      </c>
      <c r="P4735" s="147">
        <v>2.6105</v>
      </c>
      <c r="Q4735" s="147">
        <v>4.3102999999999998</v>
      </c>
      <c r="R4735" s="147">
        <v>165.11396284236736</v>
      </c>
    </row>
    <row r="4736" spans="2:18" ht="15.75" hidden="1" thickBot="1" x14ac:dyDescent="0.3">
      <c r="B4736" s="725" t="s">
        <v>811</v>
      </c>
      <c r="C4736" s="722" t="s">
        <v>147</v>
      </c>
      <c r="D4736" t="s">
        <v>148</v>
      </c>
      <c r="E4736" s="728"/>
      <c r="F4736" s="728"/>
      <c r="G4736" s="728"/>
      <c r="H4736" s="728"/>
      <c r="I4736" s="728"/>
      <c r="J4736" s="728"/>
      <c r="K4736" s="728"/>
      <c r="L4736" s="148">
        <v>1.8500000000000001E-3</v>
      </c>
      <c r="M4736" s="728"/>
      <c r="N4736" s="148">
        <v>1.8500000000000001E-3</v>
      </c>
      <c r="O4736" s="148">
        <v>0</v>
      </c>
      <c r="P4736" s="728"/>
      <c r="Q4736" s="148">
        <v>1.8500000000000001E-3</v>
      </c>
      <c r="R4736" s="148">
        <v>0</v>
      </c>
    </row>
    <row r="4737" spans="2:18" ht="15.75" hidden="1" thickBot="1" x14ac:dyDescent="0.3">
      <c r="B4737" s="725" t="s">
        <v>811</v>
      </c>
      <c r="C4737" s="722" t="s">
        <v>203</v>
      </c>
      <c r="D4737" t="s">
        <v>204</v>
      </c>
      <c r="E4737" s="147">
        <v>1.506E-2</v>
      </c>
      <c r="F4737" s="729"/>
      <c r="G4737" s="147">
        <v>1.506E-2</v>
      </c>
      <c r="H4737" s="147">
        <v>0</v>
      </c>
      <c r="I4737" s="729"/>
      <c r="J4737" s="147">
        <v>1.506E-2</v>
      </c>
      <c r="K4737" s="147">
        <v>0</v>
      </c>
      <c r="L4737" s="147">
        <v>0.10892</v>
      </c>
      <c r="M4737" s="729"/>
      <c r="N4737" s="147">
        <v>0.10892</v>
      </c>
      <c r="O4737" s="147">
        <v>0</v>
      </c>
      <c r="P4737" s="147">
        <v>9.3859999999999999E-2</v>
      </c>
      <c r="Q4737" s="147">
        <v>1.506E-2</v>
      </c>
      <c r="R4737" s="147">
        <v>16.045173662902194</v>
      </c>
    </row>
    <row r="4738" spans="2:18" ht="15.75" hidden="1" thickBot="1" x14ac:dyDescent="0.3">
      <c r="B4738" s="725" t="s">
        <v>811</v>
      </c>
      <c r="C4738" s="722" t="s">
        <v>149</v>
      </c>
      <c r="D4738" t="s">
        <v>150</v>
      </c>
      <c r="E4738" s="148">
        <v>8.5000000000000006E-2</v>
      </c>
      <c r="F4738" s="148">
        <v>0</v>
      </c>
      <c r="G4738" s="148">
        <v>8.5000000000000006E-2</v>
      </c>
      <c r="H4738" s="148">
        <v>0</v>
      </c>
      <c r="I4738" s="728"/>
      <c r="J4738" s="148">
        <v>8.5000000000000006E-2</v>
      </c>
      <c r="K4738" s="148">
        <v>0</v>
      </c>
      <c r="L4738" s="148">
        <v>1.5139199999999999</v>
      </c>
      <c r="M4738" s="148">
        <v>2.2999999999999998</v>
      </c>
      <c r="N4738" s="148">
        <v>-0.78608</v>
      </c>
      <c r="O4738" s="148">
        <v>-34.177391304347829</v>
      </c>
      <c r="P4738" s="148">
        <v>0.17899999999999999</v>
      </c>
      <c r="Q4738" s="148">
        <v>1.3349200000000001</v>
      </c>
      <c r="R4738" s="148">
        <v>745.76536312849157</v>
      </c>
    </row>
    <row r="4739" spans="2:18" ht="15.75" hidden="1" thickBot="1" x14ac:dyDescent="0.3">
      <c r="B4739" s="725" t="s">
        <v>811</v>
      </c>
      <c r="C4739" s="722" t="s">
        <v>205</v>
      </c>
      <c r="D4739" t="s">
        <v>206</v>
      </c>
      <c r="E4739" s="729"/>
      <c r="F4739" s="147">
        <v>0.17</v>
      </c>
      <c r="G4739" s="147">
        <v>-0.17</v>
      </c>
      <c r="H4739" s="147">
        <v>-100</v>
      </c>
      <c r="I4739" s="729"/>
      <c r="J4739" s="729"/>
      <c r="K4739" s="729"/>
      <c r="L4739" s="147">
        <v>0.78988000000000003</v>
      </c>
      <c r="M4739" s="147">
        <v>2</v>
      </c>
      <c r="N4739" s="147">
        <v>-1.2101200000000001</v>
      </c>
      <c r="O4739" s="147">
        <v>-60.506</v>
      </c>
      <c r="P4739" s="147">
        <v>0.60768999999999995</v>
      </c>
      <c r="Q4739" s="147">
        <v>0.18218999999999999</v>
      </c>
      <c r="R4739" s="147">
        <v>29.980746762329478</v>
      </c>
    </row>
    <row r="4740" spans="2:18" ht="15.75" hidden="1" thickBot="1" x14ac:dyDescent="0.3">
      <c r="B4740" s="725" t="s">
        <v>811</v>
      </c>
      <c r="C4740" s="722" t="s">
        <v>173</v>
      </c>
      <c r="D4740" t="s">
        <v>174</v>
      </c>
      <c r="E4740" s="148">
        <v>2.0655000000000001</v>
      </c>
      <c r="F4740" s="148">
        <v>1</v>
      </c>
      <c r="G4740" s="148">
        <v>1.0654999999999999</v>
      </c>
      <c r="H4740" s="148">
        <v>106.55</v>
      </c>
      <c r="I4740" s="728"/>
      <c r="J4740" s="148">
        <v>2.0655000000000001</v>
      </c>
      <c r="K4740" s="148">
        <v>0</v>
      </c>
      <c r="L4740" s="148">
        <v>14.12189</v>
      </c>
      <c r="M4740" s="148">
        <v>12</v>
      </c>
      <c r="N4740" s="148">
        <v>2.1218900000000001</v>
      </c>
      <c r="O4740" s="148">
        <v>17.682416666666665</v>
      </c>
      <c r="P4740" s="148">
        <v>5.5246300000000002</v>
      </c>
      <c r="Q4740" s="148">
        <v>8.5972600000000003</v>
      </c>
      <c r="R4740" s="148">
        <v>155.6169372428561</v>
      </c>
    </row>
    <row r="4741" spans="2:18" ht="15.75" hidden="1" thickBot="1" x14ac:dyDescent="0.3">
      <c r="B4741" s="725" t="s">
        <v>811</v>
      </c>
      <c r="C4741" s="722" t="s">
        <v>653</v>
      </c>
      <c r="D4741" t="s">
        <v>654</v>
      </c>
      <c r="E4741" s="729"/>
      <c r="F4741" s="729"/>
      <c r="G4741" s="729"/>
      <c r="H4741" s="729"/>
      <c r="I4741" s="729"/>
      <c r="J4741" s="729"/>
      <c r="K4741" s="729"/>
      <c r="L4741" s="147">
        <v>0.12525</v>
      </c>
      <c r="M4741" s="729"/>
      <c r="N4741" s="147">
        <v>0.12525</v>
      </c>
      <c r="O4741" s="147">
        <v>0</v>
      </c>
      <c r="P4741" s="729"/>
      <c r="Q4741" s="147">
        <v>0.12525</v>
      </c>
      <c r="R4741" s="147">
        <v>0</v>
      </c>
    </row>
    <row r="4742" spans="2:18" ht="15.75" hidden="1" thickBot="1" x14ac:dyDescent="0.3">
      <c r="B4742" s="725" t="s">
        <v>811</v>
      </c>
      <c r="C4742" s="722" t="s">
        <v>207</v>
      </c>
      <c r="D4742" t="s">
        <v>208</v>
      </c>
      <c r="E4742" s="148">
        <v>0.11065999999999999</v>
      </c>
      <c r="F4742" s="728"/>
      <c r="G4742" s="148">
        <v>0.11065999999999999</v>
      </c>
      <c r="H4742" s="148">
        <v>0</v>
      </c>
      <c r="I4742" s="728"/>
      <c r="J4742" s="148">
        <v>0.11065999999999999</v>
      </c>
      <c r="K4742" s="148">
        <v>0</v>
      </c>
      <c r="L4742" s="148">
        <v>0.82252000000000003</v>
      </c>
      <c r="M4742" s="728"/>
      <c r="N4742" s="148">
        <v>0.82252000000000003</v>
      </c>
      <c r="O4742" s="148">
        <v>0</v>
      </c>
      <c r="P4742" s="728"/>
      <c r="Q4742" s="148">
        <v>0.82252000000000003</v>
      </c>
      <c r="R4742" s="148">
        <v>0</v>
      </c>
    </row>
    <row r="4743" spans="2:18" ht="15.75" hidden="1" thickBot="1" x14ac:dyDescent="0.3">
      <c r="B4743" s="725" t="s">
        <v>811</v>
      </c>
      <c r="C4743" s="722" t="s">
        <v>75</v>
      </c>
      <c r="D4743" t="s">
        <v>76</v>
      </c>
      <c r="E4743" s="147">
        <v>4.8619999999999997E-2</v>
      </c>
      <c r="F4743" s="147">
        <v>0.1</v>
      </c>
      <c r="G4743" s="147">
        <v>-5.1380000000000002E-2</v>
      </c>
      <c r="H4743" s="147">
        <v>-51.38</v>
      </c>
      <c r="I4743" s="729"/>
      <c r="J4743" s="147">
        <v>4.8619999999999997E-2</v>
      </c>
      <c r="K4743" s="147">
        <v>0</v>
      </c>
      <c r="L4743" s="147">
        <v>3.7892700000000001</v>
      </c>
      <c r="M4743" s="147">
        <v>1.84</v>
      </c>
      <c r="N4743" s="147">
        <v>1.9492700000000001</v>
      </c>
      <c r="O4743" s="147">
        <v>105.93858695652175</v>
      </c>
      <c r="P4743" s="147">
        <v>2.8043</v>
      </c>
      <c r="Q4743" s="147">
        <v>0.98497000000000001</v>
      </c>
      <c r="R4743" s="147">
        <v>35.123560246763901</v>
      </c>
    </row>
    <row r="4744" spans="2:18" ht="15.75" hidden="1" thickBot="1" x14ac:dyDescent="0.3">
      <c r="B4744" s="725" t="s">
        <v>811</v>
      </c>
      <c r="C4744" s="722" t="s">
        <v>121</v>
      </c>
      <c r="D4744" t="s">
        <v>122</v>
      </c>
      <c r="E4744" s="148">
        <v>0.51136000000000004</v>
      </c>
      <c r="F4744" s="148">
        <v>0.1</v>
      </c>
      <c r="G4744" s="148">
        <v>0.41136</v>
      </c>
      <c r="H4744" s="148">
        <v>411.36</v>
      </c>
      <c r="I4744" s="728"/>
      <c r="J4744" s="148">
        <v>0.51136000000000004</v>
      </c>
      <c r="K4744" s="148">
        <v>0</v>
      </c>
      <c r="L4744" s="148">
        <v>12.929880000000001</v>
      </c>
      <c r="M4744" s="148">
        <v>2.7</v>
      </c>
      <c r="N4744" s="148">
        <v>10.22988</v>
      </c>
      <c r="O4744" s="148">
        <v>378.88444444444445</v>
      </c>
      <c r="P4744" s="148">
        <v>6.49465</v>
      </c>
      <c r="Q4744" s="148">
        <v>6.4352299999999998</v>
      </c>
      <c r="R4744" s="148">
        <v>99.085093115102424</v>
      </c>
    </row>
    <row r="4745" spans="2:18" ht="15.75" hidden="1" thickBot="1" x14ac:dyDescent="0.3">
      <c r="B4745" s="725" t="s">
        <v>811</v>
      </c>
      <c r="C4745" s="722" t="s">
        <v>77</v>
      </c>
      <c r="D4745" t="s">
        <v>78</v>
      </c>
      <c r="E4745" s="729"/>
      <c r="F4745" s="147">
        <v>2</v>
      </c>
      <c r="G4745" s="147">
        <v>-2</v>
      </c>
      <c r="H4745" s="147">
        <v>-100</v>
      </c>
      <c r="I4745" s="729"/>
      <c r="J4745" s="729"/>
      <c r="K4745" s="729"/>
      <c r="L4745" s="147">
        <v>2.27406</v>
      </c>
      <c r="M4745" s="147">
        <v>26</v>
      </c>
      <c r="N4745" s="147">
        <v>-23.725940000000001</v>
      </c>
      <c r="O4745" s="147">
        <v>-91.253615384615387</v>
      </c>
      <c r="P4745" s="729"/>
      <c r="Q4745" s="147">
        <v>2.27406</v>
      </c>
      <c r="R4745" s="147">
        <v>0</v>
      </c>
    </row>
    <row r="4746" spans="2:18" ht="15.75" hidden="1" thickBot="1" x14ac:dyDescent="0.3">
      <c r="B4746" s="725" t="s">
        <v>811</v>
      </c>
      <c r="C4746" s="722" t="s">
        <v>79</v>
      </c>
      <c r="D4746" t="s">
        <v>80</v>
      </c>
      <c r="E4746" s="728"/>
      <c r="F4746" s="728"/>
      <c r="G4746" s="728"/>
      <c r="H4746" s="728"/>
      <c r="I4746" s="728"/>
      <c r="J4746" s="728"/>
      <c r="K4746" s="728"/>
      <c r="L4746" s="148">
        <v>0.86680000000000001</v>
      </c>
      <c r="M4746" s="728"/>
      <c r="N4746" s="148">
        <v>0.86680000000000001</v>
      </c>
      <c r="O4746" s="148">
        <v>0</v>
      </c>
      <c r="P4746" s="148">
        <v>1.7999999999999999E-2</v>
      </c>
      <c r="Q4746" s="148">
        <v>0.8488</v>
      </c>
      <c r="R4746" s="148">
        <v>4715.5555555555557</v>
      </c>
    </row>
    <row r="4747" spans="2:18" ht="15.75" hidden="1" thickBot="1" x14ac:dyDescent="0.3">
      <c r="B4747" s="725" t="s">
        <v>811</v>
      </c>
      <c r="C4747" s="722" t="s">
        <v>81</v>
      </c>
      <c r="D4747" t="s">
        <v>82</v>
      </c>
      <c r="E4747" s="147">
        <v>1.512</v>
      </c>
      <c r="F4747" s="147">
        <v>4</v>
      </c>
      <c r="G4747" s="147">
        <v>-2.488</v>
      </c>
      <c r="H4747" s="147">
        <v>-62.2</v>
      </c>
      <c r="I4747" s="729"/>
      <c r="J4747" s="147">
        <v>1.512</v>
      </c>
      <c r="K4747" s="147">
        <v>0</v>
      </c>
      <c r="L4747" s="147">
        <v>1.512</v>
      </c>
      <c r="M4747" s="147">
        <v>4.5999999999999996</v>
      </c>
      <c r="N4747" s="147">
        <v>-3.0880000000000001</v>
      </c>
      <c r="O4747" s="147">
        <v>-67.130434782608702</v>
      </c>
      <c r="P4747" s="729"/>
      <c r="Q4747" s="147">
        <v>1.512</v>
      </c>
      <c r="R4747" s="147">
        <v>0</v>
      </c>
    </row>
    <row r="4748" spans="2:18" ht="15.75" hidden="1" thickBot="1" x14ac:dyDescent="0.3">
      <c r="B4748" s="725" t="s">
        <v>811</v>
      </c>
      <c r="C4748" s="722" t="s">
        <v>123</v>
      </c>
      <c r="D4748" t="s">
        <v>124</v>
      </c>
      <c r="E4748" s="728"/>
      <c r="F4748" s="728"/>
      <c r="G4748" s="728"/>
      <c r="H4748" s="728"/>
      <c r="I4748" s="728"/>
      <c r="J4748" s="728"/>
      <c r="K4748" s="728"/>
      <c r="L4748" s="148">
        <v>0.38474999999999998</v>
      </c>
      <c r="M4748" s="728"/>
      <c r="N4748" s="148">
        <v>0.38474999999999998</v>
      </c>
      <c r="O4748" s="148">
        <v>0</v>
      </c>
      <c r="P4748" s="148">
        <v>0.22475000000000001</v>
      </c>
      <c r="Q4748" s="148">
        <v>0.16</v>
      </c>
      <c r="R4748" s="148">
        <v>71.190211345939929</v>
      </c>
    </row>
    <row r="4749" spans="2:18" ht="15.75" hidden="1" thickBot="1" x14ac:dyDescent="0.3">
      <c r="B4749" s="725" t="s">
        <v>811</v>
      </c>
      <c r="C4749" s="722" t="s">
        <v>685</v>
      </c>
      <c r="D4749" t="s">
        <v>686</v>
      </c>
      <c r="E4749" s="147">
        <v>-0.29038000000000003</v>
      </c>
      <c r="F4749" s="729"/>
      <c r="G4749" s="147">
        <v>-0.29038000000000003</v>
      </c>
      <c r="H4749" s="147">
        <v>0</v>
      </c>
      <c r="I4749" s="729"/>
      <c r="J4749" s="147">
        <v>-0.29038000000000003</v>
      </c>
      <c r="K4749" s="147">
        <v>0</v>
      </c>
      <c r="L4749" s="147">
        <v>-3.42733</v>
      </c>
      <c r="M4749" s="729"/>
      <c r="N4749" s="147">
        <v>-3.42733</v>
      </c>
      <c r="O4749" s="147">
        <v>0</v>
      </c>
      <c r="P4749" s="147">
        <v>-2.2319499999999999</v>
      </c>
      <c r="Q4749" s="147">
        <v>-1.1953800000000001</v>
      </c>
      <c r="R4749" s="147">
        <v>-53.557651381079324</v>
      </c>
    </row>
    <row r="4750" spans="2:18" ht="15.75" hidden="1" thickBot="1" x14ac:dyDescent="0.3">
      <c r="B4750" s="725" t="s">
        <v>811</v>
      </c>
      <c r="C4750" s="722" t="s">
        <v>209</v>
      </c>
      <c r="D4750" t="s">
        <v>210</v>
      </c>
      <c r="E4750" s="148">
        <v>0.47327999999999998</v>
      </c>
      <c r="F4750" s="728"/>
      <c r="G4750" s="148">
        <v>0.47327999999999998</v>
      </c>
      <c r="H4750" s="148">
        <v>0</v>
      </c>
      <c r="I4750" s="728"/>
      <c r="J4750" s="148">
        <v>0.47327999999999998</v>
      </c>
      <c r="K4750" s="148">
        <v>0</v>
      </c>
      <c r="L4750" s="148">
        <v>3.9281999999999999</v>
      </c>
      <c r="M4750" s="728"/>
      <c r="N4750" s="148">
        <v>3.9281999999999999</v>
      </c>
      <c r="O4750" s="148">
        <v>0</v>
      </c>
      <c r="P4750" s="148">
        <v>2.3695200000000001</v>
      </c>
      <c r="Q4750" s="148">
        <v>1.5586800000000001</v>
      </c>
      <c r="R4750" s="148">
        <v>65.780411222526084</v>
      </c>
    </row>
    <row r="4751" spans="2:18" ht="15.75" hidden="1" thickBot="1" x14ac:dyDescent="0.3">
      <c r="B4751" s="725" t="s">
        <v>811</v>
      </c>
      <c r="C4751" s="722" t="s">
        <v>211</v>
      </c>
      <c r="D4751" t="s">
        <v>212</v>
      </c>
      <c r="E4751" s="147">
        <v>0.40716999999999998</v>
      </c>
      <c r="F4751" s="729"/>
      <c r="G4751" s="147">
        <v>0.40716999999999998</v>
      </c>
      <c r="H4751" s="147">
        <v>0</v>
      </c>
      <c r="I4751" s="729"/>
      <c r="J4751" s="147">
        <v>0.40716999999999998</v>
      </c>
      <c r="K4751" s="147">
        <v>0</v>
      </c>
      <c r="L4751" s="147">
        <v>5.6575199999999999</v>
      </c>
      <c r="M4751" s="729"/>
      <c r="N4751" s="147">
        <v>5.6575199999999999</v>
      </c>
      <c r="O4751" s="147">
        <v>0</v>
      </c>
      <c r="P4751" s="147">
        <v>2.8287599999999999</v>
      </c>
      <c r="Q4751" s="147">
        <v>2.8287599999999999</v>
      </c>
      <c r="R4751" s="147">
        <v>100</v>
      </c>
    </row>
    <row r="4752" spans="2:18" ht="15.75" hidden="1" thickBot="1" x14ac:dyDescent="0.3">
      <c r="B4752" s="725" t="s">
        <v>811</v>
      </c>
      <c r="C4752" s="722" t="s">
        <v>213</v>
      </c>
      <c r="D4752" t="s">
        <v>214</v>
      </c>
      <c r="E4752" s="148">
        <v>-0.29580000000000001</v>
      </c>
      <c r="F4752" s="728"/>
      <c r="G4752" s="148">
        <v>-0.29580000000000001</v>
      </c>
      <c r="H4752" s="148">
        <v>0</v>
      </c>
      <c r="I4752" s="728"/>
      <c r="J4752" s="148">
        <v>-0.29580000000000001</v>
      </c>
      <c r="K4752" s="148">
        <v>0</v>
      </c>
      <c r="L4752" s="148">
        <v>-4.9554600000000004</v>
      </c>
      <c r="M4752" s="728"/>
      <c r="N4752" s="148">
        <v>-4.9554600000000004</v>
      </c>
      <c r="O4752" s="148">
        <v>0</v>
      </c>
      <c r="P4752" s="148">
        <v>-3.03966</v>
      </c>
      <c r="Q4752" s="148">
        <v>-1.9157999999999999</v>
      </c>
      <c r="R4752" s="148">
        <v>-63.026785890527229</v>
      </c>
    </row>
    <row r="4753" spans="2:18" ht="15.75" hidden="1" thickBot="1" x14ac:dyDescent="0.3">
      <c r="B4753" s="725" t="s">
        <v>811</v>
      </c>
      <c r="C4753" s="722" t="s">
        <v>215</v>
      </c>
      <c r="D4753" t="s">
        <v>216</v>
      </c>
      <c r="E4753" s="147">
        <v>-0.45002999999999999</v>
      </c>
      <c r="F4753" s="729"/>
      <c r="G4753" s="147">
        <v>-0.45002999999999999</v>
      </c>
      <c r="H4753" s="147">
        <v>0</v>
      </c>
      <c r="I4753" s="729"/>
      <c r="J4753" s="147">
        <v>-0.45002999999999999</v>
      </c>
      <c r="K4753" s="147">
        <v>0</v>
      </c>
      <c r="L4753" s="147">
        <v>-9.5792099999999998</v>
      </c>
      <c r="M4753" s="729"/>
      <c r="N4753" s="147">
        <v>-9.5792099999999998</v>
      </c>
      <c r="O4753" s="147">
        <v>0</v>
      </c>
      <c r="P4753" s="147">
        <v>-4.6503100000000002</v>
      </c>
      <c r="Q4753" s="147">
        <v>-4.9288999999999996</v>
      </c>
      <c r="R4753" s="147">
        <v>-105.99078341013825</v>
      </c>
    </row>
    <row r="4754" spans="2:18" ht="15.75" hidden="1" thickBot="1" x14ac:dyDescent="0.3">
      <c r="B4754" s="725" t="s">
        <v>811</v>
      </c>
      <c r="C4754" s="722" t="s">
        <v>83</v>
      </c>
      <c r="D4754" t="s">
        <v>84</v>
      </c>
      <c r="E4754" s="728"/>
      <c r="F4754" s="148">
        <v>0.42</v>
      </c>
      <c r="G4754" s="148">
        <v>-0.42</v>
      </c>
      <c r="H4754" s="148">
        <v>-100</v>
      </c>
      <c r="I4754" s="728"/>
      <c r="J4754" s="728"/>
      <c r="K4754" s="728"/>
      <c r="L4754" s="728"/>
      <c r="M4754" s="148">
        <v>5</v>
      </c>
      <c r="N4754" s="148">
        <v>-5</v>
      </c>
      <c r="O4754" s="148">
        <v>-100</v>
      </c>
      <c r="P4754" s="728"/>
      <c r="Q4754" s="728"/>
      <c r="R4754" s="728"/>
    </row>
    <row r="4755" spans="2:18" ht="15.75" hidden="1" thickBot="1" x14ac:dyDescent="0.3">
      <c r="B4755" s="725" t="s">
        <v>811</v>
      </c>
      <c r="C4755" s="149" t="s">
        <v>85</v>
      </c>
      <c r="D4755" t="s">
        <v>86</v>
      </c>
      <c r="E4755" s="147">
        <v>131.33994000000001</v>
      </c>
      <c r="F4755" s="147">
        <v>92.81</v>
      </c>
      <c r="G4755" s="147">
        <v>38.529940000000003</v>
      </c>
      <c r="H4755" s="147">
        <v>41.514858312681824</v>
      </c>
      <c r="I4755" s="729"/>
      <c r="J4755" s="147">
        <v>131.33994000000001</v>
      </c>
      <c r="K4755" s="147">
        <v>0</v>
      </c>
      <c r="L4755" s="147">
        <v>1137.1229599999999</v>
      </c>
      <c r="M4755" s="147">
        <v>926.8</v>
      </c>
      <c r="N4755" s="147">
        <v>210.32295999999999</v>
      </c>
      <c r="O4755" s="147">
        <v>22.693457056538627</v>
      </c>
      <c r="P4755" s="147">
        <v>586.60341000000005</v>
      </c>
      <c r="Q4755" s="147">
        <v>550.51954999999998</v>
      </c>
      <c r="R4755" s="147">
        <v>93.848678786234814</v>
      </c>
    </row>
    <row r="4756" spans="2:18" ht="15.75" hidden="1" thickBot="1" x14ac:dyDescent="0.3">
      <c r="B4756" s="725" t="s">
        <v>811</v>
      </c>
      <c r="C4756" s="144" t="s">
        <v>87</v>
      </c>
      <c r="D4756" t="s">
        <v>87</v>
      </c>
      <c r="E4756" s="148">
        <v>401.95708999999999</v>
      </c>
      <c r="F4756" s="148">
        <v>370.02294000000001</v>
      </c>
      <c r="G4756" s="148">
        <v>31.934149999999999</v>
      </c>
      <c r="H4756" s="148">
        <v>8.6303162717425028</v>
      </c>
      <c r="I4756" s="728"/>
      <c r="J4756" s="148">
        <v>401.95708999999999</v>
      </c>
      <c r="K4756" s="148">
        <v>0</v>
      </c>
      <c r="L4756" s="148">
        <v>4027.5483300000001</v>
      </c>
      <c r="M4756" s="148">
        <v>4182.3110999999999</v>
      </c>
      <c r="N4756" s="148">
        <v>-154.76276999999999</v>
      </c>
      <c r="O4756" s="148">
        <v>-3.700412673748732</v>
      </c>
      <c r="P4756" s="148">
        <v>2060.7707999999998</v>
      </c>
      <c r="Q4756" s="148">
        <v>1966.7775300000001</v>
      </c>
      <c r="R4756" s="148">
        <v>95.438926541466913</v>
      </c>
    </row>
    <row r="4757" spans="2:18" ht="15.75" hidden="1" thickBot="1" x14ac:dyDescent="0.3">
      <c r="B4757" s="725" t="s">
        <v>812</v>
      </c>
      <c r="C4757" s="722" t="s">
        <v>99</v>
      </c>
      <c r="D4757" t="s">
        <v>100</v>
      </c>
      <c r="E4757" s="729"/>
      <c r="F4757" s="729"/>
      <c r="G4757" s="729"/>
      <c r="H4757" s="729"/>
      <c r="I4757" s="729"/>
      <c r="J4757" s="729"/>
      <c r="K4757" s="729"/>
      <c r="L4757" s="147">
        <v>25.383600000000001</v>
      </c>
      <c r="M4757" s="729"/>
      <c r="N4757" s="147">
        <v>25.383600000000001</v>
      </c>
      <c r="O4757" s="147">
        <v>0</v>
      </c>
      <c r="P4757" s="729"/>
      <c r="Q4757" s="147">
        <v>25.383600000000001</v>
      </c>
      <c r="R4757" s="147">
        <v>0</v>
      </c>
    </row>
    <row r="4758" spans="2:18" ht="15.75" hidden="1" thickBot="1" x14ac:dyDescent="0.3">
      <c r="B4758" s="725" t="s">
        <v>812</v>
      </c>
      <c r="C4758" s="722" t="s">
        <v>101</v>
      </c>
      <c r="D4758" t="s">
        <v>102</v>
      </c>
      <c r="E4758" s="148">
        <v>-4.6722700000000001</v>
      </c>
      <c r="F4758" s="148">
        <v>7.5</v>
      </c>
      <c r="G4758" s="148">
        <v>-12.172269999999999</v>
      </c>
      <c r="H4758" s="148">
        <v>-162.29693333333333</v>
      </c>
      <c r="I4758" s="728"/>
      <c r="J4758" s="148">
        <v>-4.6722700000000001</v>
      </c>
      <c r="K4758" s="148">
        <v>0</v>
      </c>
      <c r="L4758" s="148">
        <v>18.67501</v>
      </c>
      <c r="M4758" s="148">
        <v>30</v>
      </c>
      <c r="N4758" s="148">
        <v>-11.32499</v>
      </c>
      <c r="O4758" s="148">
        <v>-37.749966666666666</v>
      </c>
      <c r="P4758" s="148">
        <v>2.6718799999999998</v>
      </c>
      <c r="Q4758" s="148">
        <v>16.003129999999999</v>
      </c>
      <c r="R4758" s="148">
        <v>598.94643472012217</v>
      </c>
    </row>
    <row r="4759" spans="2:18" ht="15.75" hidden="1" thickBot="1" x14ac:dyDescent="0.3">
      <c r="B4759" s="725" t="s">
        <v>812</v>
      </c>
      <c r="C4759" s="722" t="s">
        <v>149</v>
      </c>
      <c r="D4759" t="s">
        <v>150</v>
      </c>
      <c r="E4759" s="729"/>
      <c r="F4759" s="729"/>
      <c r="G4759" s="729"/>
      <c r="H4759" s="729"/>
      <c r="I4759" s="729"/>
      <c r="J4759" s="729"/>
      <c r="K4759" s="729"/>
      <c r="L4759" s="147">
        <v>10.609360000000001</v>
      </c>
      <c r="M4759" s="729"/>
      <c r="N4759" s="147">
        <v>10.609360000000001</v>
      </c>
      <c r="O4759" s="147">
        <v>0</v>
      </c>
      <c r="P4759" s="147">
        <v>10.609360000000001</v>
      </c>
      <c r="Q4759" s="147">
        <v>0</v>
      </c>
      <c r="R4759" s="147">
        <v>0</v>
      </c>
    </row>
    <row r="4760" spans="2:18" ht="15.75" hidden="1" thickBot="1" x14ac:dyDescent="0.3">
      <c r="B4760" s="725" t="s">
        <v>812</v>
      </c>
      <c r="C4760" s="722" t="s">
        <v>481</v>
      </c>
      <c r="D4760" t="s">
        <v>482</v>
      </c>
      <c r="E4760" s="148">
        <v>2.0080000000000001E-2</v>
      </c>
      <c r="F4760" s="728"/>
      <c r="G4760" s="148">
        <v>2.0080000000000001E-2</v>
      </c>
      <c r="H4760" s="148">
        <v>0</v>
      </c>
      <c r="I4760" s="728"/>
      <c r="J4760" s="148">
        <v>2.0080000000000001E-2</v>
      </c>
      <c r="K4760" s="148">
        <v>0</v>
      </c>
      <c r="L4760" s="148">
        <v>0.68127000000000004</v>
      </c>
      <c r="M4760" s="728"/>
      <c r="N4760" s="148">
        <v>0.68127000000000004</v>
      </c>
      <c r="O4760" s="148">
        <v>0</v>
      </c>
      <c r="P4760" s="148">
        <v>0.57035999999999998</v>
      </c>
      <c r="Q4760" s="148">
        <v>0.11090999999999999</v>
      </c>
      <c r="R4760" s="148">
        <v>19.445613296865137</v>
      </c>
    </row>
    <row r="4761" spans="2:18" ht="15.75" hidden="1" thickBot="1" x14ac:dyDescent="0.3">
      <c r="B4761" s="725" t="s">
        <v>812</v>
      </c>
      <c r="C4761" s="149" t="s">
        <v>85</v>
      </c>
      <c r="D4761" t="s">
        <v>86</v>
      </c>
      <c r="E4761" s="147">
        <v>-4.65219</v>
      </c>
      <c r="F4761" s="147">
        <v>7.5</v>
      </c>
      <c r="G4761" s="147">
        <v>-12.152189999999999</v>
      </c>
      <c r="H4761" s="147">
        <v>-162.0292</v>
      </c>
      <c r="I4761" s="729"/>
      <c r="J4761" s="147">
        <v>-4.65219</v>
      </c>
      <c r="K4761" s="147">
        <v>0</v>
      </c>
      <c r="L4761" s="147">
        <v>55.349240000000002</v>
      </c>
      <c r="M4761" s="147">
        <v>30</v>
      </c>
      <c r="N4761" s="147">
        <v>25.349240000000002</v>
      </c>
      <c r="O4761" s="147">
        <v>84.497466666666668</v>
      </c>
      <c r="P4761" s="147">
        <v>13.851599999999999</v>
      </c>
      <c r="Q4761" s="147">
        <v>41.497639999999997</v>
      </c>
      <c r="R4761" s="147">
        <v>299.58734009067547</v>
      </c>
    </row>
    <row r="4762" spans="2:18" ht="15.75" hidden="1" thickBot="1" x14ac:dyDescent="0.3">
      <c r="B4762" s="725" t="s">
        <v>812</v>
      </c>
      <c r="C4762" s="144" t="s">
        <v>87</v>
      </c>
      <c r="D4762" t="s">
        <v>87</v>
      </c>
      <c r="E4762" s="148">
        <v>-4.65219</v>
      </c>
      <c r="F4762" s="148">
        <v>7.5</v>
      </c>
      <c r="G4762" s="148">
        <v>-12.152189999999999</v>
      </c>
      <c r="H4762" s="148">
        <v>-162.0292</v>
      </c>
      <c r="I4762" s="728"/>
      <c r="J4762" s="148">
        <v>-4.65219</v>
      </c>
      <c r="K4762" s="148">
        <v>0</v>
      </c>
      <c r="L4762" s="148">
        <v>55.349240000000002</v>
      </c>
      <c r="M4762" s="148">
        <v>30</v>
      </c>
      <c r="N4762" s="148">
        <v>25.349240000000002</v>
      </c>
      <c r="O4762" s="148">
        <v>84.497466666666668</v>
      </c>
      <c r="P4762" s="148">
        <v>13.851599999999999</v>
      </c>
      <c r="Q4762" s="148">
        <v>41.497639999999997</v>
      </c>
      <c r="R4762" s="148">
        <v>299.58734009067547</v>
      </c>
    </row>
    <row r="4763" spans="2:18" ht="15.75" hidden="1" thickBot="1" x14ac:dyDescent="0.3">
      <c r="B4763" s="725" t="s">
        <v>813</v>
      </c>
      <c r="C4763" s="722" t="s">
        <v>59</v>
      </c>
      <c r="D4763" t="s">
        <v>60</v>
      </c>
      <c r="E4763" s="147">
        <v>74.242490000000004</v>
      </c>
      <c r="F4763" s="147">
        <v>64.909710000000004</v>
      </c>
      <c r="G4763" s="147">
        <v>9.3327799999999996</v>
      </c>
      <c r="H4763" s="147">
        <v>14.378095357381815</v>
      </c>
      <c r="I4763" s="729"/>
      <c r="J4763" s="147">
        <v>74.242490000000004</v>
      </c>
      <c r="K4763" s="147">
        <v>0</v>
      </c>
      <c r="L4763" s="147">
        <v>796.48842000000002</v>
      </c>
      <c r="M4763" s="147">
        <v>774.83019999999999</v>
      </c>
      <c r="N4763" s="147">
        <v>21.65822</v>
      </c>
      <c r="O4763" s="147">
        <v>2.7952214562622881</v>
      </c>
      <c r="P4763" s="147">
        <v>395.80865</v>
      </c>
      <c r="Q4763" s="147">
        <v>400.67977000000002</v>
      </c>
      <c r="R4763" s="147">
        <v>101.2306754791741</v>
      </c>
    </row>
    <row r="4764" spans="2:18" ht="15.75" hidden="1" thickBot="1" x14ac:dyDescent="0.3">
      <c r="B4764" s="725" t="s">
        <v>813</v>
      </c>
      <c r="C4764" s="722" t="s">
        <v>134</v>
      </c>
      <c r="D4764" t="s">
        <v>135</v>
      </c>
      <c r="E4764" s="148">
        <v>0.83333000000000002</v>
      </c>
      <c r="F4764" s="728"/>
      <c r="G4764" s="148">
        <v>0.83333000000000002</v>
      </c>
      <c r="H4764" s="148">
        <v>0</v>
      </c>
      <c r="I4764" s="728"/>
      <c r="J4764" s="148">
        <v>0.83333000000000002</v>
      </c>
      <c r="K4764" s="148">
        <v>0</v>
      </c>
      <c r="L4764" s="148">
        <v>1.7926599999999999</v>
      </c>
      <c r="M4764" s="728"/>
      <c r="N4764" s="148">
        <v>1.7926599999999999</v>
      </c>
      <c r="O4764" s="148">
        <v>0</v>
      </c>
      <c r="P4764" s="148">
        <v>0.126</v>
      </c>
      <c r="Q4764" s="148">
        <v>1.66666</v>
      </c>
      <c r="R4764" s="148">
        <v>1322.7460317460318</v>
      </c>
    </row>
    <row r="4765" spans="2:18" ht="15.75" hidden="1" thickBot="1" x14ac:dyDescent="0.3">
      <c r="B4765" s="725" t="s">
        <v>813</v>
      </c>
      <c r="C4765" s="722" t="s">
        <v>61</v>
      </c>
      <c r="D4765" t="s">
        <v>62</v>
      </c>
      <c r="E4765" s="147">
        <v>12.50215</v>
      </c>
      <c r="F4765" s="147">
        <v>10.06101</v>
      </c>
      <c r="G4765" s="147">
        <v>2.4411399999999999</v>
      </c>
      <c r="H4765" s="147">
        <v>24.263369184604727</v>
      </c>
      <c r="I4765" s="729"/>
      <c r="J4765" s="147">
        <v>12.50215</v>
      </c>
      <c r="K4765" s="147">
        <v>0</v>
      </c>
      <c r="L4765" s="147">
        <v>126.68312</v>
      </c>
      <c r="M4765" s="147">
        <v>120.09874000000001</v>
      </c>
      <c r="N4765" s="147">
        <v>6.5843800000000003</v>
      </c>
      <c r="O4765" s="147">
        <v>5.4824721724807439</v>
      </c>
      <c r="P4765" s="147">
        <v>60.782989999999998</v>
      </c>
      <c r="Q4765" s="147">
        <v>65.900130000000004</v>
      </c>
      <c r="R4765" s="147">
        <v>108.41870398280835</v>
      </c>
    </row>
    <row r="4766" spans="2:18" ht="15.75" hidden="1" thickBot="1" x14ac:dyDescent="0.3">
      <c r="B4766" s="725" t="s">
        <v>813</v>
      </c>
      <c r="C4766" s="722" t="s">
        <v>63</v>
      </c>
      <c r="D4766" t="s">
        <v>64</v>
      </c>
      <c r="E4766" s="148">
        <v>48.653170000000003</v>
      </c>
      <c r="F4766" s="148">
        <v>39.140560000000001</v>
      </c>
      <c r="G4766" s="148">
        <v>9.5126100000000005</v>
      </c>
      <c r="H4766" s="148">
        <v>24.303714612156799</v>
      </c>
      <c r="I4766" s="728"/>
      <c r="J4766" s="148">
        <v>48.653170000000003</v>
      </c>
      <c r="K4766" s="148">
        <v>0</v>
      </c>
      <c r="L4766" s="148">
        <v>492.32002</v>
      </c>
      <c r="M4766" s="148">
        <v>467.22266000000002</v>
      </c>
      <c r="N4766" s="148">
        <v>25.097359999999998</v>
      </c>
      <c r="O4766" s="148">
        <v>5.3716059062717552</v>
      </c>
      <c r="P4766" s="148">
        <v>236.13694000000001</v>
      </c>
      <c r="Q4766" s="148">
        <v>256.18308000000002</v>
      </c>
      <c r="R4766" s="148">
        <v>108.48920122366285</v>
      </c>
    </row>
    <row r="4767" spans="2:18" ht="15.75" hidden="1" thickBot="1" x14ac:dyDescent="0.3">
      <c r="B4767" s="725" t="s">
        <v>813</v>
      </c>
      <c r="C4767" s="722" t="s">
        <v>156</v>
      </c>
      <c r="D4767" t="s">
        <v>157</v>
      </c>
      <c r="E4767" s="147">
        <v>18.650400000000001</v>
      </c>
      <c r="F4767" s="729"/>
      <c r="G4767" s="147">
        <v>18.650400000000001</v>
      </c>
      <c r="H4767" s="147">
        <v>0</v>
      </c>
      <c r="I4767" s="729"/>
      <c r="J4767" s="147">
        <v>18.650400000000001</v>
      </c>
      <c r="K4767" s="147">
        <v>0</v>
      </c>
      <c r="L4767" s="147">
        <v>268.27015999999998</v>
      </c>
      <c r="M4767" s="729"/>
      <c r="N4767" s="147">
        <v>268.27015999999998</v>
      </c>
      <c r="O4767" s="147">
        <v>0</v>
      </c>
      <c r="P4767" s="147">
        <v>142.6908</v>
      </c>
      <c r="Q4767" s="147">
        <v>125.57935999999999</v>
      </c>
      <c r="R4767" s="147">
        <v>88.0080285484418</v>
      </c>
    </row>
    <row r="4768" spans="2:18" ht="15.75" hidden="1" thickBot="1" x14ac:dyDescent="0.3">
      <c r="B4768" s="725" t="s">
        <v>813</v>
      </c>
      <c r="C4768" s="722" t="s">
        <v>184</v>
      </c>
      <c r="D4768" t="s">
        <v>185</v>
      </c>
      <c r="E4768" s="148">
        <v>7.0860000000000006E-2</v>
      </c>
      <c r="F4768" s="728"/>
      <c r="G4768" s="148">
        <v>7.0860000000000006E-2</v>
      </c>
      <c r="H4768" s="148">
        <v>0</v>
      </c>
      <c r="I4768" s="728"/>
      <c r="J4768" s="148">
        <v>7.0860000000000006E-2</v>
      </c>
      <c r="K4768" s="148">
        <v>0</v>
      </c>
      <c r="L4768" s="148">
        <v>7.0860000000000006E-2</v>
      </c>
      <c r="M4768" s="728"/>
      <c r="N4768" s="148">
        <v>7.0860000000000006E-2</v>
      </c>
      <c r="O4768" s="148">
        <v>0</v>
      </c>
      <c r="P4768" s="728"/>
      <c r="Q4768" s="148">
        <v>7.0860000000000006E-2</v>
      </c>
      <c r="R4768" s="148">
        <v>0</v>
      </c>
    </row>
    <row r="4769" spans="2:18" ht="15.75" hidden="1" thickBot="1" x14ac:dyDescent="0.3">
      <c r="B4769" s="725" t="s">
        <v>813</v>
      </c>
      <c r="C4769" s="722" t="s">
        <v>65</v>
      </c>
      <c r="D4769" t="s">
        <v>66</v>
      </c>
      <c r="E4769" s="147">
        <v>-108.54364</v>
      </c>
      <c r="F4769" s="147">
        <v>-91.782250000000005</v>
      </c>
      <c r="G4769" s="147">
        <v>-16.761389999999999</v>
      </c>
      <c r="H4769" s="147">
        <v>-18.262125846773205</v>
      </c>
      <c r="I4769" s="729"/>
      <c r="J4769" s="147">
        <v>-108.54364</v>
      </c>
      <c r="K4769" s="147">
        <v>0</v>
      </c>
      <c r="L4769" s="147">
        <v>-1363.99109</v>
      </c>
      <c r="M4769" s="147">
        <v>-1095.6089400000001</v>
      </c>
      <c r="N4769" s="147">
        <v>-268.38215000000002</v>
      </c>
      <c r="O4769" s="147">
        <v>-24.496162837079442</v>
      </c>
      <c r="P4769" s="147">
        <v>-669.92395999999997</v>
      </c>
      <c r="Q4769" s="147">
        <v>-694.06713000000002</v>
      </c>
      <c r="R4769" s="147">
        <v>-103.60386722099028</v>
      </c>
    </row>
    <row r="4770" spans="2:18" ht="15.75" hidden="1" thickBot="1" x14ac:dyDescent="0.3">
      <c r="B4770" s="725" t="s">
        <v>813</v>
      </c>
      <c r="C4770" s="149" t="s">
        <v>67</v>
      </c>
      <c r="D4770" t="s">
        <v>68</v>
      </c>
      <c r="E4770" s="148">
        <v>46.408760000000001</v>
      </c>
      <c r="F4770" s="148">
        <v>22.329029999999999</v>
      </c>
      <c r="G4770" s="148">
        <v>24.079730000000001</v>
      </c>
      <c r="H4770" s="148">
        <v>107.84046597635455</v>
      </c>
      <c r="I4770" s="728"/>
      <c r="J4770" s="148">
        <v>46.408760000000001</v>
      </c>
      <c r="K4770" s="148">
        <v>0</v>
      </c>
      <c r="L4770" s="148">
        <v>321.63414999999998</v>
      </c>
      <c r="M4770" s="148">
        <v>266.54266000000001</v>
      </c>
      <c r="N4770" s="148">
        <v>55.09149</v>
      </c>
      <c r="O4770" s="148">
        <v>20.668920314669329</v>
      </c>
      <c r="P4770" s="148">
        <v>165.62142</v>
      </c>
      <c r="Q4770" s="148">
        <v>156.01273</v>
      </c>
      <c r="R4770" s="148">
        <v>94.198401390351563</v>
      </c>
    </row>
    <row r="4771" spans="2:18" ht="15.75" hidden="1" thickBot="1" x14ac:dyDescent="0.3">
      <c r="B4771" s="725" t="s">
        <v>813</v>
      </c>
      <c r="C4771" s="722" t="s">
        <v>69</v>
      </c>
      <c r="D4771" t="s">
        <v>70</v>
      </c>
      <c r="E4771" s="729"/>
      <c r="F4771" s="729"/>
      <c r="G4771" s="729"/>
      <c r="H4771" s="729"/>
      <c r="I4771" s="729"/>
      <c r="J4771" s="729"/>
      <c r="K4771" s="729"/>
      <c r="L4771" s="147">
        <v>0.19800000000000001</v>
      </c>
      <c r="M4771" s="729"/>
      <c r="N4771" s="147">
        <v>0.19800000000000001</v>
      </c>
      <c r="O4771" s="147">
        <v>0</v>
      </c>
      <c r="P4771" s="147">
        <v>7.9000000000000001E-2</v>
      </c>
      <c r="Q4771" s="147">
        <v>0.11899999999999999</v>
      </c>
      <c r="R4771" s="147">
        <v>150.63291139240508</v>
      </c>
    </row>
    <row r="4772" spans="2:18" ht="15.75" hidden="1" thickBot="1" x14ac:dyDescent="0.3">
      <c r="B4772" s="725" t="s">
        <v>813</v>
      </c>
      <c r="C4772" s="722" t="s">
        <v>99</v>
      </c>
      <c r="D4772" t="s">
        <v>100</v>
      </c>
      <c r="E4772" s="728"/>
      <c r="F4772" s="148">
        <v>0.2</v>
      </c>
      <c r="G4772" s="148">
        <v>-0.2</v>
      </c>
      <c r="H4772" s="148">
        <v>-100</v>
      </c>
      <c r="I4772" s="728"/>
      <c r="J4772" s="728"/>
      <c r="K4772" s="728"/>
      <c r="L4772" s="728"/>
      <c r="M4772" s="148">
        <v>2.4</v>
      </c>
      <c r="N4772" s="148">
        <v>-2.4</v>
      </c>
      <c r="O4772" s="148">
        <v>-100</v>
      </c>
      <c r="P4772" s="728"/>
      <c r="Q4772" s="728"/>
      <c r="R4772" s="728"/>
    </row>
    <row r="4773" spans="2:18" ht="15.75" hidden="1" thickBot="1" x14ac:dyDescent="0.3">
      <c r="B4773" s="725" t="s">
        <v>813</v>
      </c>
      <c r="C4773" s="722" t="s">
        <v>165</v>
      </c>
      <c r="D4773" t="s">
        <v>166</v>
      </c>
      <c r="E4773" s="147">
        <v>1.8700000000000001E-2</v>
      </c>
      <c r="F4773" s="729"/>
      <c r="G4773" s="147">
        <v>1.8700000000000001E-2</v>
      </c>
      <c r="H4773" s="147">
        <v>0</v>
      </c>
      <c r="I4773" s="729"/>
      <c r="J4773" s="147">
        <v>1.8700000000000001E-2</v>
      </c>
      <c r="K4773" s="147">
        <v>0</v>
      </c>
      <c r="L4773" s="147">
        <v>1.20811</v>
      </c>
      <c r="M4773" s="729"/>
      <c r="N4773" s="147">
        <v>1.20811</v>
      </c>
      <c r="O4773" s="147">
        <v>0</v>
      </c>
      <c r="P4773" s="147">
        <v>0.66493000000000002</v>
      </c>
      <c r="Q4773" s="147">
        <v>0.54318</v>
      </c>
      <c r="R4773" s="147">
        <v>81.689801934038172</v>
      </c>
    </row>
    <row r="4774" spans="2:18" ht="15.75" hidden="1" thickBot="1" x14ac:dyDescent="0.3">
      <c r="B4774" s="725" t="s">
        <v>813</v>
      </c>
      <c r="C4774" s="722" t="s">
        <v>36</v>
      </c>
      <c r="D4774" t="s">
        <v>192</v>
      </c>
      <c r="E4774" s="148">
        <v>9.92E-3</v>
      </c>
      <c r="F4774" s="728"/>
      <c r="G4774" s="148">
        <v>9.92E-3</v>
      </c>
      <c r="H4774" s="148">
        <v>0</v>
      </c>
      <c r="I4774" s="728"/>
      <c r="J4774" s="148">
        <v>9.92E-3</v>
      </c>
      <c r="K4774" s="148">
        <v>0</v>
      </c>
      <c r="L4774" s="148">
        <v>9.92E-3</v>
      </c>
      <c r="M4774" s="728"/>
      <c r="N4774" s="148">
        <v>9.92E-3</v>
      </c>
      <c r="O4774" s="148">
        <v>0</v>
      </c>
      <c r="P4774" s="728"/>
      <c r="Q4774" s="148">
        <v>9.92E-3</v>
      </c>
      <c r="R4774" s="148">
        <v>0</v>
      </c>
    </row>
    <row r="4775" spans="2:18" ht="15.75" hidden="1" thickBot="1" x14ac:dyDescent="0.3">
      <c r="B4775" s="725" t="s">
        <v>813</v>
      </c>
      <c r="C4775" s="722" t="s">
        <v>101</v>
      </c>
      <c r="D4775" t="s">
        <v>102</v>
      </c>
      <c r="E4775" s="147">
        <v>392.81017000000003</v>
      </c>
      <c r="F4775" s="147">
        <v>249.83273</v>
      </c>
      <c r="G4775" s="147">
        <v>142.97744</v>
      </c>
      <c r="H4775" s="147">
        <v>57.229266957936218</v>
      </c>
      <c r="I4775" s="729"/>
      <c r="J4775" s="147">
        <v>392.81017000000003</v>
      </c>
      <c r="K4775" s="147">
        <v>0</v>
      </c>
      <c r="L4775" s="147">
        <v>4635.7589099999996</v>
      </c>
      <c r="M4775" s="147">
        <v>4587.4060499999996</v>
      </c>
      <c r="N4775" s="147">
        <v>48.35286</v>
      </c>
      <c r="O4775" s="147">
        <v>1.0540348831776076</v>
      </c>
      <c r="P4775" s="147">
        <v>2315.8787400000001</v>
      </c>
      <c r="Q4775" s="147">
        <v>2319.8801699999999</v>
      </c>
      <c r="R4775" s="147">
        <v>100.17278236251695</v>
      </c>
    </row>
    <row r="4776" spans="2:18" ht="15.75" hidden="1" thickBot="1" x14ac:dyDescent="0.3">
      <c r="B4776" s="725" t="s">
        <v>813</v>
      </c>
      <c r="C4776" s="722" t="s">
        <v>103</v>
      </c>
      <c r="D4776" t="s">
        <v>104</v>
      </c>
      <c r="E4776" s="728"/>
      <c r="F4776" s="728"/>
      <c r="G4776" s="728"/>
      <c r="H4776" s="728"/>
      <c r="I4776" s="728"/>
      <c r="J4776" s="728"/>
      <c r="K4776" s="728"/>
      <c r="L4776" s="148">
        <v>0.27836</v>
      </c>
      <c r="M4776" s="728"/>
      <c r="N4776" s="148">
        <v>0.27836</v>
      </c>
      <c r="O4776" s="148">
        <v>0</v>
      </c>
      <c r="P4776" s="148">
        <v>0.27836</v>
      </c>
      <c r="Q4776" s="148">
        <v>0</v>
      </c>
      <c r="R4776" s="148">
        <v>0</v>
      </c>
    </row>
    <row r="4777" spans="2:18" ht="15.75" hidden="1" thickBot="1" x14ac:dyDescent="0.3">
      <c r="B4777" s="725" t="s">
        <v>813</v>
      </c>
      <c r="C4777" s="722" t="s">
        <v>71</v>
      </c>
      <c r="D4777" t="s">
        <v>72</v>
      </c>
      <c r="E4777" s="147">
        <v>0</v>
      </c>
      <c r="F4777" s="729"/>
      <c r="G4777" s="147">
        <v>0</v>
      </c>
      <c r="H4777" s="147">
        <v>0</v>
      </c>
      <c r="I4777" s="729"/>
      <c r="J4777" s="147">
        <v>0</v>
      </c>
      <c r="K4777" s="147">
        <v>0</v>
      </c>
      <c r="L4777" s="147">
        <v>0</v>
      </c>
      <c r="M4777" s="729"/>
      <c r="N4777" s="147">
        <v>0</v>
      </c>
      <c r="O4777" s="147">
        <v>0</v>
      </c>
      <c r="P4777" s="729"/>
      <c r="Q4777" s="147">
        <v>0</v>
      </c>
      <c r="R4777" s="147">
        <v>0</v>
      </c>
    </row>
    <row r="4778" spans="2:18" ht="15.75" hidden="1" thickBot="1" x14ac:dyDescent="0.3">
      <c r="B4778" s="725" t="s">
        <v>813</v>
      </c>
      <c r="C4778" s="722" t="s">
        <v>73</v>
      </c>
      <c r="D4778" t="s">
        <v>74</v>
      </c>
      <c r="E4778" s="148">
        <v>0.19961000000000001</v>
      </c>
      <c r="F4778" s="728"/>
      <c r="G4778" s="148">
        <v>0.19961000000000001</v>
      </c>
      <c r="H4778" s="148">
        <v>0</v>
      </c>
      <c r="I4778" s="728"/>
      <c r="J4778" s="148">
        <v>0.19961000000000001</v>
      </c>
      <c r="K4778" s="148">
        <v>0</v>
      </c>
      <c r="L4778" s="148">
        <v>1.07283</v>
      </c>
      <c r="M4778" s="728"/>
      <c r="N4778" s="148">
        <v>1.07283</v>
      </c>
      <c r="O4778" s="148">
        <v>0</v>
      </c>
      <c r="P4778" s="148">
        <v>0.39802999999999999</v>
      </c>
      <c r="Q4778" s="148">
        <v>0.67479999999999996</v>
      </c>
      <c r="R4778" s="148">
        <v>169.53495967640629</v>
      </c>
    </row>
    <row r="4779" spans="2:18" ht="15.75" hidden="1" thickBot="1" x14ac:dyDescent="0.3">
      <c r="B4779" s="725" t="s">
        <v>813</v>
      </c>
      <c r="C4779" s="722" t="s">
        <v>113</v>
      </c>
      <c r="D4779" t="s">
        <v>114</v>
      </c>
      <c r="E4779" s="147">
        <v>2.2089999999999999E-2</v>
      </c>
      <c r="F4779" s="729"/>
      <c r="G4779" s="147">
        <v>2.2089999999999999E-2</v>
      </c>
      <c r="H4779" s="147">
        <v>0</v>
      </c>
      <c r="I4779" s="729"/>
      <c r="J4779" s="147">
        <v>2.2089999999999999E-2</v>
      </c>
      <c r="K4779" s="147">
        <v>0</v>
      </c>
      <c r="L4779" s="147">
        <v>0.23011000000000001</v>
      </c>
      <c r="M4779" s="729"/>
      <c r="N4779" s="147">
        <v>0.23011000000000001</v>
      </c>
      <c r="O4779" s="147">
        <v>0</v>
      </c>
      <c r="P4779" s="147">
        <v>0.13749</v>
      </c>
      <c r="Q4779" s="147">
        <v>9.2619999999999994E-2</v>
      </c>
      <c r="R4779" s="147">
        <v>67.364899265401121</v>
      </c>
    </row>
    <row r="4780" spans="2:18" ht="15.75" hidden="1" thickBot="1" x14ac:dyDescent="0.3">
      <c r="B4780" s="725" t="s">
        <v>813</v>
      </c>
      <c r="C4780" s="722" t="s">
        <v>201</v>
      </c>
      <c r="D4780" t="s">
        <v>202</v>
      </c>
      <c r="E4780" s="728"/>
      <c r="F4780" s="728"/>
      <c r="G4780" s="728"/>
      <c r="H4780" s="728"/>
      <c r="I4780" s="728"/>
      <c r="J4780" s="728"/>
      <c r="K4780" s="728"/>
      <c r="L4780" s="148">
        <v>0.19983999999999999</v>
      </c>
      <c r="M4780" s="728"/>
      <c r="N4780" s="148">
        <v>0.19983999999999999</v>
      </c>
      <c r="O4780" s="148">
        <v>0</v>
      </c>
      <c r="P4780" s="148">
        <v>0.19983999999999999</v>
      </c>
      <c r="Q4780" s="148">
        <v>0</v>
      </c>
      <c r="R4780" s="148">
        <v>0</v>
      </c>
    </row>
    <row r="4781" spans="2:18" ht="15.75" hidden="1" thickBot="1" x14ac:dyDescent="0.3">
      <c r="B4781" s="725" t="s">
        <v>813</v>
      </c>
      <c r="C4781" s="722" t="s">
        <v>145</v>
      </c>
      <c r="D4781" t="s">
        <v>146</v>
      </c>
      <c r="E4781" s="147">
        <v>1.6E-2</v>
      </c>
      <c r="F4781" s="729"/>
      <c r="G4781" s="147">
        <v>1.6E-2</v>
      </c>
      <c r="H4781" s="147">
        <v>0</v>
      </c>
      <c r="I4781" s="729"/>
      <c r="J4781" s="147">
        <v>1.6E-2</v>
      </c>
      <c r="K4781" s="147">
        <v>0</v>
      </c>
      <c r="L4781" s="147">
        <v>1.6E-2</v>
      </c>
      <c r="M4781" s="729"/>
      <c r="N4781" s="147">
        <v>1.6E-2</v>
      </c>
      <c r="O4781" s="147">
        <v>0</v>
      </c>
      <c r="P4781" s="729"/>
      <c r="Q4781" s="147">
        <v>1.6E-2</v>
      </c>
      <c r="R4781" s="147">
        <v>0</v>
      </c>
    </row>
    <row r="4782" spans="2:18" ht="15.75" hidden="1" thickBot="1" x14ac:dyDescent="0.3">
      <c r="B4782" s="725" t="s">
        <v>813</v>
      </c>
      <c r="C4782" s="722" t="s">
        <v>481</v>
      </c>
      <c r="D4782" t="s">
        <v>482</v>
      </c>
      <c r="E4782" s="148">
        <v>3.397E-2</v>
      </c>
      <c r="F4782" s="728"/>
      <c r="G4782" s="148">
        <v>3.397E-2</v>
      </c>
      <c r="H4782" s="148">
        <v>0</v>
      </c>
      <c r="I4782" s="728"/>
      <c r="J4782" s="148">
        <v>3.397E-2</v>
      </c>
      <c r="K4782" s="148">
        <v>0</v>
      </c>
      <c r="L4782" s="148">
        <v>0.17782000000000001</v>
      </c>
      <c r="M4782" s="728"/>
      <c r="N4782" s="148">
        <v>0.17782000000000001</v>
      </c>
      <c r="O4782" s="148">
        <v>0</v>
      </c>
      <c r="P4782" s="148">
        <v>8.9990000000000001E-2</v>
      </c>
      <c r="Q4782" s="148">
        <v>8.7830000000000005E-2</v>
      </c>
      <c r="R4782" s="148">
        <v>97.599733303700418</v>
      </c>
    </row>
    <row r="4783" spans="2:18" ht="15.75" hidden="1" thickBot="1" x14ac:dyDescent="0.3">
      <c r="B4783" s="725" t="s">
        <v>813</v>
      </c>
      <c r="C4783" s="722" t="s">
        <v>153</v>
      </c>
      <c r="D4783" t="s">
        <v>154</v>
      </c>
      <c r="E4783" s="729"/>
      <c r="F4783" s="729"/>
      <c r="G4783" s="729"/>
      <c r="H4783" s="729"/>
      <c r="I4783" s="729"/>
      <c r="J4783" s="729"/>
      <c r="K4783" s="729"/>
      <c r="L4783" s="147">
        <v>1.0740099999999999</v>
      </c>
      <c r="M4783" s="729"/>
      <c r="N4783" s="147">
        <v>1.0740099999999999</v>
      </c>
      <c r="O4783" s="147">
        <v>0</v>
      </c>
      <c r="P4783" s="147">
        <v>1.0740099999999999</v>
      </c>
      <c r="Q4783" s="147">
        <v>0</v>
      </c>
      <c r="R4783" s="147">
        <v>0</v>
      </c>
    </row>
    <row r="4784" spans="2:18" ht="15.75" hidden="1" thickBot="1" x14ac:dyDescent="0.3">
      <c r="B4784" s="725" t="s">
        <v>813</v>
      </c>
      <c r="C4784" s="722" t="s">
        <v>75</v>
      </c>
      <c r="D4784" t="s">
        <v>76</v>
      </c>
      <c r="E4784" s="148">
        <v>0.16675000000000001</v>
      </c>
      <c r="F4784" s="148">
        <v>0.3</v>
      </c>
      <c r="G4784" s="148">
        <v>-0.13325000000000001</v>
      </c>
      <c r="H4784" s="148">
        <v>-44.416666666666664</v>
      </c>
      <c r="I4784" s="728"/>
      <c r="J4784" s="148">
        <v>0.16675000000000001</v>
      </c>
      <c r="K4784" s="148">
        <v>0</v>
      </c>
      <c r="L4784" s="148">
        <v>4.8689799999999996</v>
      </c>
      <c r="M4784" s="148">
        <v>3.6</v>
      </c>
      <c r="N4784" s="148">
        <v>1.26898</v>
      </c>
      <c r="O4784" s="148">
        <v>35.249444444444443</v>
      </c>
      <c r="P4784" s="148">
        <v>1.1501600000000001</v>
      </c>
      <c r="Q4784" s="148">
        <v>3.71882</v>
      </c>
      <c r="R4784" s="148">
        <v>323.33066703762955</v>
      </c>
    </row>
    <row r="4785" spans="2:18" ht="15.75" hidden="1" thickBot="1" x14ac:dyDescent="0.3">
      <c r="B4785" s="725" t="s">
        <v>813</v>
      </c>
      <c r="C4785" s="722" t="s">
        <v>77</v>
      </c>
      <c r="D4785" t="s">
        <v>78</v>
      </c>
      <c r="E4785" s="729"/>
      <c r="F4785" s="729"/>
      <c r="G4785" s="729"/>
      <c r="H4785" s="729"/>
      <c r="I4785" s="729"/>
      <c r="J4785" s="729"/>
      <c r="K4785" s="729"/>
      <c r="L4785" s="147">
        <v>1.6608799999999999</v>
      </c>
      <c r="M4785" s="729"/>
      <c r="N4785" s="147">
        <v>1.6608799999999999</v>
      </c>
      <c r="O4785" s="147">
        <v>0</v>
      </c>
      <c r="P4785" s="147">
        <v>1.4018200000000001</v>
      </c>
      <c r="Q4785" s="147">
        <v>0.25906000000000001</v>
      </c>
      <c r="R4785" s="147">
        <v>18.480261374498866</v>
      </c>
    </row>
    <row r="4786" spans="2:18" ht="15.75" hidden="1" thickBot="1" x14ac:dyDescent="0.3">
      <c r="B4786" s="725" t="s">
        <v>813</v>
      </c>
      <c r="C4786" s="722" t="s">
        <v>81</v>
      </c>
      <c r="D4786" t="s">
        <v>82</v>
      </c>
      <c r="E4786" s="148">
        <v>0.2</v>
      </c>
      <c r="F4786" s="728"/>
      <c r="G4786" s="148">
        <v>0.2</v>
      </c>
      <c r="H4786" s="148">
        <v>0</v>
      </c>
      <c r="I4786" s="728"/>
      <c r="J4786" s="148">
        <v>0.2</v>
      </c>
      <c r="K4786" s="148">
        <v>0</v>
      </c>
      <c r="L4786" s="148">
        <v>0.2</v>
      </c>
      <c r="M4786" s="728"/>
      <c r="N4786" s="148">
        <v>0.2</v>
      </c>
      <c r="O4786" s="148">
        <v>0</v>
      </c>
      <c r="P4786" s="728"/>
      <c r="Q4786" s="148">
        <v>0.2</v>
      </c>
      <c r="R4786" s="148">
        <v>0</v>
      </c>
    </row>
    <row r="4787" spans="2:18" ht="15.75" hidden="1" thickBot="1" x14ac:dyDescent="0.3">
      <c r="B4787" s="725" t="s">
        <v>813</v>
      </c>
      <c r="C4787" s="722" t="s">
        <v>123</v>
      </c>
      <c r="D4787" t="s">
        <v>124</v>
      </c>
      <c r="E4787" s="729"/>
      <c r="F4787" s="729"/>
      <c r="G4787" s="729"/>
      <c r="H4787" s="729"/>
      <c r="I4787" s="729"/>
      <c r="J4787" s="729"/>
      <c r="K4787" s="729"/>
      <c r="L4787" s="147">
        <v>0.76975000000000005</v>
      </c>
      <c r="M4787" s="729"/>
      <c r="N4787" s="147">
        <v>0.76975000000000005</v>
      </c>
      <c r="O4787" s="147">
        <v>0</v>
      </c>
      <c r="P4787" s="147">
        <v>0.76975000000000005</v>
      </c>
      <c r="Q4787" s="147">
        <v>0</v>
      </c>
      <c r="R4787" s="147">
        <v>0</v>
      </c>
    </row>
    <row r="4788" spans="2:18" ht="15.75" hidden="1" thickBot="1" x14ac:dyDescent="0.3">
      <c r="B4788" s="725" t="s">
        <v>813</v>
      </c>
      <c r="C4788" s="722" t="s">
        <v>125</v>
      </c>
      <c r="D4788" t="s">
        <v>126</v>
      </c>
      <c r="E4788" s="728"/>
      <c r="F4788" s="728"/>
      <c r="G4788" s="728"/>
      <c r="H4788" s="728"/>
      <c r="I4788" s="728"/>
      <c r="J4788" s="728"/>
      <c r="K4788" s="728"/>
      <c r="L4788" s="148">
        <v>0.33095000000000002</v>
      </c>
      <c r="M4788" s="728"/>
      <c r="N4788" s="148">
        <v>0.33095000000000002</v>
      </c>
      <c r="O4788" s="148">
        <v>0</v>
      </c>
      <c r="P4788" s="148">
        <v>0.10595</v>
      </c>
      <c r="Q4788" s="148">
        <v>0.22500000000000001</v>
      </c>
      <c r="R4788" s="148">
        <v>212.36432279377064</v>
      </c>
    </row>
    <row r="4789" spans="2:18" ht="15.75" hidden="1" thickBot="1" x14ac:dyDescent="0.3">
      <c r="B4789" s="725" t="s">
        <v>813</v>
      </c>
      <c r="C4789" s="722" t="s">
        <v>83</v>
      </c>
      <c r="D4789" t="s">
        <v>84</v>
      </c>
      <c r="E4789" s="729"/>
      <c r="F4789" s="147">
        <v>0.45</v>
      </c>
      <c r="G4789" s="147">
        <v>-0.45</v>
      </c>
      <c r="H4789" s="147">
        <v>-100</v>
      </c>
      <c r="I4789" s="729"/>
      <c r="J4789" s="729"/>
      <c r="K4789" s="729"/>
      <c r="L4789" s="729"/>
      <c r="M4789" s="147">
        <v>5.4</v>
      </c>
      <c r="N4789" s="147">
        <v>-5.4</v>
      </c>
      <c r="O4789" s="147">
        <v>-100</v>
      </c>
      <c r="P4789" s="729"/>
      <c r="Q4789" s="729"/>
      <c r="R4789" s="729"/>
    </row>
    <row r="4790" spans="2:18" ht="15.75" hidden="1" thickBot="1" x14ac:dyDescent="0.3">
      <c r="B4790" s="725" t="s">
        <v>813</v>
      </c>
      <c r="C4790" s="149" t="s">
        <v>85</v>
      </c>
      <c r="D4790" t="s">
        <v>86</v>
      </c>
      <c r="E4790" s="148">
        <v>393.47721000000001</v>
      </c>
      <c r="F4790" s="148">
        <v>250.78272999999999</v>
      </c>
      <c r="G4790" s="148">
        <v>142.69448</v>
      </c>
      <c r="H4790" s="148">
        <v>56.899643767335974</v>
      </c>
      <c r="I4790" s="728"/>
      <c r="J4790" s="148">
        <v>393.47721000000001</v>
      </c>
      <c r="K4790" s="148">
        <v>0</v>
      </c>
      <c r="L4790" s="148">
        <v>4648.05447</v>
      </c>
      <c r="M4790" s="148">
        <v>4598.8060500000001</v>
      </c>
      <c r="N4790" s="148">
        <v>49.248420000000003</v>
      </c>
      <c r="O4790" s="148">
        <v>1.0708957817431766</v>
      </c>
      <c r="P4790" s="148">
        <v>2322.2280700000001</v>
      </c>
      <c r="Q4790" s="148">
        <v>2325.8263999999999</v>
      </c>
      <c r="R4790" s="148">
        <v>100.15495161937302</v>
      </c>
    </row>
    <row r="4791" spans="2:18" ht="15.75" hidden="1" thickBot="1" x14ac:dyDescent="0.3">
      <c r="B4791" s="725" t="s">
        <v>813</v>
      </c>
      <c r="C4791" s="144" t="s">
        <v>87</v>
      </c>
      <c r="D4791" t="s">
        <v>87</v>
      </c>
      <c r="E4791" s="147">
        <v>439.88596999999999</v>
      </c>
      <c r="F4791" s="147">
        <v>273.11176</v>
      </c>
      <c r="G4791" s="147">
        <v>166.77421000000001</v>
      </c>
      <c r="H4791" s="147">
        <v>61.06445581105698</v>
      </c>
      <c r="I4791" s="729"/>
      <c r="J4791" s="147">
        <v>439.88596999999999</v>
      </c>
      <c r="K4791" s="147">
        <v>0</v>
      </c>
      <c r="L4791" s="147">
        <v>4969.6886199999999</v>
      </c>
      <c r="M4791" s="147">
        <v>4865.3487100000002</v>
      </c>
      <c r="N4791" s="147">
        <v>104.33991</v>
      </c>
      <c r="O4791" s="147">
        <v>2.1445515258864147</v>
      </c>
      <c r="P4791" s="147">
        <v>2487.8494900000001</v>
      </c>
      <c r="Q4791" s="147">
        <v>2481.8391299999998</v>
      </c>
      <c r="R4791" s="147">
        <v>99.758411430267032</v>
      </c>
    </row>
    <row r="4792" spans="2:18" ht="15.75" hidden="1" thickBot="1" x14ac:dyDescent="0.3">
      <c r="B4792" s="725" t="s">
        <v>814</v>
      </c>
      <c r="C4792" s="722" t="s">
        <v>59</v>
      </c>
      <c r="D4792" t="s">
        <v>60</v>
      </c>
      <c r="E4792" s="148">
        <v>123.42353</v>
      </c>
      <c r="F4792" s="148">
        <v>133.28659999999999</v>
      </c>
      <c r="G4792" s="148">
        <v>-9.8630700000000004</v>
      </c>
      <c r="H4792" s="148">
        <v>-7.3998961636053435</v>
      </c>
      <c r="I4792" s="728"/>
      <c r="J4792" s="148">
        <v>123.42353</v>
      </c>
      <c r="K4792" s="148">
        <v>0</v>
      </c>
      <c r="L4792" s="148">
        <v>1651.0057099999999</v>
      </c>
      <c r="M4792" s="148">
        <v>1591.04828</v>
      </c>
      <c r="N4792" s="148">
        <v>59.957430000000002</v>
      </c>
      <c r="O4792" s="148">
        <v>3.7684230424484668</v>
      </c>
      <c r="P4792" s="148">
        <v>858.44063000000006</v>
      </c>
      <c r="Q4792" s="148">
        <v>792.56507999999997</v>
      </c>
      <c r="R4792" s="148">
        <v>92.326137918239027</v>
      </c>
    </row>
    <row r="4793" spans="2:18" ht="15.75" hidden="1" thickBot="1" x14ac:dyDescent="0.3">
      <c r="B4793" s="725" t="s">
        <v>814</v>
      </c>
      <c r="C4793" s="722" t="s">
        <v>178</v>
      </c>
      <c r="D4793" t="s">
        <v>179</v>
      </c>
      <c r="E4793" s="729"/>
      <c r="F4793" s="729"/>
      <c r="G4793" s="729"/>
      <c r="H4793" s="729"/>
      <c r="I4793" s="729"/>
      <c r="J4793" s="729"/>
      <c r="K4793" s="729"/>
      <c r="L4793" s="147">
        <v>0</v>
      </c>
      <c r="M4793" s="729"/>
      <c r="N4793" s="147">
        <v>0</v>
      </c>
      <c r="O4793" s="147">
        <v>0</v>
      </c>
      <c r="P4793" s="147">
        <v>0</v>
      </c>
      <c r="Q4793" s="147">
        <v>0</v>
      </c>
      <c r="R4793" s="147">
        <v>0</v>
      </c>
    </row>
    <row r="4794" spans="2:18" ht="15.75" hidden="1" thickBot="1" x14ac:dyDescent="0.3">
      <c r="B4794" s="725" t="s">
        <v>814</v>
      </c>
      <c r="C4794" s="722" t="s">
        <v>89</v>
      </c>
      <c r="D4794" t="s">
        <v>90</v>
      </c>
      <c r="E4794" s="148">
        <v>52.254980000000003</v>
      </c>
      <c r="F4794" s="728"/>
      <c r="G4794" s="148">
        <v>52.254980000000003</v>
      </c>
      <c r="H4794" s="148">
        <v>0</v>
      </c>
      <c r="I4794" s="728"/>
      <c r="J4794" s="148">
        <v>52.254980000000003</v>
      </c>
      <c r="K4794" s="148">
        <v>0</v>
      </c>
      <c r="L4794" s="148">
        <v>560.79228000000001</v>
      </c>
      <c r="M4794" s="728"/>
      <c r="N4794" s="148">
        <v>560.79228000000001</v>
      </c>
      <c r="O4794" s="148">
        <v>0</v>
      </c>
      <c r="P4794" s="148">
        <v>254.97002000000001</v>
      </c>
      <c r="Q4794" s="148">
        <v>305.82226000000003</v>
      </c>
      <c r="R4794" s="148">
        <v>119.94439973766328</v>
      </c>
    </row>
    <row r="4795" spans="2:18" ht="15.75" hidden="1" thickBot="1" x14ac:dyDescent="0.3">
      <c r="B4795" s="725" t="s">
        <v>814</v>
      </c>
      <c r="C4795" s="722" t="s">
        <v>91</v>
      </c>
      <c r="D4795" t="s">
        <v>92</v>
      </c>
      <c r="E4795" s="147">
        <v>789.58978000000002</v>
      </c>
      <c r="F4795" s="147">
        <v>1069.27088</v>
      </c>
      <c r="G4795" s="147">
        <v>-279.68110000000001</v>
      </c>
      <c r="H4795" s="147">
        <v>-26.156243963176102</v>
      </c>
      <c r="I4795" s="729"/>
      <c r="J4795" s="147">
        <v>789.58978000000002</v>
      </c>
      <c r="K4795" s="147">
        <v>0</v>
      </c>
      <c r="L4795" s="147">
        <v>11915.662329999999</v>
      </c>
      <c r="M4795" s="147">
        <v>12510.002990000001</v>
      </c>
      <c r="N4795" s="147">
        <v>-594.34065999999996</v>
      </c>
      <c r="O4795" s="147">
        <v>-4.7509234048552376</v>
      </c>
      <c r="P4795" s="147">
        <v>6068.4937099999997</v>
      </c>
      <c r="Q4795" s="147">
        <v>5847.1686200000004</v>
      </c>
      <c r="R4795" s="147">
        <v>96.352882600252372</v>
      </c>
    </row>
    <row r="4796" spans="2:18" ht="15.75" hidden="1" thickBot="1" x14ac:dyDescent="0.3">
      <c r="B4796" s="725" t="s">
        <v>814</v>
      </c>
      <c r="C4796" s="722" t="s">
        <v>93</v>
      </c>
      <c r="D4796" t="s">
        <v>94</v>
      </c>
      <c r="E4796" s="148">
        <v>87.154259999999994</v>
      </c>
      <c r="F4796" s="148">
        <v>68.774979999999999</v>
      </c>
      <c r="G4796" s="148">
        <v>18.379280000000001</v>
      </c>
      <c r="H4796" s="148">
        <v>26.723788214842084</v>
      </c>
      <c r="I4796" s="728"/>
      <c r="J4796" s="148">
        <v>87.154259999999994</v>
      </c>
      <c r="K4796" s="148">
        <v>0</v>
      </c>
      <c r="L4796" s="148">
        <v>1799.11483</v>
      </c>
      <c r="M4796" s="148">
        <v>528.17092000000002</v>
      </c>
      <c r="N4796" s="148">
        <v>1270.94391</v>
      </c>
      <c r="O4796" s="148">
        <v>240.63117863437085</v>
      </c>
      <c r="P4796" s="148">
        <v>930.59464000000003</v>
      </c>
      <c r="Q4796" s="148">
        <v>868.52018999999996</v>
      </c>
      <c r="R4796" s="148">
        <v>93.329593000879527</v>
      </c>
    </row>
    <row r="4797" spans="2:18" ht="15.75" hidden="1" thickBot="1" x14ac:dyDescent="0.3">
      <c r="B4797" s="725" t="s">
        <v>814</v>
      </c>
      <c r="C4797" s="722" t="s">
        <v>134</v>
      </c>
      <c r="D4797" t="s">
        <v>135</v>
      </c>
      <c r="E4797" s="147">
        <v>108.74009</v>
      </c>
      <c r="F4797" s="729"/>
      <c r="G4797" s="147">
        <v>108.74009</v>
      </c>
      <c r="H4797" s="147">
        <v>0</v>
      </c>
      <c r="I4797" s="729"/>
      <c r="J4797" s="147">
        <v>108.74009</v>
      </c>
      <c r="K4797" s="147">
        <v>0</v>
      </c>
      <c r="L4797" s="147">
        <v>109.11809</v>
      </c>
      <c r="M4797" s="729"/>
      <c r="N4797" s="147">
        <v>109.11809</v>
      </c>
      <c r="O4797" s="147">
        <v>0</v>
      </c>
      <c r="P4797" s="147">
        <v>0.378</v>
      </c>
      <c r="Q4797" s="147">
        <v>108.74009</v>
      </c>
      <c r="R4797" s="147">
        <v>28767.219576719577</v>
      </c>
    </row>
    <row r="4798" spans="2:18" ht="15.75" hidden="1" thickBot="1" x14ac:dyDescent="0.3">
      <c r="B4798" s="725" t="s">
        <v>814</v>
      </c>
      <c r="C4798" s="722" t="s">
        <v>95</v>
      </c>
      <c r="D4798" t="s">
        <v>96</v>
      </c>
      <c r="E4798" s="728"/>
      <c r="F4798" s="728"/>
      <c r="G4798" s="728"/>
      <c r="H4798" s="728"/>
      <c r="I4798" s="728"/>
      <c r="J4798" s="728"/>
      <c r="K4798" s="728"/>
      <c r="L4798" s="148">
        <v>0.75602000000000003</v>
      </c>
      <c r="M4798" s="728"/>
      <c r="N4798" s="148">
        <v>0.75602000000000003</v>
      </c>
      <c r="O4798" s="148">
        <v>0</v>
      </c>
      <c r="P4798" s="148">
        <v>0.75602000000000003</v>
      </c>
      <c r="Q4798" s="148">
        <v>0</v>
      </c>
      <c r="R4798" s="148">
        <v>0</v>
      </c>
    </row>
    <row r="4799" spans="2:18" ht="15.75" hidden="1" thickBot="1" x14ac:dyDescent="0.3">
      <c r="B4799" s="725" t="s">
        <v>814</v>
      </c>
      <c r="C4799" s="722" t="s">
        <v>61</v>
      </c>
      <c r="D4799" t="s">
        <v>62</v>
      </c>
      <c r="E4799" s="147">
        <v>176.61735999999999</v>
      </c>
      <c r="F4799" s="147">
        <v>186.39641</v>
      </c>
      <c r="G4799" s="147">
        <v>-9.7790499999999998</v>
      </c>
      <c r="H4799" s="147">
        <v>-5.2463725025605372</v>
      </c>
      <c r="I4799" s="729"/>
      <c r="J4799" s="147">
        <v>176.61735999999999</v>
      </c>
      <c r="K4799" s="147">
        <v>0</v>
      </c>
      <c r="L4799" s="147">
        <v>2107.5630500000002</v>
      </c>
      <c r="M4799" s="147">
        <v>2185.66302</v>
      </c>
      <c r="N4799" s="147">
        <v>-78.099969999999999</v>
      </c>
      <c r="O4799" s="147">
        <v>-3.5732850528806588</v>
      </c>
      <c r="P4799" s="147">
        <v>1032.3649399999999</v>
      </c>
      <c r="Q4799" s="147">
        <v>1075.19811</v>
      </c>
      <c r="R4799" s="147">
        <v>104.14903377094538</v>
      </c>
    </row>
    <row r="4800" spans="2:18" ht="15.75" hidden="1" thickBot="1" x14ac:dyDescent="0.3">
      <c r="B4800" s="725" t="s">
        <v>814</v>
      </c>
      <c r="C4800" s="722" t="s">
        <v>63</v>
      </c>
      <c r="D4800" t="s">
        <v>64</v>
      </c>
      <c r="E4800" s="148">
        <v>706.36474999999996</v>
      </c>
      <c r="F4800" s="148">
        <v>725.14215999999999</v>
      </c>
      <c r="G4800" s="148">
        <v>-18.77741</v>
      </c>
      <c r="H4800" s="148">
        <v>-2.589479833857681</v>
      </c>
      <c r="I4800" s="728"/>
      <c r="J4800" s="148">
        <v>706.36474999999996</v>
      </c>
      <c r="K4800" s="148">
        <v>0</v>
      </c>
      <c r="L4800" s="148">
        <v>8536.1793899999993</v>
      </c>
      <c r="M4800" s="148">
        <v>8502.9339</v>
      </c>
      <c r="N4800" s="148">
        <v>33.245489999999997</v>
      </c>
      <c r="O4800" s="148">
        <v>0.39098845634916674</v>
      </c>
      <c r="P4800" s="148">
        <v>4205.0835299999999</v>
      </c>
      <c r="Q4800" s="148">
        <v>4331.0958600000004</v>
      </c>
      <c r="R4800" s="148">
        <v>102.99666651330467</v>
      </c>
    </row>
    <row r="4801" spans="2:18" ht="15.75" hidden="1" thickBot="1" x14ac:dyDescent="0.3">
      <c r="B4801" s="725" t="s">
        <v>814</v>
      </c>
      <c r="C4801" s="722" t="s">
        <v>156</v>
      </c>
      <c r="D4801" t="s">
        <v>157</v>
      </c>
      <c r="E4801" s="147">
        <v>2.9084699999999999</v>
      </c>
      <c r="F4801" s="729"/>
      <c r="G4801" s="147">
        <v>2.9084699999999999</v>
      </c>
      <c r="H4801" s="147">
        <v>0</v>
      </c>
      <c r="I4801" s="729"/>
      <c r="J4801" s="147">
        <v>2.9084699999999999</v>
      </c>
      <c r="K4801" s="147">
        <v>0</v>
      </c>
      <c r="L4801" s="147">
        <v>8.9699200000000001</v>
      </c>
      <c r="M4801" s="729"/>
      <c r="N4801" s="147">
        <v>8.9699200000000001</v>
      </c>
      <c r="O4801" s="147">
        <v>0</v>
      </c>
      <c r="P4801" s="147">
        <v>1.83673</v>
      </c>
      <c r="Q4801" s="147">
        <v>7.1331899999999999</v>
      </c>
      <c r="R4801" s="147">
        <v>388.36355915131782</v>
      </c>
    </row>
    <row r="4802" spans="2:18" ht="15.75" hidden="1" thickBot="1" x14ac:dyDescent="0.3">
      <c r="B4802" s="725" t="s">
        <v>814</v>
      </c>
      <c r="C4802" s="722" t="s">
        <v>182</v>
      </c>
      <c r="D4802" t="s">
        <v>183</v>
      </c>
      <c r="E4802" s="148">
        <v>23.651250000000001</v>
      </c>
      <c r="F4802" s="728"/>
      <c r="G4802" s="148">
        <v>23.651250000000001</v>
      </c>
      <c r="H4802" s="148">
        <v>0</v>
      </c>
      <c r="I4802" s="728"/>
      <c r="J4802" s="148">
        <v>23.651250000000001</v>
      </c>
      <c r="K4802" s="148">
        <v>0</v>
      </c>
      <c r="L4802" s="148">
        <v>385.91185000000002</v>
      </c>
      <c r="M4802" s="728"/>
      <c r="N4802" s="148">
        <v>385.91185000000002</v>
      </c>
      <c r="O4802" s="148">
        <v>0</v>
      </c>
      <c r="P4802" s="148">
        <v>179.12812</v>
      </c>
      <c r="Q4802" s="148">
        <v>206.78372999999999</v>
      </c>
      <c r="R4802" s="148">
        <v>115.43901091576241</v>
      </c>
    </row>
    <row r="4803" spans="2:18" ht="15.75" hidden="1" thickBot="1" x14ac:dyDescent="0.3">
      <c r="B4803" s="725" t="s">
        <v>814</v>
      </c>
      <c r="C4803" s="722" t="s">
        <v>184</v>
      </c>
      <c r="D4803" t="s">
        <v>185</v>
      </c>
      <c r="E4803" s="147">
        <v>118.26284</v>
      </c>
      <c r="F4803" s="729"/>
      <c r="G4803" s="147">
        <v>118.26284</v>
      </c>
      <c r="H4803" s="147">
        <v>0</v>
      </c>
      <c r="I4803" s="729"/>
      <c r="J4803" s="147">
        <v>118.26284</v>
      </c>
      <c r="K4803" s="147">
        <v>0</v>
      </c>
      <c r="L4803" s="147">
        <v>4321.2963</v>
      </c>
      <c r="M4803" s="729"/>
      <c r="N4803" s="147">
        <v>4321.2963</v>
      </c>
      <c r="O4803" s="147">
        <v>0</v>
      </c>
      <c r="P4803" s="147">
        <v>2372.8524699999998</v>
      </c>
      <c r="Q4803" s="147">
        <v>1948.4438299999999</v>
      </c>
      <c r="R4803" s="147">
        <v>82.11398958149303</v>
      </c>
    </row>
    <row r="4804" spans="2:18" ht="15.75" hidden="1" thickBot="1" x14ac:dyDescent="0.3">
      <c r="B4804" s="725" t="s">
        <v>814</v>
      </c>
      <c r="C4804" s="722" t="s">
        <v>161</v>
      </c>
      <c r="D4804" t="s">
        <v>162</v>
      </c>
      <c r="E4804" s="148">
        <v>7.2669199999999998</v>
      </c>
      <c r="F4804" s="728"/>
      <c r="G4804" s="148">
        <v>7.2669199999999998</v>
      </c>
      <c r="H4804" s="148">
        <v>0</v>
      </c>
      <c r="I4804" s="728"/>
      <c r="J4804" s="148">
        <v>7.2669199999999998</v>
      </c>
      <c r="K4804" s="148">
        <v>0</v>
      </c>
      <c r="L4804" s="148">
        <v>363.45737000000003</v>
      </c>
      <c r="M4804" s="728"/>
      <c r="N4804" s="148">
        <v>363.45737000000003</v>
      </c>
      <c r="O4804" s="148">
        <v>0</v>
      </c>
      <c r="P4804" s="148">
        <v>183.55282</v>
      </c>
      <c r="Q4804" s="148">
        <v>179.90455</v>
      </c>
      <c r="R4804" s="148">
        <v>98.012414083313999</v>
      </c>
    </row>
    <row r="4805" spans="2:18" ht="15.75" hidden="1" thickBot="1" x14ac:dyDescent="0.3">
      <c r="B4805" s="725" t="s">
        <v>814</v>
      </c>
      <c r="C4805" s="722" t="s">
        <v>65</v>
      </c>
      <c r="D4805" t="s">
        <v>66</v>
      </c>
      <c r="E4805" s="147">
        <v>-141.14841999999999</v>
      </c>
      <c r="F4805" s="147">
        <v>-180.42471</v>
      </c>
      <c r="G4805" s="147">
        <v>39.276290000000003</v>
      </c>
      <c r="H4805" s="147">
        <v>21.768797633095822</v>
      </c>
      <c r="I4805" s="729"/>
      <c r="J4805" s="147">
        <v>-141.14841999999999</v>
      </c>
      <c r="K4805" s="147">
        <v>0</v>
      </c>
      <c r="L4805" s="147">
        <v>-2153.30438</v>
      </c>
      <c r="M4805" s="147">
        <v>-2153.7380600000001</v>
      </c>
      <c r="N4805" s="147">
        <v>0.43368000000000001</v>
      </c>
      <c r="O4805" s="147">
        <v>2.0136153418768111E-2</v>
      </c>
      <c r="P4805" s="147">
        <v>-1146.61968</v>
      </c>
      <c r="Q4805" s="147">
        <v>-1006.6847</v>
      </c>
      <c r="R4805" s="147">
        <v>-87.795867937658286</v>
      </c>
    </row>
    <row r="4806" spans="2:18" ht="15.75" hidden="1" thickBot="1" x14ac:dyDescent="0.3">
      <c r="B4806" s="725" t="s">
        <v>814</v>
      </c>
      <c r="C4806" s="722" t="s">
        <v>186</v>
      </c>
      <c r="D4806" t="s">
        <v>187</v>
      </c>
      <c r="E4806" s="148">
        <v>-51.775889999999997</v>
      </c>
      <c r="F4806" s="728"/>
      <c r="G4806" s="148">
        <v>-51.775889999999997</v>
      </c>
      <c r="H4806" s="148">
        <v>0</v>
      </c>
      <c r="I4806" s="728"/>
      <c r="J4806" s="148">
        <v>-51.775889999999997</v>
      </c>
      <c r="K4806" s="148">
        <v>0</v>
      </c>
      <c r="L4806" s="148">
        <v>-647.79407000000003</v>
      </c>
      <c r="M4806" s="728"/>
      <c r="N4806" s="148">
        <v>-647.79407000000003</v>
      </c>
      <c r="O4806" s="148">
        <v>0</v>
      </c>
      <c r="P4806" s="148">
        <v>-290.78836000000001</v>
      </c>
      <c r="Q4806" s="148">
        <v>-357.00571000000002</v>
      </c>
      <c r="R4806" s="148">
        <v>-122.7716645879498</v>
      </c>
    </row>
    <row r="4807" spans="2:18" ht="15.75" hidden="1" thickBot="1" x14ac:dyDescent="0.3">
      <c r="B4807" s="725" t="s">
        <v>814</v>
      </c>
      <c r="C4807" s="722" t="s">
        <v>163</v>
      </c>
      <c r="D4807" t="s">
        <v>164</v>
      </c>
      <c r="E4807" s="147">
        <v>-1495.5576799999999</v>
      </c>
      <c r="F4807" s="147">
        <v>-1438.48218</v>
      </c>
      <c r="G4807" s="147">
        <v>-57.075499999999998</v>
      </c>
      <c r="H4807" s="147">
        <v>-3.967758571746784</v>
      </c>
      <c r="I4807" s="729"/>
      <c r="J4807" s="147">
        <v>-1495.5576799999999</v>
      </c>
      <c r="K4807" s="147">
        <v>0</v>
      </c>
      <c r="L4807" s="147">
        <v>-20298.537690000001</v>
      </c>
      <c r="M4807" s="147">
        <v>-16812.419999999998</v>
      </c>
      <c r="N4807" s="147">
        <v>-3486.11769</v>
      </c>
      <c r="O4807" s="147">
        <v>-20.735371172026394</v>
      </c>
      <c r="P4807" s="147">
        <v>-10363.892599999999</v>
      </c>
      <c r="Q4807" s="147">
        <v>-9934.64509</v>
      </c>
      <c r="R4807" s="147">
        <v>-95.858240464591461</v>
      </c>
    </row>
    <row r="4808" spans="2:18" ht="15.75" hidden="1" thickBot="1" x14ac:dyDescent="0.3">
      <c r="B4808" s="725" t="s">
        <v>814</v>
      </c>
      <c r="C4808" s="722" t="s">
        <v>97</v>
      </c>
      <c r="D4808" t="s">
        <v>98</v>
      </c>
      <c r="E4808" s="148">
        <v>-125.98171000000001</v>
      </c>
      <c r="F4808" s="728"/>
      <c r="G4808" s="148">
        <v>-125.98171000000001</v>
      </c>
      <c r="H4808" s="148">
        <v>0</v>
      </c>
      <c r="I4808" s="728"/>
      <c r="J4808" s="148">
        <v>-125.98171000000001</v>
      </c>
      <c r="K4808" s="148">
        <v>0</v>
      </c>
      <c r="L4808" s="148">
        <v>-2116.8290299999999</v>
      </c>
      <c r="M4808" s="728"/>
      <c r="N4808" s="148">
        <v>-2116.8290299999999</v>
      </c>
      <c r="O4808" s="148">
        <v>0</v>
      </c>
      <c r="P4808" s="148">
        <v>-1095.3741199999999</v>
      </c>
      <c r="Q4808" s="148">
        <v>-1021.45491</v>
      </c>
      <c r="R4808" s="148">
        <v>-93.251692855405423</v>
      </c>
    </row>
    <row r="4809" spans="2:18" ht="15.75" hidden="1" thickBot="1" x14ac:dyDescent="0.3">
      <c r="B4809" s="725" t="s">
        <v>814</v>
      </c>
      <c r="C4809" s="149" t="s">
        <v>67</v>
      </c>
      <c r="D4809" t="s">
        <v>68</v>
      </c>
      <c r="E4809" s="147">
        <v>381.77053000000001</v>
      </c>
      <c r="F4809" s="147">
        <v>563.96414000000004</v>
      </c>
      <c r="G4809" s="147">
        <v>-182.19361000000001</v>
      </c>
      <c r="H4809" s="147">
        <v>-32.305885618897683</v>
      </c>
      <c r="I4809" s="729"/>
      <c r="J4809" s="147">
        <v>381.77053000000001</v>
      </c>
      <c r="K4809" s="147">
        <v>0</v>
      </c>
      <c r="L4809" s="147">
        <v>6543.3619699999999</v>
      </c>
      <c r="M4809" s="147">
        <v>6351.6610499999997</v>
      </c>
      <c r="N4809" s="147">
        <v>191.70092</v>
      </c>
      <c r="O4809" s="147">
        <v>3.0181226373847516</v>
      </c>
      <c r="P4809" s="147">
        <v>3191.7768700000001</v>
      </c>
      <c r="Q4809" s="147">
        <v>3351.5850999999998</v>
      </c>
      <c r="R4809" s="147">
        <v>105.00687349112847</v>
      </c>
    </row>
    <row r="4810" spans="2:18" ht="15.75" hidden="1" thickBot="1" x14ac:dyDescent="0.3">
      <c r="B4810" s="725" t="s">
        <v>814</v>
      </c>
      <c r="C4810" s="722" t="s">
        <v>69</v>
      </c>
      <c r="D4810" t="s">
        <v>70</v>
      </c>
      <c r="E4810" s="728"/>
      <c r="F4810" s="728"/>
      <c r="G4810" s="728"/>
      <c r="H4810" s="728"/>
      <c r="I4810" s="728"/>
      <c r="J4810" s="728"/>
      <c r="K4810" s="728"/>
      <c r="L4810" s="148">
        <v>1.4945900000000001</v>
      </c>
      <c r="M4810" s="728"/>
      <c r="N4810" s="148">
        <v>1.4945900000000001</v>
      </c>
      <c r="O4810" s="148">
        <v>0</v>
      </c>
      <c r="P4810" s="148">
        <v>0.30982999999999999</v>
      </c>
      <c r="Q4810" s="148">
        <v>1.18476</v>
      </c>
      <c r="R4810" s="148">
        <v>382.3903430913727</v>
      </c>
    </row>
    <row r="4811" spans="2:18" ht="15.75" hidden="1" thickBot="1" x14ac:dyDescent="0.3">
      <c r="B4811" s="725" t="s">
        <v>814</v>
      </c>
      <c r="C4811" s="722" t="s">
        <v>99</v>
      </c>
      <c r="D4811" t="s">
        <v>100</v>
      </c>
      <c r="E4811" s="147">
        <v>7.4512600000000004</v>
      </c>
      <c r="F4811" s="147">
        <v>13.929410000000001</v>
      </c>
      <c r="G4811" s="147">
        <v>-6.4781500000000003</v>
      </c>
      <c r="H4811" s="147">
        <v>-46.506994912203744</v>
      </c>
      <c r="I4811" s="729"/>
      <c r="J4811" s="147">
        <v>7.4512600000000004</v>
      </c>
      <c r="K4811" s="147">
        <v>0</v>
      </c>
      <c r="L4811" s="147">
        <v>39.664090000000002</v>
      </c>
      <c r="M4811" s="147">
        <v>188.24707000000001</v>
      </c>
      <c r="N4811" s="147">
        <v>-148.58297999999999</v>
      </c>
      <c r="O4811" s="147">
        <v>-78.929770327899391</v>
      </c>
      <c r="P4811" s="147">
        <v>24.83925</v>
      </c>
      <c r="Q4811" s="147">
        <v>14.82484</v>
      </c>
      <c r="R4811" s="147">
        <v>59.683122477530524</v>
      </c>
    </row>
    <row r="4812" spans="2:18" ht="15.75" hidden="1" thickBot="1" x14ac:dyDescent="0.3">
      <c r="B4812" s="725" t="s">
        <v>814</v>
      </c>
      <c r="C4812" s="722" t="s">
        <v>165</v>
      </c>
      <c r="D4812" t="s">
        <v>166</v>
      </c>
      <c r="E4812" s="148">
        <v>9.8907399999999992</v>
      </c>
      <c r="F4812" s="728"/>
      <c r="G4812" s="148">
        <v>9.8907399999999992</v>
      </c>
      <c r="H4812" s="148">
        <v>0</v>
      </c>
      <c r="I4812" s="728"/>
      <c r="J4812" s="148">
        <v>9.8907399999999992</v>
      </c>
      <c r="K4812" s="148">
        <v>0</v>
      </c>
      <c r="L4812" s="148">
        <v>87.853679999999997</v>
      </c>
      <c r="M4812" s="728"/>
      <c r="N4812" s="148">
        <v>87.853679999999997</v>
      </c>
      <c r="O4812" s="148">
        <v>0</v>
      </c>
      <c r="P4812" s="148">
        <v>41.53172</v>
      </c>
      <c r="Q4812" s="148">
        <v>46.321959999999997</v>
      </c>
      <c r="R4812" s="148">
        <v>111.53393117357047</v>
      </c>
    </row>
    <row r="4813" spans="2:18" ht="15.75" hidden="1" thickBot="1" x14ac:dyDescent="0.3">
      <c r="B4813" s="725" t="s">
        <v>814</v>
      </c>
      <c r="C4813" s="722" t="s">
        <v>188</v>
      </c>
      <c r="D4813" t="s">
        <v>189</v>
      </c>
      <c r="E4813" s="147">
        <v>2.8850000000000001E-2</v>
      </c>
      <c r="F4813" s="729"/>
      <c r="G4813" s="147">
        <v>2.8850000000000001E-2</v>
      </c>
      <c r="H4813" s="147">
        <v>0</v>
      </c>
      <c r="I4813" s="729"/>
      <c r="J4813" s="147">
        <v>2.8850000000000001E-2</v>
      </c>
      <c r="K4813" s="147">
        <v>0</v>
      </c>
      <c r="L4813" s="147">
        <v>22.08379</v>
      </c>
      <c r="M4813" s="729"/>
      <c r="N4813" s="147">
        <v>22.08379</v>
      </c>
      <c r="O4813" s="147">
        <v>0</v>
      </c>
      <c r="P4813" s="147">
        <v>20.4831</v>
      </c>
      <c r="Q4813" s="147">
        <v>1.6006899999999999</v>
      </c>
      <c r="R4813" s="147">
        <v>7.8146862535456059</v>
      </c>
    </row>
    <row r="4814" spans="2:18" ht="15.75" hidden="1" thickBot="1" x14ac:dyDescent="0.3">
      <c r="B4814" s="725" t="s">
        <v>814</v>
      </c>
      <c r="C4814" s="722" t="s">
        <v>584</v>
      </c>
      <c r="D4814" t="s">
        <v>585</v>
      </c>
      <c r="E4814" s="148">
        <v>1.4300000000000001E-3</v>
      </c>
      <c r="F4814" s="728"/>
      <c r="G4814" s="148">
        <v>1.4300000000000001E-3</v>
      </c>
      <c r="H4814" s="148">
        <v>0</v>
      </c>
      <c r="I4814" s="728"/>
      <c r="J4814" s="148">
        <v>1.4300000000000001E-3</v>
      </c>
      <c r="K4814" s="148">
        <v>0</v>
      </c>
      <c r="L4814" s="148">
        <v>7.596E-2</v>
      </c>
      <c r="M4814" s="728"/>
      <c r="N4814" s="148">
        <v>7.596E-2</v>
      </c>
      <c r="O4814" s="148">
        <v>0</v>
      </c>
      <c r="P4814" s="148">
        <v>2.3359999999999999E-2</v>
      </c>
      <c r="Q4814" s="148">
        <v>5.2600000000000001E-2</v>
      </c>
      <c r="R4814" s="148">
        <v>225.17123287671234</v>
      </c>
    </row>
    <row r="4815" spans="2:18" ht="15.75" hidden="1" thickBot="1" x14ac:dyDescent="0.3">
      <c r="B4815" s="725" t="s">
        <v>814</v>
      </c>
      <c r="C4815" s="722" t="s">
        <v>586</v>
      </c>
      <c r="D4815" t="s">
        <v>587</v>
      </c>
      <c r="E4815" s="729"/>
      <c r="F4815" s="729"/>
      <c r="G4815" s="729"/>
      <c r="H4815" s="729"/>
      <c r="I4815" s="729"/>
      <c r="J4815" s="729"/>
      <c r="K4815" s="729"/>
      <c r="L4815" s="147">
        <v>0.14645</v>
      </c>
      <c r="M4815" s="729"/>
      <c r="N4815" s="147">
        <v>0.14645</v>
      </c>
      <c r="O4815" s="147">
        <v>0</v>
      </c>
      <c r="P4815" s="147">
        <v>0.14645</v>
      </c>
      <c r="Q4815" s="147">
        <v>0</v>
      </c>
      <c r="R4815" s="147">
        <v>0</v>
      </c>
    </row>
    <row r="4816" spans="2:18" ht="15.75" hidden="1" thickBot="1" x14ac:dyDescent="0.3">
      <c r="B4816" s="725" t="s">
        <v>814</v>
      </c>
      <c r="C4816" s="722" t="s">
        <v>588</v>
      </c>
      <c r="D4816" t="s">
        <v>589</v>
      </c>
      <c r="E4816" s="148">
        <v>1.3522099999999999</v>
      </c>
      <c r="F4816" s="728"/>
      <c r="G4816" s="148">
        <v>1.3522099999999999</v>
      </c>
      <c r="H4816" s="148">
        <v>0</v>
      </c>
      <c r="I4816" s="728"/>
      <c r="J4816" s="148">
        <v>1.3522099999999999</v>
      </c>
      <c r="K4816" s="148">
        <v>0</v>
      </c>
      <c r="L4816" s="148">
        <v>1.8162100000000001</v>
      </c>
      <c r="M4816" s="728"/>
      <c r="N4816" s="148">
        <v>1.8162100000000001</v>
      </c>
      <c r="O4816" s="148">
        <v>0</v>
      </c>
      <c r="P4816" s="148">
        <v>0.33900000000000002</v>
      </c>
      <c r="Q4816" s="148">
        <v>1.4772099999999999</v>
      </c>
      <c r="R4816" s="148">
        <v>435.75516224188789</v>
      </c>
    </row>
    <row r="4817" spans="2:18" ht="15.75" hidden="1" thickBot="1" x14ac:dyDescent="0.3">
      <c r="B4817" s="725" t="s">
        <v>814</v>
      </c>
      <c r="C4817" s="722" t="s">
        <v>590</v>
      </c>
      <c r="D4817" t="s">
        <v>591</v>
      </c>
      <c r="E4817" s="729"/>
      <c r="F4817" s="729"/>
      <c r="G4817" s="729"/>
      <c r="H4817" s="729"/>
      <c r="I4817" s="729"/>
      <c r="J4817" s="729"/>
      <c r="K4817" s="729"/>
      <c r="L4817" s="147">
        <v>2.7534200000000002</v>
      </c>
      <c r="M4817" s="729"/>
      <c r="N4817" s="147">
        <v>2.7534200000000002</v>
      </c>
      <c r="O4817" s="147">
        <v>0</v>
      </c>
      <c r="P4817" s="147">
        <v>2.7534200000000002</v>
      </c>
      <c r="Q4817" s="147">
        <v>0</v>
      </c>
      <c r="R4817" s="147">
        <v>0</v>
      </c>
    </row>
    <row r="4818" spans="2:18" ht="15.75" hidden="1" thickBot="1" x14ac:dyDescent="0.3">
      <c r="B4818" s="725" t="s">
        <v>814</v>
      </c>
      <c r="C4818" s="722" t="s">
        <v>592</v>
      </c>
      <c r="D4818" t="s">
        <v>593</v>
      </c>
      <c r="E4818" s="148">
        <v>2.9764900000000001</v>
      </c>
      <c r="F4818" s="728"/>
      <c r="G4818" s="148">
        <v>2.9764900000000001</v>
      </c>
      <c r="H4818" s="148">
        <v>0</v>
      </c>
      <c r="I4818" s="728"/>
      <c r="J4818" s="148">
        <v>2.9764900000000001</v>
      </c>
      <c r="K4818" s="148">
        <v>0</v>
      </c>
      <c r="L4818" s="148">
        <v>50.615220000000001</v>
      </c>
      <c r="M4818" s="728"/>
      <c r="N4818" s="148">
        <v>50.615220000000001</v>
      </c>
      <c r="O4818" s="148">
        <v>0</v>
      </c>
      <c r="P4818" s="148">
        <v>33.141649999999998</v>
      </c>
      <c r="Q4818" s="148">
        <v>17.473569999999999</v>
      </c>
      <c r="R4818" s="148">
        <v>52.723898779934011</v>
      </c>
    </row>
    <row r="4819" spans="2:18" ht="15.75" hidden="1" thickBot="1" x14ac:dyDescent="0.3">
      <c r="B4819" s="725" t="s">
        <v>814</v>
      </c>
      <c r="C4819" s="722" t="s">
        <v>594</v>
      </c>
      <c r="D4819" t="s">
        <v>595</v>
      </c>
      <c r="E4819" s="729"/>
      <c r="F4819" s="729"/>
      <c r="G4819" s="729"/>
      <c r="H4819" s="729"/>
      <c r="I4819" s="729"/>
      <c r="J4819" s="729"/>
      <c r="K4819" s="729"/>
      <c r="L4819" s="147">
        <v>3.5360000000000003E-2</v>
      </c>
      <c r="M4819" s="729"/>
      <c r="N4819" s="147">
        <v>3.5360000000000003E-2</v>
      </c>
      <c r="O4819" s="147">
        <v>0</v>
      </c>
      <c r="P4819" s="147">
        <v>3.5360000000000003E-2</v>
      </c>
      <c r="Q4819" s="147">
        <v>0</v>
      </c>
      <c r="R4819" s="147">
        <v>0</v>
      </c>
    </row>
    <row r="4820" spans="2:18" ht="15.75" hidden="1" thickBot="1" x14ac:dyDescent="0.3">
      <c r="B4820" s="725" t="s">
        <v>814</v>
      </c>
      <c r="C4820" s="722" t="s">
        <v>137</v>
      </c>
      <c r="D4820" t="s">
        <v>138</v>
      </c>
      <c r="E4820" s="148">
        <v>11.3093</v>
      </c>
      <c r="F4820" s="148">
        <v>2.6</v>
      </c>
      <c r="G4820" s="148">
        <v>8.7093000000000007</v>
      </c>
      <c r="H4820" s="148">
        <v>334.97307692307692</v>
      </c>
      <c r="I4820" s="728"/>
      <c r="J4820" s="148">
        <v>11.3093</v>
      </c>
      <c r="K4820" s="148">
        <v>0</v>
      </c>
      <c r="L4820" s="148">
        <v>62.520910000000001</v>
      </c>
      <c r="M4820" s="148">
        <v>31.2</v>
      </c>
      <c r="N4820" s="148">
        <v>31.320910000000001</v>
      </c>
      <c r="O4820" s="148">
        <v>100.38753205128205</v>
      </c>
      <c r="P4820" s="148">
        <v>30.383299999999998</v>
      </c>
      <c r="Q4820" s="148">
        <v>32.137610000000002</v>
      </c>
      <c r="R4820" s="148">
        <v>105.77392844095276</v>
      </c>
    </row>
    <row r="4821" spans="2:18" ht="15.75" hidden="1" thickBot="1" x14ac:dyDescent="0.3">
      <c r="B4821" s="725" t="s">
        <v>814</v>
      </c>
      <c r="C4821" s="722" t="s">
        <v>190</v>
      </c>
      <c r="D4821" t="s">
        <v>191</v>
      </c>
      <c r="E4821" s="147">
        <v>5.44</v>
      </c>
      <c r="F4821" s="147">
        <v>5.4359999999999999</v>
      </c>
      <c r="G4821" s="147">
        <v>4.0000000000000001E-3</v>
      </c>
      <c r="H4821" s="147">
        <v>7.358351729212656E-2</v>
      </c>
      <c r="I4821" s="729"/>
      <c r="J4821" s="147">
        <v>5.44</v>
      </c>
      <c r="K4821" s="147">
        <v>0</v>
      </c>
      <c r="L4821" s="147">
        <v>65.303399999999996</v>
      </c>
      <c r="M4821" s="147">
        <v>65.231999999999999</v>
      </c>
      <c r="N4821" s="147">
        <v>7.1400000000000005E-2</v>
      </c>
      <c r="O4821" s="147">
        <v>0.10945548197203826</v>
      </c>
      <c r="P4821" s="147">
        <v>32.64</v>
      </c>
      <c r="Q4821" s="147">
        <v>32.663400000000003</v>
      </c>
      <c r="R4821" s="147">
        <v>100.07169117647059</v>
      </c>
    </row>
    <row r="4822" spans="2:18" ht="15.75" hidden="1" thickBot="1" x14ac:dyDescent="0.3">
      <c r="B4822" s="725" t="s">
        <v>814</v>
      </c>
      <c r="C4822" s="722" t="s">
        <v>36</v>
      </c>
      <c r="D4822" t="s">
        <v>192</v>
      </c>
      <c r="E4822" s="148">
        <v>26.791350000000001</v>
      </c>
      <c r="F4822" s="148">
        <v>61</v>
      </c>
      <c r="G4822" s="148">
        <v>-34.208649999999999</v>
      </c>
      <c r="H4822" s="148">
        <v>-56.079754098360652</v>
      </c>
      <c r="I4822" s="728"/>
      <c r="J4822" s="148">
        <v>26.791350000000001</v>
      </c>
      <c r="K4822" s="148">
        <v>0</v>
      </c>
      <c r="L4822" s="148">
        <v>992.41102999999998</v>
      </c>
      <c r="M4822" s="148">
        <v>730</v>
      </c>
      <c r="N4822" s="148">
        <v>262.41102999999998</v>
      </c>
      <c r="O4822" s="148">
        <v>35.946716438356162</v>
      </c>
      <c r="P4822" s="148">
        <v>511.13574999999997</v>
      </c>
      <c r="Q4822" s="148">
        <v>481.27528000000001</v>
      </c>
      <c r="R4822" s="148">
        <v>94.15801575217543</v>
      </c>
    </row>
    <row r="4823" spans="2:18" ht="15.75" hidden="1" thickBot="1" x14ac:dyDescent="0.3">
      <c r="B4823" s="725" t="s">
        <v>814</v>
      </c>
      <c r="C4823" s="722" t="s">
        <v>139</v>
      </c>
      <c r="D4823" t="s">
        <v>140</v>
      </c>
      <c r="E4823" s="729"/>
      <c r="F4823" s="147">
        <v>0.15587999999999999</v>
      </c>
      <c r="G4823" s="147">
        <v>-0.15587999999999999</v>
      </c>
      <c r="H4823" s="147">
        <v>-100</v>
      </c>
      <c r="I4823" s="729"/>
      <c r="J4823" s="729"/>
      <c r="K4823" s="729"/>
      <c r="L4823" s="147">
        <v>0.12180000000000001</v>
      </c>
      <c r="M4823" s="147">
        <v>0.80457999999999996</v>
      </c>
      <c r="N4823" s="147">
        <v>-0.68278000000000005</v>
      </c>
      <c r="O4823" s="147">
        <v>-84.861666956673048</v>
      </c>
      <c r="P4823" s="147">
        <v>0.12180000000000001</v>
      </c>
      <c r="Q4823" s="147">
        <v>0</v>
      </c>
      <c r="R4823" s="147">
        <v>0</v>
      </c>
    </row>
    <row r="4824" spans="2:18" ht="15.75" hidden="1" thickBot="1" x14ac:dyDescent="0.3">
      <c r="B4824" s="725" t="s">
        <v>814</v>
      </c>
      <c r="C4824" s="722" t="s">
        <v>169</v>
      </c>
      <c r="D4824" t="s">
        <v>170</v>
      </c>
      <c r="E4824" s="728"/>
      <c r="F4824" s="148">
        <v>0</v>
      </c>
      <c r="G4824" s="148">
        <v>0</v>
      </c>
      <c r="H4824" s="148">
        <v>0</v>
      </c>
      <c r="I4824" s="728"/>
      <c r="J4824" s="728"/>
      <c r="K4824" s="728"/>
      <c r="L4824" s="728"/>
      <c r="M4824" s="148">
        <v>0</v>
      </c>
      <c r="N4824" s="148">
        <v>0</v>
      </c>
      <c r="O4824" s="148">
        <v>0</v>
      </c>
      <c r="P4824" s="728"/>
      <c r="Q4824" s="728"/>
      <c r="R4824" s="728"/>
    </row>
    <row r="4825" spans="2:18" ht="15.75" hidden="1" thickBot="1" x14ac:dyDescent="0.3">
      <c r="B4825" s="725" t="s">
        <v>814</v>
      </c>
      <c r="C4825" s="722" t="s">
        <v>101</v>
      </c>
      <c r="D4825" t="s">
        <v>102</v>
      </c>
      <c r="E4825" s="147">
        <v>52.773800000000001</v>
      </c>
      <c r="F4825" s="147">
        <v>33.94706</v>
      </c>
      <c r="G4825" s="147">
        <v>18.826740000000001</v>
      </c>
      <c r="H4825" s="147">
        <v>55.459117814620768</v>
      </c>
      <c r="I4825" s="729"/>
      <c r="J4825" s="147">
        <v>52.773800000000001</v>
      </c>
      <c r="K4825" s="147">
        <v>0</v>
      </c>
      <c r="L4825" s="147">
        <v>320.04223999999999</v>
      </c>
      <c r="M4825" s="147">
        <v>735.14116999999999</v>
      </c>
      <c r="N4825" s="147">
        <v>-415.09893</v>
      </c>
      <c r="O4825" s="147">
        <v>-56.465199738439352</v>
      </c>
      <c r="P4825" s="147">
        <v>67.61842</v>
      </c>
      <c r="Q4825" s="147">
        <v>252.42382000000001</v>
      </c>
      <c r="R4825" s="147">
        <v>373.30629730774541</v>
      </c>
    </row>
    <row r="4826" spans="2:18" ht="15.75" hidden="1" thickBot="1" x14ac:dyDescent="0.3">
      <c r="B4826" s="725" t="s">
        <v>814</v>
      </c>
      <c r="C4826" s="722" t="s">
        <v>601</v>
      </c>
      <c r="D4826" t="s">
        <v>602</v>
      </c>
      <c r="E4826" s="148">
        <v>-1.1399999999999999</v>
      </c>
      <c r="F4826" s="728"/>
      <c r="G4826" s="148">
        <v>-1.1399999999999999</v>
      </c>
      <c r="H4826" s="148">
        <v>0</v>
      </c>
      <c r="I4826" s="728"/>
      <c r="J4826" s="148">
        <v>-1.1399999999999999</v>
      </c>
      <c r="K4826" s="148">
        <v>0</v>
      </c>
      <c r="L4826" s="148">
        <v>0</v>
      </c>
      <c r="M4826" s="728"/>
      <c r="N4826" s="148">
        <v>0</v>
      </c>
      <c r="O4826" s="148">
        <v>0</v>
      </c>
      <c r="P4826" s="728"/>
      <c r="Q4826" s="148">
        <v>0</v>
      </c>
      <c r="R4826" s="148">
        <v>0</v>
      </c>
    </row>
    <row r="4827" spans="2:18" ht="15.75" hidden="1" thickBot="1" x14ac:dyDescent="0.3">
      <c r="B4827" s="725" t="s">
        <v>814</v>
      </c>
      <c r="C4827" s="722" t="s">
        <v>603</v>
      </c>
      <c r="D4827" t="s">
        <v>604</v>
      </c>
      <c r="E4827" s="729"/>
      <c r="F4827" s="729"/>
      <c r="G4827" s="729"/>
      <c r="H4827" s="729"/>
      <c r="I4827" s="729"/>
      <c r="J4827" s="729"/>
      <c r="K4827" s="729"/>
      <c r="L4827" s="147">
        <v>1.7</v>
      </c>
      <c r="M4827" s="729"/>
      <c r="N4827" s="147">
        <v>1.7</v>
      </c>
      <c r="O4827" s="147">
        <v>0</v>
      </c>
      <c r="P4827" s="147">
        <v>1.7</v>
      </c>
      <c r="Q4827" s="147">
        <v>0</v>
      </c>
      <c r="R4827" s="147">
        <v>0</v>
      </c>
    </row>
    <row r="4828" spans="2:18" ht="15.75" hidden="1" thickBot="1" x14ac:dyDescent="0.3">
      <c r="B4828" s="725" t="s">
        <v>814</v>
      </c>
      <c r="C4828" s="722" t="s">
        <v>605</v>
      </c>
      <c r="D4828" t="s">
        <v>606</v>
      </c>
      <c r="E4828" s="728"/>
      <c r="F4828" s="728"/>
      <c r="G4828" s="728"/>
      <c r="H4828" s="728"/>
      <c r="I4828" s="728"/>
      <c r="J4828" s="728"/>
      <c r="K4828" s="728"/>
      <c r="L4828" s="148">
        <v>8.0428499999999996</v>
      </c>
      <c r="M4828" s="728"/>
      <c r="N4828" s="148">
        <v>8.0428499999999996</v>
      </c>
      <c r="O4828" s="148">
        <v>0</v>
      </c>
      <c r="P4828" s="148">
        <v>6.7922500000000001</v>
      </c>
      <c r="Q4828" s="148">
        <v>1.2505999999999999</v>
      </c>
      <c r="R4828" s="148">
        <v>18.412160918694099</v>
      </c>
    </row>
    <row r="4829" spans="2:18" ht="15.75" hidden="1" thickBot="1" x14ac:dyDescent="0.3">
      <c r="B4829" s="725" t="s">
        <v>814</v>
      </c>
      <c r="C4829" s="722" t="s">
        <v>218</v>
      </c>
      <c r="D4829" t="s">
        <v>219</v>
      </c>
      <c r="E4829" s="147">
        <v>-2.0649999999999999</v>
      </c>
      <c r="F4829" s="729"/>
      <c r="G4829" s="147">
        <v>-2.0649999999999999</v>
      </c>
      <c r="H4829" s="147">
        <v>0</v>
      </c>
      <c r="I4829" s="729"/>
      <c r="J4829" s="147">
        <v>-2.0649999999999999</v>
      </c>
      <c r="K4829" s="147">
        <v>0</v>
      </c>
      <c r="L4829" s="147">
        <v>26.65081</v>
      </c>
      <c r="M4829" s="729"/>
      <c r="N4829" s="147">
        <v>26.65081</v>
      </c>
      <c r="O4829" s="147">
        <v>0</v>
      </c>
      <c r="P4829" s="147">
        <v>25.546250000000001</v>
      </c>
      <c r="Q4829" s="147">
        <v>1.10456</v>
      </c>
      <c r="R4829" s="147">
        <v>4.323765719038998</v>
      </c>
    </row>
    <row r="4830" spans="2:18" ht="15.75" hidden="1" thickBot="1" x14ac:dyDescent="0.3">
      <c r="B4830" s="725" t="s">
        <v>814</v>
      </c>
      <c r="C4830" s="722" t="s">
        <v>607</v>
      </c>
      <c r="D4830" t="s">
        <v>608</v>
      </c>
      <c r="E4830" s="728"/>
      <c r="F4830" s="728"/>
      <c r="G4830" s="728"/>
      <c r="H4830" s="728"/>
      <c r="I4830" s="728"/>
      <c r="J4830" s="728"/>
      <c r="K4830" s="728"/>
      <c r="L4830" s="148">
        <v>4.2511999999999999</v>
      </c>
      <c r="M4830" s="728"/>
      <c r="N4830" s="148">
        <v>4.2511999999999999</v>
      </c>
      <c r="O4830" s="148">
        <v>0</v>
      </c>
      <c r="P4830" s="728"/>
      <c r="Q4830" s="148">
        <v>4.2511999999999999</v>
      </c>
      <c r="R4830" s="148">
        <v>0</v>
      </c>
    </row>
    <row r="4831" spans="2:18" ht="15.75" hidden="1" thickBot="1" x14ac:dyDescent="0.3">
      <c r="B4831" s="725" t="s">
        <v>814</v>
      </c>
      <c r="C4831" s="722" t="s">
        <v>462</v>
      </c>
      <c r="D4831" t="s">
        <v>463</v>
      </c>
      <c r="E4831" s="147">
        <v>3.0488</v>
      </c>
      <c r="F4831" s="729"/>
      <c r="G4831" s="147">
        <v>3.0488</v>
      </c>
      <c r="H4831" s="147">
        <v>0</v>
      </c>
      <c r="I4831" s="729"/>
      <c r="J4831" s="147">
        <v>3.0488</v>
      </c>
      <c r="K4831" s="147">
        <v>0</v>
      </c>
      <c r="L4831" s="147">
        <v>38.034179999999999</v>
      </c>
      <c r="M4831" s="729"/>
      <c r="N4831" s="147">
        <v>38.034179999999999</v>
      </c>
      <c r="O4831" s="147">
        <v>0</v>
      </c>
      <c r="P4831" s="147">
        <v>25.94848</v>
      </c>
      <c r="Q4831" s="147">
        <v>12.085699999999999</v>
      </c>
      <c r="R4831" s="147">
        <v>46.575753184772289</v>
      </c>
    </row>
    <row r="4832" spans="2:18" ht="15.75" hidden="1" thickBot="1" x14ac:dyDescent="0.3">
      <c r="B4832" s="725" t="s">
        <v>814</v>
      </c>
      <c r="C4832" s="722" t="s">
        <v>611</v>
      </c>
      <c r="D4832" t="s">
        <v>612</v>
      </c>
      <c r="E4832" s="728"/>
      <c r="F4832" s="728"/>
      <c r="G4832" s="728"/>
      <c r="H4832" s="728"/>
      <c r="I4832" s="728"/>
      <c r="J4832" s="728"/>
      <c r="K4832" s="728"/>
      <c r="L4832" s="148">
        <v>0</v>
      </c>
      <c r="M4832" s="728"/>
      <c r="N4832" s="148">
        <v>0</v>
      </c>
      <c r="O4832" s="148">
        <v>0</v>
      </c>
      <c r="P4832" s="148">
        <v>0</v>
      </c>
      <c r="Q4832" s="148">
        <v>0</v>
      </c>
      <c r="R4832" s="148">
        <v>0</v>
      </c>
    </row>
    <row r="4833" spans="2:18" ht="15.75" hidden="1" thickBot="1" x14ac:dyDescent="0.3">
      <c r="B4833" s="725" t="s">
        <v>814</v>
      </c>
      <c r="C4833" s="722" t="s">
        <v>613</v>
      </c>
      <c r="D4833" t="s">
        <v>614</v>
      </c>
      <c r="E4833" s="147">
        <v>6.2925000000000004</v>
      </c>
      <c r="F4833" s="729"/>
      <c r="G4833" s="147">
        <v>6.2925000000000004</v>
      </c>
      <c r="H4833" s="147">
        <v>0</v>
      </c>
      <c r="I4833" s="729"/>
      <c r="J4833" s="147">
        <v>6.2925000000000004</v>
      </c>
      <c r="K4833" s="147">
        <v>0</v>
      </c>
      <c r="L4833" s="147">
        <v>54.854689999999998</v>
      </c>
      <c r="M4833" s="729"/>
      <c r="N4833" s="147">
        <v>54.854689999999998</v>
      </c>
      <c r="O4833" s="147">
        <v>0</v>
      </c>
      <c r="P4833" s="147">
        <v>15.95495</v>
      </c>
      <c r="Q4833" s="147">
        <v>38.899740000000001</v>
      </c>
      <c r="R4833" s="147">
        <v>243.80985211486092</v>
      </c>
    </row>
    <row r="4834" spans="2:18" ht="15.75" hidden="1" thickBot="1" x14ac:dyDescent="0.3">
      <c r="B4834" s="725" t="s">
        <v>814</v>
      </c>
      <c r="C4834" s="722" t="s">
        <v>615</v>
      </c>
      <c r="D4834" t="s">
        <v>616</v>
      </c>
      <c r="E4834" s="148">
        <v>2.8219999999999999E-2</v>
      </c>
      <c r="F4834" s="728"/>
      <c r="G4834" s="148">
        <v>2.8219999999999999E-2</v>
      </c>
      <c r="H4834" s="148">
        <v>0</v>
      </c>
      <c r="I4834" s="728"/>
      <c r="J4834" s="148">
        <v>2.8219999999999999E-2</v>
      </c>
      <c r="K4834" s="148">
        <v>0</v>
      </c>
      <c r="L4834" s="148">
        <v>19.00985</v>
      </c>
      <c r="M4834" s="728"/>
      <c r="N4834" s="148">
        <v>19.00985</v>
      </c>
      <c r="O4834" s="148">
        <v>0</v>
      </c>
      <c r="P4834" s="148">
        <v>9.9667499999999993</v>
      </c>
      <c r="Q4834" s="148">
        <v>9.0431000000000008</v>
      </c>
      <c r="R4834" s="148">
        <v>90.73268618155366</v>
      </c>
    </row>
    <row r="4835" spans="2:18" ht="15.75" hidden="1" thickBot="1" x14ac:dyDescent="0.3">
      <c r="B4835" s="725" t="s">
        <v>814</v>
      </c>
      <c r="C4835" s="722" t="s">
        <v>193</v>
      </c>
      <c r="D4835" t="s">
        <v>194</v>
      </c>
      <c r="E4835" s="147">
        <v>28.374549999999999</v>
      </c>
      <c r="F4835" s="729"/>
      <c r="G4835" s="147">
        <v>28.374549999999999</v>
      </c>
      <c r="H4835" s="147">
        <v>0</v>
      </c>
      <c r="I4835" s="729"/>
      <c r="J4835" s="147">
        <v>28.374549999999999</v>
      </c>
      <c r="K4835" s="147">
        <v>0</v>
      </c>
      <c r="L4835" s="147">
        <v>421.16021000000001</v>
      </c>
      <c r="M4835" s="729"/>
      <c r="N4835" s="147">
        <v>421.16021000000001</v>
      </c>
      <c r="O4835" s="147">
        <v>0</v>
      </c>
      <c r="P4835" s="147">
        <v>182.05600000000001</v>
      </c>
      <c r="Q4835" s="147">
        <v>239.10420999999999</v>
      </c>
      <c r="R4835" s="147">
        <v>131.33552862855385</v>
      </c>
    </row>
    <row r="4836" spans="2:18" ht="15.75" hidden="1" thickBot="1" x14ac:dyDescent="0.3">
      <c r="B4836" s="725" t="s">
        <v>814</v>
      </c>
      <c r="C4836" s="722" t="s">
        <v>195</v>
      </c>
      <c r="D4836" t="s">
        <v>196</v>
      </c>
      <c r="E4836" s="148">
        <v>30.067119999999999</v>
      </c>
      <c r="F4836" s="728"/>
      <c r="G4836" s="148">
        <v>30.067119999999999</v>
      </c>
      <c r="H4836" s="148">
        <v>0</v>
      </c>
      <c r="I4836" s="728"/>
      <c r="J4836" s="148">
        <v>30.067119999999999</v>
      </c>
      <c r="K4836" s="148">
        <v>0</v>
      </c>
      <c r="L4836" s="148">
        <v>247.31056000000001</v>
      </c>
      <c r="M4836" s="728"/>
      <c r="N4836" s="148">
        <v>247.31056000000001</v>
      </c>
      <c r="O4836" s="148">
        <v>0</v>
      </c>
      <c r="P4836" s="148">
        <v>113.91961999999999</v>
      </c>
      <c r="Q4836" s="148">
        <v>133.39094</v>
      </c>
      <c r="R4836" s="148">
        <v>117.09215673296663</v>
      </c>
    </row>
    <row r="4837" spans="2:18" ht="15.75" hidden="1" thickBot="1" x14ac:dyDescent="0.3">
      <c r="B4837" s="725" t="s">
        <v>814</v>
      </c>
      <c r="C4837" s="722" t="s">
        <v>197</v>
      </c>
      <c r="D4837" t="s">
        <v>198</v>
      </c>
      <c r="E4837" s="147">
        <v>4.2881999999999998</v>
      </c>
      <c r="F4837" s="729"/>
      <c r="G4837" s="147">
        <v>4.2881999999999998</v>
      </c>
      <c r="H4837" s="147">
        <v>0</v>
      </c>
      <c r="I4837" s="729"/>
      <c r="J4837" s="147">
        <v>4.2881999999999998</v>
      </c>
      <c r="K4837" s="147">
        <v>0</v>
      </c>
      <c r="L4837" s="147">
        <v>93.487830000000002</v>
      </c>
      <c r="M4837" s="729"/>
      <c r="N4837" s="147">
        <v>93.487830000000002</v>
      </c>
      <c r="O4837" s="147">
        <v>0</v>
      </c>
      <c r="P4837" s="147">
        <v>49.651710000000001</v>
      </c>
      <c r="Q4837" s="147">
        <v>43.836120000000001</v>
      </c>
      <c r="R4837" s="147">
        <v>88.287231195058538</v>
      </c>
    </row>
    <row r="4838" spans="2:18" ht="15.75" hidden="1" thickBot="1" x14ac:dyDescent="0.3">
      <c r="B4838" s="725" t="s">
        <v>814</v>
      </c>
      <c r="C4838" s="722" t="s">
        <v>464</v>
      </c>
      <c r="D4838" t="s">
        <v>465</v>
      </c>
      <c r="E4838" s="728"/>
      <c r="F4838" s="148">
        <v>1.9999899999999999</v>
      </c>
      <c r="G4838" s="148">
        <v>-1.9999899999999999</v>
      </c>
      <c r="H4838" s="148">
        <v>-100</v>
      </c>
      <c r="I4838" s="728"/>
      <c r="J4838" s="728"/>
      <c r="K4838" s="728"/>
      <c r="L4838" s="148">
        <v>3.5212699999999999</v>
      </c>
      <c r="M4838" s="148">
        <v>53.999949999999998</v>
      </c>
      <c r="N4838" s="148">
        <v>-50.478679999999997</v>
      </c>
      <c r="O4838" s="148">
        <v>-93.479123591781104</v>
      </c>
      <c r="P4838" s="148">
        <v>-2.1631100000000001</v>
      </c>
      <c r="Q4838" s="148">
        <v>5.68438</v>
      </c>
      <c r="R4838" s="148">
        <v>262.78737558422824</v>
      </c>
    </row>
    <row r="4839" spans="2:18" ht="15.75" hidden="1" thickBot="1" x14ac:dyDescent="0.3">
      <c r="B4839" s="725" t="s">
        <v>814</v>
      </c>
      <c r="C4839" s="722" t="s">
        <v>619</v>
      </c>
      <c r="D4839" t="s">
        <v>620</v>
      </c>
      <c r="E4839" s="147">
        <v>0.63444</v>
      </c>
      <c r="F4839" s="729"/>
      <c r="G4839" s="147">
        <v>0.63444</v>
      </c>
      <c r="H4839" s="147">
        <v>0</v>
      </c>
      <c r="I4839" s="729"/>
      <c r="J4839" s="147">
        <v>0.63444</v>
      </c>
      <c r="K4839" s="147">
        <v>0</v>
      </c>
      <c r="L4839" s="147">
        <v>100.17054</v>
      </c>
      <c r="M4839" s="729"/>
      <c r="N4839" s="147">
        <v>100.17054</v>
      </c>
      <c r="O4839" s="147">
        <v>0</v>
      </c>
      <c r="P4839" s="147">
        <v>74.458929999999995</v>
      </c>
      <c r="Q4839" s="147">
        <v>25.71161</v>
      </c>
      <c r="R4839" s="147">
        <v>34.531264416504506</v>
      </c>
    </row>
    <row r="4840" spans="2:18" ht="15.75" hidden="1" thickBot="1" x14ac:dyDescent="0.3">
      <c r="B4840" s="725" t="s">
        <v>814</v>
      </c>
      <c r="C4840" s="722" t="s">
        <v>621</v>
      </c>
      <c r="D4840" t="s">
        <v>622</v>
      </c>
      <c r="E4840" s="728"/>
      <c r="F4840" s="728"/>
      <c r="G4840" s="728"/>
      <c r="H4840" s="728"/>
      <c r="I4840" s="728"/>
      <c r="J4840" s="728"/>
      <c r="K4840" s="728"/>
      <c r="L4840" s="148">
        <v>5.3439300000000003</v>
      </c>
      <c r="M4840" s="728"/>
      <c r="N4840" s="148">
        <v>5.3439300000000003</v>
      </c>
      <c r="O4840" s="148">
        <v>0</v>
      </c>
      <c r="P4840" s="148">
        <v>4.18865</v>
      </c>
      <c r="Q4840" s="148">
        <v>1.1552800000000001</v>
      </c>
      <c r="R4840" s="148">
        <v>27.581201580461485</v>
      </c>
    </row>
    <row r="4841" spans="2:18" ht="15.75" hidden="1" thickBot="1" x14ac:dyDescent="0.3">
      <c r="B4841" s="725" t="s">
        <v>814</v>
      </c>
      <c r="C4841" s="722" t="s">
        <v>103</v>
      </c>
      <c r="D4841" t="s">
        <v>104</v>
      </c>
      <c r="E4841" s="729"/>
      <c r="F4841" s="729"/>
      <c r="G4841" s="729"/>
      <c r="H4841" s="729"/>
      <c r="I4841" s="729"/>
      <c r="J4841" s="729"/>
      <c r="K4841" s="729"/>
      <c r="L4841" s="147">
        <v>0.33705000000000002</v>
      </c>
      <c r="M4841" s="729"/>
      <c r="N4841" s="147">
        <v>0.33705000000000002</v>
      </c>
      <c r="O4841" s="147">
        <v>0</v>
      </c>
      <c r="P4841" s="147">
        <v>0.22964000000000001</v>
      </c>
      <c r="Q4841" s="147">
        <v>0.10741000000000001</v>
      </c>
      <c r="R4841" s="147">
        <v>46.773210242118097</v>
      </c>
    </row>
    <row r="4842" spans="2:18" ht="15.75" hidden="1" thickBot="1" x14ac:dyDescent="0.3">
      <c r="B4842" s="725" t="s">
        <v>814</v>
      </c>
      <c r="C4842" s="722" t="s">
        <v>625</v>
      </c>
      <c r="D4842" t="s">
        <v>626</v>
      </c>
      <c r="E4842" s="728"/>
      <c r="F4842" s="728"/>
      <c r="G4842" s="728"/>
      <c r="H4842" s="728"/>
      <c r="I4842" s="728"/>
      <c r="J4842" s="728"/>
      <c r="K4842" s="728"/>
      <c r="L4842" s="148">
        <v>-0.52500000000000002</v>
      </c>
      <c r="M4842" s="728"/>
      <c r="N4842" s="148">
        <v>-0.52500000000000002</v>
      </c>
      <c r="O4842" s="148">
        <v>0</v>
      </c>
      <c r="P4842" s="148">
        <v>-0.52500000000000002</v>
      </c>
      <c r="Q4842" s="148">
        <v>0</v>
      </c>
      <c r="R4842" s="148">
        <v>0</v>
      </c>
    </row>
    <row r="4843" spans="2:18" ht="15.75" hidden="1" thickBot="1" x14ac:dyDescent="0.3">
      <c r="B4843" s="725" t="s">
        <v>814</v>
      </c>
      <c r="C4843" s="722" t="s">
        <v>71</v>
      </c>
      <c r="D4843" t="s">
        <v>72</v>
      </c>
      <c r="E4843" s="729"/>
      <c r="F4843" s="729"/>
      <c r="G4843" s="729"/>
      <c r="H4843" s="729"/>
      <c r="I4843" s="729"/>
      <c r="J4843" s="729"/>
      <c r="K4843" s="729"/>
      <c r="L4843" s="147">
        <v>0</v>
      </c>
      <c r="M4843" s="729"/>
      <c r="N4843" s="147">
        <v>0</v>
      </c>
      <c r="O4843" s="147">
        <v>0</v>
      </c>
      <c r="P4843" s="147">
        <v>0.05</v>
      </c>
      <c r="Q4843" s="147">
        <v>-0.05</v>
      </c>
      <c r="R4843" s="147">
        <v>-100</v>
      </c>
    </row>
    <row r="4844" spans="2:18" ht="15.75" hidden="1" thickBot="1" x14ac:dyDescent="0.3">
      <c r="B4844" s="725" t="s">
        <v>814</v>
      </c>
      <c r="C4844" s="722" t="s">
        <v>109</v>
      </c>
      <c r="D4844" t="s">
        <v>110</v>
      </c>
      <c r="E4844" s="728"/>
      <c r="F4844" s="728"/>
      <c r="G4844" s="728"/>
      <c r="H4844" s="728"/>
      <c r="I4844" s="728"/>
      <c r="J4844" s="728"/>
      <c r="K4844" s="728"/>
      <c r="L4844" s="148">
        <v>3.2480000000000002E-2</v>
      </c>
      <c r="M4844" s="728"/>
      <c r="N4844" s="148">
        <v>3.2480000000000002E-2</v>
      </c>
      <c r="O4844" s="148">
        <v>0</v>
      </c>
      <c r="P4844" s="148">
        <v>7.4400000000000004E-3</v>
      </c>
      <c r="Q4844" s="148">
        <v>2.504E-2</v>
      </c>
      <c r="R4844" s="148">
        <v>336.55913978494624</v>
      </c>
    </row>
    <row r="4845" spans="2:18" ht="15.75" hidden="1" thickBot="1" x14ac:dyDescent="0.3">
      <c r="B4845" s="725" t="s">
        <v>814</v>
      </c>
      <c r="C4845" s="722" t="s">
        <v>73</v>
      </c>
      <c r="D4845" t="s">
        <v>74</v>
      </c>
      <c r="E4845" s="147">
        <v>0.1091</v>
      </c>
      <c r="F4845" s="147">
        <v>0.11941</v>
      </c>
      <c r="G4845" s="147">
        <v>-1.031E-2</v>
      </c>
      <c r="H4845" s="147">
        <v>-8.6341177455824472</v>
      </c>
      <c r="I4845" s="729"/>
      <c r="J4845" s="147">
        <v>0.1091</v>
      </c>
      <c r="K4845" s="147">
        <v>0</v>
      </c>
      <c r="L4845" s="147">
        <v>2.1462699999999999</v>
      </c>
      <c r="M4845" s="147">
        <v>1.43292</v>
      </c>
      <c r="N4845" s="147">
        <v>0.71335000000000004</v>
      </c>
      <c r="O4845" s="147">
        <v>49.782960667727437</v>
      </c>
      <c r="P4845" s="147">
        <v>0.82787999999999995</v>
      </c>
      <c r="Q4845" s="147">
        <v>1.31839</v>
      </c>
      <c r="R4845" s="147">
        <v>159.24892496497077</v>
      </c>
    </row>
    <row r="4846" spans="2:18" ht="15.75" hidden="1" thickBot="1" x14ac:dyDescent="0.3">
      <c r="B4846" s="725" t="s">
        <v>814</v>
      </c>
      <c r="C4846" s="722" t="s">
        <v>111</v>
      </c>
      <c r="D4846" t="s">
        <v>112</v>
      </c>
      <c r="E4846" s="728"/>
      <c r="F4846" s="728"/>
      <c r="G4846" s="728"/>
      <c r="H4846" s="728"/>
      <c r="I4846" s="728"/>
      <c r="J4846" s="728"/>
      <c r="K4846" s="728"/>
      <c r="L4846" s="148">
        <v>6.8279999999999993E-2</v>
      </c>
      <c r="M4846" s="728"/>
      <c r="N4846" s="148">
        <v>6.8279999999999993E-2</v>
      </c>
      <c r="O4846" s="148">
        <v>0</v>
      </c>
      <c r="P4846" s="148">
        <v>6.8279999999999993E-2</v>
      </c>
      <c r="Q4846" s="148">
        <v>0</v>
      </c>
      <c r="R4846" s="148">
        <v>0</v>
      </c>
    </row>
    <row r="4847" spans="2:18" ht="15.75" hidden="1" thickBot="1" x14ac:dyDescent="0.3">
      <c r="B4847" s="725" t="s">
        <v>814</v>
      </c>
      <c r="C4847" s="722" t="s">
        <v>141</v>
      </c>
      <c r="D4847" t="s">
        <v>142</v>
      </c>
      <c r="E4847" s="729"/>
      <c r="F4847" s="729"/>
      <c r="G4847" s="729"/>
      <c r="H4847" s="729"/>
      <c r="I4847" s="729"/>
      <c r="J4847" s="729"/>
      <c r="K4847" s="729"/>
      <c r="L4847" s="147">
        <v>1.7250000000000001E-2</v>
      </c>
      <c r="M4847" s="729"/>
      <c r="N4847" s="147">
        <v>1.7250000000000001E-2</v>
      </c>
      <c r="O4847" s="147">
        <v>0</v>
      </c>
      <c r="P4847" s="147">
        <v>5.2500000000000003E-3</v>
      </c>
      <c r="Q4847" s="147">
        <v>1.2E-2</v>
      </c>
      <c r="R4847" s="147">
        <v>228.57142857142858</v>
      </c>
    </row>
    <row r="4848" spans="2:18" ht="15.75" hidden="1" thickBot="1" x14ac:dyDescent="0.3">
      <c r="B4848" s="725" t="s">
        <v>814</v>
      </c>
      <c r="C4848" s="722" t="s">
        <v>113</v>
      </c>
      <c r="D4848" t="s">
        <v>114</v>
      </c>
      <c r="E4848" s="148">
        <v>2.7390000000000001E-2</v>
      </c>
      <c r="F4848" s="148">
        <v>0.21687999999999999</v>
      </c>
      <c r="G4848" s="148">
        <v>-0.18948999999999999</v>
      </c>
      <c r="H4848" s="148">
        <v>-87.370896348210991</v>
      </c>
      <c r="I4848" s="728"/>
      <c r="J4848" s="148">
        <v>2.7390000000000001E-2</v>
      </c>
      <c r="K4848" s="148">
        <v>0</v>
      </c>
      <c r="L4848" s="148">
        <v>2.8130500000000001</v>
      </c>
      <c r="M4848" s="148">
        <v>2.60256</v>
      </c>
      <c r="N4848" s="148">
        <v>0.21049000000000001</v>
      </c>
      <c r="O4848" s="148">
        <v>8.0878058526988816</v>
      </c>
      <c r="P4848" s="148">
        <v>1.8654900000000001</v>
      </c>
      <c r="Q4848" s="148">
        <v>0.94755999999999996</v>
      </c>
      <c r="R4848" s="148">
        <v>50.79416131954607</v>
      </c>
    </row>
    <row r="4849" spans="2:18" ht="15.75" hidden="1" thickBot="1" x14ac:dyDescent="0.3">
      <c r="B4849" s="725" t="s">
        <v>814</v>
      </c>
      <c r="C4849" s="722" t="s">
        <v>201</v>
      </c>
      <c r="D4849" t="s">
        <v>202</v>
      </c>
      <c r="E4849" s="729"/>
      <c r="F4849" s="147">
        <v>0.43014999999999998</v>
      </c>
      <c r="G4849" s="147">
        <v>-0.43014999999999998</v>
      </c>
      <c r="H4849" s="147">
        <v>-100</v>
      </c>
      <c r="I4849" s="729"/>
      <c r="J4849" s="729"/>
      <c r="K4849" s="729"/>
      <c r="L4849" s="147">
        <v>0.17666999999999999</v>
      </c>
      <c r="M4849" s="147">
        <v>5.2659000000000002</v>
      </c>
      <c r="N4849" s="147">
        <v>-5.0892299999999997</v>
      </c>
      <c r="O4849" s="147">
        <v>-96.645017945650309</v>
      </c>
      <c r="P4849" s="147">
        <v>5.8110000000000002E-2</v>
      </c>
      <c r="Q4849" s="147">
        <v>0.11856</v>
      </c>
      <c r="R4849" s="147">
        <v>204.0268456375839</v>
      </c>
    </row>
    <row r="4850" spans="2:18" ht="15.75" hidden="1" thickBot="1" x14ac:dyDescent="0.3">
      <c r="B4850" s="725" t="s">
        <v>814</v>
      </c>
      <c r="C4850" s="722" t="s">
        <v>145</v>
      </c>
      <c r="D4850" t="s">
        <v>146</v>
      </c>
      <c r="E4850" s="148">
        <v>1.29E-2</v>
      </c>
      <c r="F4850" s="148">
        <v>0.35515000000000002</v>
      </c>
      <c r="G4850" s="148">
        <v>-0.34225</v>
      </c>
      <c r="H4850" s="148">
        <v>-96.367731944248902</v>
      </c>
      <c r="I4850" s="728"/>
      <c r="J4850" s="148">
        <v>1.29E-2</v>
      </c>
      <c r="K4850" s="148">
        <v>0</v>
      </c>
      <c r="L4850" s="148">
        <v>0.20915</v>
      </c>
      <c r="M4850" s="148">
        <v>2.3027000000000002</v>
      </c>
      <c r="N4850" s="148">
        <v>-2.09355</v>
      </c>
      <c r="O4850" s="148">
        <v>-90.917184175098797</v>
      </c>
      <c r="P4850" s="148">
        <v>6.225E-2</v>
      </c>
      <c r="Q4850" s="148">
        <v>0.1469</v>
      </c>
      <c r="R4850" s="148">
        <v>235.98393574297188</v>
      </c>
    </row>
    <row r="4851" spans="2:18" ht="15.75" hidden="1" thickBot="1" x14ac:dyDescent="0.3">
      <c r="B4851" s="725" t="s">
        <v>814</v>
      </c>
      <c r="C4851" s="722" t="s">
        <v>203</v>
      </c>
      <c r="D4851" t="s">
        <v>204</v>
      </c>
      <c r="E4851" s="147">
        <v>0.1206</v>
      </c>
      <c r="F4851" s="729"/>
      <c r="G4851" s="147">
        <v>0.1206</v>
      </c>
      <c r="H4851" s="147">
        <v>0</v>
      </c>
      <c r="I4851" s="729"/>
      <c r="J4851" s="147">
        <v>0.1206</v>
      </c>
      <c r="K4851" s="147">
        <v>0</v>
      </c>
      <c r="L4851" s="147">
        <v>0.1206</v>
      </c>
      <c r="M4851" s="729"/>
      <c r="N4851" s="147">
        <v>0.1206</v>
      </c>
      <c r="O4851" s="147">
        <v>0</v>
      </c>
      <c r="P4851" s="729"/>
      <c r="Q4851" s="147">
        <v>0.1206</v>
      </c>
      <c r="R4851" s="147">
        <v>0</v>
      </c>
    </row>
    <row r="4852" spans="2:18" ht="15.75" hidden="1" thickBot="1" x14ac:dyDescent="0.3">
      <c r="B4852" s="725" t="s">
        <v>814</v>
      </c>
      <c r="C4852" s="722" t="s">
        <v>149</v>
      </c>
      <c r="D4852" t="s">
        <v>150</v>
      </c>
      <c r="E4852" s="148">
        <v>30.1465</v>
      </c>
      <c r="F4852" s="728"/>
      <c r="G4852" s="148">
        <v>30.1465</v>
      </c>
      <c r="H4852" s="148">
        <v>0</v>
      </c>
      <c r="I4852" s="728"/>
      <c r="J4852" s="148">
        <v>30.1465</v>
      </c>
      <c r="K4852" s="148">
        <v>0</v>
      </c>
      <c r="L4852" s="148">
        <v>33.657780000000002</v>
      </c>
      <c r="M4852" s="148">
        <v>30.8</v>
      </c>
      <c r="N4852" s="148">
        <v>2.85778</v>
      </c>
      <c r="O4852" s="148">
        <v>9.2785064935064927</v>
      </c>
      <c r="P4852" s="148">
        <v>0.66157999999999995</v>
      </c>
      <c r="Q4852" s="148">
        <v>32.996200000000002</v>
      </c>
      <c r="R4852" s="148">
        <v>4987.4845067867827</v>
      </c>
    </row>
    <row r="4853" spans="2:18" ht="15.75" hidden="1" thickBot="1" x14ac:dyDescent="0.3">
      <c r="B4853" s="725" t="s">
        <v>814</v>
      </c>
      <c r="C4853" s="722" t="s">
        <v>647</v>
      </c>
      <c r="D4853" t="s">
        <v>648</v>
      </c>
      <c r="E4853" s="147">
        <v>-7.1475900000000001</v>
      </c>
      <c r="F4853" s="729"/>
      <c r="G4853" s="147">
        <v>-7.1475900000000001</v>
      </c>
      <c r="H4853" s="147">
        <v>0</v>
      </c>
      <c r="I4853" s="729"/>
      <c r="J4853" s="147">
        <v>-7.1475900000000001</v>
      </c>
      <c r="K4853" s="147">
        <v>0</v>
      </c>
      <c r="L4853" s="147">
        <v>-97.195949999999996</v>
      </c>
      <c r="M4853" s="729"/>
      <c r="N4853" s="147">
        <v>-97.195949999999996</v>
      </c>
      <c r="O4853" s="147">
        <v>0</v>
      </c>
      <c r="P4853" s="147">
        <v>-40.138770000000001</v>
      </c>
      <c r="Q4853" s="147">
        <v>-57.057180000000002</v>
      </c>
      <c r="R4853" s="147">
        <v>-142.14979681739126</v>
      </c>
    </row>
    <row r="4854" spans="2:18" ht="15.75" hidden="1" thickBot="1" x14ac:dyDescent="0.3">
      <c r="B4854" s="725" t="s">
        <v>814</v>
      </c>
      <c r="C4854" s="722" t="s">
        <v>173</v>
      </c>
      <c r="D4854" t="s">
        <v>174</v>
      </c>
      <c r="E4854" s="148">
        <v>7.5609999999999999</v>
      </c>
      <c r="F4854" s="148">
        <v>2.1635300000000002</v>
      </c>
      <c r="G4854" s="148">
        <v>5.3974700000000002</v>
      </c>
      <c r="H4854" s="148">
        <v>249.47516327483325</v>
      </c>
      <c r="I4854" s="728"/>
      <c r="J4854" s="148">
        <v>7.5609999999999999</v>
      </c>
      <c r="K4854" s="148">
        <v>0</v>
      </c>
      <c r="L4854" s="148">
        <v>82.182789999999997</v>
      </c>
      <c r="M4854" s="148">
        <v>25.96236</v>
      </c>
      <c r="N4854" s="148">
        <v>56.22043</v>
      </c>
      <c r="O4854" s="148">
        <v>216.54591493223268</v>
      </c>
      <c r="P4854" s="148">
        <v>36.76491</v>
      </c>
      <c r="Q4854" s="148">
        <v>45.417879999999997</v>
      </c>
      <c r="R4854" s="148">
        <v>123.53594772841821</v>
      </c>
    </row>
    <row r="4855" spans="2:18" ht="15.75" hidden="1" thickBot="1" x14ac:dyDescent="0.3">
      <c r="B4855" s="725" t="s">
        <v>814</v>
      </c>
      <c r="C4855" s="722" t="s">
        <v>151</v>
      </c>
      <c r="D4855" t="s">
        <v>152</v>
      </c>
      <c r="E4855" s="729"/>
      <c r="F4855" s="147">
        <v>0.16941000000000001</v>
      </c>
      <c r="G4855" s="147">
        <v>-0.16941000000000001</v>
      </c>
      <c r="H4855" s="147">
        <v>-100</v>
      </c>
      <c r="I4855" s="729"/>
      <c r="J4855" s="729"/>
      <c r="K4855" s="729"/>
      <c r="L4855" s="147">
        <v>-2.5449999999999999</v>
      </c>
      <c r="M4855" s="147">
        <v>3.0741000000000001</v>
      </c>
      <c r="N4855" s="147">
        <v>-5.6191000000000004</v>
      </c>
      <c r="O4855" s="147">
        <v>-182.78845841059172</v>
      </c>
      <c r="P4855" s="147">
        <v>-2.5449999999999999</v>
      </c>
      <c r="Q4855" s="147">
        <v>0</v>
      </c>
      <c r="R4855" s="147">
        <v>0</v>
      </c>
    </row>
    <row r="4856" spans="2:18" ht="15.75" hidden="1" thickBot="1" x14ac:dyDescent="0.3">
      <c r="B4856" s="725" t="s">
        <v>814</v>
      </c>
      <c r="C4856" s="722" t="s">
        <v>481</v>
      </c>
      <c r="D4856" t="s">
        <v>482</v>
      </c>
      <c r="E4856" s="728"/>
      <c r="F4856" s="728"/>
      <c r="G4856" s="728"/>
      <c r="H4856" s="728"/>
      <c r="I4856" s="728"/>
      <c r="J4856" s="728"/>
      <c r="K4856" s="728"/>
      <c r="L4856" s="148">
        <v>0.05</v>
      </c>
      <c r="M4856" s="728"/>
      <c r="N4856" s="148">
        <v>0.05</v>
      </c>
      <c r="O4856" s="148">
        <v>0</v>
      </c>
      <c r="P4856" s="728"/>
      <c r="Q4856" s="148">
        <v>0.05</v>
      </c>
      <c r="R4856" s="148">
        <v>0</v>
      </c>
    </row>
    <row r="4857" spans="2:18" ht="15.75" hidden="1" thickBot="1" x14ac:dyDescent="0.3">
      <c r="B4857" s="725" t="s">
        <v>814</v>
      </c>
      <c r="C4857" s="722" t="s">
        <v>175</v>
      </c>
      <c r="D4857" t="s">
        <v>176</v>
      </c>
      <c r="E4857" s="729"/>
      <c r="F4857" s="729"/>
      <c r="G4857" s="729"/>
      <c r="H4857" s="729"/>
      <c r="I4857" s="729"/>
      <c r="J4857" s="729"/>
      <c r="K4857" s="729"/>
      <c r="L4857" s="147">
        <v>2.5319999999999999E-2</v>
      </c>
      <c r="M4857" s="729"/>
      <c r="N4857" s="147">
        <v>2.5319999999999999E-2</v>
      </c>
      <c r="O4857" s="147">
        <v>0</v>
      </c>
      <c r="P4857" s="729"/>
      <c r="Q4857" s="147">
        <v>2.5319999999999999E-2</v>
      </c>
      <c r="R4857" s="147">
        <v>0</v>
      </c>
    </row>
    <row r="4858" spans="2:18" ht="15.75" hidden="1" thickBot="1" x14ac:dyDescent="0.3">
      <c r="B4858" s="725" t="s">
        <v>814</v>
      </c>
      <c r="C4858" s="722" t="s">
        <v>661</v>
      </c>
      <c r="D4858" t="s">
        <v>662</v>
      </c>
      <c r="E4858" s="148">
        <v>-197.38883000000001</v>
      </c>
      <c r="F4858" s="728"/>
      <c r="G4858" s="148">
        <v>-197.38883000000001</v>
      </c>
      <c r="H4858" s="148">
        <v>0</v>
      </c>
      <c r="I4858" s="728"/>
      <c r="J4858" s="148">
        <v>-197.38883000000001</v>
      </c>
      <c r="K4858" s="148">
        <v>0</v>
      </c>
      <c r="L4858" s="148">
        <v>-280.54664000000002</v>
      </c>
      <c r="M4858" s="728"/>
      <c r="N4858" s="148">
        <v>-280.54664000000002</v>
      </c>
      <c r="O4858" s="148">
        <v>0</v>
      </c>
      <c r="P4858" s="148">
        <v>-74.574250000000006</v>
      </c>
      <c r="Q4858" s="148">
        <v>-205.97238999999999</v>
      </c>
      <c r="R4858" s="148">
        <v>-276.1977358136354</v>
      </c>
    </row>
    <row r="4859" spans="2:18" ht="15.75" hidden="1" thickBot="1" x14ac:dyDescent="0.3">
      <c r="B4859" s="725" t="s">
        <v>814</v>
      </c>
      <c r="C4859" s="722" t="s">
        <v>663</v>
      </c>
      <c r="D4859" t="s">
        <v>664</v>
      </c>
      <c r="E4859" s="729"/>
      <c r="F4859" s="729"/>
      <c r="G4859" s="729"/>
      <c r="H4859" s="729"/>
      <c r="I4859" s="729"/>
      <c r="J4859" s="729"/>
      <c r="K4859" s="729"/>
      <c r="L4859" s="147">
        <v>-0.28338999999999998</v>
      </c>
      <c r="M4859" s="729"/>
      <c r="N4859" s="147">
        <v>-0.28338999999999998</v>
      </c>
      <c r="O4859" s="147">
        <v>0</v>
      </c>
      <c r="P4859" s="147">
        <v>-0.28338999999999998</v>
      </c>
      <c r="Q4859" s="147">
        <v>0</v>
      </c>
      <c r="R4859" s="147">
        <v>0</v>
      </c>
    </row>
    <row r="4860" spans="2:18" ht="15.75" hidden="1" thickBot="1" x14ac:dyDescent="0.3">
      <c r="B4860" s="725" t="s">
        <v>814</v>
      </c>
      <c r="C4860" s="722" t="s">
        <v>207</v>
      </c>
      <c r="D4860" t="s">
        <v>208</v>
      </c>
      <c r="E4860" s="728"/>
      <c r="F4860" s="728"/>
      <c r="G4860" s="728"/>
      <c r="H4860" s="728"/>
      <c r="I4860" s="728"/>
      <c r="J4860" s="728"/>
      <c r="K4860" s="728"/>
      <c r="L4860" s="148">
        <v>0.49184</v>
      </c>
      <c r="M4860" s="728"/>
      <c r="N4860" s="148">
        <v>0.49184</v>
      </c>
      <c r="O4860" s="148">
        <v>0</v>
      </c>
      <c r="P4860" s="148">
        <v>9.196E-2</v>
      </c>
      <c r="Q4860" s="148">
        <v>0.39988000000000001</v>
      </c>
      <c r="R4860" s="148">
        <v>434.8412353197042</v>
      </c>
    </row>
    <row r="4861" spans="2:18" ht="15.75" hidden="1" thickBot="1" x14ac:dyDescent="0.3">
      <c r="B4861" s="725" t="s">
        <v>814</v>
      </c>
      <c r="C4861" s="722" t="s">
        <v>75</v>
      </c>
      <c r="D4861" t="s">
        <v>76</v>
      </c>
      <c r="E4861" s="729"/>
      <c r="F4861" s="147">
        <v>0.87853000000000003</v>
      </c>
      <c r="G4861" s="147">
        <v>-0.87853000000000003</v>
      </c>
      <c r="H4861" s="147">
        <v>-100</v>
      </c>
      <c r="I4861" s="729"/>
      <c r="J4861" s="729"/>
      <c r="K4861" s="729"/>
      <c r="L4861" s="147">
        <v>10.580069999999999</v>
      </c>
      <c r="M4861" s="147">
        <v>12.26798</v>
      </c>
      <c r="N4861" s="147">
        <v>-1.68791</v>
      </c>
      <c r="O4861" s="147">
        <v>-13.758662795342021</v>
      </c>
      <c r="P4861" s="147">
        <v>5.0191100000000004</v>
      </c>
      <c r="Q4861" s="147">
        <v>5.5609599999999997</v>
      </c>
      <c r="R4861" s="147">
        <v>110.79573868673928</v>
      </c>
    </row>
    <row r="4862" spans="2:18" ht="15.75" hidden="1" thickBot="1" x14ac:dyDescent="0.3">
      <c r="B4862" s="725" t="s">
        <v>814</v>
      </c>
      <c r="C4862" s="722" t="s">
        <v>121</v>
      </c>
      <c r="D4862" t="s">
        <v>122</v>
      </c>
      <c r="E4862" s="148">
        <v>0.70711000000000002</v>
      </c>
      <c r="F4862" s="148">
        <v>0.65</v>
      </c>
      <c r="G4862" s="148">
        <v>5.7110000000000001E-2</v>
      </c>
      <c r="H4862" s="148">
        <v>8.7861538461538462</v>
      </c>
      <c r="I4862" s="728"/>
      <c r="J4862" s="148">
        <v>0.70711000000000002</v>
      </c>
      <c r="K4862" s="148">
        <v>0</v>
      </c>
      <c r="L4862" s="148">
        <v>8.3108699999999995</v>
      </c>
      <c r="M4862" s="148">
        <v>8.1</v>
      </c>
      <c r="N4862" s="148">
        <v>0.21087</v>
      </c>
      <c r="O4862" s="148">
        <v>2.6033333333333335</v>
      </c>
      <c r="P4862" s="148">
        <v>3.4998999999999998</v>
      </c>
      <c r="Q4862" s="148">
        <v>4.8109700000000002</v>
      </c>
      <c r="R4862" s="148">
        <v>137.4602131489471</v>
      </c>
    </row>
    <row r="4863" spans="2:18" ht="15.75" hidden="1" thickBot="1" x14ac:dyDescent="0.3">
      <c r="B4863" s="725" t="s">
        <v>814</v>
      </c>
      <c r="C4863" s="722" t="s">
        <v>77</v>
      </c>
      <c r="D4863" t="s">
        <v>78</v>
      </c>
      <c r="E4863" s="729"/>
      <c r="F4863" s="729"/>
      <c r="G4863" s="729"/>
      <c r="H4863" s="729"/>
      <c r="I4863" s="729"/>
      <c r="J4863" s="729"/>
      <c r="K4863" s="729"/>
      <c r="L4863" s="147">
        <v>4.9891199999999998</v>
      </c>
      <c r="M4863" s="729"/>
      <c r="N4863" s="147">
        <v>4.9891199999999998</v>
      </c>
      <c r="O4863" s="147">
        <v>0</v>
      </c>
      <c r="P4863" s="147">
        <v>3.5851799999999998</v>
      </c>
      <c r="Q4863" s="147">
        <v>1.40394</v>
      </c>
      <c r="R4863" s="147">
        <v>39.15954010677288</v>
      </c>
    </row>
    <row r="4864" spans="2:18" ht="15.75" hidden="1" thickBot="1" x14ac:dyDescent="0.3">
      <c r="B4864" s="725" t="s">
        <v>814</v>
      </c>
      <c r="C4864" s="722" t="s">
        <v>79</v>
      </c>
      <c r="D4864" t="s">
        <v>80</v>
      </c>
      <c r="E4864" s="728"/>
      <c r="F4864" s="728"/>
      <c r="G4864" s="728"/>
      <c r="H4864" s="728"/>
      <c r="I4864" s="728"/>
      <c r="J4864" s="728"/>
      <c r="K4864" s="728"/>
      <c r="L4864" s="148">
        <v>1.11256</v>
      </c>
      <c r="M4864" s="728"/>
      <c r="N4864" s="148">
        <v>1.11256</v>
      </c>
      <c r="O4864" s="148">
        <v>0</v>
      </c>
      <c r="P4864" s="148">
        <v>0.51359999999999995</v>
      </c>
      <c r="Q4864" s="148">
        <v>0.59896000000000005</v>
      </c>
      <c r="R4864" s="148">
        <v>116.61993769470405</v>
      </c>
    </row>
    <row r="4865" spans="2:18" ht="15.75" hidden="1" thickBot="1" x14ac:dyDescent="0.3">
      <c r="B4865" s="725" t="s">
        <v>814</v>
      </c>
      <c r="C4865" s="722" t="s">
        <v>81</v>
      </c>
      <c r="D4865" t="s">
        <v>82</v>
      </c>
      <c r="E4865" s="147">
        <v>0.4</v>
      </c>
      <c r="F4865" s="147">
        <v>0.41471000000000002</v>
      </c>
      <c r="G4865" s="147">
        <v>-1.4710000000000001E-2</v>
      </c>
      <c r="H4865" s="147">
        <v>-3.5470569795760891</v>
      </c>
      <c r="I4865" s="729"/>
      <c r="J4865" s="147">
        <v>0.4</v>
      </c>
      <c r="K4865" s="147">
        <v>0</v>
      </c>
      <c r="L4865" s="147">
        <v>0.5</v>
      </c>
      <c r="M4865" s="147">
        <v>1.77847</v>
      </c>
      <c r="N4865" s="147">
        <v>-1.27847</v>
      </c>
      <c r="O4865" s="147">
        <v>-71.885946909422145</v>
      </c>
      <c r="P4865" s="147">
        <v>0.1</v>
      </c>
      <c r="Q4865" s="147">
        <v>0.4</v>
      </c>
      <c r="R4865" s="147">
        <v>400</v>
      </c>
    </row>
    <row r="4866" spans="2:18" ht="15.75" hidden="1" thickBot="1" x14ac:dyDescent="0.3">
      <c r="B4866" s="725" t="s">
        <v>814</v>
      </c>
      <c r="C4866" s="722" t="s">
        <v>123</v>
      </c>
      <c r="D4866" t="s">
        <v>124</v>
      </c>
      <c r="E4866" s="728"/>
      <c r="F4866" s="148">
        <v>0.41471000000000002</v>
      </c>
      <c r="G4866" s="148">
        <v>-0.41471000000000002</v>
      </c>
      <c r="H4866" s="148">
        <v>-100</v>
      </c>
      <c r="I4866" s="728"/>
      <c r="J4866" s="728"/>
      <c r="K4866" s="728"/>
      <c r="L4866" s="148">
        <v>3.5627499999999999</v>
      </c>
      <c r="M4866" s="148">
        <v>1.7976399999999999</v>
      </c>
      <c r="N4866" s="148">
        <v>1.76511</v>
      </c>
      <c r="O4866" s="148">
        <v>98.190405197926168</v>
      </c>
      <c r="P4866" s="148">
        <v>3.5584600000000002</v>
      </c>
      <c r="Q4866" s="148">
        <v>4.2900000000000004E-3</v>
      </c>
      <c r="R4866" s="148">
        <v>0.12055776937214413</v>
      </c>
    </row>
    <row r="4867" spans="2:18" ht="15.75" hidden="1" thickBot="1" x14ac:dyDescent="0.3">
      <c r="B4867" s="725" t="s">
        <v>814</v>
      </c>
      <c r="C4867" s="722" t="s">
        <v>209</v>
      </c>
      <c r="D4867" t="s">
        <v>210</v>
      </c>
      <c r="E4867" s="147">
        <v>1.3649100000000001</v>
      </c>
      <c r="F4867" s="729"/>
      <c r="G4867" s="147">
        <v>1.3649100000000001</v>
      </c>
      <c r="H4867" s="147">
        <v>0</v>
      </c>
      <c r="I4867" s="729"/>
      <c r="J4867" s="147">
        <v>1.3649100000000001</v>
      </c>
      <c r="K4867" s="147">
        <v>0</v>
      </c>
      <c r="L4867" s="147">
        <v>11.459519999999999</v>
      </c>
      <c r="M4867" s="729"/>
      <c r="N4867" s="147">
        <v>11.459519999999999</v>
      </c>
      <c r="O4867" s="147">
        <v>0</v>
      </c>
      <c r="P4867" s="147">
        <v>6.0195800000000004</v>
      </c>
      <c r="Q4867" s="147">
        <v>5.43994</v>
      </c>
      <c r="R4867" s="147">
        <v>90.370756763760923</v>
      </c>
    </row>
    <row r="4868" spans="2:18" ht="15.75" hidden="1" thickBot="1" x14ac:dyDescent="0.3">
      <c r="B4868" s="725" t="s">
        <v>814</v>
      </c>
      <c r="C4868" s="722" t="s">
        <v>211</v>
      </c>
      <c r="D4868" t="s">
        <v>212</v>
      </c>
      <c r="E4868" s="148">
        <v>0.16288</v>
      </c>
      <c r="F4868" s="728"/>
      <c r="G4868" s="148">
        <v>0.16288</v>
      </c>
      <c r="H4868" s="148">
        <v>0</v>
      </c>
      <c r="I4868" s="728"/>
      <c r="J4868" s="148">
        <v>0.16288</v>
      </c>
      <c r="K4868" s="148">
        <v>0</v>
      </c>
      <c r="L4868" s="148">
        <v>9.7591900000000003</v>
      </c>
      <c r="M4868" s="728"/>
      <c r="N4868" s="148">
        <v>9.7591900000000003</v>
      </c>
      <c r="O4868" s="148">
        <v>0</v>
      </c>
      <c r="P4868" s="148">
        <v>4.3330900000000003</v>
      </c>
      <c r="Q4868" s="148">
        <v>5.4260999999999999</v>
      </c>
      <c r="R4868" s="148">
        <v>125.22472415758732</v>
      </c>
    </row>
    <row r="4869" spans="2:18" ht="15.75" hidden="1" thickBot="1" x14ac:dyDescent="0.3">
      <c r="B4869" s="725" t="s">
        <v>814</v>
      </c>
      <c r="C4869" s="722" t="s">
        <v>213</v>
      </c>
      <c r="D4869" t="s">
        <v>214</v>
      </c>
      <c r="E4869" s="147">
        <v>-6.9545000000000003</v>
      </c>
      <c r="F4869" s="729"/>
      <c r="G4869" s="147">
        <v>-6.9545000000000003</v>
      </c>
      <c r="H4869" s="147">
        <v>0</v>
      </c>
      <c r="I4869" s="729"/>
      <c r="J4869" s="147">
        <v>-6.9545000000000003</v>
      </c>
      <c r="K4869" s="147">
        <v>0</v>
      </c>
      <c r="L4869" s="147">
        <v>-55.532359999999997</v>
      </c>
      <c r="M4869" s="729"/>
      <c r="N4869" s="147">
        <v>-55.532359999999997</v>
      </c>
      <c r="O4869" s="147">
        <v>0</v>
      </c>
      <c r="P4869" s="147">
        <v>-27.051300000000001</v>
      </c>
      <c r="Q4869" s="147">
        <v>-28.481059999999999</v>
      </c>
      <c r="R4869" s="147">
        <v>-105.28536521350175</v>
      </c>
    </row>
    <row r="4870" spans="2:18" ht="15.75" hidden="1" thickBot="1" x14ac:dyDescent="0.3">
      <c r="B4870" s="725" t="s">
        <v>814</v>
      </c>
      <c r="C4870" s="722" t="s">
        <v>215</v>
      </c>
      <c r="D4870" t="s">
        <v>216</v>
      </c>
      <c r="E4870" s="148">
        <v>-1.67154</v>
      </c>
      <c r="F4870" s="728"/>
      <c r="G4870" s="148">
        <v>-1.67154</v>
      </c>
      <c r="H4870" s="148">
        <v>0</v>
      </c>
      <c r="I4870" s="728"/>
      <c r="J4870" s="148">
        <v>-1.67154</v>
      </c>
      <c r="K4870" s="148">
        <v>0</v>
      </c>
      <c r="L4870" s="148">
        <v>-35.12377</v>
      </c>
      <c r="M4870" s="728"/>
      <c r="N4870" s="148">
        <v>-35.12377</v>
      </c>
      <c r="O4870" s="148">
        <v>0</v>
      </c>
      <c r="P4870" s="148">
        <v>-15.08672</v>
      </c>
      <c r="Q4870" s="148">
        <v>-20.037050000000001</v>
      </c>
      <c r="R4870" s="148">
        <v>-132.8125</v>
      </c>
    </row>
    <row r="4871" spans="2:18" ht="15.75" hidden="1" thickBot="1" x14ac:dyDescent="0.3">
      <c r="B4871" s="725" t="s">
        <v>814</v>
      </c>
      <c r="C4871" s="722" t="s">
        <v>83</v>
      </c>
      <c r="D4871" t="s">
        <v>84</v>
      </c>
      <c r="E4871" s="729"/>
      <c r="F4871" s="147">
        <v>4.04</v>
      </c>
      <c r="G4871" s="147">
        <v>-4.04</v>
      </c>
      <c r="H4871" s="147">
        <v>-100</v>
      </c>
      <c r="I4871" s="729"/>
      <c r="J4871" s="729"/>
      <c r="K4871" s="729"/>
      <c r="L4871" s="729"/>
      <c r="M4871" s="147">
        <v>42.599539999999998</v>
      </c>
      <c r="N4871" s="147">
        <v>-42.599539999999998</v>
      </c>
      <c r="O4871" s="147">
        <v>-100</v>
      </c>
      <c r="P4871" s="729"/>
      <c r="Q4871" s="729"/>
      <c r="R4871" s="729"/>
    </row>
    <row r="4872" spans="2:18" ht="15.75" hidden="1" thickBot="1" x14ac:dyDescent="0.3">
      <c r="B4872" s="725" t="s">
        <v>814</v>
      </c>
      <c r="C4872" s="149" t="s">
        <v>85</v>
      </c>
      <c r="D4872" t="s">
        <v>86</v>
      </c>
      <c r="E4872" s="148">
        <v>14.99419</v>
      </c>
      <c r="F4872" s="148">
        <v>128.92081999999999</v>
      </c>
      <c r="G4872" s="148">
        <v>-113.92663</v>
      </c>
      <c r="H4872" s="148">
        <v>-88.369458090632691</v>
      </c>
      <c r="I4872" s="728"/>
      <c r="J4872" s="148">
        <v>14.99419</v>
      </c>
      <c r="K4872" s="148">
        <v>0</v>
      </c>
      <c r="L4872" s="148">
        <v>2371.3265700000002</v>
      </c>
      <c r="M4872" s="148">
        <v>1942.6089400000001</v>
      </c>
      <c r="N4872" s="148">
        <v>428.71762999999999</v>
      </c>
      <c r="O4872" s="148">
        <v>22.069167971604209</v>
      </c>
      <c r="P4872" s="148">
        <v>1180.6401699999999</v>
      </c>
      <c r="Q4872" s="148">
        <v>1190.6864</v>
      </c>
      <c r="R4872" s="148">
        <v>100.85091378857625</v>
      </c>
    </row>
    <row r="4873" spans="2:18" ht="15.75" hidden="1" thickBot="1" x14ac:dyDescent="0.3">
      <c r="B4873" s="725" t="s">
        <v>814</v>
      </c>
      <c r="C4873" s="144" t="s">
        <v>87</v>
      </c>
      <c r="D4873" t="s">
        <v>87</v>
      </c>
      <c r="E4873" s="147">
        <v>396.76472000000001</v>
      </c>
      <c r="F4873" s="147">
        <v>692.88495999999998</v>
      </c>
      <c r="G4873" s="147">
        <v>-296.12024000000002</v>
      </c>
      <c r="H4873" s="147">
        <v>-42.737287875320604</v>
      </c>
      <c r="I4873" s="729"/>
      <c r="J4873" s="147">
        <v>396.76472000000001</v>
      </c>
      <c r="K4873" s="147">
        <v>0</v>
      </c>
      <c r="L4873" s="147">
        <v>8914.6885399999992</v>
      </c>
      <c r="M4873" s="147">
        <v>8294.2699900000007</v>
      </c>
      <c r="N4873" s="147">
        <v>620.41854999999998</v>
      </c>
      <c r="O4873" s="147">
        <v>7.4800862613347361</v>
      </c>
      <c r="P4873" s="147">
        <v>4372.4170400000003</v>
      </c>
      <c r="Q4873" s="147">
        <v>4542.2714999999998</v>
      </c>
      <c r="R4873" s="147">
        <v>103.88468113736927</v>
      </c>
    </row>
    <row r="4874" spans="2:18" ht="15.75" hidden="1" thickBot="1" x14ac:dyDescent="0.3">
      <c r="B4874" s="726" t="s">
        <v>815</v>
      </c>
      <c r="C4874" s="722" t="s">
        <v>59</v>
      </c>
      <c r="D4874" t="s">
        <v>60</v>
      </c>
      <c r="E4874" s="148">
        <v>31.04684</v>
      </c>
      <c r="F4874" s="148">
        <v>26.08784</v>
      </c>
      <c r="G4874" s="148">
        <v>4.9589999999999996</v>
      </c>
      <c r="H4874" s="148">
        <v>19.008856233402227</v>
      </c>
      <c r="I4874" s="728"/>
      <c r="J4874" s="148">
        <v>31.04684</v>
      </c>
      <c r="K4874" s="148">
        <v>0</v>
      </c>
      <c r="L4874" s="148">
        <v>396.87047000000001</v>
      </c>
      <c r="M4874" s="148">
        <v>311.41174000000001</v>
      </c>
      <c r="N4874" s="148">
        <v>85.458730000000003</v>
      </c>
      <c r="O4874" s="148">
        <v>27.442359751755024</v>
      </c>
      <c r="P4874" s="148">
        <v>205.61266000000001</v>
      </c>
      <c r="Q4874" s="148">
        <v>191.25781000000001</v>
      </c>
      <c r="R4874" s="148">
        <v>93.018498958186726</v>
      </c>
    </row>
    <row r="4875" spans="2:18" ht="15.75" hidden="1" thickBot="1" x14ac:dyDescent="0.3">
      <c r="B4875" s="726" t="s">
        <v>815</v>
      </c>
      <c r="C4875" s="722" t="s">
        <v>89</v>
      </c>
      <c r="D4875" t="s">
        <v>90</v>
      </c>
      <c r="E4875" s="147">
        <v>3.72912</v>
      </c>
      <c r="F4875" s="729"/>
      <c r="G4875" s="147">
        <v>3.72912</v>
      </c>
      <c r="H4875" s="147">
        <v>0</v>
      </c>
      <c r="I4875" s="729"/>
      <c r="J4875" s="147">
        <v>3.72912</v>
      </c>
      <c r="K4875" s="147">
        <v>0</v>
      </c>
      <c r="L4875" s="147">
        <v>37.763759999999998</v>
      </c>
      <c r="M4875" s="729"/>
      <c r="N4875" s="147">
        <v>37.763759999999998</v>
      </c>
      <c r="O4875" s="147">
        <v>0</v>
      </c>
      <c r="P4875" s="147">
        <v>17.007339999999999</v>
      </c>
      <c r="Q4875" s="147">
        <v>20.756419999999999</v>
      </c>
      <c r="R4875" s="147">
        <v>122.0438939893011</v>
      </c>
    </row>
    <row r="4876" spans="2:18" ht="15.75" hidden="1" thickBot="1" x14ac:dyDescent="0.3">
      <c r="B4876" s="726" t="s">
        <v>815</v>
      </c>
      <c r="C4876" s="722" t="s">
        <v>91</v>
      </c>
      <c r="D4876" t="s">
        <v>92</v>
      </c>
      <c r="E4876" s="148">
        <v>152.41484</v>
      </c>
      <c r="F4876" s="148">
        <v>223.00436999999999</v>
      </c>
      <c r="G4876" s="148">
        <v>-70.589529999999996</v>
      </c>
      <c r="H4876" s="148">
        <v>-31.653877455405919</v>
      </c>
      <c r="I4876" s="728"/>
      <c r="J4876" s="148">
        <v>152.41484</v>
      </c>
      <c r="K4876" s="148">
        <v>0</v>
      </c>
      <c r="L4876" s="148">
        <v>2358.5364399999999</v>
      </c>
      <c r="M4876" s="148">
        <v>2583.7616699999999</v>
      </c>
      <c r="N4876" s="148">
        <v>-225.22523000000001</v>
      </c>
      <c r="O4876" s="148">
        <v>-8.7169506620941544</v>
      </c>
      <c r="P4876" s="148">
        <v>1193.0554999999999</v>
      </c>
      <c r="Q4876" s="148">
        <v>1165.4809399999999</v>
      </c>
      <c r="R4876" s="148">
        <v>97.68874457223491</v>
      </c>
    </row>
    <row r="4877" spans="2:18" ht="15.75" hidden="1" thickBot="1" x14ac:dyDescent="0.3">
      <c r="B4877" s="726" t="s">
        <v>815</v>
      </c>
      <c r="C4877" s="722" t="s">
        <v>93</v>
      </c>
      <c r="D4877" t="s">
        <v>94</v>
      </c>
      <c r="E4877" s="147">
        <v>33.226199999999999</v>
      </c>
      <c r="F4877" s="147">
        <v>45.92501</v>
      </c>
      <c r="G4877" s="147">
        <v>-12.69881</v>
      </c>
      <c r="H4877" s="147">
        <v>-27.651186140188102</v>
      </c>
      <c r="I4877" s="729"/>
      <c r="J4877" s="147">
        <v>33.226199999999999</v>
      </c>
      <c r="K4877" s="147">
        <v>0</v>
      </c>
      <c r="L4877" s="147">
        <v>598.14373999999998</v>
      </c>
      <c r="M4877" s="147">
        <v>248.26488000000001</v>
      </c>
      <c r="N4877" s="147">
        <v>349.87885999999997</v>
      </c>
      <c r="O4877" s="147">
        <v>140.92966351100486</v>
      </c>
      <c r="P4877" s="147">
        <v>279.84582</v>
      </c>
      <c r="Q4877" s="147">
        <v>318.29791999999998</v>
      </c>
      <c r="R4877" s="147">
        <v>113.74045894271353</v>
      </c>
    </row>
    <row r="4878" spans="2:18" ht="15.75" hidden="1" thickBot="1" x14ac:dyDescent="0.3">
      <c r="B4878" s="726" t="s">
        <v>815</v>
      </c>
      <c r="C4878" s="722" t="s">
        <v>134</v>
      </c>
      <c r="D4878" t="s">
        <v>135</v>
      </c>
      <c r="E4878" s="728"/>
      <c r="F4878" s="728"/>
      <c r="G4878" s="728"/>
      <c r="H4878" s="728"/>
      <c r="I4878" s="728"/>
      <c r="J4878" s="728"/>
      <c r="K4878" s="728"/>
      <c r="L4878" s="148">
        <v>0.126</v>
      </c>
      <c r="M4878" s="728"/>
      <c r="N4878" s="148">
        <v>0.126</v>
      </c>
      <c r="O4878" s="148">
        <v>0</v>
      </c>
      <c r="P4878" s="148">
        <v>0.126</v>
      </c>
      <c r="Q4878" s="148">
        <v>0</v>
      </c>
      <c r="R4878" s="148">
        <v>0</v>
      </c>
    </row>
    <row r="4879" spans="2:18" ht="15.75" hidden="1" thickBot="1" x14ac:dyDescent="0.3">
      <c r="B4879" s="726" t="s">
        <v>815</v>
      </c>
      <c r="C4879" s="722" t="s">
        <v>95</v>
      </c>
      <c r="D4879" t="s">
        <v>96</v>
      </c>
      <c r="E4879" s="729"/>
      <c r="F4879" s="729"/>
      <c r="G4879" s="729"/>
      <c r="H4879" s="729"/>
      <c r="I4879" s="729"/>
      <c r="J4879" s="729"/>
      <c r="K4879" s="729"/>
      <c r="L4879" s="147">
        <v>0.25201000000000001</v>
      </c>
      <c r="M4879" s="729"/>
      <c r="N4879" s="147">
        <v>0.25201000000000001</v>
      </c>
      <c r="O4879" s="147">
        <v>0</v>
      </c>
      <c r="P4879" s="147">
        <v>0.25201000000000001</v>
      </c>
      <c r="Q4879" s="147">
        <v>0</v>
      </c>
      <c r="R4879" s="147">
        <v>0</v>
      </c>
    </row>
    <row r="4880" spans="2:18" ht="15.75" hidden="1" thickBot="1" x14ac:dyDescent="0.3">
      <c r="B4880" s="726" t="s">
        <v>815</v>
      </c>
      <c r="C4880" s="722" t="s">
        <v>61</v>
      </c>
      <c r="D4880" t="s">
        <v>62</v>
      </c>
      <c r="E4880" s="148">
        <v>36.045490000000001</v>
      </c>
      <c r="F4880" s="148">
        <v>38.609290000000001</v>
      </c>
      <c r="G4880" s="148">
        <v>-2.5638000000000001</v>
      </c>
      <c r="H4880" s="148">
        <v>-6.6403707501484748</v>
      </c>
      <c r="I4880" s="728"/>
      <c r="J4880" s="148">
        <v>36.045490000000001</v>
      </c>
      <c r="K4880" s="148">
        <v>0</v>
      </c>
      <c r="L4880" s="148">
        <v>435.02463</v>
      </c>
      <c r="M4880" s="148">
        <v>448.75191999999998</v>
      </c>
      <c r="N4880" s="148">
        <v>-13.72729</v>
      </c>
      <c r="O4880" s="148">
        <v>-3.0589930400743466</v>
      </c>
      <c r="P4880" s="148">
        <v>215.11725000000001</v>
      </c>
      <c r="Q4880" s="148">
        <v>219.90737999999999</v>
      </c>
      <c r="R4880" s="148">
        <v>102.226753084655</v>
      </c>
    </row>
    <row r="4881" spans="2:18" ht="15.75" hidden="1" thickBot="1" x14ac:dyDescent="0.3">
      <c r="B4881" s="726" t="s">
        <v>815</v>
      </c>
      <c r="C4881" s="722" t="s">
        <v>63</v>
      </c>
      <c r="D4881" t="s">
        <v>64</v>
      </c>
      <c r="E4881" s="147">
        <v>146.06469999999999</v>
      </c>
      <c r="F4881" s="147">
        <v>150.20259999999999</v>
      </c>
      <c r="G4881" s="147">
        <v>-4.1379000000000001</v>
      </c>
      <c r="H4881" s="147">
        <v>-2.7548790766604574</v>
      </c>
      <c r="I4881" s="729"/>
      <c r="J4881" s="147">
        <v>146.06469999999999</v>
      </c>
      <c r="K4881" s="147">
        <v>0</v>
      </c>
      <c r="L4881" s="147">
        <v>1794.2138600000001</v>
      </c>
      <c r="M4881" s="147">
        <v>1745.78953</v>
      </c>
      <c r="N4881" s="147">
        <v>48.424329999999998</v>
      </c>
      <c r="O4881" s="147">
        <v>2.7737782343098369</v>
      </c>
      <c r="P4881" s="147">
        <v>884.22289000000001</v>
      </c>
      <c r="Q4881" s="147">
        <v>909.99096999999995</v>
      </c>
      <c r="R4881" s="147">
        <v>102.91420639427237</v>
      </c>
    </row>
    <row r="4882" spans="2:18" ht="15.75" hidden="1" thickBot="1" x14ac:dyDescent="0.3">
      <c r="B4882" s="726" t="s">
        <v>815</v>
      </c>
      <c r="C4882" s="722" t="s">
        <v>156</v>
      </c>
      <c r="D4882" t="s">
        <v>157</v>
      </c>
      <c r="E4882" s="728"/>
      <c r="F4882" s="728"/>
      <c r="G4882" s="728"/>
      <c r="H4882" s="728"/>
      <c r="I4882" s="728"/>
      <c r="J4882" s="728"/>
      <c r="K4882" s="728"/>
      <c r="L4882" s="148">
        <v>0.23462</v>
      </c>
      <c r="M4882" s="728"/>
      <c r="N4882" s="148">
        <v>0.23462</v>
      </c>
      <c r="O4882" s="148">
        <v>0</v>
      </c>
      <c r="P4882" s="728"/>
      <c r="Q4882" s="148">
        <v>0.23462</v>
      </c>
      <c r="R4882" s="148">
        <v>0</v>
      </c>
    </row>
    <row r="4883" spans="2:18" ht="15.75" hidden="1" thickBot="1" x14ac:dyDescent="0.3">
      <c r="B4883" s="726" t="s">
        <v>815</v>
      </c>
      <c r="C4883" s="722" t="s">
        <v>182</v>
      </c>
      <c r="D4883" t="s">
        <v>183</v>
      </c>
      <c r="E4883" s="147">
        <v>1.0359999999999999E-2</v>
      </c>
      <c r="F4883" s="729"/>
      <c r="G4883" s="147">
        <v>1.0359999999999999E-2</v>
      </c>
      <c r="H4883" s="147">
        <v>0</v>
      </c>
      <c r="I4883" s="729"/>
      <c r="J4883" s="147">
        <v>1.0359999999999999E-2</v>
      </c>
      <c r="K4883" s="147">
        <v>0</v>
      </c>
      <c r="L4883" s="147">
        <v>1.25634</v>
      </c>
      <c r="M4883" s="729"/>
      <c r="N4883" s="147">
        <v>1.25634</v>
      </c>
      <c r="O4883" s="147">
        <v>0</v>
      </c>
      <c r="P4883" s="147">
        <v>0.21876999999999999</v>
      </c>
      <c r="Q4883" s="147">
        <v>1.0375700000000001</v>
      </c>
      <c r="R4883" s="147">
        <v>474.2743520592403</v>
      </c>
    </row>
    <row r="4884" spans="2:18" ht="15.75" hidden="1" thickBot="1" x14ac:dyDescent="0.3">
      <c r="B4884" s="726" t="s">
        <v>815</v>
      </c>
      <c r="C4884" s="722" t="s">
        <v>184</v>
      </c>
      <c r="D4884" t="s">
        <v>185</v>
      </c>
      <c r="E4884" s="148">
        <v>71.475030000000004</v>
      </c>
      <c r="F4884" s="728"/>
      <c r="G4884" s="148">
        <v>71.475030000000004</v>
      </c>
      <c r="H4884" s="148">
        <v>0</v>
      </c>
      <c r="I4884" s="728"/>
      <c r="J4884" s="148">
        <v>71.475030000000004</v>
      </c>
      <c r="K4884" s="148">
        <v>0</v>
      </c>
      <c r="L4884" s="148">
        <v>666.10859000000005</v>
      </c>
      <c r="M4884" s="728"/>
      <c r="N4884" s="148">
        <v>666.10859000000005</v>
      </c>
      <c r="O4884" s="148">
        <v>0</v>
      </c>
      <c r="P4884" s="148">
        <v>359.46974999999998</v>
      </c>
      <c r="Q4884" s="148">
        <v>306.63884000000002</v>
      </c>
      <c r="R4884" s="148">
        <v>85.303099913135952</v>
      </c>
    </row>
    <row r="4885" spans="2:18" ht="15.75" hidden="1" thickBot="1" x14ac:dyDescent="0.3">
      <c r="B4885" s="726" t="s">
        <v>815</v>
      </c>
      <c r="C4885" s="722" t="s">
        <v>161</v>
      </c>
      <c r="D4885" t="s">
        <v>162</v>
      </c>
      <c r="E4885" s="147">
        <v>4.2588800000000004</v>
      </c>
      <c r="F4885" s="729"/>
      <c r="G4885" s="147">
        <v>4.2588800000000004</v>
      </c>
      <c r="H4885" s="147">
        <v>0</v>
      </c>
      <c r="I4885" s="729"/>
      <c r="J4885" s="147">
        <v>4.2588800000000004</v>
      </c>
      <c r="K4885" s="147">
        <v>0</v>
      </c>
      <c r="L4885" s="147">
        <v>34.612879999999997</v>
      </c>
      <c r="M4885" s="729"/>
      <c r="N4885" s="147">
        <v>34.612879999999997</v>
      </c>
      <c r="O4885" s="147">
        <v>0</v>
      </c>
      <c r="P4885" s="147">
        <v>18.76445</v>
      </c>
      <c r="Q4885" s="147">
        <v>15.84843</v>
      </c>
      <c r="R4885" s="147">
        <v>84.45986959383302</v>
      </c>
    </row>
    <row r="4886" spans="2:18" ht="15.75" hidden="1" thickBot="1" x14ac:dyDescent="0.3">
      <c r="B4886" s="726" t="s">
        <v>815</v>
      </c>
      <c r="C4886" s="722" t="s">
        <v>65</v>
      </c>
      <c r="D4886" t="s">
        <v>66</v>
      </c>
      <c r="E4886" s="148">
        <v>-40.2273</v>
      </c>
      <c r="F4886" s="148">
        <v>-35.314050000000002</v>
      </c>
      <c r="G4886" s="148">
        <v>-4.9132499999999997</v>
      </c>
      <c r="H4886" s="148">
        <v>-13.913017623297243</v>
      </c>
      <c r="I4886" s="728"/>
      <c r="J4886" s="148">
        <v>-40.2273</v>
      </c>
      <c r="K4886" s="148">
        <v>0</v>
      </c>
      <c r="L4886" s="148">
        <v>-530.54794000000004</v>
      </c>
      <c r="M4886" s="148">
        <v>-421.54543999999999</v>
      </c>
      <c r="N4886" s="148">
        <v>-109.0025</v>
      </c>
      <c r="O4886" s="148">
        <v>-25.857829229513193</v>
      </c>
      <c r="P4886" s="148">
        <v>-273.96114</v>
      </c>
      <c r="Q4886" s="148">
        <v>-256.58679999999998</v>
      </c>
      <c r="R4886" s="148">
        <v>-93.658100561269379</v>
      </c>
    </row>
    <row r="4887" spans="2:18" ht="15.75" hidden="1" thickBot="1" x14ac:dyDescent="0.3">
      <c r="B4887" s="726" t="s">
        <v>815</v>
      </c>
      <c r="C4887" s="722" t="s">
        <v>186</v>
      </c>
      <c r="D4887" t="s">
        <v>187</v>
      </c>
      <c r="E4887" s="147">
        <v>-2.9892300000000001</v>
      </c>
      <c r="F4887" s="729"/>
      <c r="G4887" s="147">
        <v>-2.9892300000000001</v>
      </c>
      <c r="H4887" s="147">
        <v>0</v>
      </c>
      <c r="I4887" s="729"/>
      <c r="J4887" s="147">
        <v>-2.9892300000000001</v>
      </c>
      <c r="K4887" s="147">
        <v>0</v>
      </c>
      <c r="L4887" s="147">
        <v>-44.08276</v>
      </c>
      <c r="M4887" s="729"/>
      <c r="N4887" s="147">
        <v>-44.08276</v>
      </c>
      <c r="O4887" s="147">
        <v>0</v>
      </c>
      <c r="P4887" s="147">
        <v>-20.630490000000002</v>
      </c>
      <c r="Q4887" s="147">
        <v>-23.452269999999999</v>
      </c>
      <c r="R4887" s="147">
        <v>-113.67771681622686</v>
      </c>
    </row>
    <row r="4888" spans="2:18" ht="15.75" hidden="1" thickBot="1" x14ac:dyDescent="0.3">
      <c r="B4888" s="726" t="s">
        <v>815</v>
      </c>
      <c r="C4888" s="722" t="s">
        <v>163</v>
      </c>
      <c r="D4888" t="s">
        <v>164</v>
      </c>
      <c r="E4888" s="148">
        <v>-299.33677999999998</v>
      </c>
      <c r="F4888" s="148">
        <v>-301.87207999999998</v>
      </c>
      <c r="G4888" s="148">
        <v>2.5352999999999999</v>
      </c>
      <c r="H4888" s="148">
        <v>0.83985905553107132</v>
      </c>
      <c r="I4888" s="728"/>
      <c r="J4888" s="148">
        <v>-299.33677999999998</v>
      </c>
      <c r="K4888" s="148">
        <v>0</v>
      </c>
      <c r="L4888" s="148">
        <v>-4184.4109900000003</v>
      </c>
      <c r="M4888" s="148">
        <v>-3497.5346300000001</v>
      </c>
      <c r="N4888" s="148">
        <v>-686.87635999999998</v>
      </c>
      <c r="O4888" s="148">
        <v>-19.638872310465157</v>
      </c>
      <c r="P4888" s="148">
        <v>-2148.0786899999998</v>
      </c>
      <c r="Q4888" s="148">
        <v>-2036.3323</v>
      </c>
      <c r="R4888" s="148">
        <v>-94.797844672999389</v>
      </c>
    </row>
    <row r="4889" spans="2:18" ht="15.75" hidden="1" thickBot="1" x14ac:dyDescent="0.3">
      <c r="B4889" s="726" t="s">
        <v>815</v>
      </c>
      <c r="C4889" s="722" t="s">
        <v>97</v>
      </c>
      <c r="D4889" t="s">
        <v>98</v>
      </c>
      <c r="E4889" s="147">
        <v>-45.386360000000003</v>
      </c>
      <c r="F4889" s="729"/>
      <c r="G4889" s="147">
        <v>-45.386360000000003</v>
      </c>
      <c r="H4889" s="147">
        <v>0</v>
      </c>
      <c r="I4889" s="729"/>
      <c r="J4889" s="147">
        <v>-45.386360000000003</v>
      </c>
      <c r="K4889" s="147">
        <v>0</v>
      </c>
      <c r="L4889" s="147">
        <v>-702.38478999999995</v>
      </c>
      <c r="M4889" s="729"/>
      <c r="N4889" s="147">
        <v>-702.38478999999995</v>
      </c>
      <c r="O4889" s="147">
        <v>0</v>
      </c>
      <c r="P4889" s="147">
        <v>-341.92034000000001</v>
      </c>
      <c r="Q4889" s="147">
        <v>-360.46445</v>
      </c>
      <c r="R4889" s="147">
        <v>-105.42351765326391</v>
      </c>
    </row>
    <row r="4890" spans="2:18" ht="15.75" hidden="1" thickBot="1" x14ac:dyDescent="0.3">
      <c r="B4890" s="726" t="s">
        <v>815</v>
      </c>
      <c r="C4890" s="149" t="s">
        <v>67</v>
      </c>
      <c r="D4890" t="s">
        <v>68</v>
      </c>
      <c r="E4890" s="148">
        <v>90.331789999999998</v>
      </c>
      <c r="F4890" s="148">
        <v>146.64297999999999</v>
      </c>
      <c r="G4890" s="148">
        <v>-56.311190000000003</v>
      </c>
      <c r="H4890" s="148">
        <v>-38.400194813280528</v>
      </c>
      <c r="I4890" s="728"/>
      <c r="J4890" s="148">
        <v>90.331789999999998</v>
      </c>
      <c r="K4890" s="148">
        <v>0</v>
      </c>
      <c r="L4890" s="148">
        <v>861.71686</v>
      </c>
      <c r="M4890" s="148">
        <v>1418.89967</v>
      </c>
      <c r="N4890" s="148">
        <v>-557.18281000000002</v>
      </c>
      <c r="O4890" s="148">
        <v>-39.268654562446969</v>
      </c>
      <c r="P4890" s="148">
        <v>389.10178000000002</v>
      </c>
      <c r="Q4890" s="148">
        <v>472.61507999999998</v>
      </c>
      <c r="R4890" s="148">
        <v>121.46309893519377</v>
      </c>
    </row>
    <row r="4891" spans="2:18" ht="15.75" hidden="1" thickBot="1" x14ac:dyDescent="0.3">
      <c r="B4891" s="726" t="s">
        <v>815</v>
      </c>
      <c r="C4891" s="722" t="s">
        <v>69</v>
      </c>
      <c r="D4891" t="s">
        <v>70</v>
      </c>
      <c r="E4891" s="729"/>
      <c r="F4891" s="729"/>
      <c r="G4891" s="729"/>
      <c r="H4891" s="729"/>
      <c r="I4891" s="729"/>
      <c r="J4891" s="729"/>
      <c r="K4891" s="729"/>
      <c r="L4891" s="147">
        <v>1.0669200000000001</v>
      </c>
      <c r="M4891" s="729"/>
      <c r="N4891" s="147">
        <v>1.0669200000000001</v>
      </c>
      <c r="O4891" s="147">
        <v>0</v>
      </c>
      <c r="P4891" s="147">
        <v>6.1969999999999997E-2</v>
      </c>
      <c r="Q4891" s="147">
        <v>1.00495</v>
      </c>
      <c r="R4891" s="147">
        <v>1621.6717766661288</v>
      </c>
    </row>
    <row r="4892" spans="2:18" ht="15.75" hidden="1" thickBot="1" x14ac:dyDescent="0.3">
      <c r="B4892" s="726" t="s">
        <v>815</v>
      </c>
      <c r="C4892" s="722" t="s">
        <v>99</v>
      </c>
      <c r="D4892" t="s">
        <v>100</v>
      </c>
      <c r="E4892" s="148">
        <v>7.4512600000000004</v>
      </c>
      <c r="F4892" s="148">
        <v>2.8294100000000002</v>
      </c>
      <c r="G4892" s="148">
        <v>4.6218500000000002</v>
      </c>
      <c r="H4892" s="148">
        <v>163.35030978189801</v>
      </c>
      <c r="I4892" s="728"/>
      <c r="J4892" s="148">
        <v>7.4512600000000004</v>
      </c>
      <c r="K4892" s="148">
        <v>0</v>
      </c>
      <c r="L4892" s="148">
        <v>29.732279999999999</v>
      </c>
      <c r="M4892" s="148">
        <v>40.047069999999998</v>
      </c>
      <c r="N4892" s="148">
        <v>-10.31479</v>
      </c>
      <c r="O4892" s="148">
        <v>-25.756665843468699</v>
      </c>
      <c r="P4892" s="148">
        <v>20.356030000000001</v>
      </c>
      <c r="Q4892" s="148">
        <v>9.3762500000000006</v>
      </c>
      <c r="R4892" s="148">
        <v>46.061289947008333</v>
      </c>
    </row>
    <row r="4893" spans="2:18" ht="15.75" hidden="1" thickBot="1" x14ac:dyDescent="0.3">
      <c r="B4893" s="726" t="s">
        <v>815</v>
      </c>
      <c r="C4893" s="722" t="s">
        <v>165</v>
      </c>
      <c r="D4893" t="s">
        <v>166</v>
      </c>
      <c r="E4893" s="147">
        <v>7.4701199999999996</v>
      </c>
      <c r="F4893" s="729"/>
      <c r="G4893" s="147">
        <v>7.4701199999999996</v>
      </c>
      <c r="H4893" s="147">
        <v>0</v>
      </c>
      <c r="I4893" s="729"/>
      <c r="J4893" s="147">
        <v>7.4701199999999996</v>
      </c>
      <c r="K4893" s="147">
        <v>0</v>
      </c>
      <c r="L4893" s="147">
        <v>43.246310000000001</v>
      </c>
      <c r="M4893" s="729"/>
      <c r="N4893" s="147">
        <v>43.246310000000001</v>
      </c>
      <c r="O4893" s="147">
        <v>0</v>
      </c>
      <c r="P4893" s="147">
        <v>23.001359999999998</v>
      </c>
      <c r="Q4893" s="147">
        <v>20.244949999999999</v>
      </c>
      <c r="R4893" s="147">
        <v>88.016317296020759</v>
      </c>
    </row>
    <row r="4894" spans="2:18" ht="15.75" hidden="1" thickBot="1" x14ac:dyDescent="0.3">
      <c r="B4894" s="726" t="s">
        <v>815</v>
      </c>
      <c r="C4894" s="722" t="s">
        <v>188</v>
      </c>
      <c r="D4894" t="s">
        <v>189</v>
      </c>
      <c r="E4894" s="148">
        <v>7.2000000000000005E-4</v>
      </c>
      <c r="F4894" s="728"/>
      <c r="G4894" s="148">
        <v>7.2000000000000005E-4</v>
      </c>
      <c r="H4894" s="148">
        <v>0</v>
      </c>
      <c r="I4894" s="728"/>
      <c r="J4894" s="148">
        <v>7.2000000000000005E-4</v>
      </c>
      <c r="K4894" s="148">
        <v>0</v>
      </c>
      <c r="L4894" s="148">
        <v>-2.632E-2</v>
      </c>
      <c r="M4894" s="728"/>
      <c r="N4894" s="148">
        <v>-2.632E-2</v>
      </c>
      <c r="O4894" s="148">
        <v>0</v>
      </c>
      <c r="P4894" s="148">
        <v>-6.5509999999999999E-2</v>
      </c>
      <c r="Q4894" s="148">
        <v>3.9190000000000003E-2</v>
      </c>
      <c r="R4894" s="148">
        <v>59.822927797282858</v>
      </c>
    </row>
    <row r="4895" spans="2:18" ht="15.75" hidden="1" thickBot="1" x14ac:dyDescent="0.3">
      <c r="B4895" s="726" t="s">
        <v>815</v>
      </c>
      <c r="C4895" s="722" t="s">
        <v>584</v>
      </c>
      <c r="D4895" t="s">
        <v>585</v>
      </c>
      <c r="E4895" s="147">
        <v>2.0000000000000002E-5</v>
      </c>
      <c r="F4895" s="729"/>
      <c r="G4895" s="147">
        <v>2.0000000000000002E-5</v>
      </c>
      <c r="H4895" s="147">
        <v>0</v>
      </c>
      <c r="I4895" s="729"/>
      <c r="J4895" s="147">
        <v>2.0000000000000002E-5</v>
      </c>
      <c r="K4895" s="147">
        <v>0</v>
      </c>
      <c r="L4895" s="147">
        <v>-3.2599999999999999E-3</v>
      </c>
      <c r="M4895" s="729"/>
      <c r="N4895" s="147">
        <v>-3.2599999999999999E-3</v>
      </c>
      <c r="O4895" s="147">
        <v>0</v>
      </c>
      <c r="P4895" s="147">
        <v>-3.2799999999999999E-3</v>
      </c>
      <c r="Q4895" s="147">
        <v>2.0000000000000002E-5</v>
      </c>
      <c r="R4895" s="147">
        <v>0.6097560975609756</v>
      </c>
    </row>
    <row r="4896" spans="2:18" ht="15.75" hidden="1" thickBot="1" x14ac:dyDescent="0.3">
      <c r="B4896" s="726" t="s">
        <v>815</v>
      </c>
      <c r="C4896" s="722" t="s">
        <v>137</v>
      </c>
      <c r="D4896" t="s">
        <v>138</v>
      </c>
      <c r="E4896" s="728"/>
      <c r="F4896" s="148">
        <v>0.2</v>
      </c>
      <c r="G4896" s="148">
        <v>-0.2</v>
      </c>
      <c r="H4896" s="148">
        <v>-100</v>
      </c>
      <c r="I4896" s="728"/>
      <c r="J4896" s="728"/>
      <c r="K4896" s="728"/>
      <c r="L4896" s="148">
        <v>0.48723</v>
      </c>
      <c r="M4896" s="148">
        <v>2.4</v>
      </c>
      <c r="N4896" s="148">
        <v>-1.9127700000000001</v>
      </c>
      <c r="O4896" s="148">
        <v>-79.698750000000004</v>
      </c>
      <c r="P4896" s="148">
        <v>0.48723</v>
      </c>
      <c r="Q4896" s="148">
        <v>0</v>
      </c>
      <c r="R4896" s="148">
        <v>0</v>
      </c>
    </row>
    <row r="4897" spans="2:18" ht="15.75" hidden="1" thickBot="1" x14ac:dyDescent="0.3">
      <c r="B4897" s="726" t="s">
        <v>815</v>
      </c>
      <c r="C4897" s="722" t="s">
        <v>190</v>
      </c>
      <c r="D4897" t="s">
        <v>191</v>
      </c>
      <c r="E4897" s="147">
        <v>1.508</v>
      </c>
      <c r="F4897" s="147">
        <v>1.1839999999999999</v>
      </c>
      <c r="G4897" s="147">
        <v>0.32400000000000001</v>
      </c>
      <c r="H4897" s="147">
        <v>27.364864864864863</v>
      </c>
      <c r="I4897" s="729"/>
      <c r="J4897" s="147">
        <v>1.508</v>
      </c>
      <c r="K4897" s="147">
        <v>0</v>
      </c>
      <c r="L4897" s="147">
        <v>18.100619999999999</v>
      </c>
      <c r="M4897" s="147">
        <v>14.208</v>
      </c>
      <c r="N4897" s="147">
        <v>3.89262</v>
      </c>
      <c r="O4897" s="147">
        <v>27.397381756756758</v>
      </c>
      <c r="P4897" s="147">
        <v>9.048</v>
      </c>
      <c r="Q4897" s="147">
        <v>9.0526199999999992</v>
      </c>
      <c r="R4897" s="147">
        <v>100.05106100795756</v>
      </c>
    </row>
    <row r="4898" spans="2:18" ht="15.75" hidden="1" thickBot="1" x14ac:dyDescent="0.3">
      <c r="B4898" s="726" t="s">
        <v>815</v>
      </c>
      <c r="C4898" s="722" t="s">
        <v>36</v>
      </c>
      <c r="D4898" t="s">
        <v>192</v>
      </c>
      <c r="E4898" s="148">
        <v>9.0027600000000003</v>
      </c>
      <c r="F4898" s="148">
        <v>12.5</v>
      </c>
      <c r="G4898" s="148">
        <v>-3.4972400000000001</v>
      </c>
      <c r="H4898" s="148">
        <v>-27.977920000000001</v>
      </c>
      <c r="I4898" s="728"/>
      <c r="J4898" s="148">
        <v>9.0027600000000003</v>
      </c>
      <c r="K4898" s="148">
        <v>0</v>
      </c>
      <c r="L4898" s="148">
        <v>151.26521</v>
      </c>
      <c r="M4898" s="148">
        <v>150</v>
      </c>
      <c r="N4898" s="148">
        <v>1.2652099999999999</v>
      </c>
      <c r="O4898" s="148">
        <v>0.8434733333333333</v>
      </c>
      <c r="P4898" s="148">
        <v>74.114930000000001</v>
      </c>
      <c r="Q4898" s="148">
        <v>77.150279999999995</v>
      </c>
      <c r="R4898" s="148">
        <v>104.09546362655945</v>
      </c>
    </row>
    <row r="4899" spans="2:18" ht="15.75" hidden="1" thickBot="1" x14ac:dyDescent="0.3">
      <c r="B4899" s="726" t="s">
        <v>815</v>
      </c>
      <c r="C4899" s="722" t="s">
        <v>139</v>
      </c>
      <c r="D4899" t="s">
        <v>140</v>
      </c>
      <c r="E4899" s="729"/>
      <c r="F4899" s="729"/>
      <c r="G4899" s="729"/>
      <c r="H4899" s="729"/>
      <c r="I4899" s="729"/>
      <c r="J4899" s="729"/>
      <c r="K4899" s="729"/>
      <c r="L4899" s="147">
        <v>0.10596</v>
      </c>
      <c r="M4899" s="729"/>
      <c r="N4899" s="147">
        <v>0.10596</v>
      </c>
      <c r="O4899" s="147">
        <v>0</v>
      </c>
      <c r="P4899" s="147">
        <v>0.10596</v>
      </c>
      <c r="Q4899" s="147">
        <v>0</v>
      </c>
      <c r="R4899" s="147">
        <v>0</v>
      </c>
    </row>
    <row r="4900" spans="2:18" ht="15.75" hidden="1" thickBot="1" x14ac:dyDescent="0.3">
      <c r="B4900" s="726" t="s">
        <v>815</v>
      </c>
      <c r="C4900" s="722" t="s">
        <v>101</v>
      </c>
      <c r="D4900" t="s">
        <v>102</v>
      </c>
      <c r="E4900" s="148">
        <v>50.506799999999998</v>
      </c>
      <c r="F4900" s="148">
        <v>6.7470600000000003</v>
      </c>
      <c r="G4900" s="148">
        <v>43.759740000000001</v>
      </c>
      <c r="H4900" s="148">
        <v>648.57493486051703</v>
      </c>
      <c r="I4900" s="728"/>
      <c r="J4900" s="148">
        <v>50.506799999999998</v>
      </c>
      <c r="K4900" s="148">
        <v>0</v>
      </c>
      <c r="L4900" s="148">
        <v>271.17423000000002</v>
      </c>
      <c r="M4900" s="148">
        <v>184.44117</v>
      </c>
      <c r="N4900" s="148">
        <v>86.733059999999995</v>
      </c>
      <c r="O4900" s="148">
        <v>47.024783024310679</v>
      </c>
      <c r="P4900" s="148">
        <v>43.160179999999997</v>
      </c>
      <c r="Q4900" s="148">
        <v>228.01405</v>
      </c>
      <c r="R4900" s="148">
        <v>528.29726382049375</v>
      </c>
    </row>
    <row r="4901" spans="2:18" ht="15.75" hidden="1" thickBot="1" x14ac:dyDescent="0.3">
      <c r="B4901" s="726" t="s">
        <v>815</v>
      </c>
      <c r="C4901" s="722" t="s">
        <v>462</v>
      </c>
      <c r="D4901" t="s">
        <v>463</v>
      </c>
      <c r="E4901" s="147">
        <v>2.4153600000000002</v>
      </c>
      <c r="F4901" s="729"/>
      <c r="G4901" s="147">
        <v>2.4153600000000002</v>
      </c>
      <c r="H4901" s="147">
        <v>0</v>
      </c>
      <c r="I4901" s="729"/>
      <c r="J4901" s="147">
        <v>2.4153600000000002</v>
      </c>
      <c r="K4901" s="147">
        <v>0</v>
      </c>
      <c r="L4901" s="147">
        <v>2.0158200000000002</v>
      </c>
      <c r="M4901" s="729"/>
      <c r="N4901" s="147">
        <v>2.0158200000000002</v>
      </c>
      <c r="O4901" s="147">
        <v>0</v>
      </c>
      <c r="P4901" s="147">
        <v>3.5180000000000003E-2</v>
      </c>
      <c r="Q4901" s="147">
        <v>1.98064</v>
      </c>
      <c r="R4901" s="147">
        <v>5630.0170551449692</v>
      </c>
    </row>
    <row r="4902" spans="2:18" ht="15.75" hidden="1" thickBot="1" x14ac:dyDescent="0.3">
      <c r="B4902" s="726" t="s">
        <v>815</v>
      </c>
      <c r="C4902" s="722" t="s">
        <v>613</v>
      </c>
      <c r="D4902" t="s">
        <v>614</v>
      </c>
      <c r="E4902" s="728"/>
      <c r="F4902" s="728"/>
      <c r="G4902" s="728"/>
      <c r="H4902" s="728"/>
      <c r="I4902" s="728"/>
      <c r="J4902" s="728"/>
      <c r="K4902" s="728"/>
      <c r="L4902" s="148">
        <v>1.59633</v>
      </c>
      <c r="M4902" s="728"/>
      <c r="N4902" s="148">
        <v>1.59633</v>
      </c>
      <c r="O4902" s="148">
        <v>0</v>
      </c>
      <c r="P4902" s="148">
        <v>1.59633</v>
      </c>
      <c r="Q4902" s="148">
        <v>0</v>
      </c>
      <c r="R4902" s="148">
        <v>0</v>
      </c>
    </row>
    <row r="4903" spans="2:18" ht="15.75" hidden="1" thickBot="1" x14ac:dyDescent="0.3">
      <c r="B4903" s="726" t="s">
        <v>815</v>
      </c>
      <c r="C4903" s="722" t="s">
        <v>193</v>
      </c>
      <c r="D4903" t="s">
        <v>194</v>
      </c>
      <c r="E4903" s="147">
        <v>0.1724</v>
      </c>
      <c r="F4903" s="729"/>
      <c r="G4903" s="147">
        <v>0.1724</v>
      </c>
      <c r="H4903" s="147">
        <v>0</v>
      </c>
      <c r="I4903" s="729"/>
      <c r="J4903" s="147">
        <v>0.1724</v>
      </c>
      <c r="K4903" s="147">
        <v>0</v>
      </c>
      <c r="L4903" s="147">
        <v>0.99885999999999997</v>
      </c>
      <c r="M4903" s="729"/>
      <c r="N4903" s="147">
        <v>0.99885999999999997</v>
      </c>
      <c r="O4903" s="147">
        <v>0</v>
      </c>
      <c r="P4903" s="147">
        <v>0.64376999999999995</v>
      </c>
      <c r="Q4903" s="147">
        <v>0.35509000000000002</v>
      </c>
      <c r="R4903" s="147">
        <v>55.157898007052211</v>
      </c>
    </row>
    <row r="4904" spans="2:18" ht="15.75" hidden="1" thickBot="1" x14ac:dyDescent="0.3">
      <c r="B4904" s="726" t="s">
        <v>815</v>
      </c>
      <c r="C4904" s="722" t="s">
        <v>195</v>
      </c>
      <c r="D4904" t="s">
        <v>196</v>
      </c>
      <c r="E4904" s="728"/>
      <c r="F4904" s="728"/>
      <c r="G4904" s="728"/>
      <c r="H4904" s="728"/>
      <c r="I4904" s="728"/>
      <c r="J4904" s="728"/>
      <c r="K4904" s="728"/>
      <c r="L4904" s="148">
        <v>18.900510000000001</v>
      </c>
      <c r="M4904" s="728"/>
      <c r="N4904" s="148">
        <v>18.900510000000001</v>
      </c>
      <c r="O4904" s="148">
        <v>0</v>
      </c>
      <c r="P4904" s="148">
        <v>17.357710000000001</v>
      </c>
      <c r="Q4904" s="148">
        <v>1.5427999999999999</v>
      </c>
      <c r="R4904" s="148">
        <v>8.8882692474986627</v>
      </c>
    </row>
    <row r="4905" spans="2:18" ht="15.75" hidden="1" thickBot="1" x14ac:dyDescent="0.3">
      <c r="B4905" s="726" t="s">
        <v>815</v>
      </c>
      <c r="C4905" s="722" t="s">
        <v>197</v>
      </c>
      <c r="D4905" t="s">
        <v>198</v>
      </c>
      <c r="E4905" s="729"/>
      <c r="F4905" s="729"/>
      <c r="G4905" s="729"/>
      <c r="H4905" s="729"/>
      <c r="I4905" s="729"/>
      <c r="J4905" s="729"/>
      <c r="K4905" s="729"/>
      <c r="L4905" s="147">
        <v>8.5000000000000006E-2</v>
      </c>
      <c r="M4905" s="729"/>
      <c r="N4905" s="147">
        <v>8.5000000000000006E-2</v>
      </c>
      <c r="O4905" s="147">
        <v>0</v>
      </c>
      <c r="P4905" s="147">
        <v>8.5000000000000006E-2</v>
      </c>
      <c r="Q4905" s="147">
        <v>0</v>
      </c>
      <c r="R4905" s="147">
        <v>0</v>
      </c>
    </row>
    <row r="4906" spans="2:18" ht="15.75" hidden="1" thickBot="1" x14ac:dyDescent="0.3">
      <c r="B4906" s="726" t="s">
        <v>815</v>
      </c>
      <c r="C4906" s="722" t="s">
        <v>464</v>
      </c>
      <c r="D4906" t="s">
        <v>465</v>
      </c>
      <c r="E4906" s="728"/>
      <c r="F4906" s="148">
        <v>0.43529000000000001</v>
      </c>
      <c r="G4906" s="148">
        <v>-0.43529000000000001</v>
      </c>
      <c r="H4906" s="148">
        <v>-100</v>
      </c>
      <c r="I4906" s="728"/>
      <c r="J4906" s="728"/>
      <c r="K4906" s="728"/>
      <c r="L4906" s="148">
        <v>5.2588600000000003</v>
      </c>
      <c r="M4906" s="148">
        <v>11.75292</v>
      </c>
      <c r="N4906" s="148">
        <v>-6.4940600000000002</v>
      </c>
      <c r="O4906" s="148">
        <v>-55.254864323078863</v>
      </c>
      <c r="P4906" s="148">
        <v>-0.49114000000000002</v>
      </c>
      <c r="Q4906" s="148">
        <v>5.75</v>
      </c>
      <c r="R4906" s="148">
        <v>1170.7456122490532</v>
      </c>
    </row>
    <row r="4907" spans="2:18" ht="15.75" hidden="1" thickBot="1" x14ac:dyDescent="0.3">
      <c r="B4907" s="726" t="s">
        <v>815</v>
      </c>
      <c r="C4907" s="722" t="s">
        <v>619</v>
      </c>
      <c r="D4907" t="s">
        <v>620</v>
      </c>
      <c r="E4907" s="729"/>
      <c r="F4907" s="729"/>
      <c r="G4907" s="729"/>
      <c r="H4907" s="729"/>
      <c r="I4907" s="729"/>
      <c r="J4907" s="729"/>
      <c r="K4907" s="729"/>
      <c r="L4907" s="147">
        <v>9.8984000000000005</v>
      </c>
      <c r="M4907" s="729"/>
      <c r="N4907" s="147">
        <v>9.8984000000000005</v>
      </c>
      <c r="O4907" s="147">
        <v>0</v>
      </c>
      <c r="P4907" s="147">
        <v>9.9704099999999993</v>
      </c>
      <c r="Q4907" s="147">
        <v>-7.2010000000000005E-2</v>
      </c>
      <c r="R4907" s="147">
        <v>-0.72223709957765025</v>
      </c>
    </row>
    <row r="4908" spans="2:18" ht="15.75" hidden="1" thickBot="1" x14ac:dyDescent="0.3">
      <c r="B4908" s="726" t="s">
        <v>815</v>
      </c>
      <c r="C4908" s="722" t="s">
        <v>103</v>
      </c>
      <c r="D4908" t="s">
        <v>104</v>
      </c>
      <c r="E4908" s="728"/>
      <c r="F4908" s="728"/>
      <c r="G4908" s="728"/>
      <c r="H4908" s="728"/>
      <c r="I4908" s="728"/>
      <c r="J4908" s="728"/>
      <c r="K4908" s="728"/>
      <c r="L4908" s="148">
        <v>0.12554999999999999</v>
      </c>
      <c r="M4908" s="728"/>
      <c r="N4908" s="148">
        <v>0.12554999999999999</v>
      </c>
      <c r="O4908" s="148">
        <v>0</v>
      </c>
      <c r="P4908" s="148">
        <v>1.1950000000000001E-2</v>
      </c>
      <c r="Q4908" s="148">
        <v>0.11360000000000001</v>
      </c>
      <c r="R4908" s="148">
        <v>950.62761506276149</v>
      </c>
    </row>
    <row r="4909" spans="2:18" ht="15.75" hidden="1" thickBot="1" x14ac:dyDescent="0.3">
      <c r="B4909" s="726" t="s">
        <v>815</v>
      </c>
      <c r="C4909" s="722" t="s">
        <v>71</v>
      </c>
      <c r="D4909" t="s">
        <v>72</v>
      </c>
      <c r="E4909" s="729"/>
      <c r="F4909" s="729"/>
      <c r="G4909" s="729"/>
      <c r="H4909" s="729"/>
      <c r="I4909" s="729"/>
      <c r="J4909" s="729"/>
      <c r="K4909" s="729"/>
      <c r="L4909" s="147">
        <v>0</v>
      </c>
      <c r="M4909" s="729"/>
      <c r="N4909" s="147">
        <v>0</v>
      </c>
      <c r="O4909" s="147">
        <v>0</v>
      </c>
      <c r="P4909" s="147">
        <v>0.05</v>
      </c>
      <c r="Q4909" s="147">
        <v>-0.05</v>
      </c>
      <c r="R4909" s="147">
        <v>-100</v>
      </c>
    </row>
    <row r="4910" spans="2:18" ht="15.75" hidden="1" thickBot="1" x14ac:dyDescent="0.3">
      <c r="B4910" s="726" t="s">
        <v>815</v>
      </c>
      <c r="C4910" s="722" t="s">
        <v>73</v>
      </c>
      <c r="D4910" t="s">
        <v>74</v>
      </c>
      <c r="E4910" s="148">
        <v>1.017E-2</v>
      </c>
      <c r="F4910" s="148">
        <v>4.3529999999999999E-2</v>
      </c>
      <c r="G4910" s="148">
        <v>-3.3360000000000001E-2</v>
      </c>
      <c r="H4910" s="148">
        <v>-76.636802205375602</v>
      </c>
      <c r="I4910" s="728"/>
      <c r="J4910" s="148">
        <v>1.017E-2</v>
      </c>
      <c r="K4910" s="148">
        <v>0</v>
      </c>
      <c r="L4910" s="148">
        <v>0.36709999999999998</v>
      </c>
      <c r="M4910" s="148">
        <v>0.52236000000000005</v>
      </c>
      <c r="N4910" s="148">
        <v>-0.15526000000000001</v>
      </c>
      <c r="O4910" s="148">
        <v>-29.722796538785513</v>
      </c>
      <c r="P4910" s="148">
        <v>0.22672999999999999</v>
      </c>
      <c r="Q4910" s="148">
        <v>0.14036999999999999</v>
      </c>
      <c r="R4910" s="148">
        <v>61.910642614563578</v>
      </c>
    </row>
    <row r="4911" spans="2:18" ht="15.75" hidden="1" thickBot="1" x14ac:dyDescent="0.3">
      <c r="B4911" s="726" t="s">
        <v>815</v>
      </c>
      <c r="C4911" s="722" t="s">
        <v>141</v>
      </c>
      <c r="D4911" t="s">
        <v>142</v>
      </c>
      <c r="E4911" s="729"/>
      <c r="F4911" s="729"/>
      <c r="G4911" s="729"/>
      <c r="H4911" s="729"/>
      <c r="I4911" s="729"/>
      <c r="J4911" s="729"/>
      <c r="K4911" s="729"/>
      <c r="L4911" s="147">
        <v>1.7250000000000001E-2</v>
      </c>
      <c r="M4911" s="729"/>
      <c r="N4911" s="147">
        <v>1.7250000000000001E-2</v>
      </c>
      <c r="O4911" s="147">
        <v>0</v>
      </c>
      <c r="P4911" s="147">
        <v>5.2500000000000003E-3</v>
      </c>
      <c r="Q4911" s="147">
        <v>1.2E-2</v>
      </c>
      <c r="R4911" s="147">
        <v>228.57142857142858</v>
      </c>
    </row>
    <row r="4912" spans="2:18" ht="15.75" hidden="1" thickBot="1" x14ac:dyDescent="0.3">
      <c r="B4912" s="726" t="s">
        <v>815</v>
      </c>
      <c r="C4912" s="722" t="s">
        <v>113</v>
      </c>
      <c r="D4912" t="s">
        <v>114</v>
      </c>
      <c r="E4912" s="148">
        <v>5.4799999999999996E-3</v>
      </c>
      <c r="F4912" s="728"/>
      <c r="G4912" s="148">
        <v>5.4799999999999996E-3</v>
      </c>
      <c r="H4912" s="148">
        <v>0</v>
      </c>
      <c r="I4912" s="728"/>
      <c r="J4912" s="148">
        <v>5.4799999999999996E-3</v>
      </c>
      <c r="K4912" s="148">
        <v>0</v>
      </c>
      <c r="L4912" s="148">
        <v>0.89407999999999999</v>
      </c>
      <c r="M4912" s="728"/>
      <c r="N4912" s="148">
        <v>0.89407999999999999</v>
      </c>
      <c r="O4912" s="148">
        <v>0</v>
      </c>
      <c r="P4912" s="148">
        <v>0.38440999999999997</v>
      </c>
      <c r="Q4912" s="148">
        <v>0.50966999999999996</v>
      </c>
      <c r="R4912" s="148">
        <v>132.58500039020836</v>
      </c>
    </row>
    <row r="4913" spans="2:18" ht="15.75" hidden="1" thickBot="1" x14ac:dyDescent="0.3">
      <c r="B4913" s="726" t="s">
        <v>815</v>
      </c>
      <c r="C4913" s="722" t="s">
        <v>201</v>
      </c>
      <c r="D4913" t="s">
        <v>202</v>
      </c>
      <c r="E4913" s="729"/>
      <c r="F4913" s="147">
        <v>8.1619999999999998E-2</v>
      </c>
      <c r="G4913" s="147">
        <v>-8.1619999999999998E-2</v>
      </c>
      <c r="H4913" s="147">
        <v>-100</v>
      </c>
      <c r="I4913" s="729"/>
      <c r="J4913" s="729"/>
      <c r="K4913" s="729"/>
      <c r="L4913" s="729"/>
      <c r="M4913" s="147">
        <v>1.0447200000000001</v>
      </c>
      <c r="N4913" s="147">
        <v>-1.0447200000000001</v>
      </c>
      <c r="O4913" s="147">
        <v>-100</v>
      </c>
      <c r="P4913" s="729"/>
      <c r="Q4913" s="729"/>
      <c r="R4913" s="729"/>
    </row>
    <row r="4914" spans="2:18" ht="15.75" hidden="1" thickBot="1" x14ac:dyDescent="0.3">
      <c r="B4914" s="726" t="s">
        <v>815</v>
      </c>
      <c r="C4914" s="722" t="s">
        <v>145</v>
      </c>
      <c r="D4914" t="s">
        <v>146</v>
      </c>
      <c r="E4914" s="148">
        <v>1.8000000000000001E-4</v>
      </c>
      <c r="F4914" s="148">
        <v>8.1619999999999998E-2</v>
      </c>
      <c r="G4914" s="148">
        <v>-8.1439999999999999E-2</v>
      </c>
      <c r="H4914" s="148">
        <v>-99.779465817201668</v>
      </c>
      <c r="I4914" s="728"/>
      <c r="J4914" s="148">
        <v>1.8000000000000001E-4</v>
      </c>
      <c r="K4914" s="148">
        <v>0</v>
      </c>
      <c r="L4914" s="148">
        <v>0.15282999999999999</v>
      </c>
      <c r="M4914" s="148">
        <v>0.54413999999999996</v>
      </c>
      <c r="N4914" s="148">
        <v>-0.39130999999999999</v>
      </c>
      <c r="O4914" s="148">
        <v>-71.913478149005769</v>
      </c>
      <c r="P4914" s="148">
        <v>5.4809999999999998E-2</v>
      </c>
      <c r="Q4914" s="148">
        <v>9.8019999999999996E-2</v>
      </c>
      <c r="R4914" s="148">
        <v>178.83597883597884</v>
      </c>
    </row>
    <row r="4915" spans="2:18" ht="15.75" hidden="1" thickBot="1" x14ac:dyDescent="0.3">
      <c r="B4915" s="726" t="s">
        <v>815</v>
      </c>
      <c r="C4915" s="722" t="s">
        <v>149</v>
      </c>
      <c r="D4915" t="s">
        <v>150</v>
      </c>
      <c r="E4915" s="147">
        <v>30</v>
      </c>
      <c r="F4915" s="729"/>
      <c r="G4915" s="147">
        <v>30</v>
      </c>
      <c r="H4915" s="147">
        <v>0</v>
      </c>
      <c r="I4915" s="729"/>
      <c r="J4915" s="147">
        <v>30</v>
      </c>
      <c r="K4915" s="147">
        <v>0</v>
      </c>
      <c r="L4915" s="147">
        <v>30</v>
      </c>
      <c r="M4915" s="147">
        <v>30.8</v>
      </c>
      <c r="N4915" s="147">
        <v>-0.8</v>
      </c>
      <c r="O4915" s="147">
        <v>-2.5974025974025974</v>
      </c>
      <c r="P4915" s="729"/>
      <c r="Q4915" s="147">
        <v>30</v>
      </c>
      <c r="R4915" s="147">
        <v>0</v>
      </c>
    </row>
    <row r="4916" spans="2:18" ht="15.75" hidden="1" thickBot="1" x14ac:dyDescent="0.3">
      <c r="B4916" s="726" t="s">
        <v>815</v>
      </c>
      <c r="C4916" s="722" t="s">
        <v>173</v>
      </c>
      <c r="D4916" t="s">
        <v>174</v>
      </c>
      <c r="E4916" s="148">
        <v>0.95543999999999996</v>
      </c>
      <c r="F4916" s="148">
        <v>0.45</v>
      </c>
      <c r="G4916" s="148">
        <v>0.50544</v>
      </c>
      <c r="H4916" s="148">
        <v>112.32</v>
      </c>
      <c r="I4916" s="728"/>
      <c r="J4916" s="148">
        <v>0.95543999999999996</v>
      </c>
      <c r="K4916" s="148">
        <v>0</v>
      </c>
      <c r="L4916" s="148">
        <v>13.6523</v>
      </c>
      <c r="M4916" s="148">
        <v>5.4</v>
      </c>
      <c r="N4916" s="148">
        <v>8.2523</v>
      </c>
      <c r="O4916" s="148">
        <v>152.82037037037037</v>
      </c>
      <c r="P4916" s="148">
        <v>5.4809299999999999</v>
      </c>
      <c r="Q4916" s="148">
        <v>8.1713699999999996</v>
      </c>
      <c r="R4916" s="148">
        <v>149.08728993072344</v>
      </c>
    </row>
    <row r="4917" spans="2:18" ht="15.75" hidden="1" thickBot="1" x14ac:dyDescent="0.3">
      <c r="B4917" s="726" t="s">
        <v>815</v>
      </c>
      <c r="C4917" s="722" t="s">
        <v>151</v>
      </c>
      <c r="D4917" t="s">
        <v>152</v>
      </c>
      <c r="E4917" s="729"/>
      <c r="F4917" s="147">
        <v>4.3529999999999999E-2</v>
      </c>
      <c r="G4917" s="147">
        <v>-4.3529999999999999E-2</v>
      </c>
      <c r="H4917" s="147">
        <v>-100</v>
      </c>
      <c r="I4917" s="729"/>
      <c r="J4917" s="729"/>
      <c r="K4917" s="729"/>
      <c r="L4917" s="729"/>
      <c r="M4917" s="147">
        <v>1.1753</v>
      </c>
      <c r="N4917" s="147">
        <v>-1.1753</v>
      </c>
      <c r="O4917" s="147">
        <v>-100</v>
      </c>
      <c r="P4917" s="729"/>
      <c r="Q4917" s="729"/>
      <c r="R4917" s="729"/>
    </row>
    <row r="4918" spans="2:18" ht="15.75" hidden="1" thickBot="1" x14ac:dyDescent="0.3">
      <c r="B4918" s="726" t="s">
        <v>815</v>
      </c>
      <c r="C4918" s="722" t="s">
        <v>481</v>
      </c>
      <c r="D4918" t="s">
        <v>482</v>
      </c>
      <c r="E4918" s="728"/>
      <c r="F4918" s="728"/>
      <c r="G4918" s="728"/>
      <c r="H4918" s="728"/>
      <c r="I4918" s="728"/>
      <c r="J4918" s="728"/>
      <c r="K4918" s="728"/>
      <c r="L4918" s="148">
        <v>0.05</v>
      </c>
      <c r="M4918" s="728"/>
      <c r="N4918" s="148">
        <v>0.05</v>
      </c>
      <c r="O4918" s="148">
        <v>0</v>
      </c>
      <c r="P4918" s="728"/>
      <c r="Q4918" s="148">
        <v>0.05</v>
      </c>
      <c r="R4918" s="148">
        <v>0</v>
      </c>
    </row>
    <row r="4919" spans="2:18" ht="15.75" hidden="1" thickBot="1" x14ac:dyDescent="0.3">
      <c r="B4919" s="726" t="s">
        <v>815</v>
      </c>
      <c r="C4919" s="722" t="s">
        <v>661</v>
      </c>
      <c r="D4919" t="s">
        <v>662</v>
      </c>
      <c r="E4919" s="729"/>
      <c r="F4919" s="729"/>
      <c r="G4919" s="729"/>
      <c r="H4919" s="729"/>
      <c r="I4919" s="729"/>
      <c r="J4919" s="729"/>
      <c r="K4919" s="729"/>
      <c r="L4919" s="147">
        <v>6.7791199999999998</v>
      </c>
      <c r="M4919" s="729"/>
      <c r="N4919" s="147">
        <v>6.7791199999999998</v>
      </c>
      <c r="O4919" s="147">
        <v>0</v>
      </c>
      <c r="P4919" s="147">
        <v>6.7791199999999998</v>
      </c>
      <c r="Q4919" s="147">
        <v>0</v>
      </c>
      <c r="R4919" s="147">
        <v>0</v>
      </c>
    </row>
    <row r="4920" spans="2:18" ht="15.75" hidden="1" thickBot="1" x14ac:dyDescent="0.3">
      <c r="B4920" s="726" t="s">
        <v>815</v>
      </c>
      <c r="C4920" s="722" t="s">
        <v>207</v>
      </c>
      <c r="D4920" t="s">
        <v>208</v>
      </c>
      <c r="E4920" s="728"/>
      <c r="F4920" s="728"/>
      <c r="G4920" s="728"/>
      <c r="H4920" s="728"/>
      <c r="I4920" s="728"/>
      <c r="J4920" s="728"/>
      <c r="K4920" s="728"/>
      <c r="L4920" s="148">
        <v>9.196E-2</v>
      </c>
      <c r="M4920" s="728"/>
      <c r="N4920" s="148">
        <v>9.196E-2</v>
      </c>
      <c r="O4920" s="148">
        <v>0</v>
      </c>
      <c r="P4920" s="148">
        <v>9.196E-2</v>
      </c>
      <c r="Q4920" s="148">
        <v>0</v>
      </c>
      <c r="R4920" s="148">
        <v>0</v>
      </c>
    </row>
    <row r="4921" spans="2:18" ht="15.75" hidden="1" thickBot="1" x14ac:dyDescent="0.3">
      <c r="B4921" s="726" t="s">
        <v>815</v>
      </c>
      <c r="C4921" s="722" t="s">
        <v>75</v>
      </c>
      <c r="D4921" t="s">
        <v>76</v>
      </c>
      <c r="E4921" s="729"/>
      <c r="F4921" s="147">
        <v>0.17499999999999999</v>
      </c>
      <c r="G4921" s="147">
        <v>-0.17499999999999999</v>
      </c>
      <c r="H4921" s="147">
        <v>-100</v>
      </c>
      <c r="I4921" s="729"/>
      <c r="J4921" s="729"/>
      <c r="K4921" s="729"/>
      <c r="L4921" s="147">
        <v>5.0717600000000003</v>
      </c>
      <c r="M4921" s="147">
        <v>3.1870799999999999</v>
      </c>
      <c r="N4921" s="147">
        <v>1.8846799999999999</v>
      </c>
      <c r="O4921" s="147">
        <v>59.135007593157376</v>
      </c>
      <c r="P4921" s="147">
        <v>2.2986300000000002</v>
      </c>
      <c r="Q4921" s="147">
        <v>2.7731300000000001</v>
      </c>
      <c r="R4921" s="147">
        <v>120.64273067000779</v>
      </c>
    </row>
    <row r="4922" spans="2:18" ht="15.75" hidden="1" thickBot="1" x14ac:dyDescent="0.3">
      <c r="B4922" s="726" t="s">
        <v>815</v>
      </c>
      <c r="C4922" s="722" t="s">
        <v>121</v>
      </c>
      <c r="D4922" t="s">
        <v>122</v>
      </c>
      <c r="E4922" s="148">
        <v>0.26963999999999999</v>
      </c>
      <c r="F4922" s="728"/>
      <c r="G4922" s="148">
        <v>0.26963999999999999</v>
      </c>
      <c r="H4922" s="148">
        <v>0</v>
      </c>
      <c r="I4922" s="728"/>
      <c r="J4922" s="148">
        <v>0.26963999999999999</v>
      </c>
      <c r="K4922" s="148">
        <v>0</v>
      </c>
      <c r="L4922" s="148">
        <v>4.3257599999999998</v>
      </c>
      <c r="M4922" s="728"/>
      <c r="N4922" s="148">
        <v>4.3257599999999998</v>
      </c>
      <c r="O4922" s="148">
        <v>0</v>
      </c>
      <c r="P4922" s="148">
        <v>2.0000200000000001</v>
      </c>
      <c r="Q4922" s="148">
        <v>2.3257400000000001</v>
      </c>
      <c r="R4922" s="148">
        <v>116.28583714162859</v>
      </c>
    </row>
    <row r="4923" spans="2:18" ht="15.75" hidden="1" thickBot="1" x14ac:dyDescent="0.3">
      <c r="B4923" s="726" t="s">
        <v>815</v>
      </c>
      <c r="C4923" s="722" t="s">
        <v>77</v>
      </c>
      <c r="D4923" t="s">
        <v>78</v>
      </c>
      <c r="E4923" s="729"/>
      <c r="F4923" s="729"/>
      <c r="G4923" s="729"/>
      <c r="H4923" s="729"/>
      <c r="I4923" s="729"/>
      <c r="J4923" s="729"/>
      <c r="K4923" s="729"/>
      <c r="L4923" s="147">
        <v>3.0931000000000002</v>
      </c>
      <c r="M4923" s="729"/>
      <c r="N4923" s="147">
        <v>3.0931000000000002</v>
      </c>
      <c r="O4923" s="147">
        <v>0</v>
      </c>
      <c r="P4923" s="147">
        <v>2.23169</v>
      </c>
      <c r="Q4923" s="147">
        <v>0.86141000000000001</v>
      </c>
      <c r="R4923" s="147">
        <v>38.598998964910002</v>
      </c>
    </row>
    <row r="4924" spans="2:18" ht="15.75" hidden="1" thickBot="1" x14ac:dyDescent="0.3">
      <c r="B4924" s="726" t="s">
        <v>815</v>
      </c>
      <c r="C4924" s="722" t="s">
        <v>79</v>
      </c>
      <c r="D4924" t="s">
        <v>80</v>
      </c>
      <c r="E4924" s="728"/>
      <c r="F4924" s="728"/>
      <c r="G4924" s="728"/>
      <c r="H4924" s="728"/>
      <c r="I4924" s="728"/>
      <c r="J4924" s="728"/>
      <c r="K4924" s="728"/>
      <c r="L4924" s="148">
        <v>0.18418999999999999</v>
      </c>
      <c r="M4924" s="728"/>
      <c r="N4924" s="148">
        <v>0.18418999999999999</v>
      </c>
      <c r="O4924" s="148">
        <v>0</v>
      </c>
      <c r="P4924" s="728"/>
      <c r="Q4924" s="148">
        <v>0.18418999999999999</v>
      </c>
      <c r="R4924" s="148">
        <v>0</v>
      </c>
    </row>
    <row r="4925" spans="2:18" ht="15.75" hidden="1" thickBot="1" x14ac:dyDescent="0.3">
      <c r="B4925" s="726" t="s">
        <v>815</v>
      </c>
      <c r="C4925" s="722" t="s">
        <v>123</v>
      </c>
      <c r="D4925" t="s">
        <v>124</v>
      </c>
      <c r="E4925" s="729"/>
      <c r="F4925" s="729"/>
      <c r="G4925" s="729"/>
      <c r="H4925" s="729"/>
      <c r="I4925" s="729"/>
      <c r="J4925" s="729"/>
      <c r="K4925" s="729"/>
      <c r="L4925" s="147">
        <v>0.34377000000000002</v>
      </c>
      <c r="M4925" s="729"/>
      <c r="N4925" s="147">
        <v>0.34377000000000002</v>
      </c>
      <c r="O4925" s="147">
        <v>0</v>
      </c>
      <c r="P4925" s="147">
        <v>0.33948</v>
      </c>
      <c r="Q4925" s="147">
        <v>4.2900000000000004E-3</v>
      </c>
      <c r="R4925" s="147">
        <v>1.2636974195828914</v>
      </c>
    </row>
    <row r="4926" spans="2:18" ht="15.75" hidden="1" thickBot="1" x14ac:dyDescent="0.3">
      <c r="B4926" s="726" t="s">
        <v>815</v>
      </c>
      <c r="C4926" s="722" t="s">
        <v>209</v>
      </c>
      <c r="D4926" t="s">
        <v>210</v>
      </c>
      <c r="E4926" s="148">
        <v>0.19741</v>
      </c>
      <c r="F4926" s="728"/>
      <c r="G4926" s="148">
        <v>0.19741</v>
      </c>
      <c r="H4926" s="148">
        <v>0</v>
      </c>
      <c r="I4926" s="728"/>
      <c r="J4926" s="148">
        <v>0.19741</v>
      </c>
      <c r="K4926" s="148">
        <v>0</v>
      </c>
      <c r="L4926" s="148">
        <v>1.6278600000000001</v>
      </c>
      <c r="M4926" s="728"/>
      <c r="N4926" s="148">
        <v>1.6278600000000001</v>
      </c>
      <c r="O4926" s="148">
        <v>0</v>
      </c>
      <c r="P4926" s="148">
        <v>0.84697999999999996</v>
      </c>
      <c r="Q4926" s="148">
        <v>0.78088000000000002</v>
      </c>
      <c r="R4926" s="148">
        <v>92.1958015537557</v>
      </c>
    </row>
    <row r="4927" spans="2:18" ht="15.75" hidden="1" thickBot="1" x14ac:dyDescent="0.3">
      <c r="B4927" s="726" t="s">
        <v>815</v>
      </c>
      <c r="C4927" s="722" t="s">
        <v>211</v>
      </c>
      <c r="D4927" t="s">
        <v>212</v>
      </c>
      <c r="E4927" s="147">
        <v>2.5699999999999998E-3</v>
      </c>
      <c r="F4927" s="729"/>
      <c r="G4927" s="147">
        <v>2.5699999999999998E-3</v>
      </c>
      <c r="H4927" s="147">
        <v>0</v>
      </c>
      <c r="I4927" s="729"/>
      <c r="J4927" s="147">
        <v>2.5699999999999998E-3</v>
      </c>
      <c r="K4927" s="147">
        <v>0</v>
      </c>
      <c r="L4927" s="147">
        <v>0.22287999999999999</v>
      </c>
      <c r="M4927" s="729"/>
      <c r="N4927" s="147">
        <v>0.22287999999999999</v>
      </c>
      <c r="O4927" s="147">
        <v>0</v>
      </c>
      <c r="P4927" s="147">
        <v>0.13202</v>
      </c>
      <c r="Q4927" s="147">
        <v>9.0859999999999996E-2</v>
      </c>
      <c r="R4927" s="147">
        <v>68.822905620360558</v>
      </c>
    </row>
    <row r="4928" spans="2:18" ht="15.75" hidden="1" thickBot="1" x14ac:dyDescent="0.3">
      <c r="B4928" s="726" t="s">
        <v>815</v>
      </c>
      <c r="C4928" s="722" t="s">
        <v>213</v>
      </c>
      <c r="D4928" t="s">
        <v>214</v>
      </c>
      <c r="E4928" s="728"/>
      <c r="F4928" s="728"/>
      <c r="G4928" s="728"/>
      <c r="H4928" s="728"/>
      <c r="I4928" s="728"/>
      <c r="J4928" s="728"/>
      <c r="K4928" s="728"/>
      <c r="L4928" s="148">
        <v>-0.48276000000000002</v>
      </c>
      <c r="M4928" s="728"/>
      <c r="N4928" s="148">
        <v>-0.48276000000000002</v>
      </c>
      <c r="O4928" s="148">
        <v>0</v>
      </c>
      <c r="P4928" s="148">
        <v>-0.48276000000000002</v>
      </c>
      <c r="Q4928" s="148">
        <v>0</v>
      </c>
      <c r="R4928" s="148">
        <v>0</v>
      </c>
    </row>
    <row r="4929" spans="2:18" ht="15.75" hidden="1" thickBot="1" x14ac:dyDescent="0.3">
      <c r="B4929" s="726" t="s">
        <v>815</v>
      </c>
      <c r="C4929" s="722" t="s">
        <v>215</v>
      </c>
      <c r="D4929" t="s">
        <v>216</v>
      </c>
      <c r="E4929" s="147">
        <v>-0.51432</v>
      </c>
      <c r="F4929" s="729"/>
      <c r="G4929" s="147">
        <v>-0.51432</v>
      </c>
      <c r="H4929" s="147">
        <v>0</v>
      </c>
      <c r="I4929" s="729"/>
      <c r="J4929" s="147">
        <v>-0.51432</v>
      </c>
      <c r="K4929" s="147">
        <v>0</v>
      </c>
      <c r="L4929" s="147">
        <v>-7.6933699999999998</v>
      </c>
      <c r="M4929" s="729"/>
      <c r="N4929" s="147">
        <v>-7.6933699999999998</v>
      </c>
      <c r="O4929" s="147">
        <v>0</v>
      </c>
      <c r="P4929" s="147">
        <v>-3.0430600000000001</v>
      </c>
      <c r="Q4929" s="147">
        <v>-4.6503100000000002</v>
      </c>
      <c r="R4929" s="147">
        <v>-152.81690140845072</v>
      </c>
    </row>
    <row r="4930" spans="2:18" ht="15.75" hidden="1" thickBot="1" x14ac:dyDescent="0.3">
      <c r="B4930" s="726" t="s">
        <v>815</v>
      </c>
      <c r="C4930" s="722" t="s">
        <v>83</v>
      </c>
      <c r="D4930" t="s">
        <v>84</v>
      </c>
      <c r="E4930" s="728"/>
      <c r="F4930" s="148">
        <v>1.59</v>
      </c>
      <c r="G4930" s="148">
        <v>-1.59</v>
      </c>
      <c r="H4930" s="148">
        <v>-100</v>
      </c>
      <c r="I4930" s="728"/>
      <c r="J4930" s="728"/>
      <c r="K4930" s="728"/>
      <c r="L4930" s="728"/>
      <c r="M4930" s="148">
        <v>13.199540000000001</v>
      </c>
      <c r="N4930" s="148">
        <v>-13.199540000000001</v>
      </c>
      <c r="O4930" s="148">
        <v>-100</v>
      </c>
      <c r="P4930" s="728"/>
      <c r="Q4930" s="728"/>
      <c r="R4930" s="728"/>
    </row>
    <row r="4931" spans="2:18" ht="15.75" hidden="1" thickBot="1" x14ac:dyDescent="0.3">
      <c r="B4931" s="726" t="s">
        <v>815</v>
      </c>
      <c r="C4931" s="149" t="s">
        <v>85</v>
      </c>
      <c r="D4931" t="s">
        <v>86</v>
      </c>
      <c r="E4931" s="147">
        <v>109.45401</v>
      </c>
      <c r="F4931" s="147">
        <v>26.361059999999998</v>
      </c>
      <c r="G4931" s="147">
        <v>83.092950000000002</v>
      </c>
      <c r="H4931" s="147">
        <v>315.21095889163792</v>
      </c>
      <c r="I4931" s="729"/>
      <c r="J4931" s="147">
        <v>109.45401</v>
      </c>
      <c r="K4931" s="147">
        <v>0</v>
      </c>
      <c r="L4931" s="147">
        <v>612.72634000000005</v>
      </c>
      <c r="M4931" s="147">
        <v>458.72230000000002</v>
      </c>
      <c r="N4931" s="147">
        <v>154.00404</v>
      </c>
      <c r="O4931" s="147">
        <v>33.57239009309118</v>
      </c>
      <c r="P4931" s="147">
        <v>216.87228999999999</v>
      </c>
      <c r="Q4931" s="147">
        <v>395.85404999999997</v>
      </c>
      <c r="R4931" s="147">
        <v>182.52864393141235</v>
      </c>
    </row>
    <row r="4932" spans="2:18" ht="15.75" hidden="1" thickBot="1" x14ac:dyDescent="0.3">
      <c r="B4932" s="726" t="s">
        <v>815</v>
      </c>
      <c r="C4932" s="144" t="s">
        <v>87</v>
      </c>
      <c r="D4932" t="s">
        <v>87</v>
      </c>
      <c r="E4932" s="148">
        <v>199.78579999999999</v>
      </c>
      <c r="F4932" s="148">
        <v>173.00404</v>
      </c>
      <c r="G4932" s="148">
        <v>26.781759999999998</v>
      </c>
      <c r="H4932" s="148">
        <v>15.480424618985776</v>
      </c>
      <c r="I4932" s="728"/>
      <c r="J4932" s="148">
        <v>199.78579999999999</v>
      </c>
      <c r="K4932" s="148">
        <v>0</v>
      </c>
      <c r="L4932" s="148">
        <v>1474.4431999999999</v>
      </c>
      <c r="M4932" s="148">
        <v>1877.6219699999999</v>
      </c>
      <c r="N4932" s="148">
        <v>-403.17876999999999</v>
      </c>
      <c r="O4932" s="148">
        <v>-21.472840456803986</v>
      </c>
      <c r="P4932" s="148">
        <v>605.97406999999998</v>
      </c>
      <c r="Q4932" s="148">
        <v>868.46912999999995</v>
      </c>
      <c r="R4932" s="148">
        <v>143.31787002041193</v>
      </c>
    </row>
    <row r="4933" spans="2:18" ht="15.75" hidden="1" thickBot="1" x14ac:dyDescent="0.3">
      <c r="B4933" s="726" t="s">
        <v>816</v>
      </c>
      <c r="C4933" s="722" t="s">
        <v>59</v>
      </c>
      <c r="D4933" t="s">
        <v>60</v>
      </c>
      <c r="E4933" s="147">
        <v>7.1000800000000002</v>
      </c>
      <c r="F4933" s="147">
        <v>8.0528999999999993</v>
      </c>
      <c r="G4933" s="147">
        <v>-0.95282</v>
      </c>
      <c r="H4933" s="147">
        <v>-11.832010828397223</v>
      </c>
      <c r="I4933" s="729"/>
      <c r="J4933" s="147">
        <v>7.1000800000000002</v>
      </c>
      <c r="K4933" s="147">
        <v>0</v>
      </c>
      <c r="L4933" s="147">
        <v>92.387630000000001</v>
      </c>
      <c r="M4933" s="147">
        <v>96.127840000000006</v>
      </c>
      <c r="N4933" s="147">
        <v>-3.7402099999999998</v>
      </c>
      <c r="O4933" s="147">
        <v>-3.8908707404639489</v>
      </c>
      <c r="P4933" s="147">
        <v>48.923999999999999</v>
      </c>
      <c r="Q4933" s="147">
        <v>43.463630000000002</v>
      </c>
      <c r="R4933" s="147">
        <v>88.839076935655299</v>
      </c>
    </row>
    <row r="4934" spans="2:18" ht="15.75" hidden="1" thickBot="1" x14ac:dyDescent="0.3">
      <c r="B4934" s="726" t="s">
        <v>816</v>
      </c>
      <c r="C4934" s="722" t="s">
        <v>89</v>
      </c>
      <c r="D4934" t="s">
        <v>90</v>
      </c>
      <c r="E4934" s="148">
        <v>4.7940100000000001</v>
      </c>
      <c r="F4934" s="728"/>
      <c r="G4934" s="148">
        <v>4.7940100000000001</v>
      </c>
      <c r="H4934" s="148">
        <v>0</v>
      </c>
      <c r="I4934" s="728"/>
      <c r="J4934" s="148">
        <v>4.7940100000000001</v>
      </c>
      <c r="K4934" s="148">
        <v>0</v>
      </c>
      <c r="L4934" s="148">
        <v>58.233669999999996</v>
      </c>
      <c r="M4934" s="728"/>
      <c r="N4934" s="148">
        <v>58.233669999999996</v>
      </c>
      <c r="O4934" s="148">
        <v>0</v>
      </c>
      <c r="P4934" s="148">
        <v>31.621379999999998</v>
      </c>
      <c r="Q4934" s="148">
        <v>26.612290000000002</v>
      </c>
      <c r="R4934" s="148">
        <v>84.159166993976854</v>
      </c>
    </row>
    <row r="4935" spans="2:18" ht="15.75" hidden="1" thickBot="1" x14ac:dyDescent="0.3">
      <c r="B4935" s="726" t="s">
        <v>816</v>
      </c>
      <c r="C4935" s="722" t="s">
        <v>91</v>
      </c>
      <c r="D4935" t="s">
        <v>92</v>
      </c>
      <c r="E4935" s="147">
        <v>66.070989999999995</v>
      </c>
      <c r="F4935" s="147">
        <v>87.679370000000006</v>
      </c>
      <c r="G4935" s="147">
        <v>-21.60838</v>
      </c>
      <c r="H4935" s="147">
        <v>-24.644771056178893</v>
      </c>
      <c r="I4935" s="729"/>
      <c r="J4935" s="147">
        <v>66.070989999999995</v>
      </c>
      <c r="K4935" s="147">
        <v>0</v>
      </c>
      <c r="L4935" s="147">
        <v>1023.10276</v>
      </c>
      <c r="M4935" s="147">
        <v>1024.0610799999999</v>
      </c>
      <c r="N4935" s="147">
        <v>-0.95831999999999995</v>
      </c>
      <c r="O4935" s="147">
        <v>-9.3580355578009075E-2</v>
      </c>
      <c r="P4935" s="147">
        <v>533.77652999999998</v>
      </c>
      <c r="Q4935" s="147">
        <v>489.32623000000001</v>
      </c>
      <c r="R4935" s="147">
        <v>91.67248885971064</v>
      </c>
    </row>
    <row r="4936" spans="2:18" ht="15.75" hidden="1" thickBot="1" x14ac:dyDescent="0.3">
      <c r="B4936" s="726" t="s">
        <v>816</v>
      </c>
      <c r="C4936" s="722" t="s">
        <v>93</v>
      </c>
      <c r="D4936" t="s">
        <v>94</v>
      </c>
      <c r="E4936" s="148">
        <v>13.341839999999999</v>
      </c>
      <c r="F4936" s="148">
        <v>2.5889099999999998</v>
      </c>
      <c r="G4936" s="148">
        <v>10.752929999999999</v>
      </c>
      <c r="H4936" s="148">
        <v>415.34584052748068</v>
      </c>
      <c r="I4936" s="728"/>
      <c r="J4936" s="148">
        <v>13.341839999999999</v>
      </c>
      <c r="K4936" s="148">
        <v>0</v>
      </c>
      <c r="L4936" s="148">
        <v>222.00994</v>
      </c>
      <c r="M4936" s="148">
        <v>29.429680000000001</v>
      </c>
      <c r="N4936" s="148">
        <v>192.58026000000001</v>
      </c>
      <c r="O4936" s="148">
        <v>654.37429153154233</v>
      </c>
      <c r="P4936" s="148">
        <v>125.00521999999999</v>
      </c>
      <c r="Q4936" s="148">
        <v>97.004720000000006</v>
      </c>
      <c r="R4936" s="148">
        <v>77.600535401641622</v>
      </c>
    </row>
    <row r="4937" spans="2:18" ht="15.75" hidden="1" thickBot="1" x14ac:dyDescent="0.3">
      <c r="B4937" s="726" t="s">
        <v>816</v>
      </c>
      <c r="C4937" s="722" t="s">
        <v>134</v>
      </c>
      <c r="D4937" t="s">
        <v>135</v>
      </c>
      <c r="E4937" s="147">
        <v>15.387320000000001</v>
      </c>
      <c r="F4937" s="729"/>
      <c r="G4937" s="147">
        <v>15.387320000000001</v>
      </c>
      <c r="H4937" s="147">
        <v>0</v>
      </c>
      <c r="I4937" s="729"/>
      <c r="J4937" s="147">
        <v>15.387320000000001</v>
      </c>
      <c r="K4937" s="147">
        <v>0</v>
      </c>
      <c r="L4937" s="147">
        <v>15.387320000000001</v>
      </c>
      <c r="M4937" s="729"/>
      <c r="N4937" s="147">
        <v>15.387320000000001</v>
      </c>
      <c r="O4937" s="147">
        <v>0</v>
      </c>
      <c r="P4937" s="729"/>
      <c r="Q4937" s="147">
        <v>15.387320000000001</v>
      </c>
      <c r="R4937" s="147">
        <v>0</v>
      </c>
    </row>
    <row r="4938" spans="2:18" ht="15.75" hidden="1" thickBot="1" x14ac:dyDescent="0.3">
      <c r="B4938" s="726" t="s">
        <v>816</v>
      </c>
      <c r="C4938" s="722" t="s">
        <v>61</v>
      </c>
      <c r="D4938" t="s">
        <v>62</v>
      </c>
      <c r="E4938" s="148">
        <v>14.783250000000001</v>
      </c>
      <c r="F4938" s="148">
        <v>14.8385</v>
      </c>
      <c r="G4938" s="148">
        <v>-5.525E-2</v>
      </c>
      <c r="H4938" s="148">
        <v>-0.37234221787916566</v>
      </c>
      <c r="I4938" s="728"/>
      <c r="J4938" s="148">
        <v>14.783250000000001</v>
      </c>
      <c r="K4938" s="148">
        <v>0</v>
      </c>
      <c r="L4938" s="148">
        <v>177.66982999999999</v>
      </c>
      <c r="M4938" s="148">
        <v>173.62929</v>
      </c>
      <c r="N4938" s="148">
        <v>4.04054</v>
      </c>
      <c r="O4938" s="148">
        <v>2.3271073676566898</v>
      </c>
      <c r="P4938" s="148">
        <v>88.734539999999996</v>
      </c>
      <c r="Q4938" s="148">
        <v>88.935289999999995</v>
      </c>
      <c r="R4938" s="148">
        <v>100.22623659287578</v>
      </c>
    </row>
    <row r="4939" spans="2:18" ht="15.75" hidden="1" thickBot="1" x14ac:dyDescent="0.3">
      <c r="B4939" s="726" t="s">
        <v>816</v>
      </c>
      <c r="C4939" s="722" t="s">
        <v>63</v>
      </c>
      <c r="D4939" t="s">
        <v>64</v>
      </c>
      <c r="E4939" s="147">
        <v>60.419510000000002</v>
      </c>
      <c r="F4939" s="147">
        <v>57.726559999999999</v>
      </c>
      <c r="G4939" s="147">
        <v>2.6929500000000002</v>
      </c>
      <c r="H4939" s="147">
        <v>4.6650103522537982</v>
      </c>
      <c r="I4939" s="729"/>
      <c r="J4939" s="147">
        <v>60.419510000000002</v>
      </c>
      <c r="K4939" s="147">
        <v>0</v>
      </c>
      <c r="L4939" s="147">
        <v>736.35951</v>
      </c>
      <c r="M4939" s="147">
        <v>675.47389999999996</v>
      </c>
      <c r="N4939" s="147">
        <v>60.88561</v>
      </c>
      <c r="O4939" s="147">
        <v>9.0137620417309989</v>
      </c>
      <c r="P4939" s="147">
        <v>370.50096000000002</v>
      </c>
      <c r="Q4939" s="147">
        <v>365.85854999999998</v>
      </c>
      <c r="R4939" s="147">
        <v>98.746991100913746</v>
      </c>
    </row>
    <row r="4940" spans="2:18" ht="15.75" hidden="1" thickBot="1" x14ac:dyDescent="0.3">
      <c r="B4940" s="726" t="s">
        <v>816</v>
      </c>
      <c r="C4940" s="722" t="s">
        <v>156</v>
      </c>
      <c r="D4940" t="s">
        <v>157</v>
      </c>
      <c r="E4940" s="728"/>
      <c r="F4940" s="728"/>
      <c r="G4940" s="728"/>
      <c r="H4940" s="728"/>
      <c r="I4940" s="728"/>
      <c r="J4940" s="728"/>
      <c r="K4940" s="728"/>
      <c r="L4940" s="148">
        <v>0.11731999999999999</v>
      </c>
      <c r="M4940" s="728"/>
      <c r="N4940" s="148">
        <v>0.11731999999999999</v>
      </c>
      <c r="O4940" s="148">
        <v>0</v>
      </c>
      <c r="P4940" s="728"/>
      <c r="Q4940" s="148">
        <v>0.11731999999999999</v>
      </c>
      <c r="R4940" s="148">
        <v>0</v>
      </c>
    </row>
    <row r="4941" spans="2:18" ht="15.75" hidden="1" thickBot="1" x14ac:dyDescent="0.3">
      <c r="B4941" s="726" t="s">
        <v>816</v>
      </c>
      <c r="C4941" s="722" t="s">
        <v>182</v>
      </c>
      <c r="D4941" t="s">
        <v>183</v>
      </c>
      <c r="E4941" s="147">
        <v>2.0666500000000001</v>
      </c>
      <c r="F4941" s="729"/>
      <c r="G4941" s="147">
        <v>2.0666500000000001</v>
      </c>
      <c r="H4941" s="147">
        <v>0</v>
      </c>
      <c r="I4941" s="729"/>
      <c r="J4941" s="147">
        <v>2.0666500000000001</v>
      </c>
      <c r="K4941" s="147">
        <v>0</v>
      </c>
      <c r="L4941" s="147">
        <v>39.424700000000001</v>
      </c>
      <c r="M4941" s="729"/>
      <c r="N4941" s="147">
        <v>39.424700000000001</v>
      </c>
      <c r="O4941" s="147">
        <v>0</v>
      </c>
      <c r="P4941" s="147">
        <v>15.734920000000001</v>
      </c>
      <c r="Q4941" s="147">
        <v>23.689779999999999</v>
      </c>
      <c r="R4941" s="147">
        <v>150.55545245860799</v>
      </c>
    </row>
    <row r="4942" spans="2:18" ht="15.75" hidden="1" thickBot="1" x14ac:dyDescent="0.3">
      <c r="B4942" s="726" t="s">
        <v>816</v>
      </c>
      <c r="C4942" s="722" t="s">
        <v>184</v>
      </c>
      <c r="D4942" t="s">
        <v>185</v>
      </c>
      <c r="E4942" s="148">
        <v>9.2814399999999999</v>
      </c>
      <c r="F4942" s="728"/>
      <c r="G4942" s="148">
        <v>9.2814399999999999</v>
      </c>
      <c r="H4942" s="148">
        <v>0</v>
      </c>
      <c r="I4942" s="728"/>
      <c r="J4942" s="148">
        <v>9.2814399999999999</v>
      </c>
      <c r="K4942" s="148">
        <v>0</v>
      </c>
      <c r="L4942" s="148">
        <v>344.46974</v>
      </c>
      <c r="M4942" s="728"/>
      <c r="N4942" s="148">
        <v>344.46974</v>
      </c>
      <c r="O4942" s="148">
        <v>0</v>
      </c>
      <c r="P4942" s="148">
        <v>196.01801</v>
      </c>
      <c r="Q4942" s="148">
        <v>148.45173</v>
      </c>
      <c r="R4942" s="148">
        <v>75.733719569951759</v>
      </c>
    </row>
    <row r="4943" spans="2:18" ht="15.75" hidden="1" thickBot="1" x14ac:dyDescent="0.3">
      <c r="B4943" s="726" t="s">
        <v>816</v>
      </c>
      <c r="C4943" s="722" t="s">
        <v>161</v>
      </c>
      <c r="D4943" t="s">
        <v>162</v>
      </c>
      <c r="E4943" s="147">
        <v>1.7314099999999999</v>
      </c>
      <c r="F4943" s="729"/>
      <c r="G4943" s="147">
        <v>1.7314099999999999</v>
      </c>
      <c r="H4943" s="147">
        <v>0</v>
      </c>
      <c r="I4943" s="729"/>
      <c r="J4943" s="147">
        <v>1.7314099999999999</v>
      </c>
      <c r="K4943" s="147">
        <v>0</v>
      </c>
      <c r="L4943" s="147">
        <v>47.649679999999996</v>
      </c>
      <c r="M4943" s="729"/>
      <c r="N4943" s="147">
        <v>47.649679999999996</v>
      </c>
      <c r="O4943" s="147">
        <v>0</v>
      </c>
      <c r="P4943" s="147">
        <v>24.47936</v>
      </c>
      <c r="Q4943" s="147">
        <v>23.17032</v>
      </c>
      <c r="R4943" s="147">
        <v>94.652474574498683</v>
      </c>
    </row>
    <row r="4944" spans="2:18" ht="15.75" hidden="1" thickBot="1" x14ac:dyDescent="0.3">
      <c r="B4944" s="726" t="s">
        <v>816</v>
      </c>
      <c r="C4944" s="722" t="s">
        <v>65</v>
      </c>
      <c r="D4944" t="s">
        <v>66</v>
      </c>
      <c r="E4944" s="148">
        <v>-8.9709800000000008</v>
      </c>
      <c r="F4944" s="148">
        <v>-10.90089</v>
      </c>
      <c r="G4944" s="148">
        <v>1.92991</v>
      </c>
      <c r="H4944" s="148">
        <v>17.704150762002001</v>
      </c>
      <c r="I4944" s="728"/>
      <c r="J4944" s="148">
        <v>-8.9709800000000008</v>
      </c>
      <c r="K4944" s="148">
        <v>0</v>
      </c>
      <c r="L4944" s="148">
        <v>-120.94177999999999</v>
      </c>
      <c r="M4944" s="148">
        <v>-130.12441999999999</v>
      </c>
      <c r="N4944" s="148">
        <v>9.1826399999999992</v>
      </c>
      <c r="O4944" s="148">
        <v>7.0568153156801774</v>
      </c>
      <c r="P4944" s="148">
        <v>-63.941580000000002</v>
      </c>
      <c r="Q4944" s="148">
        <v>-57.0002</v>
      </c>
      <c r="R4944" s="148">
        <v>-89.14418442584622</v>
      </c>
    </row>
    <row r="4945" spans="2:18" ht="15.75" hidden="1" thickBot="1" x14ac:dyDescent="0.3">
      <c r="B4945" s="726" t="s">
        <v>816</v>
      </c>
      <c r="C4945" s="722" t="s">
        <v>186</v>
      </c>
      <c r="D4945" t="s">
        <v>187</v>
      </c>
      <c r="E4945" s="147">
        <v>-5.0663900000000002</v>
      </c>
      <c r="F4945" s="729"/>
      <c r="G4945" s="147">
        <v>-5.0663900000000002</v>
      </c>
      <c r="H4945" s="147">
        <v>0</v>
      </c>
      <c r="I4945" s="729"/>
      <c r="J4945" s="147">
        <v>-5.0663900000000002</v>
      </c>
      <c r="K4945" s="147">
        <v>0</v>
      </c>
      <c r="L4945" s="147">
        <v>-67.54222</v>
      </c>
      <c r="M4945" s="729"/>
      <c r="N4945" s="147">
        <v>-67.54222</v>
      </c>
      <c r="O4945" s="147">
        <v>0</v>
      </c>
      <c r="P4945" s="147">
        <v>-33.140569999999997</v>
      </c>
      <c r="Q4945" s="147">
        <v>-34.401649999999997</v>
      </c>
      <c r="R4945" s="147">
        <v>-103.80524535335391</v>
      </c>
    </row>
    <row r="4946" spans="2:18" ht="15.75" hidden="1" thickBot="1" x14ac:dyDescent="0.3">
      <c r="B4946" s="726" t="s">
        <v>816</v>
      </c>
      <c r="C4946" s="722" t="s">
        <v>163</v>
      </c>
      <c r="D4946" t="s">
        <v>164</v>
      </c>
      <c r="E4946" s="148">
        <v>-124.43396</v>
      </c>
      <c r="F4946" s="148">
        <v>-118.68805</v>
      </c>
      <c r="G4946" s="148">
        <v>-5.7459100000000003</v>
      </c>
      <c r="H4946" s="148">
        <v>-4.8411866232531411</v>
      </c>
      <c r="I4946" s="728"/>
      <c r="J4946" s="148">
        <v>-124.43396</v>
      </c>
      <c r="K4946" s="148">
        <v>0</v>
      </c>
      <c r="L4946" s="148">
        <v>-1690.9776899999999</v>
      </c>
      <c r="M4946" s="148">
        <v>-1386.23037</v>
      </c>
      <c r="N4946" s="148">
        <v>-304.74732</v>
      </c>
      <c r="O4946" s="148">
        <v>-21.983887137027594</v>
      </c>
      <c r="P4946" s="148">
        <v>-869.10883999999999</v>
      </c>
      <c r="Q4946" s="148">
        <v>-821.86884999999995</v>
      </c>
      <c r="R4946" s="148">
        <v>-94.564548440216072</v>
      </c>
    </row>
    <row r="4947" spans="2:18" ht="15.75" hidden="1" thickBot="1" x14ac:dyDescent="0.3">
      <c r="B4947" s="726" t="s">
        <v>816</v>
      </c>
      <c r="C4947" s="722" t="s">
        <v>97</v>
      </c>
      <c r="D4947" t="s">
        <v>98</v>
      </c>
      <c r="E4947" s="147">
        <v>-16.71124</v>
      </c>
      <c r="F4947" s="729"/>
      <c r="G4947" s="147">
        <v>-16.71124</v>
      </c>
      <c r="H4947" s="147">
        <v>0</v>
      </c>
      <c r="I4947" s="729"/>
      <c r="J4947" s="147">
        <v>-16.71124</v>
      </c>
      <c r="K4947" s="147">
        <v>0</v>
      </c>
      <c r="L4947" s="147">
        <v>-257.64834000000002</v>
      </c>
      <c r="M4947" s="729"/>
      <c r="N4947" s="147">
        <v>-257.64834000000002</v>
      </c>
      <c r="O4947" s="147">
        <v>0</v>
      </c>
      <c r="P4947" s="147">
        <v>-143.33555000000001</v>
      </c>
      <c r="Q4947" s="147">
        <v>-114.31279000000001</v>
      </c>
      <c r="R4947" s="147">
        <v>-79.751875930290851</v>
      </c>
    </row>
    <row r="4948" spans="2:18" ht="15.75" hidden="1" thickBot="1" x14ac:dyDescent="0.3">
      <c r="B4948" s="726" t="s">
        <v>816</v>
      </c>
      <c r="C4948" s="149" t="s">
        <v>67</v>
      </c>
      <c r="D4948" t="s">
        <v>68</v>
      </c>
      <c r="E4948" s="148">
        <v>39.793930000000003</v>
      </c>
      <c r="F4948" s="148">
        <v>41.2973</v>
      </c>
      <c r="G4948" s="148">
        <v>-1.5033700000000001</v>
      </c>
      <c r="H4948" s="148">
        <v>-3.6403590549503235</v>
      </c>
      <c r="I4948" s="728"/>
      <c r="J4948" s="148">
        <v>39.793930000000003</v>
      </c>
      <c r="K4948" s="148">
        <v>0</v>
      </c>
      <c r="L4948" s="148">
        <v>619.70207000000005</v>
      </c>
      <c r="M4948" s="148">
        <v>482.36700000000002</v>
      </c>
      <c r="N4948" s="148">
        <v>137.33507</v>
      </c>
      <c r="O4948" s="148">
        <v>28.471074928425868</v>
      </c>
      <c r="P4948" s="148">
        <v>325.26837999999998</v>
      </c>
      <c r="Q4948" s="148">
        <v>294.43369000000001</v>
      </c>
      <c r="R4948" s="148">
        <v>90.520231324053086</v>
      </c>
    </row>
    <row r="4949" spans="2:18" ht="15.75" hidden="1" thickBot="1" x14ac:dyDescent="0.3">
      <c r="B4949" s="726" t="s">
        <v>816</v>
      </c>
      <c r="C4949" s="722" t="s">
        <v>69</v>
      </c>
      <c r="D4949" t="s">
        <v>70</v>
      </c>
      <c r="E4949" s="729"/>
      <c r="F4949" s="729"/>
      <c r="G4949" s="729"/>
      <c r="H4949" s="729"/>
      <c r="I4949" s="729"/>
      <c r="J4949" s="729"/>
      <c r="K4949" s="729"/>
      <c r="L4949" s="147">
        <v>5.3460000000000001E-2</v>
      </c>
      <c r="M4949" s="729"/>
      <c r="N4949" s="147">
        <v>5.3460000000000001E-2</v>
      </c>
      <c r="O4949" s="147">
        <v>0</v>
      </c>
      <c r="P4949" s="147">
        <v>3.0980000000000001E-2</v>
      </c>
      <c r="Q4949" s="147">
        <v>2.248E-2</v>
      </c>
      <c r="R4949" s="147">
        <v>72.562943834732081</v>
      </c>
    </row>
    <row r="4950" spans="2:18" ht="15.75" hidden="1" thickBot="1" x14ac:dyDescent="0.3">
      <c r="B4950" s="726" t="s">
        <v>816</v>
      </c>
      <c r="C4950" s="722" t="s">
        <v>99</v>
      </c>
      <c r="D4950" t="s">
        <v>100</v>
      </c>
      <c r="E4950" s="728"/>
      <c r="F4950" s="148">
        <v>1.5</v>
      </c>
      <c r="G4950" s="148">
        <v>-1.5</v>
      </c>
      <c r="H4950" s="148">
        <v>-100</v>
      </c>
      <c r="I4950" s="728"/>
      <c r="J4950" s="728"/>
      <c r="K4950" s="728"/>
      <c r="L4950" s="148">
        <v>0.54144000000000003</v>
      </c>
      <c r="M4950" s="148">
        <v>18</v>
      </c>
      <c r="N4950" s="148">
        <v>-17.458559999999999</v>
      </c>
      <c r="O4950" s="148">
        <v>-96.992000000000004</v>
      </c>
      <c r="P4950" s="148">
        <v>0.51671999999999996</v>
      </c>
      <c r="Q4950" s="148">
        <v>2.4719999999999999E-2</v>
      </c>
      <c r="R4950" s="148">
        <v>4.7840222944728286</v>
      </c>
    </row>
    <row r="4951" spans="2:18" ht="15.75" hidden="1" thickBot="1" x14ac:dyDescent="0.3">
      <c r="B4951" s="726" t="s">
        <v>816</v>
      </c>
      <c r="C4951" s="722" t="s">
        <v>165</v>
      </c>
      <c r="D4951" t="s">
        <v>166</v>
      </c>
      <c r="E4951" s="147">
        <v>3.8000000000000002E-4</v>
      </c>
      <c r="F4951" s="729"/>
      <c r="G4951" s="147">
        <v>3.8000000000000002E-4</v>
      </c>
      <c r="H4951" s="147">
        <v>0</v>
      </c>
      <c r="I4951" s="729"/>
      <c r="J4951" s="147">
        <v>3.8000000000000002E-4</v>
      </c>
      <c r="K4951" s="147">
        <v>0</v>
      </c>
      <c r="L4951" s="147">
        <v>5.0996300000000003</v>
      </c>
      <c r="M4951" s="729"/>
      <c r="N4951" s="147">
        <v>5.0996300000000003</v>
      </c>
      <c r="O4951" s="147">
        <v>0</v>
      </c>
      <c r="P4951" s="147">
        <v>3.3549000000000002</v>
      </c>
      <c r="Q4951" s="147">
        <v>1.7447299999999999</v>
      </c>
      <c r="R4951" s="147">
        <v>52.005424900891235</v>
      </c>
    </row>
    <row r="4952" spans="2:18" ht="15.75" hidden="1" thickBot="1" x14ac:dyDescent="0.3">
      <c r="B4952" s="726" t="s">
        <v>816</v>
      </c>
      <c r="C4952" s="722" t="s">
        <v>188</v>
      </c>
      <c r="D4952" t="s">
        <v>189</v>
      </c>
      <c r="E4952" s="148">
        <v>1.6800000000000001E-3</v>
      </c>
      <c r="F4952" s="728"/>
      <c r="G4952" s="148">
        <v>1.6800000000000001E-3</v>
      </c>
      <c r="H4952" s="148">
        <v>0</v>
      </c>
      <c r="I4952" s="728"/>
      <c r="J4952" s="148">
        <v>1.6800000000000001E-3</v>
      </c>
      <c r="K4952" s="148">
        <v>0</v>
      </c>
      <c r="L4952" s="148">
        <v>-5.7279999999999998E-2</v>
      </c>
      <c r="M4952" s="728"/>
      <c r="N4952" s="148">
        <v>-5.7279999999999998E-2</v>
      </c>
      <c r="O4952" s="148">
        <v>0</v>
      </c>
      <c r="P4952" s="148">
        <v>-7.8530000000000003E-2</v>
      </c>
      <c r="Q4952" s="148">
        <v>2.1250000000000002E-2</v>
      </c>
      <c r="R4952" s="148">
        <v>27.059722399083153</v>
      </c>
    </row>
    <row r="4953" spans="2:18" ht="15.75" hidden="1" thickBot="1" x14ac:dyDescent="0.3">
      <c r="B4953" s="726" t="s">
        <v>816</v>
      </c>
      <c r="C4953" s="722" t="s">
        <v>584</v>
      </c>
      <c r="D4953" t="s">
        <v>585</v>
      </c>
      <c r="E4953" s="147">
        <v>8.0000000000000007E-5</v>
      </c>
      <c r="F4953" s="729"/>
      <c r="G4953" s="147">
        <v>8.0000000000000007E-5</v>
      </c>
      <c r="H4953" s="147">
        <v>0</v>
      </c>
      <c r="I4953" s="729"/>
      <c r="J4953" s="147">
        <v>8.0000000000000007E-5</v>
      </c>
      <c r="K4953" s="147">
        <v>0</v>
      </c>
      <c r="L4953" s="147">
        <v>-7.6999999999999996E-4</v>
      </c>
      <c r="M4953" s="729"/>
      <c r="N4953" s="147">
        <v>-7.6999999999999996E-4</v>
      </c>
      <c r="O4953" s="147">
        <v>0</v>
      </c>
      <c r="P4953" s="147">
        <v>-8.7000000000000001E-4</v>
      </c>
      <c r="Q4953" s="147">
        <v>1E-4</v>
      </c>
      <c r="R4953" s="147">
        <v>11.494252873563218</v>
      </c>
    </row>
    <row r="4954" spans="2:18" ht="15.75" hidden="1" thickBot="1" x14ac:dyDescent="0.3">
      <c r="B4954" s="726" t="s">
        <v>816</v>
      </c>
      <c r="C4954" s="722" t="s">
        <v>588</v>
      </c>
      <c r="D4954" t="s">
        <v>589</v>
      </c>
      <c r="E4954" s="148">
        <v>1.7999999999999999E-2</v>
      </c>
      <c r="F4954" s="728"/>
      <c r="G4954" s="148">
        <v>1.7999999999999999E-2</v>
      </c>
      <c r="H4954" s="148">
        <v>0</v>
      </c>
      <c r="I4954" s="728"/>
      <c r="J4954" s="148">
        <v>1.7999999999999999E-2</v>
      </c>
      <c r="K4954" s="148">
        <v>0</v>
      </c>
      <c r="L4954" s="148">
        <v>0.108</v>
      </c>
      <c r="M4954" s="728"/>
      <c r="N4954" s="148">
        <v>0.108</v>
      </c>
      <c r="O4954" s="148">
        <v>0</v>
      </c>
      <c r="P4954" s="148">
        <v>0.09</v>
      </c>
      <c r="Q4954" s="148">
        <v>1.7999999999999999E-2</v>
      </c>
      <c r="R4954" s="148">
        <v>20</v>
      </c>
    </row>
    <row r="4955" spans="2:18" ht="15.75" hidden="1" thickBot="1" x14ac:dyDescent="0.3">
      <c r="B4955" s="726" t="s">
        <v>816</v>
      </c>
      <c r="C4955" s="722" t="s">
        <v>592</v>
      </c>
      <c r="D4955" t="s">
        <v>593</v>
      </c>
      <c r="E4955" s="729"/>
      <c r="F4955" s="729"/>
      <c r="G4955" s="729"/>
      <c r="H4955" s="729"/>
      <c r="I4955" s="729"/>
      <c r="J4955" s="729"/>
      <c r="K4955" s="729"/>
      <c r="L4955" s="147">
        <v>1.4234100000000001</v>
      </c>
      <c r="M4955" s="729"/>
      <c r="N4955" s="147">
        <v>1.4234100000000001</v>
      </c>
      <c r="O4955" s="147">
        <v>0</v>
      </c>
      <c r="P4955" s="147">
        <v>1.28972</v>
      </c>
      <c r="Q4955" s="147">
        <v>0.13369</v>
      </c>
      <c r="R4955" s="147">
        <v>10.365815835995409</v>
      </c>
    </row>
    <row r="4956" spans="2:18" ht="15.75" hidden="1" thickBot="1" x14ac:dyDescent="0.3">
      <c r="B4956" s="726" t="s">
        <v>816</v>
      </c>
      <c r="C4956" s="722" t="s">
        <v>137</v>
      </c>
      <c r="D4956" t="s">
        <v>138</v>
      </c>
      <c r="E4956" s="148">
        <v>0.57552000000000003</v>
      </c>
      <c r="F4956" s="148">
        <v>0.35</v>
      </c>
      <c r="G4956" s="148">
        <v>0.22552</v>
      </c>
      <c r="H4956" s="148">
        <v>64.434285714285721</v>
      </c>
      <c r="I4956" s="728"/>
      <c r="J4956" s="148">
        <v>0.57552000000000003</v>
      </c>
      <c r="K4956" s="148">
        <v>0</v>
      </c>
      <c r="L4956" s="148">
        <v>3.2836400000000001</v>
      </c>
      <c r="M4956" s="148">
        <v>4.2</v>
      </c>
      <c r="N4956" s="148">
        <v>-0.91635999999999995</v>
      </c>
      <c r="O4956" s="148">
        <v>-21.818095238095239</v>
      </c>
      <c r="P4956" s="148">
        <v>2.1674799999999999</v>
      </c>
      <c r="Q4956" s="148">
        <v>1.11616</v>
      </c>
      <c r="R4956" s="148">
        <v>51.495746212191115</v>
      </c>
    </row>
    <row r="4957" spans="2:18" ht="15.75" hidden="1" thickBot="1" x14ac:dyDescent="0.3">
      <c r="B4957" s="726" t="s">
        <v>816</v>
      </c>
      <c r="C4957" s="722" t="s">
        <v>190</v>
      </c>
      <c r="D4957" t="s">
        <v>191</v>
      </c>
      <c r="E4957" s="729"/>
      <c r="F4957" s="729"/>
      <c r="G4957" s="729"/>
      <c r="H4957" s="729"/>
      <c r="I4957" s="729"/>
      <c r="J4957" s="729"/>
      <c r="K4957" s="729"/>
      <c r="L4957" s="147">
        <v>2.6099999999999999E-3</v>
      </c>
      <c r="M4957" s="729"/>
      <c r="N4957" s="147">
        <v>2.6099999999999999E-3</v>
      </c>
      <c r="O4957" s="147">
        <v>0</v>
      </c>
      <c r="P4957" s="729"/>
      <c r="Q4957" s="147">
        <v>2.6099999999999999E-3</v>
      </c>
      <c r="R4957" s="147">
        <v>0</v>
      </c>
    </row>
    <row r="4958" spans="2:18" ht="15.75" hidden="1" thickBot="1" x14ac:dyDescent="0.3">
      <c r="B4958" s="726" t="s">
        <v>816</v>
      </c>
      <c r="C4958" s="722" t="s">
        <v>36</v>
      </c>
      <c r="D4958" t="s">
        <v>192</v>
      </c>
      <c r="E4958" s="148">
        <v>3.7320199999999999</v>
      </c>
      <c r="F4958" s="148">
        <v>4</v>
      </c>
      <c r="G4958" s="148">
        <v>-0.26798</v>
      </c>
      <c r="H4958" s="148">
        <v>-6.6994999999999996</v>
      </c>
      <c r="I4958" s="728"/>
      <c r="J4958" s="148">
        <v>3.7320199999999999</v>
      </c>
      <c r="K4958" s="148">
        <v>0</v>
      </c>
      <c r="L4958" s="148">
        <v>109.51145</v>
      </c>
      <c r="M4958" s="148">
        <v>46</v>
      </c>
      <c r="N4958" s="148">
        <v>63.511450000000004</v>
      </c>
      <c r="O4958" s="148">
        <v>138.06836956521738</v>
      </c>
      <c r="P4958" s="148">
        <v>60.556719999999999</v>
      </c>
      <c r="Q4958" s="148">
        <v>48.954729999999998</v>
      </c>
      <c r="R4958" s="148">
        <v>80.841118871695826</v>
      </c>
    </row>
    <row r="4959" spans="2:18" ht="15.75" hidden="1" thickBot="1" x14ac:dyDescent="0.3">
      <c r="B4959" s="726" t="s">
        <v>816</v>
      </c>
      <c r="C4959" s="722" t="s">
        <v>139</v>
      </c>
      <c r="D4959" t="s">
        <v>140</v>
      </c>
      <c r="E4959" s="729"/>
      <c r="F4959" s="729"/>
      <c r="G4959" s="729"/>
      <c r="H4959" s="729"/>
      <c r="I4959" s="729"/>
      <c r="J4959" s="729"/>
      <c r="K4959" s="729"/>
      <c r="L4959" s="147">
        <v>1.98E-3</v>
      </c>
      <c r="M4959" s="729"/>
      <c r="N4959" s="147">
        <v>1.98E-3</v>
      </c>
      <c r="O4959" s="147">
        <v>0</v>
      </c>
      <c r="P4959" s="147">
        <v>1.98E-3</v>
      </c>
      <c r="Q4959" s="147">
        <v>0</v>
      </c>
      <c r="R4959" s="147">
        <v>0</v>
      </c>
    </row>
    <row r="4960" spans="2:18" ht="15.75" hidden="1" thickBot="1" x14ac:dyDescent="0.3">
      <c r="B4960" s="726" t="s">
        <v>816</v>
      </c>
      <c r="C4960" s="722" t="s">
        <v>101</v>
      </c>
      <c r="D4960" t="s">
        <v>102</v>
      </c>
      <c r="E4960" s="728"/>
      <c r="F4960" s="148">
        <v>2.2000000000000002</v>
      </c>
      <c r="G4960" s="148">
        <v>-2.2000000000000002</v>
      </c>
      <c r="H4960" s="148">
        <v>-100</v>
      </c>
      <c r="I4960" s="728"/>
      <c r="J4960" s="728"/>
      <c r="K4960" s="728"/>
      <c r="L4960" s="148">
        <v>1.63575</v>
      </c>
      <c r="M4960" s="148">
        <v>26.4</v>
      </c>
      <c r="N4960" s="148">
        <v>-24.764250000000001</v>
      </c>
      <c r="O4960" s="148">
        <v>-93.803977272727266</v>
      </c>
      <c r="P4960" s="148">
        <v>0.28355000000000002</v>
      </c>
      <c r="Q4960" s="148">
        <v>1.3522000000000001</v>
      </c>
      <c r="R4960" s="148">
        <v>476.88238405924881</v>
      </c>
    </row>
    <row r="4961" spans="2:18" ht="15.75" hidden="1" thickBot="1" x14ac:dyDescent="0.3">
      <c r="B4961" s="726" t="s">
        <v>816</v>
      </c>
      <c r="C4961" s="722" t="s">
        <v>462</v>
      </c>
      <c r="D4961" t="s">
        <v>463</v>
      </c>
      <c r="E4961" s="147">
        <v>2.368E-2</v>
      </c>
      <c r="F4961" s="729"/>
      <c r="G4961" s="147">
        <v>2.368E-2</v>
      </c>
      <c r="H4961" s="147">
        <v>0</v>
      </c>
      <c r="I4961" s="729"/>
      <c r="J4961" s="147">
        <v>2.368E-2</v>
      </c>
      <c r="K4961" s="147">
        <v>0</v>
      </c>
      <c r="L4961" s="147">
        <v>9.9909999999999999E-2</v>
      </c>
      <c r="M4961" s="729"/>
      <c r="N4961" s="147">
        <v>9.9909999999999999E-2</v>
      </c>
      <c r="O4961" s="147">
        <v>0</v>
      </c>
      <c r="P4961" s="147">
        <v>1.7590000000000001E-2</v>
      </c>
      <c r="Q4961" s="147">
        <v>8.2320000000000004E-2</v>
      </c>
      <c r="R4961" s="147">
        <v>467.99317794201249</v>
      </c>
    </row>
    <row r="4962" spans="2:18" ht="15.75" hidden="1" thickBot="1" x14ac:dyDescent="0.3">
      <c r="B4962" s="726" t="s">
        <v>816</v>
      </c>
      <c r="C4962" s="722" t="s">
        <v>613</v>
      </c>
      <c r="D4962" t="s">
        <v>614</v>
      </c>
      <c r="E4962" s="728"/>
      <c r="F4962" s="728"/>
      <c r="G4962" s="728"/>
      <c r="H4962" s="728"/>
      <c r="I4962" s="728"/>
      <c r="J4962" s="728"/>
      <c r="K4962" s="728"/>
      <c r="L4962" s="148">
        <v>1.37964</v>
      </c>
      <c r="M4962" s="728"/>
      <c r="N4962" s="148">
        <v>1.37964</v>
      </c>
      <c r="O4962" s="148">
        <v>0</v>
      </c>
      <c r="P4962" s="728"/>
      <c r="Q4962" s="148">
        <v>1.37964</v>
      </c>
      <c r="R4962" s="148">
        <v>0</v>
      </c>
    </row>
    <row r="4963" spans="2:18" ht="15.75" hidden="1" thickBot="1" x14ac:dyDescent="0.3">
      <c r="B4963" s="726" t="s">
        <v>816</v>
      </c>
      <c r="C4963" s="722" t="s">
        <v>193</v>
      </c>
      <c r="D4963" t="s">
        <v>194</v>
      </c>
      <c r="E4963" s="147">
        <v>0.25269999999999998</v>
      </c>
      <c r="F4963" s="729"/>
      <c r="G4963" s="147">
        <v>0.25269999999999998</v>
      </c>
      <c r="H4963" s="147">
        <v>0</v>
      </c>
      <c r="I4963" s="729"/>
      <c r="J4963" s="147">
        <v>0.25269999999999998</v>
      </c>
      <c r="K4963" s="147">
        <v>0</v>
      </c>
      <c r="L4963" s="147">
        <v>21.560230000000001</v>
      </c>
      <c r="M4963" s="729"/>
      <c r="N4963" s="147">
        <v>21.560230000000001</v>
      </c>
      <c r="O4963" s="147">
        <v>0</v>
      </c>
      <c r="P4963" s="147">
        <v>5.8487499999999999</v>
      </c>
      <c r="Q4963" s="147">
        <v>15.71148</v>
      </c>
      <c r="R4963" s="147">
        <v>268.62970720239366</v>
      </c>
    </row>
    <row r="4964" spans="2:18" ht="15.75" hidden="1" thickBot="1" x14ac:dyDescent="0.3">
      <c r="B4964" s="726" t="s">
        <v>816</v>
      </c>
      <c r="C4964" s="722" t="s">
        <v>195</v>
      </c>
      <c r="D4964" t="s">
        <v>196</v>
      </c>
      <c r="E4964" s="728"/>
      <c r="F4964" s="728"/>
      <c r="G4964" s="728"/>
      <c r="H4964" s="728"/>
      <c r="I4964" s="728"/>
      <c r="J4964" s="728"/>
      <c r="K4964" s="728"/>
      <c r="L4964" s="148">
        <v>18.55518</v>
      </c>
      <c r="M4964" s="728"/>
      <c r="N4964" s="148">
        <v>18.55518</v>
      </c>
      <c r="O4964" s="148">
        <v>0</v>
      </c>
      <c r="P4964" s="148">
        <v>9.0082900000000006</v>
      </c>
      <c r="Q4964" s="148">
        <v>9.5468899999999994</v>
      </c>
      <c r="R4964" s="148">
        <v>105.97893717897625</v>
      </c>
    </row>
    <row r="4965" spans="2:18" ht="15.75" hidden="1" thickBot="1" x14ac:dyDescent="0.3">
      <c r="B4965" s="726" t="s">
        <v>816</v>
      </c>
      <c r="C4965" s="722" t="s">
        <v>197</v>
      </c>
      <c r="D4965" t="s">
        <v>198</v>
      </c>
      <c r="E4965" s="147">
        <v>0.65039999999999998</v>
      </c>
      <c r="F4965" s="729"/>
      <c r="G4965" s="147">
        <v>0.65039999999999998</v>
      </c>
      <c r="H4965" s="147">
        <v>0</v>
      </c>
      <c r="I4965" s="729"/>
      <c r="J4965" s="147">
        <v>0.65039999999999998</v>
      </c>
      <c r="K4965" s="147">
        <v>0</v>
      </c>
      <c r="L4965" s="147">
        <v>6.6326900000000002</v>
      </c>
      <c r="M4965" s="729"/>
      <c r="N4965" s="147">
        <v>6.6326900000000002</v>
      </c>
      <c r="O4965" s="147">
        <v>0</v>
      </c>
      <c r="P4965" s="147">
        <v>2.5040399999999998</v>
      </c>
      <c r="Q4965" s="147">
        <v>4.1286500000000004</v>
      </c>
      <c r="R4965" s="147">
        <v>164.87955463970223</v>
      </c>
    </row>
    <row r="4966" spans="2:18" ht="15.75" hidden="1" thickBot="1" x14ac:dyDescent="0.3">
      <c r="B4966" s="726" t="s">
        <v>816</v>
      </c>
      <c r="C4966" s="722" t="s">
        <v>464</v>
      </c>
      <c r="D4966" t="s">
        <v>465</v>
      </c>
      <c r="E4966" s="728"/>
      <c r="F4966" s="728"/>
      <c r="G4966" s="728"/>
      <c r="H4966" s="728"/>
      <c r="I4966" s="728"/>
      <c r="J4966" s="728"/>
      <c r="K4966" s="728"/>
      <c r="L4966" s="148">
        <v>-0.65115999999999996</v>
      </c>
      <c r="M4966" s="728"/>
      <c r="N4966" s="148">
        <v>-0.65115999999999996</v>
      </c>
      <c r="O4966" s="148">
        <v>0</v>
      </c>
      <c r="P4966" s="148">
        <v>-0.65115999999999996</v>
      </c>
      <c r="Q4966" s="148">
        <v>0</v>
      </c>
      <c r="R4966" s="148">
        <v>0</v>
      </c>
    </row>
    <row r="4967" spans="2:18" ht="15.75" hidden="1" thickBot="1" x14ac:dyDescent="0.3">
      <c r="B4967" s="726" t="s">
        <v>816</v>
      </c>
      <c r="C4967" s="722" t="s">
        <v>619</v>
      </c>
      <c r="D4967" t="s">
        <v>620</v>
      </c>
      <c r="E4967" s="729"/>
      <c r="F4967" s="729"/>
      <c r="G4967" s="729"/>
      <c r="H4967" s="729"/>
      <c r="I4967" s="729"/>
      <c r="J4967" s="729"/>
      <c r="K4967" s="729"/>
      <c r="L4967" s="147">
        <v>4.0004</v>
      </c>
      <c r="M4967" s="729"/>
      <c r="N4967" s="147">
        <v>4.0004</v>
      </c>
      <c r="O4967" s="147">
        <v>0</v>
      </c>
      <c r="P4967" s="147">
        <v>2.8473999999999999</v>
      </c>
      <c r="Q4967" s="147">
        <v>1.153</v>
      </c>
      <c r="R4967" s="147">
        <v>40.493081407599917</v>
      </c>
    </row>
    <row r="4968" spans="2:18" ht="15.75" hidden="1" thickBot="1" x14ac:dyDescent="0.3">
      <c r="B4968" s="726" t="s">
        <v>816</v>
      </c>
      <c r="C4968" s="722" t="s">
        <v>103</v>
      </c>
      <c r="D4968" t="s">
        <v>104</v>
      </c>
      <c r="E4968" s="728"/>
      <c r="F4968" s="728"/>
      <c r="G4968" s="728"/>
      <c r="H4968" s="728"/>
      <c r="I4968" s="728"/>
      <c r="J4968" s="728"/>
      <c r="K4968" s="728"/>
      <c r="L4968" s="148">
        <v>3.82E-3</v>
      </c>
      <c r="M4968" s="728"/>
      <c r="N4968" s="148">
        <v>3.82E-3</v>
      </c>
      <c r="O4968" s="148">
        <v>0</v>
      </c>
      <c r="P4968" s="148">
        <v>5.9699999999999996E-3</v>
      </c>
      <c r="Q4968" s="148">
        <v>-2.15E-3</v>
      </c>
      <c r="R4968" s="148">
        <v>-36.013400335008377</v>
      </c>
    </row>
    <row r="4969" spans="2:18" ht="15.75" hidden="1" thickBot="1" x14ac:dyDescent="0.3">
      <c r="B4969" s="726" t="s">
        <v>816</v>
      </c>
      <c r="C4969" s="722" t="s">
        <v>113</v>
      </c>
      <c r="D4969" t="s">
        <v>114</v>
      </c>
      <c r="E4969" s="147">
        <v>2.7399999999999998E-3</v>
      </c>
      <c r="F4969" s="729"/>
      <c r="G4969" s="147">
        <v>2.7399999999999998E-3</v>
      </c>
      <c r="H4969" s="147">
        <v>0</v>
      </c>
      <c r="I4969" s="729"/>
      <c r="J4969" s="147">
        <v>2.7399999999999998E-3</v>
      </c>
      <c r="K4969" s="147">
        <v>0</v>
      </c>
      <c r="L4969" s="147">
        <v>6.089E-2</v>
      </c>
      <c r="M4969" s="729"/>
      <c r="N4969" s="147">
        <v>6.089E-2</v>
      </c>
      <c r="O4969" s="147">
        <v>0</v>
      </c>
      <c r="P4969" s="147">
        <v>4.5190000000000001E-2</v>
      </c>
      <c r="Q4969" s="147">
        <v>1.5699999999999999E-2</v>
      </c>
      <c r="R4969" s="147">
        <v>34.74219960168179</v>
      </c>
    </row>
    <row r="4970" spans="2:18" ht="15.75" hidden="1" thickBot="1" x14ac:dyDescent="0.3">
      <c r="B4970" s="726" t="s">
        <v>816</v>
      </c>
      <c r="C4970" s="722" t="s">
        <v>201</v>
      </c>
      <c r="D4970" t="s">
        <v>202</v>
      </c>
      <c r="E4970" s="728"/>
      <c r="F4970" s="148">
        <v>0.1</v>
      </c>
      <c r="G4970" s="148">
        <v>-0.1</v>
      </c>
      <c r="H4970" s="148">
        <v>-100</v>
      </c>
      <c r="I4970" s="728"/>
      <c r="J4970" s="728"/>
      <c r="K4970" s="728"/>
      <c r="L4970" s="728"/>
      <c r="M4970" s="148">
        <v>1.2</v>
      </c>
      <c r="N4970" s="148">
        <v>-1.2</v>
      </c>
      <c r="O4970" s="148">
        <v>-100</v>
      </c>
      <c r="P4970" s="728"/>
      <c r="Q4970" s="728"/>
      <c r="R4970" s="728"/>
    </row>
    <row r="4971" spans="2:18" ht="15.75" hidden="1" thickBot="1" x14ac:dyDescent="0.3">
      <c r="B4971" s="726" t="s">
        <v>816</v>
      </c>
      <c r="C4971" s="722" t="s">
        <v>145</v>
      </c>
      <c r="D4971" t="s">
        <v>146</v>
      </c>
      <c r="E4971" s="147">
        <v>9.0000000000000006E-5</v>
      </c>
      <c r="F4971" s="729"/>
      <c r="G4971" s="147">
        <v>9.0000000000000006E-5</v>
      </c>
      <c r="H4971" s="147">
        <v>0</v>
      </c>
      <c r="I4971" s="729"/>
      <c r="J4971" s="147">
        <v>9.0000000000000006E-5</v>
      </c>
      <c r="K4971" s="147">
        <v>0</v>
      </c>
      <c r="L4971" s="147">
        <v>5.2900000000000004E-3</v>
      </c>
      <c r="M4971" s="729"/>
      <c r="N4971" s="147">
        <v>5.2900000000000004E-3</v>
      </c>
      <c r="O4971" s="147">
        <v>0</v>
      </c>
      <c r="P4971" s="147">
        <v>6.8000000000000005E-4</v>
      </c>
      <c r="Q4971" s="147">
        <v>4.6100000000000004E-3</v>
      </c>
      <c r="R4971" s="147">
        <v>677.94117647058829</v>
      </c>
    </row>
    <row r="4972" spans="2:18" ht="15.75" hidden="1" thickBot="1" x14ac:dyDescent="0.3">
      <c r="B4972" s="726" t="s">
        <v>816</v>
      </c>
      <c r="C4972" s="722" t="s">
        <v>647</v>
      </c>
      <c r="D4972" t="s">
        <v>648</v>
      </c>
      <c r="E4972" s="728"/>
      <c r="F4972" s="728"/>
      <c r="G4972" s="728"/>
      <c r="H4972" s="728"/>
      <c r="I4972" s="728"/>
      <c r="J4972" s="728"/>
      <c r="K4972" s="728"/>
      <c r="L4972" s="148">
        <v>-4.6826499999999998</v>
      </c>
      <c r="M4972" s="728"/>
      <c r="N4972" s="148">
        <v>-4.6826499999999998</v>
      </c>
      <c r="O4972" s="148">
        <v>0</v>
      </c>
      <c r="P4972" s="148">
        <v>-4.48508</v>
      </c>
      <c r="Q4972" s="148">
        <v>-0.19757</v>
      </c>
      <c r="R4972" s="148">
        <v>-4.4050496312217398</v>
      </c>
    </row>
    <row r="4973" spans="2:18" ht="15.75" hidden="1" thickBot="1" x14ac:dyDescent="0.3">
      <c r="B4973" s="726" t="s">
        <v>816</v>
      </c>
      <c r="C4973" s="722" t="s">
        <v>173</v>
      </c>
      <c r="D4973" t="s">
        <v>174</v>
      </c>
      <c r="E4973" s="147">
        <v>0.50022</v>
      </c>
      <c r="F4973" s="147">
        <v>0.3</v>
      </c>
      <c r="G4973" s="147">
        <v>0.20022000000000001</v>
      </c>
      <c r="H4973" s="147">
        <v>66.739999999999995</v>
      </c>
      <c r="I4973" s="729"/>
      <c r="J4973" s="147">
        <v>0.50022</v>
      </c>
      <c r="K4973" s="147">
        <v>0</v>
      </c>
      <c r="L4973" s="147">
        <v>5.2808700000000002</v>
      </c>
      <c r="M4973" s="147">
        <v>3.6</v>
      </c>
      <c r="N4973" s="147">
        <v>1.6808700000000001</v>
      </c>
      <c r="O4973" s="147">
        <v>46.69083333333333</v>
      </c>
      <c r="P4973" s="147">
        <v>2.4598200000000001</v>
      </c>
      <c r="Q4973" s="147">
        <v>2.8210500000000001</v>
      </c>
      <c r="R4973" s="147">
        <v>114.68522086981974</v>
      </c>
    </row>
    <row r="4974" spans="2:18" ht="15.75" hidden="1" thickBot="1" x14ac:dyDescent="0.3">
      <c r="B4974" s="726" t="s">
        <v>816</v>
      </c>
      <c r="C4974" s="722" t="s">
        <v>661</v>
      </c>
      <c r="D4974" t="s">
        <v>662</v>
      </c>
      <c r="E4974" s="148">
        <v>-17.094930000000002</v>
      </c>
      <c r="F4974" s="728"/>
      <c r="G4974" s="148">
        <v>-17.094930000000002</v>
      </c>
      <c r="H4974" s="148">
        <v>0</v>
      </c>
      <c r="I4974" s="728"/>
      <c r="J4974" s="148">
        <v>-17.094930000000002</v>
      </c>
      <c r="K4974" s="148">
        <v>0</v>
      </c>
      <c r="L4974" s="148">
        <v>-11.666230000000001</v>
      </c>
      <c r="M4974" s="728"/>
      <c r="N4974" s="148">
        <v>-11.666230000000001</v>
      </c>
      <c r="O4974" s="148">
        <v>0</v>
      </c>
      <c r="P4974" s="148">
        <v>5.4287000000000001</v>
      </c>
      <c r="Q4974" s="148">
        <v>-17.094930000000002</v>
      </c>
      <c r="R4974" s="148">
        <v>-314.89914712546283</v>
      </c>
    </row>
    <row r="4975" spans="2:18" ht="15.75" hidden="1" thickBot="1" x14ac:dyDescent="0.3">
      <c r="B4975" s="726" t="s">
        <v>816</v>
      </c>
      <c r="C4975" s="722" t="s">
        <v>75</v>
      </c>
      <c r="D4975" t="s">
        <v>76</v>
      </c>
      <c r="E4975" s="729"/>
      <c r="F4975" s="729"/>
      <c r="G4975" s="729"/>
      <c r="H4975" s="729"/>
      <c r="I4975" s="729"/>
      <c r="J4975" s="729"/>
      <c r="K4975" s="729"/>
      <c r="L4975" s="147">
        <v>0.52100000000000002</v>
      </c>
      <c r="M4975" s="729"/>
      <c r="N4975" s="147">
        <v>0.52100000000000002</v>
      </c>
      <c r="O4975" s="147">
        <v>0</v>
      </c>
      <c r="P4975" s="147">
        <v>8.1700000000000002E-3</v>
      </c>
      <c r="Q4975" s="147">
        <v>0.51283000000000001</v>
      </c>
      <c r="R4975" s="147">
        <v>6276.9889840881269</v>
      </c>
    </row>
    <row r="4976" spans="2:18" ht="15.75" hidden="1" thickBot="1" x14ac:dyDescent="0.3">
      <c r="B4976" s="726" t="s">
        <v>816</v>
      </c>
      <c r="C4976" s="722" t="s">
        <v>121</v>
      </c>
      <c r="D4976" t="s">
        <v>122</v>
      </c>
      <c r="E4976" s="148">
        <v>5.4679999999999999E-2</v>
      </c>
      <c r="F4976" s="728"/>
      <c r="G4976" s="148">
        <v>5.4679999999999999E-2</v>
      </c>
      <c r="H4976" s="148">
        <v>0</v>
      </c>
      <c r="I4976" s="728"/>
      <c r="J4976" s="148">
        <v>5.4679999999999999E-2</v>
      </c>
      <c r="K4976" s="148">
        <v>0</v>
      </c>
      <c r="L4976" s="148">
        <v>0.46781</v>
      </c>
      <c r="M4976" s="728"/>
      <c r="N4976" s="148">
        <v>0.46781</v>
      </c>
      <c r="O4976" s="148">
        <v>0</v>
      </c>
      <c r="P4976" s="148">
        <v>0.18748999999999999</v>
      </c>
      <c r="Q4976" s="148">
        <v>0.28032000000000001</v>
      </c>
      <c r="R4976" s="148">
        <v>149.51197397194517</v>
      </c>
    </row>
    <row r="4977" spans="2:18" ht="15.75" hidden="1" thickBot="1" x14ac:dyDescent="0.3">
      <c r="B4977" s="726" t="s">
        <v>816</v>
      </c>
      <c r="C4977" s="722" t="s">
        <v>77</v>
      </c>
      <c r="D4977" t="s">
        <v>78</v>
      </c>
      <c r="E4977" s="729"/>
      <c r="F4977" s="729"/>
      <c r="G4977" s="729"/>
      <c r="H4977" s="729"/>
      <c r="I4977" s="729"/>
      <c r="J4977" s="729"/>
      <c r="K4977" s="729"/>
      <c r="L4977" s="147">
        <v>3.0200000000000001E-2</v>
      </c>
      <c r="M4977" s="729"/>
      <c r="N4977" s="147">
        <v>3.0200000000000001E-2</v>
      </c>
      <c r="O4977" s="147">
        <v>0</v>
      </c>
      <c r="P4977" s="729"/>
      <c r="Q4977" s="147">
        <v>3.0200000000000001E-2</v>
      </c>
      <c r="R4977" s="147">
        <v>0</v>
      </c>
    </row>
    <row r="4978" spans="2:18" ht="15.75" hidden="1" thickBot="1" x14ac:dyDescent="0.3">
      <c r="B4978" s="726" t="s">
        <v>816</v>
      </c>
      <c r="C4978" s="722" t="s">
        <v>79</v>
      </c>
      <c r="D4978" t="s">
        <v>80</v>
      </c>
      <c r="E4978" s="728"/>
      <c r="F4978" s="728"/>
      <c r="G4978" s="728"/>
      <c r="H4978" s="728"/>
      <c r="I4978" s="728"/>
      <c r="J4978" s="728"/>
      <c r="K4978" s="728"/>
      <c r="L4978" s="148">
        <v>5.185E-2</v>
      </c>
      <c r="M4978" s="728"/>
      <c r="N4978" s="148">
        <v>5.185E-2</v>
      </c>
      <c r="O4978" s="148">
        <v>0</v>
      </c>
      <c r="P4978" s="728"/>
      <c r="Q4978" s="148">
        <v>5.185E-2</v>
      </c>
      <c r="R4978" s="148">
        <v>0</v>
      </c>
    </row>
    <row r="4979" spans="2:18" ht="15.75" hidden="1" thickBot="1" x14ac:dyDescent="0.3">
      <c r="B4979" s="726" t="s">
        <v>816</v>
      </c>
      <c r="C4979" s="722" t="s">
        <v>123</v>
      </c>
      <c r="D4979" t="s">
        <v>124</v>
      </c>
      <c r="E4979" s="729"/>
      <c r="F4979" s="729"/>
      <c r="G4979" s="729"/>
      <c r="H4979" s="729"/>
      <c r="I4979" s="729"/>
      <c r="J4979" s="729"/>
      <c r="K4979" s="729"/>
      <c r="L4979" s="147">
        <v>4.8700000000000002E-3</v>
      </c>
      <c r="M4979" s="729"/>
      <c r="N4979" s="147">
        <v>4.8700000000000002E-3</v>
      </c>
      <c r="O4979" s="147">
        <v>0</v>
      </c>
      <c r="P4979" s="147">
        <v>4.8700000000000002E-3</v>
      </c>
      <c r="Q4979" s="147">
        <v>0</v>
      </c>
      <c r="R4979" s="147">
        <v>0</v>
      </c>
    </row>
    <row r="4980" spans="2:18" ht="15.75" hidden="1" thickBot="1" x14ac:dyDescent="0.3">
      <c r="B4980" s="726" t="s">
        <v>816</v>
      </c>
      <c r="C4980" s="722" t="s">
        <v>209</v>
      </c>
      <c r="D4980" t="s">
        <v>210</v>
      </c>
      <c r="E4980" s="148">
        <v>9.8710000000000006E-2</v>
      </c>
      <c r="F4980" s="728"/>
      <c r="G4980" s="148">
        <v>9.8710000000000006E-2</v>
      </c>
      <c r="H4980" s="148">
        <v>0</v>
      </c>
      <c r="I4980" s="728"/>
      <c r="J4980" s="148">
        <v>9.8710000000000006E-2</v>
      </c>
      <c r="K4980" s="148">
        <v>0</v>
      </c>
      <c r="L4980" s="148">
        <v>1.0817699999999999</v>
      </c>
      <c r="M4980" s="728"/>
      <c r="N4980" s="148">
        <v>1.0817699999999999</v>
      </c>
      <c r="O4980" s="148">
        <v>0</v>
      </c>
      <c r="P4980" s="148">
        <v>0.62436000000000003</v>
      </c>
      <c r="Q4980" s="148">
        <v>0.45740999999999998</v>
      </c>
      <c r="R4980" s="148">
        <v>73.260618873726699</v>
      </c>
    </row>
    <row r="4981" spans="2:18" ht="15.75" hidden="1" thickBot="1" x14ac:dyDescent="0.3">
      <c r="B4981" s="726" t="s">
        <v>816</v>
      </c>
      <c r="C4981" s="722" t="s">
        <v>211</v>
      </c>
      <c r="D4981" t="s">
        <v>212</v>
      </c>
      <c r="E4981" s="147">
        <v>6.5579999999999999E-2</v>
      </c>
      <c r="F4981" s="729"/>
      <c r="G4981" s="147">
        <v>6.5579999999999999E-2</v>
      </c>
      <c r="H4981" s="147">
        <v>0</v>
      </c>
      <c r="I4981" s="729"/>
      <c r="J4981" s="147">
        <v>6.5579999999999999E-2</v>
      </c>
      <c r="K4981" s="147">
        <v>0</v>
      </c>
      <c r="L4981" s="147">
        <v>0.91078000000000003</v>
      </c>
      <c r="M4981" s="729"/>
      <c r="N4981" s="147">
        <v>0.91078000000000003</v>
      </c>
      <c r="O4981" s="147">
        <v>0</v>
      </c>
      <c r="P4981" s="147">
        <v>0.23316000000000001</v>
      </c>
      <c r="Q4981" s="147">
        <v>0.67762</v>
      </c>
      <c r="R4981" s="147">
        <v>290.62446388745923</v>
      </c>
    </row>
    <row r="4982" spans="2:18" ht="15.75" hidden="1" thickBot="1" x14ac:dyDescent="0.3">
      <c r="B4982" s="726" t="s">
        <v>816</v>
      </c>
      <c r="C4982" s="722" t="s">
        <v>213</v>
      </c>
      <c r="D4982" t="s">
        <v>214</v>
      </c>
      <c r="E4982" s="148">
        <v>-0.50344</v>
      </c>
      <c r="F4982" s="728"/>
      <c r="G4982" s="148">
        <v>-0.50344</v>
      </c>
      <c r="H4982" s="148">
        <v>0</v>
      </c>
      <c r="I4982" s="728"/>
      <c r="J4982" s="148">
        <v>-0.50344</v>
      </c>
      <c r="K4982" s="148">
        <v>0</v>
      </c>
      <c r="L4982" s="148">
        <v>-2.6585800000000002</v>
      </c>
      <c r="M4982" s="728"/>
      <c r="N4982" s="148">
        <v>-2.6585800000000002</v>
      </c>
      <c r="O4982" s="148">
        <v>0</v>
      </c>
      <c r="P4982" s="148">
        <v>-1.9207799999999999</v>
      </c>
      <c r="Q4982" s="148">
        <v>-0.73780000000000001</v>
      </c>
      <c r="R4982" s="148">
        <v>-38.411478670123593</v>
      </c>
    </row>
    <row r="4983" spans="2:18" ht="15.75" hidden="1" thickBot="1" x14ac:dyDescent="0.3">
      <c r="B4983" s="726" t="s">
        <v>816</v>
      </c>
      <c r="C4983" s="722" t="s">
        <v>215</v>
      </c>
      <c r="D4983" t="s">
        <v>216</v>
      </c>
      <c r="E4983" s="147">
        <v>-0.21429999999999999</v>
      </c>
      <c r="F4983" s="729"/>
      <c r="G4983" s="147">
        <v>-0.21429999999999999</v>
      </c>
      <c r="H4983" s="147">
        <v>0</v>
      </c>
      <c r="I4983" s="729"/>
      <c r="J4983" s="147">
        <v>-0.21429999999999999</v>
      </c>
      <c r="K4983" s="147">
        <v>0</v>
      </c>
      <c r="L4983" s="147">
        <v>-3.7288199999999998</v>
      </c>
      <c r="M4983" s="729"/>
      <c r="N4983" s="147">
        <v>-3.7288199999999998</v>
      </c>
      <c r="O4983" s="147">
        <v>0</v>
      </c>
      <c r="P4983" s="147">
        <v>-1.9287000000000001</v>
      </c>
      <c r="Q4983" s="147">
        <v>-1.8001199999999999</v>
      </c>
      <c r="R4983" s="147">
        <v>-93.333333333333329</v>
      </c>
    </row>
    <row r="4984" spans="2:18" ht="15.75" hidden="1" thickBot="1" x14ac:dyDescent="0.3">
      <c r="B4984" s="726" t="s">
        <v>816</v>
      </c>
      <c r="C4984" s="149" t="s">
        <v>85</v>
      </c>
      <c r="D4984" t="s">
        <v>86</v>
      </c>
      <c r="E4984" s="148">
        <v>-11.83619</v>
      </c>
      <c r="F4984" s="148">
        <v>8.4499999999999993</v>
      </c>
      <c r="G4984" s="148">
        <v>-20.286190000000001</v>
      </c>
      <c r="H4984" s="148">
        <v>-240.07325443786982</v>
      </c>
      <c r="I4984" s="728"/>
      <c r="J4984" s="148">
        <v>-11.83619</v>
      </c>
      <c r="K4984" s="148">
        <v>0</v>
      </c>
      <c r="L4984" s="148">
        <v>158.86308</v>
      </c>
      <c r="M4984" s="148">
        <v>99.4</v>
      </c>
      <c r="N4984" s="148">
        <v>59.463079999999998</v>
      </c>
      <c r="O4984" s="148">
        <v>59.82201207243461</v>
      </c>
      <c r="P4984" s="148">
        <v>88.451409999999996</v>
      </c>
      <c r="Q4984" s="148">
        <v>70.411670000000001</v>
      </c>
      <c r="R4984" s="148">
        <v>79.604915286257167</v>
      </c>
    </row>
    <row r="4985" spans="2:18" ht="15.75" hidden="1" thickBot="1" x14ac:dyDescent="0.3">
      <c r="B4985" s="726" t="s">
        <v>816</v>
      </c>
      <c r="C4985" s="144" t="s">
        <v>87</v>
      </c>
      <c r="D4985" t="s">
        <v>87</v>
      </c>
      <c r="E4985" s="147">
        <v>27.957740000000001</v>
      </c>
      <c r="F4985" s="147">
        <v>49.747300000000003</v>
      </c>
      <c r="G4985" s="147">
        <v>-21.789560000000002</v>
      </c>
      <c r="H4985" s="147">
        <v>-43.800487664657176</v>
      </c>
      <c r="I4985" s="729"/>
      <c r="J4985" s="147">
        <v>27.957740000000001</v>
      </c>
      <c r="K4985" s="147">
        <v>0</v>
      </c>
      <c r="L4985" s="147">
        <v>778.56515000000002</v>
      </c>
      <c r="M4985" s="147">
        <v>581.76700000000005</v>
      </c>
      <c r="N4985" s="147">
        <v>196.79814999999999</v>
      </c>
      <c r="O4985" s="147">
        <v>33.827657808022799</v>
      </c>
      <c r="P4985" s="147">
        <v>413.71978999999999</v>
      </c>
      <c r="Q4985" s="147">
        <v>364.84536000000003</v>
      </c>
      <c r="R4985" s="147">
        <v>88.186586384953927</v>
      </c>
    </row>
    <row r="4986" spans="2:18" ht="15.75" hidden="1" thickBot="1" x14ac:dyDescent="0.3">
      <c r="B4986" s="726" t="s">
        <v>817</v>
      </c>
      <c r="C4986" s="722" t="s">
        <v>59</v>
      </c>
      <c r="D4986" t="s">
        <v>60</v>
      </c>
      <c r="E4986" s="148">
        <v>58.82647</v>
      </c>
      <c r="F4986" s="148">
        <v>69.669020000000003</v>
      </c>
      <c r="G4986" s="148">
        <v>-10.842549999999999</v>
      </c>
      <c r="H4986" s="148">
        <v>-15.562943184790026</v>
      </c>
      <c r="I4986" s="728"/>
      <c r="J4986" s="148">
        <v>58.82647</v>
      </c>
      <c r="K4986" s="148">
        <v>0</v>
      </c>
      <c r="L4986" s="148">
        <v>805.15427999999997</v>
      </c>
      <c r="M4986" s="148">
        <v>831.64229999999998</v>
      </c>
      <c r="N4986" s="148">
        <v>-26.488019999999999</v>
      </c>
      <c r="O4986" s="148">
        <v>-3.1850255813106187</v>
      </c>
      <c r="P4986" s="148">
        <v>417.64749999999998</v>
      </c>
      <c r="Q4986" s="148">
        <v>387.50677999999999</v>
      </c>
      <c r="R4986" s="148">
        <v>92.783215510687839</v>
      </c>
    </row>
    <row r="4987" spans="2:18" ht="15.75" hidden="1" thickBot="1" x14ac:dyDescent="0.3">
      <c r="B4987" s="726" t="s">
        <v>817</v>
      </c>
      <c r="C4987" s="722" t="s">
        <v>178</v>
      </c>
      <c r="D4987" t="s">
        <v>179</v>
      </c>
      <c r="E4987" s="729"/>
      <c r="F4987" s="729"/>
      <c r="G4987" s="729"/>
      <c r="H4987" s="729"/>
      <c r="I4987" s="729"/>
      <c r="J4987" s="729"/>
      <c r="K4987" s="729"/>
      <c r="L4987" s="147">
        <v>0</v>
      </c>
      <c r="M4987" s="729"/>
      <c r="N4987" s="147">
        <v>0</v>
      </c>
      <c r="O4987" s="147">
        <v>0</v>
      </c>
      <c r="P4987" s="147">
        <v>0</v>
      </c>
      <c r="Q4987" s="147">
        <v>0</v>
      </c>
      <c r="R4987" s="147">
        <v>0</v>
      </c>
    </row>
    <row r="4988" spans="2:18" ht="15.75" hidden="1" thickBot="1" x14ac:dyDescent="0.3">
      <c r="B4988" s="726" t="s">
        <v>817</v>
      </c>
      <c r="C4988" s="722" t="s">
        <v>89</v>
      </c>
      <c r="D4988" t="s">
        <v>90</v>
      </c>
      <c r="E4988" s="148">
        <v>40.222540000000002</v>
      </c>
      <c r="F4988" s="728"/>
      <c r="G4988" s="148">
        <v>40.222540000000002</v>
      </c>
      <c r="H4988" s="148">
        <v>0</v>
      </c>
      <c r="I4988" s="728"/>
      <c r="J4988" s="148">
        <v>40.222540000000002</v>
      </c>
      <c r="K4988" s="148">
        <v>0</v>
      </c>
      <c r="L4988" s="148">
        <v>416.89756</v>
      </c>
      <c r="M4988" s="728"/>
      <c r="N4988" s="148">
        <v>416.89756</v>
      </c>
      <c r="O4988" s="148">
        <v>0</v>
      </c>
      <c r="P4988" s="148">
        <v>184.89198999999999</v>
      </c>
      <c r="Q4988" s="148">
        <v>232.00557000000001</v>
      </c>
      <c r="R4988" s="148">
        <v>125.48167716730184</v>
      </c>
    </row>
    <row r="4989" spans="2:18" ht="15.75" hidden="1" thickBot="1" x14ac:dyDescent="0.3">
      <c r="B4989" s="726" t="s">
        <v>817</v>
      </c>
      <c r="C4989" s="722" t="s">
        <v>91</v>
      </c>
      <c r="D4989" t="s">
        <v>92</v>
      </c>
      <c r="E4989" s="147">
        <v>485.74263000000002</v>
      </c>
      <c r="F4989" s="147">
        <v>651.90746999999999</v>
      </c>
      <c r="G4989" s="147">
        <v>-166.16484</v>
      </c>
      <c r="H4989" s="147">
        <v>-25.489022238079279</v>
      </c>
      <c r="I4989" s="729"/>
      <c r="J4989" s="147">
        <v>485.74263000000002</v>
      </c>
      <c r="K4989" s="147">
        <v>0</v>
      </c>
      <c r="L4989" s="147">
        <v>7238.5160100000003</v>
      </c>
      <c r="M4989" s="147">
        <v>7656.2031800000004</v>
      </c>
      <c r="N4989" s="147">
        <v>-417.68716999999998</v>
      </c>
      <c r="O4989" s="147">
        <v>-5.4555392559474889</v>
      </c>
      <c r="P4989" s="147">
        <v>3674.4143300000001</v>
      </c>
      <c r="Q4989" s="147">
        <v>3564.1016800000002</v>
      </c>
      <c r="R4989" s="147">
        <v>96.99781679220699</v>
      </c>
    </row>
    <row r="4990" spans="2:18" ht="15.75" hidden="1" thickBot="1" x14ac:dyDescent="0.3">
      <c r="B4990" s="726" t="s">
        <v>817</v>
      </c>
      <c r="C4990" s="722" t="s">
        <v>93</v>
      </c>
      <c r="D4990" t="s">
        <v>94</v>
      </c>
      <c r="E4990" s="148">
        <v>38.642569999999999</v>
      </c>
      <c r="F4990" s="148">
        <v>16.884219999999999</v>
      </c>
      <c r="G4990" s="148">
        <v>21.75835</v>
      </c>
      <c r="H4990" s="148">
        <v>128.86796073493474</v>
      </c>
      <c r="I4990" s="728"/>
      <c r="J4990" s="148">
        <v>38.642569999999999</v>
      </c>
      <c r="K4990" s="148">
        <v>0</v>
      </c>
      <c r="L4990" s="148">
        <v>880.45285999999999</v>
      </c>
      <c r="M4990" s="148">
        <v>212.08982</v>
      </c>
      <c r="N4990" s="148">
        <v>668.36303999999996</v>
      </c>
      <c r="O4990" s="148">
        <v>315.13206998808334</v>
      </c>
      <c r="P4990" s="148">
        <v>473.19632000000001</v>
      </c>
      <c r="Q4990" s="148">
        <v>407.25653999999997</v>
      </c>
      <c r="R4990" s="148">
        <v>86.06502687932992</v>
      </c>
    </row>
    <row r="4991" spans="2:18" ht="15.75" hidden="1" thickBot="1" x14ac:dyDescent="0.3">
      <c r="B4991" s="726" t="s">
        <v>817</v>
      </c>
      <c r="C4991" s="722" t="s">
        <v>134</v>
      </c>
      <c r="D4991" t="s">
        <v>135</v>
      </c>
      <c r="E4991" s="147">
        <v>80.202449999999999</v>
      </c>
      <c r="F4991" s="729"/>
      <c r="G4991" s="147">
        <v>80.202449999999999</v>
      </c>
      <c r="H4991" s="147">
        <v>0</v>
      </c>
      <c r="I4991" s="729"/>
      <c r="J4991" s="147">
        <v>80.202449999999999</v>
      </c>
      <c r="K4991" s="147">
        <v>0</v>
      </c>
      <c r="L4991" s="147">
        <v>80.328450000000004</v>
      </c>
      <c r="M4991" s="729"/>
      <c r="N4991" s="147">
        <v>80.328450000000004</v>
      </c>
      <c r="O4991" s="147">
        <v>0</v>
      </c>
      <c r="P4991" s="147">
        <v>0.126</v>
      </c>
      <c r="Q4991" s="147">
        <v>80.202449999999999</v>
      </c>
      <c r="R4991" s="147">
        <v>63652.738095238092</v>
      </c>
    </row>
    <row r="4992" spans="2:18" ht="15.75" hidden="1" thickBot="1" x14ac:dyDescent="0.3">
      <c r="B4992" s="726" t="s">
        <v>817</v>
      </c>
      <c r="C4992" s="722" t="s">
        <v>95</v>
      </c>
      <c r="D4992" t="s">
        <v>96</v>
      </c>
      <c r="E4992" s="728"/>
      <c r="F4992" s="728"/>
      <c r="G4992" s="728"/>
      <c r="H4992" s="728"/>
      <c r="I4992" s="728"/>
      <c r="J4992" s="728"/>
      <c r="K4992" s="728"/>
      <c r="L4992" s="148">
        <v>0.37801000000000001</v>
      </c>
      <c r="M4992" s="728"/>
      <c r="N4992" s="148">
        <v>0.37801000000000001</v>
      </c>
      <c r="O4992" s="148">
        <v>0</v>
      </c>
      <c r="P4992" s="148">
        <v>0.37801000000000001</v>
      </c>
      <c r="Q4992" s="148">
        <v>0</v>
      </c>
      <c r="R4992" s="148">
        <v>0</v>
      </c>
    </row>
    <row r="4993" spans="2:18" ht="15.75" hidden="1" thickBot="1" x14ac:dyDescent="0.3">
      <c r="B4993" s="726" t="s">
        <v>817</v>
      </c>
      <c r="C4993" s="722" t="s">
        <v>61</v>
      </c>
      <c r="D4993" t="s">
        <v>62</v>
      </c>
      <c r="E4993" s="147">
        <v>104.17398</v>
      </c>
      <c r="F4993" s="147">
        <v>111.84435999999999</v>
      </c>
      <c r="G4993" s="147">
        <v>-7.6703799999999998</v>
      </c>
      <c r="H4993" s="147">
        <v>-6.8580838586764683</v>
      </c>
      <c r="I4993" s="729"/>
      <c r="J4993" s="147">
        <v>104.17398</v>
      </c>
      <c r="K4993" s="147">
        <v>0</v>
      </c>
      <c r="L4993" s="147">
        <v>1235.9182499999999</v>
      </c>
      <c r="M4993" s="147">
        <v>1315.6160400000001</v>
      </c>
      <c r="N4993" s="147">
        <v>-79.697789999999998</v>
      </c>
      <c r="O4993" s="147">
        <v>-6.0578305202177374</v>
      </c>
      <c r="P4993" s="147">
        <v>600.17849000000001</v>
      </c>
      <c r="Q4993" s="147">
        <v>635.73976000000005</v>
      </c>
      <c r="R4993" s="147">
        <v>105.92511571016149</v>
      </c>
    </row>
    <row r="4994" spans="2:18" ht="15.75" hidden="1" thickBot="1" x14ac:dyDescent="0.3">
      <c r="B4994" s="726" t="s">
        <v>817</v>
      </c>
      <c r="C4994" s="722" t="s">
        <v>63</v>
      </c>
      <c r="D4994" t="s">
        <v>64</v>
      </c>
      <c r="E4994" s="148">
        <v>415.01254999999998</v>
      </c>
      <c r="F4994" s="148">
        <v>435.11061999999998</v>
      </c>
      <c r="G4994" s="148">
        <v>-20.09807</v>
      </c>
      <c r="H4994" s="148">
        <v>-4.6190713524758369</v>
      </c>
      <c r="I4994" s="728"/>
      <c r="J4994" s="148">
        <v>415.01254999999998</v>
      </c>
      <c r="K4994" s="148">
        <v>0</v>
      </c>
      <c r="L4994" s="148">
        <v>4975.5567300000002</v>
      </c>
      <c r="M4994" s="148">
        <v>5118.1708200000003</v>
      </c>
      <c r="N4994" s="148">
        <v>-142.61409</v>
      </c>
      <c r="O4994" s="148">
        <v>-2.7864269289863208</v>
      </c>
      <c r="P4994" s="148">
        <v>2439.6514099999999</v>
      </c>
      <c r="Q4994" s="148">
        <v>2535.9053199999998</v>
      </c>
      <c r="R4994" s="148">
        <v>103.94539603508355</v>
      </c>
    </row>
    <row r="4995" spans="2:18" ht="15.75" hidden="1" thickBot="1" x14ac:dyDescent="0.3">
      <c r="B4995" s="726" t="s">
        <v>817</v>
      </c>
      <c r="C4995" s="722" t="s">
        <v>156</v>
      </c>
      <c r="D4995" t="s">
        <v>157</v>
      </c>
      <c r="E4995" s="147">
        <v>2.9084699999999999</v>
      </c>
      <c r="F4995" s="729"/>
      <c r="G4995" s="147">
        <v>2.9084699999999999</v>
      </c>
      <c r="H4995" s="147">
        <v>0</v>
      </c>
      <c r="I4995" s="729"/>
      <c r="J4995" s="147">
        <v>2.9084699999999999</v>
      </c>
      <c r="K4995" s="147">
        <v>0</v>
      </c>
      <c r="L4995" s="147">
        <v>8.5006400000000006</v>
      </c>
      <c r="M4995" s="729"/>
      <c r="N4995" s="147">
        <v>8.5006400000000006</v>
      </c>
      <c r="O4995" s="147">
        <v>0</v>
      </c>
      <c r="P4995" s="147">
        <v>1.83673</v>
      </c>
      <c r="Q4995" s="147">
        <v>6.6639099999999996</v>
      </c>
      <c r="R4995" s="147">
        <v>362.81380496861271</v>
      </c>
    </row>
    <row r="4996" spans="2:18" ht="15.75" hidden="1" thickBot="1" x14ac:dyDescent="0.3">
      <c r="B4996" s="726" t="s">
        <v>817</v>
      </c>
      <c r="C4996" s="722" t="s">
        <v>182</v>
      </c>
      <c r="D4996" t="s">
        <v>183</v>
      </c>
      <c r="E4996" s="148">
        <v>17.504960000000001</v>
      </c>
      <c r="F4996" s="728"/>
      <c r="G4996" s="148">
        <v>17.504960000000001</v>
      </c>
      <c r="H4996" s="148">
        <v>0</v>
      </c>
      <c r="I4996" s="728"/>
      <c r="J4996" s="148">
        <v>17.504960000000001</v>
      </c>
      <c r="K4996" s="148">
        <v>0</v>
      </c>
      <c r="L4996" s="148">
        <v>291.21850999999998</v>
      </c>
      <c r="M4996" s="728"/>
      <c r="N4996" s="148">
        <v>291.21850999999998</v>
      </c>
      <c r="O4996" s="148">
        <v>0</v>
      </c>
      <c r="P4996" s="148">
        <v>139.65885</v>
      </c>
      <c r="Q4996" s="148">
        <v>151.55966000000001</v>
      </c>
      <c r="R4996" s="148">
        <v>108.52134325894851</v>
      </c>
    </row>
    <row r="4997" spans="2:18" ht="15.75" hidden="1" thickBot="1" x14ac:dyDescent="0.3">
      <c r="B4997" s="726" t="s">
        <v>817</v>
      </c>
      <c r="C4997" s="722" t="s">
        <v>184</v>
      </c>
      <c r="D4997" t="s">
        <v>185</v>
      </c>
      <c r="E4997" s="147">
        <v>13.27319</v>
      </c>
      <c r="F4997" s="729"/>
      <c r="G4997" s="147">
        <v>13.27319</v>
      </c>
      <c r="H4997" s="147">
        <v>0</v>
      </c>
      <c r="I4997" s="729"/>
      <c r="J4997" s="147">
        <v>13.27319</v>
      </c>
      <c r="K4997" s="147">
        <v>0</v>
      </c>
      <c r="L4997" s="147">
        <v>2832.51442</v>
      </c>
      <c r="M4997" s="729"/>
      <c r="N4997" s="147">
        <v>2832.51442</v>
      </c>
      <c r="O4997" s="147">
        <v>0</v>
      </c>
      <c r="P4997" s="147">
        <v>1556.61698</v>
      </c>
      <c r="Q4997" s="147">
        <v>1275.89744</v>
      </c>
      <c r="R4997" s="147">
        <v>81.966049220406163</v>
      </c>
    </row>
    <row r="4998" spans="2:18" ht="15.75" hidden="1" thickBot="1" x14ac:dyDescent="0.3">
      <c r="B4998" s="726" t="s">
        <v>817</v>
      </c>
      <c r="C4998" s="722" t="s">
        <v>161</v>
      </c>
      <c r="D4998" t="s">
        <v>162</v>
      </c>
      <c r="E4998" s="148">
        <v>0.11613999999999999</v>
      </c>
      <c r="F4998" s="728"/>
      <c r="G4998" s="148">
        <v>0.11613999999999999</v>
      </c>
      <c r="H4998" s="148">
        <v>0</v>
      </c>
      <c r="I4998" s="728"/>
      <c r="J4998" s="148">
        <v>0.11613999999999999</v>
      </c>
      <c r="K4998" s="148">
        <v>0</v>
      </c>
      <c r="L4998" s="148">
        <v>250.29522</v>
      </c>
      <c r="M4998" s="728"/>
      <c r="N4998" s="148">
        <v>250.29522</v>
      </c>
      <c r="O4998" s="148">
        <v>0</v>
      </c>
      <c r="P4998" s="148">
        <v>121.28386999999999</v>
      </c>
      <c r="Q4998" s="148">
        <v>129.01134999999999</v>
      </c>
      <c r="R4998" s="148">
        <v>106.3713995933672</v>
      </c>
    </row>
    <row r="4999" spans="2:18" ht="15.75" hidden="1" thickBot="1" x14ac:dyDescent="0.3">
      <c r="B4999" s="726" t="s">
        <v>817</v>
      </c>
      <c r="C4999" s="722" t="s">
        <v>65</v>
      </c>
      <c r="D4999" t="s">
        <v>66</v>
      </c>
      <c r="E4999" s="147">
        <v>-55.565820000000002</v>
      </c>
      <c r="F4999" s="147">
        <v>-94.308149999999998</v>
      </c>
      <c r="G4999" s="147">
        <v>38.742330000000003</v>
      </c>
      <c r="H4999" s="147">
        <v>41.080574690522504</v>
      </c>
      <c r="I4999" s="729"/>
      <c r="J4999" s="147">
        <v>-55.565820000000002</v>
      </c>
      <c r="K4999" s="147">
        <v>0</v>
      </c>
      <c r="L4999" s="147">
        <v>-1000.76192</v>
      </c>
      <c r="M4999" s="147">
        <v>-1125.76072</v>
      </c>
      <c r="N4999" s="147">
        <v>124.9988</v>
      </c>
      <c r="O4999" s="147">
        <v>11.103496309588772</v>
      </c>
      <c r="P4999" s="147">
        <v>-546.53452000000004</v>
      </c>
      <c r="Q4999" s="147">
        <v>-454.22739999999999</v>
      </c>
      <c r="R4999" s="147">
        <v>-83.110468484223105</v>
      </c>
    </row>
    <row r="5000" spans="2:18" ht="15.75" hidden="1" thickBot="1" x14ac:dyDescent="0.3">
      <c r="B5000" s="726" t="s">
        <v>817</v>
      </c>
      <c r="C5000" s="722" t="s">
        <v>186</v>
      </c>
      <c r="D5000" t="s">
        <v>187</v>
      </c>
      <c r="E5000" s="148">
        <v>-39.175060000000002</v>
      </c>
      <c r="F5000" s="728"/>
      <c r="G5000" s="148">
        <v>-39.175060000000002</v>
      </c>
      <c r="H5000" s="148">
        <v>0</v>
      </c>
      <c r="I5000" s="728"/>
      <c r="J5000" s="148">
        <v>-39.175060000000002</v>
      </c>
      <c r="K5000" s="148">
        <v>0</v>
      </c>
      <c r="L5000" s="148">
        <v>-481.28357</v>
      </c>
      <c r="M5000" s="728"/>
      <c r="N5000" s="148">
        <v>-481.28357</v>
      </c>
      <c r="O5000" s="148">
        <v>0</v>
      </c>
      <c r="P5000" s="148">
        <v>-211.47147000000001</v>
      </c>
      <c r="Q5000" s="148">
        <v>-269.81209999999999</v>
      </c>
      <c r="R5000" s="148">
        <v>-127.58794365972867</v>
      </c>
    </row>
    <row r="5001" spans="2:18" ht="15.75" hidden="1" thickBot="1" x14ac:dyDescent="0.3">
      <c r="B5001" s="726" t="s">
        <v>817</v>
      </c>
      <c r="C5001" s="722" t="s">
        <v>163</v>
      </c>
      <c r="D5001" t="s">
        <v>164</v>
      </c>
      <c r="E5001" s="147">
        <v>-904.08734000000004</v>
      </c>
      <c r="F5001" s="147">
        <v>-873.51406999999995</v>
      </c>
      <c r="G5001" s="147">
        <v>-30.573270000000001</v>
      </c>
      <c r="H5001" s="147">
        <v>-3.5000317739587183</v>
      </c>
      <c r="I5001" s="729"/>
      <c r="J5001" s="147">
        <v>-904.08734000000004</v>
      </c>
      <c r="K5001" s="147">
        <v>0</v>
      </c>
      <c r="L5001" s="147">
        <v>-12271.33826</v>
      </c>
      <c r="M5001" s="147">
        <v>-10242.025900000001</v>
      </c>
      <c r="N5001" s="147">
        <v>-2029.3123599999999</v>
      </c>
      <c r="O5001" s="147">
        <v>-19.813583560650827</v>
      </c>
      <c r="P5001" s="147">
        <v>-6262.3086199999998</v>
      </c>
      <c r="Q5001" s="147">
        <v>-6009.0296399999997</v>
      </c>
      <c r="R5001" s="147">
        <v>-95.955501471276904</v>
      </c>
    </row>
    <row r="5002" spans="2:18" ht="15.75" hidden="1" thickBot="1" x14ac:dyDescent="0.3">
      <c r="B5002" s="726" t="s">
        <v>817</v>
      </c>
      <c r="C5002" s="722" t="s">
        <v>97</v>
      </c>
      <c r="D5002" t="s">
        <v>98</v>
      </c>
      <c r="E5002" s="148">
        <v>-54.84404</v>
      </c>
      <c r="F5002" s="728"/>
      <c r="G5002" s="148">
        <v>-54.84404</v>
      </c>
      <c r="H5002" s="148">
        <v>0</v>
      </c>
      <c r="I5002" s="728"/>
      <c r="J5002" s="148">
        <v>-54.84404</v>
      </c>
      <c r="K5002" s="148">
        <v>0</v>
      </c>
      <c r="L5002" s="148">
        <v>-1041.5807299999999</v>
      </c>
      <c r="M5002" s="728"/>
      <c r="N5002" s="148">
        <v>-1041.5807299999999</v>
      </c>
      <c r="O5002" s="148">
        <v>0</v>
      </c>
      <c r="P5002" s="148">
        <v>-548.69686999999999</v>
      </c>
      <c r="Q5002" s="148">
        <v>-492.88386000000003</v>
      </c>
      <c r="R5002" s="148">
        <v>-89.828079391085282</v>
      </c>
    </row>
    <row r="5003" spans="2:18" ht="15.75" hidden="1" thickBot="1" x14ac:dyDescent="0.3">
      <c r="B5003" s="726" t="s">
        <v>817</v>
      </c>
      <c r="C5003" s="149" t="s">
        <v>67</v>
      </c>
      <c r="D5003" t="s">
        <v>68</v>
      </c>
      <c r="E5003" s="147">
        <v>202.95368999999999</v>
      </c>
      <c r="F5003" s="147">
        <v>317.59347000000002</v>
      </c>
      <c r="G5003" s="147">
        <v>-114.63978</v>
      </c>
      <c r="H5003" s="147">
        <v>-36.096390772769979</v>
      </c>
      <c r="I5003" s="729"/>
      <c r="J5003" s="147">
        <v>202.95368999999999</v>
      </c>
      <c r="K5003" s="147">
        <v>0</v>
      </c>
      <c r="L5003" s="147">
        <v>4220.7664599999998</v>
      </c>
      <c r="M5003" s="147">
        <v>3765.9355399999999</v>
      </c>
      <c r="N5003" s="147">
        <v>454.83091999999999</v>
      </c>
      <c r="O5003" s="147">
        <v>12.077501464616146</v>
      </c>
      <c r="P5003" s="147">
        <v>2040.8689999999999</v>
      </c>
      <c r="Q5003" s="147">
        <v>2179.8974600000001</v>
      </c>
      <c r="R5003" s="147">
        <v>106.81221871663493</v>
      </c>
    </row>
    <row r="5004" spans="2:18" ht="15.75" hidden="1" thickBot="1" x14ac:dyDescent="0.3">
      <c r="B5004" s="726" t="s">
        <v>817</v>
      </c>
      <c r="C5004" s="722" t="s">
        <v>69</v>
      </c>
      <c r="D5004" t="s">
        <v>70</v>
      </c>
      <c r="E5004" s="728"/>
      <c r="F5004" s="728"/>
      <c r="G5004" s="728"/>
      <c r="H5004" s="728"/>
      <c r="I5004" s="728"/>
      <c r="J5004" s="728"/>
      <c r="K5004" s="728"/>
      <c r="L5004" s="148">
        <v>0.32077</v>
      </c>
      <c r="M5004" s="728"/>
      <c r="N5004" s="148">
        <v>0.32077</v>
      </c>
      <c r="O5004" s="148">
        <v>0</v>
      </c>
      <c r="P5004" s="148">
        <v>0.18590999999999999</v>
      </c>
      <c r="Q5004" s="148">
        <v>0.13486000000000001</v>
      </c>
      <c r="R5004" s="148">
        <v>72.540476574686679</v>
      </c>
    </row>
    <row r="5005" spans="2:18" ht="15.75" hidden="1" thickBot="1" x14ac:dyDescent="0.3">
      <c r="B5005" s="726" t="s">
        <v>817</v>
      </c>
      <c r="C5005" s="722" t="s">
        <v>99</v>
      </c>
      <c r="D5005" t="s">
        <v>100</v>
      </c>
      <c r="E5005" s="729"/>
      <c r="F5005" s="147">
        <v>8</v>
      </c>
      <c r="G5005" s="147">
        <v>-8</v>
      </c>
      <c r="H5005" s="147">
        <v>-100</v>
      </c>
      <c r="I5005" s="729"/>
      <c r="J5005" s="729"/>
      <c r="K5005" s="729"/>
      <c r="L5005" s="147">
        <v>7.8190999999999997</v>
      </c>
      <c r="M5005" s="147">
        <v>111</v>
      </c>
      <c r="N5005" s="147">
        <v>-103.18089999999999</v>
      </c>
      <c r="O5005" s="147">
        <v>-92.955765765765761</v>
      </c>
      <c r="P5005" s="147">
        <v>2.96149</v>
      </c>
      <c r="Q5005" s="147">
        <v>4.8576100000000002</v>
      </c>
      <c r="R5005" s="147">
        <v>164.02587886503079</v>
      </c>
    </row>
    <row r="5006" spans="2:18" ht="15.75" hidden="1" thickBot="1" x14ac:dyDescent="0.3">
      <c r="B5006" s="726" t="s">
        <v>817</v>
      </c>
      <c r="C5006" s="722" t="s">
        <v>165</v>
      </c>
      <c r="D5006" t="s">
        <v>166</v>
      </c>
      <c r="E5006" s="148">
        <v>1.9590000000000001</v>
      </c>
      <c r="F5006" s="728"/>
      <c r="G5006" s="148">
        <v>1.9590000000000001</v>
      </c>
      <c r="H5006" s="148">
        <v>0</v>
      </c>
      <c r="I5006" s="728"/>
      <c r="J5006" s="148">
        <v>1.9590000000000001</v>
      </c>
      <c r="K5006" s="148">
        <v>0</v>
      </c>
      <c r="L5006" s="148">
        <v>35.833710000000004</v>
      </c>
      <c r="M5006" s="728"/>
      <c r="N5006" s="148">
        <v>35.833710000000004</v>
      </c>
      <c r="O5006" s="148">
        <v>0</v>
      </c>
      <c r="P5006" s="148">
        <v>13.7217</v>
      </c>
      <c r="Q5006" s="148">
        <v>22.112010000000001</v>
      </c>
      <c r="R5006" s="148">
        <v>161.14628653883995</v>
      </c>
    </row>
    <row r="5007" spans="2:18" ht="15.75" hidden="1" thickBot="1" x14ac:dyDescent="0.3">
      <c r="B5007" s="726" t="s">
        <v>817</v>
      </c>
      <c r="C5007" s="722" t="s">
        <v>188</v>
      </c>
      <c r="D5007" t="s">
        <v>189</v>
      </c>
      <c r="E5007" s="147">
        <v>2.6450000000000001E-2</v>
      </c>
      <c r="F5007" s="729"/>
      <c r="G5007" s="147">
        <v>2.6450000000000001E-2</v>
      </c>
      <c r="H5007" s="147">
        <v>0</v>
      </c>
      <c r="I5007" s="729"/>
      <c r="J5007" s="147">
        <v>2.6450000000000001E-2</v>
      </c>
      <c r="K5007" s="147">
        <v>0</v>
      </c>
      <c r="L5007" s="147">
        <v>21.898810000000001</v>
      </c>
      <c r="M5007" s="729"/>
      <c r="N5007" s="147">
        <v>21.898810000000001</v>
      </c>
      <c r="O5007" s="147">
        <v>0</v>
      </c>
      <c r="P5007" s="147">
        <v>20.569269999999999</v>
      </c>
      <c r="Q5007" s="147">
        <v>1.3295399999999999</v>
      </c>
      <c r="R5007" s="147">
        <v>6.4637199083876089</v>
      </c>
    </row>
    <row r="5008" spans="2:18" ht="15.75" hidden="1" thickBot="1" x14ac:dyDescent="0.3">
      <c r="B5008" s="726" t="s">
        <v>817</v>
      </c>
      <c r="C5008" s="722" t="s">
        <v>584</v>
      </c>
      <c r="D5008" t="s">
        <v>585</v>
      </c>
      <c r="E5008" s="148">
        <v>1.33E-3</v>
      </c>
      <c r="F5008" s="728"/>
      <c r="G5008" s="148">
        <v>1.33E-3</v>
      </c>
      <c r="H5008" s="148">
        <v>0</v>
      </c>
      <c r="I5008" s="728"/>
      <c r="J5008" s="148">
        <v>1.33E-3</v>
      </c>
      <c r="K5008" s="148">
        <v>0</v>
      </c>
      <c r="L5008" s="148">
        <v>7.2459999999999997E-2</v>
      </c>
      <c r="M5008" s="728"/>
      <c r="N5008" s="148">
        <v>7.2459999999999997E-2</v>
      </c>
      <c r="O5008" s="148">
        <v>0</v>
      </c>
      <c r="P5008" s="148">
        <v>2.462E-2</v>
      </c>
      <c r="Q5008" s="148">
        <v>4.7840000000000001E-2</v>
      </c>
      <c r="R5008" s="148">
        <v>194.3135662063363</v>
      </c>
    </row>
    <row r="5009" spans="2:18" ht="15.75" hidden="1" thickBot="1" x14ac:dyDescent="0.3">
      <c r="B5009" s="726" t="s">
        <v>817</v>
      </c>
      <c r="C5009" s="722" t="s">
        <v>586</v>
      </c>
      <c r="D5009" t="s">
        <v>587</v>
      </c>
      <c r="E5009" s="729"/>
      <c r="F5009" s="729"/>
      <c r="G5009" s="729"/>
      <c r="H5009" s="729"/>
      <c r="I5009" s="729"/>
      <c r="J5009" s="729"/>
      <c r="K5009" s="729"/>
      <c r="L5009" s="147">
        <v>8.6709999999999995E-2</v>
      </c>
      <c r="M5009" s="729"/>
      <c r="N5009" s="147">
        <v>8.6709999999999995E-2</v>
      </c>
      <c r="O5009" s="147">
        <v>0</v>
      </c>
      <c r="P5009" s="147">
        <v>8.6709999999999995E-2</v>
      </c>
      <c r="Q5009" s="147">
        <v>0</v>
      </c>
      <c r="R5009" s="147">
        <v>0</v>
      </c>
    </row>
    <row r="5010" spans="2:18" ht="15.75" hidden="1" thickBot="1" x14ac:dyDescent="0.3">
      <c r="B5010" s="726" t="s">
        <v>817</v>
      </c>
      <c r="C5010" s="722" t="s">
        <v>588</v>
      </c>
      <c r="D5010" t="s">
        <v>589</v>
      </c>
      <c r="E5010" s="148">
        <v>1.3342099999999999</v>
      </c>
      <c r="F5010" s="728"/>
      <c r="G5010" s="148">
        <v>1.3342099999999999</v>
      </c>
      <c r="H5010" s="148">
        <v>0</v>
      </c>
      <c r="I5010" s="728"/>
      <c r="J5010" s="148">
        <v>1.3342099999999999</v>
      </c>
      <c r="K5010" s="148">
        <v>0</v>
      </c>
      <c r="L5010" s="148">
        <v>1.70821</v>
      </c>
      <c r="M5010" s="728"/>
      <c r="N5010" s="148">
        <v>1.70821</v>
      </c>
      <c r="O5010" s="148">
        <v>0</v>
      </c>
      <c r="P5010" s="148">
        <v>0.249</v>
      </c>
      <c r="Q5010" s="148">
        <v>1.4592099999999999</v>
      </c>
      <c r="R5010" s="148">
        <v>586.02811244979921</v>
      </c>
    </row>
    <row r="5011" spans="2:18" ht="15.75" hidden="1" thickBot="1" x14ac:dyDescent="0.3">
      <c r="B5011" s="726" t="s">
        <v>817</v>
      </c>
      <c r="C5011" s="722" t="s">
        <v>592</v>
      </c>
      <c r="D5011" t="s">
        <v>593</v>
      </c>
      <c r="E5011" s="147">
        <v>2.9764900000000001</v>
      </c>
      <c r="F5011" s="729"/>
      <c r="G5011" s="147">
        <v>2.9764900000000001</v>
      </c>
      <c r="H5011" s="147">
        <v>0</v>
      </c>
      <c r="I5011" s="729"/>
      <c r="J5011" s="147">
        <v>2.9764900000000001</v>
      </c>
      <c r="K5011" s="147">
        <v>0</v>
      </c>
      <c r="L5011" s="147">
        <v>46.886699999999998</v>
      </c>
      <c r="M5011" s="729"/>
      <c r="N5011" s="147">
        <v>46.886699999999998</v>
      </c>
      <c r="O5011" s="147">
        <v>0</v>
      </c>
      <c r="P5011" s="147">
        <v>31.127929999999999</v>
      </c>
      <c r="Q5011" s="147">
        <v>15.75877</v>
      </c>
      <c r="R5011" s="147">
        <v>50.625820605481955</v>
      </c>
    </row>
    <row r="5012" spans="2:18" ht="15.75" hidden="1" thickBot="1" x14ac:dyDescent="0.3">
      <c r="B5012" s="726" t="s">
        <v>817</v>
      </c>
      <c r="C5012" s="722" t="s">
        <v>594</v>
      </c>
      <c r="D5012" t="s">
        <v>595</v>
      </c>
      <c r="E5012" s="728"/>
      <c r="F5012" s="728"/>
      <c r="G5012" s="728"/>
      <c r="H5012" s="728"/>
      <c r="I5012" s="728"/>
      <c r="J5012" s="728"/>
      <c r="K5012" s="728"/>
      <c r="L5012" s="148">
        <v>3.5360000000000003E-2</v>
      </c>
      <c r="M5012" s="728"/>
      <c r="N5012" s="148">
        <v>3.5360000000000003E-2</v>
      </c>
      <c r="O5012" s="148">
        <v>0</v>
      </c>
      <c r="P5012" s="148">
        <v>3.5360000000000003E-2</v>
      </c>
      <c r="Q5012" s="148">
        <v>0</v>
      </c>
      <c r="R5012" s="148">
        <v>0</v>
      </c>
    </row>
    <row r="5013" spans="2:18" ht="15.75" hidden="1" thickBot="1" x14ac:dyDescent="0.3">
      <c r="B5013" s="726" t="s">
        <v>817</v>
      </c>
      <c r="C5013" s="722" t="s">
        <v>137</v>
      </c>
      <c r="D5013" t="s">
        <v>138</v>
      </c>
      <c r="E5013" s="147">
        <v>9.9097399999999993</v>
      </c>
      <c r="F5013" s="147">
        <v>1.5</v>
      </c>
      <c r="G5013" s="147">
        <v>8.4097399999999993</v>
      </c>
      <c r="H5013" s="147">
        <v>560.64933333333329</v>
      </c>
      <c r="I5013" s="729"/>
      <c r="J5013" s="147">
        <v>9.9097399999999993</v>
      </c>
      <c r="K5013" s="147">
        <v>0</v>
      </c>
      <c r="L5013" s="147">
        <v>51.933709999999998</v>
      </c>
      <c r="M5013" s="147">
        <v>18</v>
      </c>
      <c r="N5013" s="147">
        <v>33.933709999999998</v>
      </c>
      <c r="O5013" s="147">
        <v>188.52061111111112</v>
      </c>
      <c r="P5013" s="147">
        <v>23.333159999999999</v>
      </c>
      <c r="Q5013" s="147">
        <v>28.600549999999998</v>
      </c>
      <c r="R5013" s="147">
        <v>122.57469626917228</v>
      </c>
    </row>
    <row r="5014" spans="2:18" ht="15.75" hidden="1" thickBot="1" x14ac:dyDescent="0.3">
      <c r="B5014" s="726" t="s">
        <v>817</v>
      </c>
      <c r="C5014" s="722" t="s">
        <v>190</v>
      </c>
      <c r="D5014" t="s">
        <v>191</v>
      </c>
      <c r="E5014" s="148">
        <v>3.9319999999999999</v>
      </c>
      <c r="F5014" s="148">
        <v>3.552</v>
      </c>
      <c r="G5014" s="148">
        <v>0.38</v>
      </c>
      <c r="H5014" s="148">
        <v>10.698198198198199</v>
      </c>
      <c r="I5014" s="728"/>
      <c r="J5014" s="148">
        <v>3.9319999999999999</v>
      </c>
      <c r="K5014" s="148">
        <v>0</v>
      </c>
      <c r="L5014" s="148">
        <v>47.197859999999999</v>
      </c>
      <c r="M5014" s="148">
        <v>42.624000000000002</v>
      </c>
      <c r="N5014" s="148">
        <v>4.5738599999999998</v>
      </c>
      <c r="O5014" s="148">
        <v>10.73071509009009</v>
      </c>
      <c r="P5014" s="148">
        <v>23.591999999999999</v>
      </c>
      <c r="Q5014" s="148">
        <v>23.60586</v>
      </c>
      <c r="R5014" s="148">
        <v>100.0587487283825</v>
      </c>
    </row>
    <row r="5015" spans="2:18" ht="15.75" hidden="1" thickBot="1" x14ac:dyDescent="0.3">
      <c r="B5015" s="726" t="s">
        <v>817</v>
      </c>
      <c r="C5015" s="722" t="s">
        <v>36</v>
      </c>
      <c r="D5015" t="s">
        <v>192</v>
      </c>
      <c r="E5015" s="147">
        <v>14.056570000000001</v>
      </c>
      <c r="F5015" s="147">
        <v>41</v>
      </c>
      <c r="G5015" s="147">
        <v>-26.943429999999999</v>
      </c>
      <c r="H5015" s="147">
        <v>-65.715682926829274</v>
      </c>
      <c r="I5015" s="729"/>
      <c r="J5015" s="147">
        <v>14.056570000000001</v>
      </c>
      <c r="K5015" s="147">
        <v>0</v>
      </c>
      <c r="L5015" s="147">
        <v>731.63436999999999</v>
      </c>
      <c r="M5015" s="147">
        <v>492</v>
      </c>
      <c r="N5015" s="147">
        <v>239.63436999999999</v>
      </c>
      <c r="O5015" s="147">
        <v>48.706172764227645</v>
      </c>
      <c r="P5015" s="147">
        <v>376.46409999999997</v>
      </c>
      <c r="Q5015" s="147">
        <v>355.17027000000002</v>
      </c>
      <c r="R5015" s="147">
        <v>94.343728923953179</v>
      </c>
    </row>
    <row r="5016" spans="2:18" ht="15.75" hidden="1" thickBot="1" x14ac:dyDescent="0.3">
      <c r="B5016" s="726" t="s">
        <v>817</v>
      </c>
      <c r="C5016" s="722" t="s">
        <v>139</v>
      </c>
      <c r="D5016" t="s">
        <v>140</v>
      </c>
      <c r="E5016" s="728"/>
      <c r="F5016" s="148">
        <v>0.13</v>
      </c>
      <c r="G5016" s="148">
        <v>-0.13</v>
      </c>
      <c r="H5016" s="148">
        <v>-100</v>
      </c>
      <c r="I5016" s="728"/>
      <c r="J5016" s="728"/>
      <c r="K5016" s="728"/>
      <c r="L5016" s="148">
        <v>1.188E-2</v>
      </c>
      <c r="M5016" s="148">
        <v>0.67</v>
      </c>
      <c r="N5016" s="148">
        <v>-0.65812000000000004</v>
      </c>
      <c r="O5016" s="148">
        <v>-98.226865671641789</v>
      </c>
      <c r="P5016" s="148">
        <v>1.188E-2</v>
      </c>
      <c r="Q5016" s="148">
        <v>0</v>
      </c>
      <c r="R5016" s="148">
        <v>0</v>
      </c>
    </row>
    <row r="5017" spans="2:18" ht="15.75" hidden="1" thickBot="1" x14ac:dyDescent="0.3">
      <c r="B5017" s="726" t="s">
        <v>817</v>
      </c>
      <c r="C5017" s="722" t="s">
        <v>169</v>
      </c>
      <c r="D5017" t="s">
        <v>170</v>
      </c>
      <c r="E5017" s="729"/>
      <c r="F5017" s="147">
        <v>0</v>
      </c>
      <c r="G5017" s="147">
        <v>0</v>
      </c>
      <c r="H5017" s="147">
        <v>0</v>
      </c>
      <c r="I5017" s="729"/>
      <c r="J5017" s="729"/>
      <c r="K5017" s="729"/>
      <c r="L5017" s="729"/>
      <c r="M5017" s="147">
        <v>0</v>
      </c>
      <c r="N5017" s="147">
        <v>0</v>
      </c>
      <c r="O5017" s="147">
        <v>0</v>
      </c>
      <c r="P5017" s="729"/>
      <c r="Q5017" s="729"/>
      <c r="R5017" s="729"/>
    </row>
    <row r="5018" spans="2:18" ht="15.75" hidden="1" thickBot="1" x14ac:dyDescent="0.3">
      <c r="B5018" s="726" t="s">
        <v>817</v>
      </c>
      <c r="C5018" s="722" t="s">
        <v>101</v>
      </c>
      <c r="D5018" t="s">
        <v>102</v>
      </c>
      <c r="E5018" s="148">
        <v>2.2669999999999999</v>
      </c>
      <c r="F5018" s="148">
        <v>21</v>
      </c>
      <c r="G5018" s="148">
        <v>-18.733000000000001</v>
      </c>
      <c r="H5018" s="148">
        <v>-89.204761904761909</v>
      </c>
      <c r="I5018" s="728"/>
      <c r="J5018" s="148">
        <v>2.2669999999999999</v>
      </c>
      <c r="K5018" s="148">
        <v>0</v>
      </c>
      <c r="L5018" s="148">
        <v>46.6297</v>
      </c>
      <c r="M5018" s="148">
        <v>448</v>
      </c>
      <c r="N5018" s="148">
        <v>-401.37029999999999</v>
      </c>
      <c r="O5018" s="148">
        <v>-89.591584821428569</v>
      </c>
      <c r="P5018" s="148">
        <v>21.626139999999999</v>
      </c>
      <c r="Q5018" s="148">
        <v>25.00356</v>
      </c>
      <c r="R5018" s="148">
        <v>115.61730387392295</v>
      </c>
    </row>
    <row r="5019" spans="2:18" ht="15.75" hidden="1" thickBot="1" x14ac:dyDescent="0.3">
      <c r="B5019" s="726" t="s">
        <v>817</v>
      </c>
      <c r="C5019" s="722" t="s">
        <v>601</v>
      </c>
      <c r="D5019" t="s">
        <v>602</v>
      </c>
      <c r="E5019" s="147">
        <v>-1.1399999999999999</v>
      </c>
      <c r="F5019" s="729"/>
      <c r="G5019" s="147">
        <v>-1.1399999999999999</v>
      </c>
      <c r="H5019" s="147">
        <v>0</v>
      </c>
      <c r="I5019" s="729"/>
      <c r="J5019" s="147">
        <v>-1.1399999999999999</v>
      </c>
      <c r="K5019" s="147">
        <v>0</v>
      </c>
      <c r="L5019" s="147">
        <v>0</v>
      </c>
      <c r="M5019" s="729"/>
      <c r="N5019" s="147">
        <v>0</v>
      </c>
      <c r="O5019" s="147">
        <v>0</v>
      </c>
      <c r="P5019" s="729"/>
      <c r="Q5019" s="147">
        <v>0</v>
      </c>
      <c r="R5019" s="147">
        <v>0</v>
      </c>
    </row>
    <row r="5020" spans="2:18" ht="15.75" hidden="1" thickBot="1" x14ac:dyDescent="0.3">
      <c r="B5020" s="726" t="s">
        <v>817</v>
      </c>
      <c r="C5020" s="722" t="s">
        <v>603</v>
      </c>
      <c r="D5020" t="s">
        <v>604</v>
      </c>
      <c r="E5020" s="728"/>
      <c r="F5020" s="728"/>
      <c r="G5020" s="728"/>
      <c r="H5020" s="728"/>
      <c r="I5020" s="728"/>
      <c r="J5020" s="728"/>
      <c r="K5020" s="728"/>
      <c r="L5020" s="148">
        <v>1.7</v>
      </c>
      <c r="M5020" s="728"/>
      <c r="N5020" s="148">
        <v>1.7</v>
      </c>
      <c r="O5020" s="148">
        <v>0</v>
      </c>
      <c r="P5020" s="148">
        <v>1.7</v>
      </c>
      <c r="Q5020" s="148">
        <v>0</v>
      </c>
      <c r="R5020" s="148">
        <v>0</v>
      </c>
    </row>
    <row r="5021" spans="2:18" ht="15.75" hidden="1" thickBot="1" x14ac:dyDescent="0.3">
      <c r="B5021" s="726" t="s">
        <v>817</v>
      </c>
      <c r="C5021" s="722" t="s">
        <v>605</v>
      </c>
      <c r="D5021" t="s">
        <v>606</v>
      </c>
      <c r="E5021" s="729"/>
      <c r="F5021" s="729"/>
      <c r="G5021" s="729"/>
      <c r="H5021" s="729"/>
      <c r="I5021" s="729"/>
      <c r="J5021" s="729"/>
      <c r="K5021" s="729"/>
      <c r="L5021" s="147">
        <v>8.0428499999999996</v>
      </c>
      <c r="M5021" s="729"/>
      <c r="N5021" s="147">
        <v>8.0428499999999996</v>
      </c>
      <c r="O5021" s="147">
        <v>0</v>
      </c>
      <c r="P5021" s="147">
        <v>6.7922500000000001</v>
      </c>
      <c r="Q5021" s="147">
        <v>1.2505999999999999</v>
      </c>
      <c r="R5021" s="147">
        <v>18.412160918694099</v>
      </c>
    </row>
    <row r="5022" spans="2:18" ht="15.75" hidden="1" thickBot="1" x14ac:dyDescent="0.3">
      <c r="B5022" s="726" t="s">
        <v>817</v>
      </c>
      <c r="C5022" s="722" t="s">
        <v>218</v>
      </c>
      <c r="D5022" t="s">
        <v>219</v>
      </c>
      <c r="E5022" s="728"/>
      <c r="F5022" s="728"/>
      <c r="G5022" s="728"/>
      <c r="H5022" s="728"/>
      <c r="I5022" s="728"/>
      <c r="J5022" s="728"/>
      <c r="K5022" s="728"/>
      <c r="L5022" s="148">
        <v>24.79731</v>
      </c>
      <c r="M5022" s="728"/>
      <c r="N5022" s="148">
        <v>24.79731</v>
      </c>
      <c r="O5022" s="148">
        <v>0</v>
      </c>
      <c r="P5022" s="148">
        <v>24.87275</v>
      </c>
      <c r="Q5022" s="148">
        <v>-7.5439999999999993E-2</v>
      </c>
      <c r="R5022" s="148">
        <v>-0.30330381642560633</v>
      </c>
    </row>
    <row r="5023" spans="2:18" ht="15.75" hidden="1" thickBot="1" x14ac:dyDescent="0.3">
      <c r="B5023" s="726" t="s">
        <v>817</v>
      </c>
      <c r="C5023" s="722" t="s">
        <v>607</v>
      </c>
      <c r="D5023" t="s">
        <v>608</v>
      </c>
      <c r="E5023" s="729"/>
      <c r="F5023" s="729"/>
      <c r="G5023" s="729"/>
      <c r="H5023" s="729"/>
      <c r="I5023" s="729"/>
      <c r="J5023" s="729"/>
      <c r="K5023" s="729"/>
      <c r="L5023" s="147">
        <v>4.2511999999999999</v>
      </c>
      <c r="M5023" s="729"/>
      <c r="N5023" s="147">
        <v>4.2511999999999999</v>
      </c>
      <c r="O5023" s="147">
        <v>0</v>
      </c>
      <c r="P5023" s="729"/>
      <c r="Q5023" s="147">
        <v>4.2511999999999999</v>
      </c>
      <c r="R5023" s="147">
        <v>0</v>
      </c>
    </row>
    <row r="5024" spans="2:18" ht="15.75" hidden="1" thickBot="1" x14ac:dyDescent="0.3">
      <c r="B5024" s="726" t="s">
        <v>817</v>
      </c>
      <c r="C5024" s="722" t="s">
        <v>462</v>
      </c>
      <c r="D5024" t="s">
        <v>463</v>
      </c>
      <c r="E5024" s="148">
        <v>0.14208000000000001</v>
      </c>
      <c r="F5024" s="728"/>
      <c r="G5024" s="148">
        <v>0.14208000000000001</v>
      </c>
      <c r="H5024" s="148">
        <v>0</v>
      </c>
      <c r="I5024" s="728"/>
      <c r="J5024" s="148">
        <v>0.14208000000000001</v>
      </c>
      <c r="K5024" s="148">
        <v>0</v>
      </c>
      <c r="L5024" s="148">
        <v>35.374519999999997</v>
      </c>
      <c r="M5024" s="728"/>
      <c r="N5024" s="148">
        <v>35.374519999999997</v>
      </c>
      <c r="O5024" s="148">
        <v>0</v>
      </c>
      <c r="P5024" s="148">
        <v>25.8781</v>
      </c>
      <c r="Q5024" s="148">
        <v>9.4964200000000005</v>
      </c>
      <c r="R5024" s="148">
        <v>36.696743578547114</v>
      </c>
    </row>
    <row r="5025" spans="2:18" ht="15.75" hidden="1" thickBot="1" x14ac:dyDescent="0.3">
      <c r="B5025" s="726" t="s">
        <v>817</v>
      </c>
      <c r="C5025" s="722" t="s">
        <v>611</v>
      </c>
      <c r="D5025" t="s">
        <v>612</v>
      </c>
      <c r="E5025" s="729"/>
      <c r="F5025" s="729"/>
      <c r="G5025" s="729"/>
      <c r="H5025" s="729"/>
      <c r="I5025" s="729"/>
      <c r="J5025" s="729"/>
      <c r="K5025" s="729"/>
      <c r="L5025" s="147">
        <v>0</v>
      </c>
      <c r="M5025" s="729"/>
      <c r="N5025" s="147">
        <v>0</v>
      </c>
      <c r="O5025" s="147">
        <v>0</v>
      </c>
      <c r="P5025" s="147">
        <v>0</v>
      </c>
      <c r="Q5025" s="147">
        <v>0</v>
      </c>
      <c r="R5025" s="147">
        <v>0</v>
      </c>
    </row>
    <row r="5026" spans="2:18" ht="15.75" hidden="1" thickBot="1" x14ac:dyDescent="0.3">
      <c r="B5026" s="726" t="s">
        <v>817</v>
      </c>
      <c r="C5026" s="722" t="s">
        <v>613</v>
      </c>
      <c r="D5026" t="s">
        <v>614</v>
      </c>
      <c r="E5026" s="148">
        <v>6.2925000000000004</v>
      </c>
      <c r="F5026" s="728"/>
      <c r="G5026" s="148">
        <v>6.2925000000000004</v>
      </c>
      <c r="H5026" s="148">
        <v>0</v>
      </c>
      <c r="I5026" s="728"/>
      <c r="J5026" s="148">
        <v>6.2925000000000004</v>
      </c>
      <c r="K5026" s="148">
        <v>0</v>
      </c>
      <c r="L5026" s="148">
        <v>48.753720000000001</v>
      </c>
      <c r="M5026" s="728"/>
      <c r="N5026" s="148">
        <v>48.753720000000001</v>
      </c>
      <c r="O5026" s="148">
        <v>0</v>
      </c>
      <c r="P5026" s="148">
        <v>16.933620000000001</v>
      </c>
      <c r="Q5026" s="148">
        <v>31.8201</v>
      </c>
      <c r="R5026" s="148">
        <v>187.91079521094721</v>
      </c>
    </row>
    <row r="5027" spans="2:18" ht="15.75" hidden="1" thickBot="1" x14ac:dyDescent="0.3">
      <c r="B5027" s="726" t="s">
        <v>817</v>
      </c>
      <c r="C5027" s="722" t="s">
        <v>615</v>
      </c>
      <c r="D5027" t="s">
        <v>616</v>
      </c>
      <c r="E5027" s="147">
        <v>2.8219999999999999E-2</v>
      </c>
      <c r="F5027" s="729"/>
      <c r="G5027" s="147">
        <v>2.8219999999999999E-2</v>
      </c>
      <c r="H5027" s="147">
        <v>0</v>
      </c>
      <c r="I5027" s="729"/>
      <c r="J5027" s="147">
        <v>2.8219999999999999E-2</v>
      </c>
      <c r="K5027" s="147">
        <v>0</v>
      </c>
      <c r="L5027" s="147">
        <v>19.00985</v>
      </c>
      <c r="M5027" s="729"/>
      <c r="N5027" s="147">
        <v>19.00985</v>
      </c>
      <c r="O5027" s="147">
        <v>0</v>
      </c>
      <c r="P5027" s="147">
        <v>9.9667499999999993</v>
      </c>
      <c r="Q5027" s="147">
        <v>9.0431000000000008</v>
      </c>
      <c r="R5027" s="147">
        <v>90.73268618155366</v>
      </c>
    </row>
    <row r="5028" spans="2:18" ht="15.75" hidden="1" thickBot="1" x14ac:dyDescent="0.3">
      <c r="B5028" s="726" t="s">
        <v>817</v>
      </c>
      <c r="C5028" s="722" t="s">
        <v>193</v>
      </c>
      <c r="D5028" t="s">
        <v>194</v>
      </c>
      <c r="E5028" s="148">
        <v>27.307300000000001</v>
      </c>
      <c r="F5028" s="728"/>
      <c r="G5028" s="148">
        <v>27.307300000000001</v>
      </c>
      <c r="H5028" s="148">
        <v>0</v>
      </c>
      <c r="I5028" s="728"/>
      <c r="J5028" s="148">
        <v>27.307300000000001</v>
      </c>
      <c r="K5028" s="148">
        <v>0</v>
      </c>
      <c r="L5028" s="148">
        <v>377.47973000000002</v>
      </c>
      <c r="M5028" s="728"/>
      <c r="N5028" s="148">
        <v>377.47973000000002</v>
      </c>
      <c r="O5028" s="148">
        <v>0</v>
      </c>
      <c r="P5028" s="148">
        <v>166.43147999999999</v>
      </c>
      <c r="Q5028" s="148">
        <v>211.04825</v>
      </c>
      <c r="R5028" s="148">
        <v>126.8078911513615</v>
      </c>
    </row>
    <row r="5029" spans="2:18" ht="15.75" hidden="1" thickBot="1" x14ac:dyDescent="0.3">
      <c r="B5029" s="726" t="s">
        <v>817</v>
      </c>
      <c r="C5029" s="722" t="s">
        <v>195</v>
      </c>
      <c r="D5029" t="s">
        <v>196</v>
      </c>
      <c r="E5029" s="147">
        <v>27.378119999999999</v>
      </c>
      <c r="F5029" s="729"/>
      <c r="G5029" s="147">
        <v>27.378119999999999</v>
      </c>
      <c r="H5029" s="147">
        <v>0</v>
      </c>
      <c r="I5029" s="729"/>
      <c r="J5029" s="147">
        <v>27.378119999999999</v>
      </c>
      <c r="K5029" s="147">
        <v>0</v>
      </c>
      <c r="L5029" s="147">
        <v>204.76106999999999</v>
      </c>
      <c r="M5029" s="729"/>
      <c r="N5029" s="147">
        <v>204.76106999999999</v>
      </c>
      <c r="O5029" s="147">
        <v>0</v>
      </c>
      <c r="P5029" s="147">
        <v>85.148820000000001</v>
      </c>
      <c r="Q5029" s="147">
        <v>119.61225</v>
      </c>
      <c r="R5029" s="147">
        <v>140.4743483233238</v>
      </c>
    </row>
    <row r="5030" spans="2:18" ht="15.75" hidden="1" thickBot="1" x14ac:dyDescent="0.3">
      <c r="B5030" s="726" t="s">
        <v>817</v>
      </c>
      <c r="C5030" s="722" t="s">
        <v>197</v>
      </c>
      <c r="D5030" t="s">
        <v>198</v>
      </c>
      <c r="E5030" s="148">
        <v>3.6377999999999999</v>
      </c>
      <c r="F5030" s="728"/>
      <c r="G5030" s="148">
        <v>3.6377999999999999</v>
      </c>
      <c r="H5030" s="148">
        <v>0</v>
      </c>
      <c r="I5030" s="728"/>
      <c r="J5030" s="148">
        <v>3.6377999999999999</v>
      </c>
      <c r="K5030" s="148">
        <v>0</v>
      </c>
      <c r="L5030" s="148">
        <v>77.239140000000006</v>
      </c>
      <c r="M5030" s="728"/>
      <c r="N5030" s="148">
        <v>77.239140000000006</v>
      </c>
      <c r="O5030" s="148">
        <v>0</v>
      </c>
      <c r="P5030" s="148">
        <v>40.731670000000001</v>
      </c>
      <c r="Q5030" s="148">
        <v>36.507469999999998</v>
      </c>
      <c r="R5030" s="148">
        <v>89.629200079446775</v>
      </c>
    </row>
    <row r="5031" spans="2:18" ht="15.75" hidden="1" thickBot="1" x14ac:dyDescent="0.3">
      <c r="B5031" s="726" t="s">
        <v>817</v>
      </c>
      <c r="C5031" s="722" t="s">
        <v>464</v>
      </c>
      <c r="D5031" t="s">
        <v>465</v>
      </c>
      <c r="E5031" s="729"/>
      <c r="F5031" s="147">
        <v>1.3058799999999999</v>
      </c>
      <c r="G5031" s="147">
        <v>-1.3058799999999999</v>
      </c>
      <c r="H5031" s="147">
        <v>-100</v>
      </c>
      <c r="I5031" s="729"/>
      <c r="J5031" s="729"/>
      <c r="K5031" s="729"/>
      <c r="L5031" s="147">
        <v>5.5329699999999997</v>
      </c>
      <c r="M5031" s="147">
        <v>35.258830000000003</v>
      </c>
      <c r="N5031" s="147">
        <v>-29.725860000000001</v>
      </c>
      <c r="O5031" s="147">
        <v>-84.307562105719327</v>
      </c>
      <c r="P5031" s="147">
        <v>5.5985899999999997</v>
      </c>
      <c r="Q5031" s="147">
        <v>-6.5619999999999998E-2</v>
      </c>
      <c r="R5031" s="147">
        <v>-1.1720808274940655</v>
      </c>
    </row>
    <row r="5032" spans="2:18" ht="15.75" hidden="1" thickBot="1" x14ac:dyDescent="0.3">
      <c r="B5032" s="726" t="s">
        <v>817</v>
      </c>
      <c r="C5032" s="722" t="s">
        <v>619</v>
      </c>
      <c r="D5032" t="s">
        <v>620</v>
      </c>
      <c r="E5032" s="148">
        <v>0.63444</v>
      </c>
      <c r="F5032" s="728"/>
      <c r="G5032" s="148">
        <v>0.63444</v>
      </c>
      <c r="H5032" s="148">
        <v>0</v>
      </c>
      <c r="I5032" s="728"/>
      <c r="J5032" s="148">
        <v>0.63444</v>
      </c>
      <c r="K5032" s="148">
        <v>0</v>
      </c>
      <c r="L5032" s="148">
        <v>56.301119999999997</v>
      </c>
      <c r="M5032" s="728"/>
      <c r="N5032" s="148">
        <v>56.301119999999997</v>
      </c>
      <c r="O5032" s="148">
        <v>0</v>
      </c>
      <c r="P5032" s="148">
        <v>32.873600000000003</v>
      </c>
      <c r="Q5032" s="148">
        <v>23.427520000000001</v>
      </c>
      <c r="R5032" s="148">
        <v>71.265453129562928</v>
      </c>
    </row>
    <row r="5033" spans="2:18" ht="15.75" hidden="1" thickBot="1" x14ac:dyDescent="0.3">
      <c r="B5033" s="726" t="s">
        <v>817</v>
      </c>
      <c r="C5033" s="722" t="s">
        <v>621</v>
      </c>
      <c r="D5033" t="s">
        <v>622</v>
      </c>
      <c r="E5033" s="729"/>
      <c r="F5033" s="729"/>
      <c r="G5033" s="729"/>
      <c r="H5033" s="729"/>
      <c r="I5033" s="729"/>
      <c r="J5033" s="729"/>
      <c r="K5033" s="729"/>
      <c r="L5033" s="147">
        <v>5.3439300000000003</v>
      </c>
      <c r="M5033" s="729"/>
      <c r="N5033" s="147">
        <v>5.3439300000000003</v>
      </c>
      <c r="O5033" s="147">
        <v>0</v>
      </c>
      <c r="P5033" s="147">
        <v>4.18865</v>
      </c>
      <c r="Q5033" s="147">
        <v>1.1552800000000001</v>
      </c>
      <c r="R5033" s="147">
        <v>27.581201580461485</v>
      </c>
    </row>
    <row r="5034" spans="2:18" ht="15.75" hidden="1" thickBot="1" x14ac:dyDescent="0.3">
      <c r="B5034" s="726" t="s">
        <v>817</v>
      </c>
      <c r="C5034" s="722" t="s">
        <v>103</v>
      </c>
      <c r="D5034" t="s">
        <v>104</v>
      </c>
      <c r="E5034" s="728"/>
      <c r="F5034" s="728"/>
      <c r="G5034" s="728"/>
      <c r="H5034" s="728"/>
      <c r="I5034" s="728"/>
      <c r="J5034" s="728"/>
      <c r="K5034" s="728"/>
      <c r="L5034" s="148">
        <v>0.20383999999999999</v>
      </c>
      <c r="M5034" s="728"/>
      <c r="N5034" s="148">
        <v>0.20383999999999999</v>
      </c>
      <c r="O5034" s="148">
        <v>0</v>
      </c>
      <c r="P5034" s="148">
        <v>0.20574000000000001</v>
      </c>
      <c r="Q5034" s="148">
        <v>-1.9E-3</v>
      </c>
      <c r="R5034" s="148">
        <v>-0.92349567415184208</v>
      </c>
    </row>
    <row r="5035" spans="2:18" ht="15.75" hidden="1" thickBot="1" x14ac:dyDescent="0.3">
      <c r="B5035" s="726" t="s">
        <v>817</v>
      </c>
      <c r="C5035" s="722" t="s">
        <v>625</v>
      </c>
      <c r="D5035" t="s">
        <v>626</v>
      </c>
      <c r="E5035" s="729"/>
      <c r="F5035" s="729"/>
      <c r="G5035" s="729"/>
      <c r="H5035" s="729"/>
      <c r="I5035" s="729"/>
      <c r="J5035" s="729"/>
      <c r="K5035" s="729"/>
      <c r="L5035" s="147">
        <v>-0.52500000000000002</v>
      </c>
      <c r="M5035" s="729"/>
      <c r="N5035" s="147">
        <v>-0.52500000000000002</v>
      </c>
      <c r="O5035" s="147">
        <v>0</v>
      </c>
      <c r="P5035" s="147">
        <v>-0.52500000000000002</v>
      </c>
      <c r="Q5035" s="147">
        <v>0</v>
      </c>
      <c r="R5035" s="147">
        <v>0</v>
      </c>
    </row>
    <row r="5036" spans="2:18" ht="15.75" hidden="1" thickBot="1" x14ac:dyDescent="0.3">
      <c r="B5036" s="726" t="s">
        <v>817</v>
      </c>
      <c r="C5036" s="722" t="s">
        <v>109</v>
      </c>
      <c r="D5036" t="s">
        <v>110</v>
      </c>
      <c r="E5036" s="728"/>
      <c r="F5036" s="728"/>
      <c r="G5036" s="728"/>
      <c r="H5036" s="728"/>
      <c r="I5036" s="728"/>
      <c r="J5036" s="728"/>
      <c r="K5036" s="728"/>
      <c r="L5036" s="148">
        <v>3.2480000000000002E-2</v>
      </c>
      <c r="M5036" s="728"/>
      <c r="N5036" s="148">
        <v>3.2480000000000002E-2</v>
      </c>
      <c r="O5036" s="148">
        <v>0</v>
      </c>
      <c r="P5036" s="148">
        <v>7.4400000000000004E-3</v>
      </c>
      <c r="Q5036" s="148">
        <v>2.504E-2</v>
      </c>
      <c r="R5036" s="148">
        <v>336.55913978494624</v>
      </c>
    </row>
    <row r="5037" spans="2:18" ht="15.75" hidden="1" thickBot="1" x14ac:dyDescent="0.3">
      <c r="B5037" s="726" t="s">
        <v>817</v>
      </c>
      <c r="C5037" s="722" t="s">
        <v>73</v>
      </c>
      <c r="D5037" t="s">
        <v>74</v>
      </c>
      <c r="E5037" s="147">
        <v>9.8930000000000004E-2</v>
      </c>
      <c r="F5037" s="147">
        <v>0.05</v>
      </c>
      <c r="G5037" s="147">
        <v>4.8930000000000001E-2</v>
      </c>
      <c r="H5037" s="147">
        <v>97.86</v>
      </c>
      <c r="I5037" s="729"/>
      <c r="J5037" s="147">
        <v>9.8930000000000004E-2</v>
      </c>
      <c r="K5037" s="147">
        <v>0</v>
      </c>
      <c r="L5037" s="147">
        <v>1.7161299999999999</v>
      </c>
      <c r="M5037" s="147">
        <v>0.6</v>
      </c>
      <c r="N5037" s="147">
        <v>1.1161300000000001</v>
      </c>
      <c r="O5037" s="147">
        <v>186.02166666666668</v>
      </c>
      <c r="P5037" s="147">
        <v>0.60114999999999996</v>
      </c>
      <c r="Q5037" s="147">
        <v>1.1149800000000001</v>
      </c>
      <c r="R5037" s="147">
        <v>185.4745071945438</v>
      </c>
    </row>
    <row r="5038" spans="2:18" ht="15.75" hidden="1" thickBot="1" x14ac:dyDescent="0.3">
      <c r="B5038" s="726" t="s">
        <v>817</v>
      </c>
      <c r="C5038" s="722" t="s">
        <v>113</v>
      </c>
      <c r="D5038" t="s">
        <v>114</v>
      </c>
      <c r="E5038" s="148">
        <v>1.643E-2</v>
      </c>
      <c r="F5038" s="148">
        <v>0.18</v>
      </c>
      <c r="G5038" s="148">
        <v>-0.16356999999999999</v>
      </c>
      <c r="H5038" s="148">
        <v>-90.87222222222222</v>
      </c>
      <c r="I5038" s="728"/>
      <c r="J5038" s="148">
        <v>1.643E-2</v>
      </c>
      <c r="K5038" s="148">
        <v>0</v>
      </c>
      <c r="L5038" s="148">
        <v>1.79722</v>
      </c>
      <c r="M5038" s="148">
        <v>2.16</v>
      </c>
      <c r="N5038" s="148">
        <v>-0.36277999999999999</v>
      </c>
      <c r="O5038" s="148">
        <v>-16.795370370370371</v>
      </c>
      <c r="P5038" s="148">
        <v>1.39069</v>
      </c>
      <c r="Q5038" s="148">
        <v>0.40653</v>
      </c>
      <c r="R5038" s="148">
        <v>29.232251616104236</v>
      </c>
    </row>
    <row r="5039" spans="2:18" ht="15.75" hidden="1" thickBot="1" x14ac:dyDescent="0.3">
      <c r="B5039" s="726" t="s">
        <v>817</v>
      </c>
      <c r="C5039" s="722" t="s">
        <v>201</v>
      </c>
      <c r="D5039" t="s">
        <v>202</v>
      </c>
      <c r="E5039" s="729"/>
      <c r="F5039" s="147">
        <v>0.2</v>
      </c>
      <c r="G5039" s="147">
        <v>-0.2</v>
      </c>
      <c r="H5039" s="147">
        <v>-100</v>
      </c>
      <c r="I5039" s="729"/>
      <c r="J5039" s="729"/>
      <c r="K5039" s="729"/>
      <c r="L5039" s="147">
        <v>0.17666999999999999</v>
      </c>
      <c r="M5039" s="147">
        <v>2.4</v>
      </c>
      <c r="N5039" s="147">
        <v>-2.2233299999999998</v>
      </c>
      <c r="O5039" s="147">
        <v>-92.638750000000002</v>
      </c>
      <c r="P5039" s="147">
        <v>5.8110000000000002E-2</v>
      </c>
      <c r="Q5039" s="147">
        <v>0.11856</v>
      </c>
      <c r="R5039" s="147">
        <v>204.0268456375839</v>
      </c>
    </row>
    <row r="5040" spans="2:18" ht="15.75" hidden="1" thickBot="1" x14ac:dyDescent="0.3">
      <c r="B5040" s="726" t="s">
        <v>817</v>
      </c>
      <c r="C5040" s="722" t="s">
        <v>145</v>
      </c>
      <c r="D5040" t="s">
        <v>146</v>
      </c>
      <c r="E5040" s="148">
        <v>1.2540000000000001E-2</v>
      </c>
      <c r="F5040" s="148">
        <v>0.22500000000000001</v>
      </c>
      <c r="G5040" s="148">
        <v>-0.21246000000000001</v>
      </c>
      <c r="H5040" s="148">
        <v>-94.426666666666662</v>
      </c>
      <c r="I5040" s="728"/>
      <c r="J5040" s="148">
        <v>1.2540000000000001E-2</v>
      </c>
      <c r="K5040" s="148">
        <v>0</v>
      </c>
      <c r="L5040" s="148">
        <v>4.5740000000000003E-2</v>
      </c>
      <c r="M5040" s="148">
        <v>1.4350000000000001</v>
      </c>
      <c r="N5040" s="148">
        <v>-1.3892599999999999</v>
      </c>
      <c r="O5040" s="148">
        <v>-96.812543554006965</v>
      </c>
      <c r="P5040" s="148">
        <v>6.0800000000000003E-3</v>
      </c>
      <c r="Q5040" s="148">
        <v>3.9660000000000001E-2</v>
      </c>
      <c r="R5040" s="148">
        <v>652.3026315789474</v>
      </c>
    </row>
    <row r="5041" spans="2:18" ht="15.75" hidden="1" thickBot="1" x14ac:dyDescent="0.3">
      <c r="B5041" s="726" t="s">
        <v>817</v>
      </c>
      <c r="C5041" s="722" t="s">
        <v>203</v>
      </c>
      <c r="D5041" t="s">
        <v>204</v>
      </c>
      <c r="E5041" s="147">
        <v>0.1206</v>
      </c>
      <c r="F5041" s="729"/>
      <c r="G5041" s="147">
        <v>0.1206</v>
      </c>
      <c r="H5041" s="147">
        <v>0</v>
      </c>
      <c r="I5041" s="729"/>
      <c r="J5041" s="147">
        <v>0.1206</v>
      </c>
      <c r="K5041" s="147">
        <v>0</v>
      </c>
      <c r="L5041" s="147">
        <v>0.1206</v>
      </c>
      <c r="M5041" s="729"/>
      <c r="N5041" s="147">
        <v>0.1206</v>
      </c>
      <c r="O5041" s="147">
        <v>0</v>
      </c>
      <c r="P5041" s="729"/>
      <c r="Q5041" s="147">
        <v>0.1206</v>
      </c>
      <c r="R5041" s="147">
        <v>0</v>
      </c>
    </row>
    <row r="5042" spans="2:18" ht="15.75" hidden="1" thickBot="1" x14ac:dyDescent="0.3">
      <c r="B5042" s="726" t="s">
        <v>817</v>
      </c>
      <c r="C5042" s="722" t="s">
        <v>149</v>
      </c>
      <c r="D5042" t="s">
        <v>150</v>
      </c>
      <c r="E5042" s="148">
        <v>0.14649999999999999</v>
      </c>
      <c r="F5042" s="728"/>
      <c r="G5042" s="148">
        <v>0.14649999999999999</v>
      </c>
      <c r="H5042" s="148">
        <v>0</v>
      </c>
      <c r="I5042" s="728"/>
      <c r="J5042" s="148">
        <v>0.14649999999999999</v>
      </c>
      <c r="K5042" s="148">
        <v>0</v>
      </c>
      <c r="L5042" s="148">
        <v>3.6577799999999998</v>
      </c>
      <c r="M5042" s="728"/>
      <c r="N5042" s="148">
        <v>3.6577799999999998</v>
      </c>
      <c r="O5042" s="148">
        <v>0</v>
      </c>
      <c r="P5042" s="148">
        <v>0.66157999999999995</v>
      </c>
      <c r="Q5042" s="148">
        <v>2.9962</v>
      </c>
      <c r="R5042" s="148">
        <v>452.88551649082501</v>
      </c>
    </row>
    <row r="5043" spans="2:18" ht="15.75" hidden="1" thickBot="1" x14ac:dyDescent="0.3">
      <c r="B5043" s="726" t="s">
        <v>817</v>
      </c>
      <c r="C5043" s="722" t="s">
        <v>647</v>
      </c>
      <c r="D5043" t="s">
        <v>648</v>
      </c>
      <c r="E5043" s="147">
        <v>-7.1475900000000001</v>
      </c>
      <c r="F5043" s="729"/>
      <c r="G5043" s="147">
        <v>-7.1475900000000001</v>
      </c>
      <c r="H5043" s="147">
        <v>0</v>
      </c>
      <c r="I5043" s="729"/>
      <c r="J5043" s="147">
        <v>-7.1475900000000001</v>
      </c>
      <c r="K5043" s="147">
        <v>0</v>
      </c>
      <c r="L5043" s="147">
        <v>-86.969489999999993</v>
      </c>
      <c r="M5043" s="729"/>
      <c r="N5043" s="147">
        <v>-86.969489999999993</v>
      </c>
      <c r="O5043" s="147">
        <v>0</v>
      </c>
      <c r="P5043" s="147">
        <v>-34.531999999999996</v>
      </c>
      <c r="Q5043" s="147">
        <v>-52.437489999999997</v>
      </c>
      <c r="R5043" s="147">
        <v>-151.85187652032897</v>
      </c>
    </row>
    <row r="5044" spans="2:18" ht="15.75" hidden="1" thickBot="1" x14ac:dyDescent="0.3">
      <c r="B5044" s="726" t="s">
        <v>817</v>
      </c>
      <c r="C5044" s="722" t="s">
        <v>173</v>
      </c>
      <c r="D5044" t="s">
        <v>174</v>
      </c>
      <c r="E5044" s="148">
        <v>5.0831200000000001</v>
      </c>
      <c r="F5044" s="148">
        <v>1.2</v>
      </c>
      <c r="G5044" s="148">
        <v>3.8831199999999999</v>
      </c>
      <c r="H5044" s="148">
        <v>323.59333333333331</v>
      </c>
      <c r="I5044" s="728"/>
      <c r="J5044" s="148">
        <v>5.0831200000000001</v>
      </c>
      <c r="K5044" s="148">
        <v>0</v>
      </c>
      <c r="L5044" s="148">
        <v>51.037439999999997</v>
      </c>
      <c r="M5044" s="148">
        <v>14.4</v>
      </c>
      <c r="N5044" s="148">
        <v>36.637439999999998</v>
      </c>
      <c r="O5044" s="148">
        <v>254.42666666666668</v>
      </c>
      <c r="P5044" s="148">
        <v>22.59731</v>
      </c>
      <c r="Q5044" s="148">
        <v>28.44013</v>
      </c>
      <c r="R5044" s="148">
        <v>125.85626342250471</v>
      </c>
    </row>
    <row r="5045" spans="2:18" ht="15.75" hidden="1" thickBot="1" x14ac:dyDescent="0.3">
      <c r="B5045" s="726" t="s">
        <v>817</v>
      </c>
      <c r="C5045" s="722" t="s">
        <v>151</v>
      </c>
      <c r="D5045" t="s">
        <v>152</v>
      </c>
      <c r="E5045" s="729"/>
      <c r="F5045" s="147">
        <v>0.1</v>
      </c>
      <c r="G5045" s="147">
        <v>-0.1</v>
      </c>
      <c r="H5045" s="147">
        <v>-100</v>
      </c>
      <c r="I5045" s="729"/>
      <c r="J5045" s="729"/>
      <c r="K5045" s="729"/>
      <c r="L5045" s="147">
        <v>-2.5449999999999999</v>
      </c>
      <c r="M5045" s="147">
        <v>1.2</v>
      </c>
      <c r="N5045" s="147">
        <v>-3.7450000000000001</v>
      </c>
      <c r="O5045" s="147">
        <v>-312.08333333333331</v>
      </c>
      <c r="P5045" s="147">
        <v>-2.5449999999999999</v>
      </c>
      <c r="Q5045" s="147">
        <v>0</v>
      </c>
      <c r="R5045" s="147">
        <v>0</v>
      </c>
    </row>
    <row r="5046" spans="2:18" ht="15.75" hidden="1" thickBot="1" x14ac:dyDescent="0.3">
      <c r="B5046" s="726" t="s">
        <v>817</v>
      </c>
      <c r="C5046" s="722" t="s">
        <v>175</v>
      </c>
      <c r="D5046" t="s">
        <v>176</v>
      </c>
      <c r="E5046" s="728"/>
      <c r="F5046" s="728"/>
      <c r="G5046" s="728"/>
      <c r="H5046" s="728"/>
      <c r="I5046" s="728"/>
      <c r="J5046" s="728"/>
      <c r="K5046" s="728"/>
      <c r="L5046" s="148">
        <v>2.5319999999999999E-2</v>
      </c>
      <c r="M5046" s="728"/>
      <c r="N5046" s="148">
        <v>2.5319999999999999E-2</v>
      </c>
      <c r="O5046" s="148">
        <v>0</v>
      </c>
      <c r="P5046" s="728"/>
      <c r="Q5046" s="148">
        <v>2.5319999999999999E-2</v>
      </c>
      <c r="R5046" s="148">
        <v>0</v>
      </c>
    </row>
    <row r="5047" spans="2:18" ht="15.75" hidden="1" thickBot="1" x14ac:dyDescent="0.3">
      <c r="B5047" s="726" t="s">
        <v>817</v>
      </c>
      <c r="C5047" s="722" t="s">
        <v>661</v>
      </c>
      <c r="D5047" t="s">
        <v>662</v>
      </c>
      <c r="E5047" s="147">
        <v>-171.96360999999999</v>
      </c>
      <c r="F5047" s="729"/>
      <c r="G5047" s="147">
        <v>-171.96360999999999</v>
      </c>
      <c r="H5047" s="147">
        <v>0</v>
      </c>
      <c r="I5047" s="729"/>
      <c r="J5047" s="147">
        <v>-171.96360999999999</v>
      </c>
      <c r="K5047" s="147">
        <v>0</v>
      </c>
      <c r="L5047" s="147">
        <v>-267.32924000000003</v>
      </c>
      <c r="M5047" s="729"/>
      <c r="N5047" s="147">
        <v>-267.32924000000003</v>
      </c>
      <c r="O5047" s="147">
        <v>0</v>
      </c>
      <c r="P5047" s="147">
        <v>-86.782070000000004</v>
      </c>
      <c r="Q5047" s="147">
        <v>-180.54716999999999</v>
      </c>
      <c r="R5047" s="147">
        <v>-208.04662760406615</v>
      </c>
    </row>
    <row r="5048" spans="2:18" ht="15.75" hidden="1" thickBot="1" x14ac:dyDescent="0.3">
      <c r="B5048" s="726" t="s">
        <v>817</v>
      </c>
      <c r="C5048" s="722" t="s">
        <v>663</v>
      </c>
      <c r="D5048" t="s">
        <v>664</v>
      </c>
      <c r="E5048" s="728"/>
      <c r="F5048" s="728"/>
      <c r="G5048" s="728"/>
      <c r="H5048" s="728"/>
      <c r="I5048" s="728"/>
      <c r="J5048" s="728"/>
      <c r="K5048" s="728"/>
      <c r="L5048" s="148">
        <v>-0.28338999999999998</v>
      </c>
      <c r="M5048" s="728"/>
      <c r="N5048" s="148">
        <v>-0.28338999999999998</v>
      </c>
      <c r="O5048" s="148">
        <v>0</v>
      </c>
      <c r="P5048" s="148">
        <v>-0.28338999999999998</v>
      </c>
      <c r="Q5048" s="148">
        <v>0</v>
      </c>
      <c r="R5048" s="148">
        <v>0</v>
      </c>
    </row>
    <row r="5049" spans="2:18" ht="15.75" hidden="1" thickBot="1" x14ac:dyDescent="0.3">
      <c r="B5049" s="726" t="s">
        <v>817</v>
      </c>
      <c r="C5049" s="722" t="s">
        <v>207</v>
      </c>
      <c r="D5049" t="s">
        <v>208</v>
      </c>
      <c r="E5049" s="729"/>
      <c r="F5049" s="729"/>
      <c r="G5049" s="729"/>
      <c r="H5049" s="729"/>
      <c r="I5049" s="729"/>
      <c r="J5049" s="729"/>
      <c r="K5049" s="729"/>
      <c r="L5049" s="147">
        <v>0.39988000000000001</v>
      </c>
      <c r="M5049" s="729"/>
      <c r="N5049" s="147">
        <v>0.39988000000000001</v>
      </c>
      <c r="O5049" s="147">
        <v>0</v>
      </c>
      <c r="P5049" s="729"/>
      <c r="Q5049" s="147">
        <v>0.39988000000000001</v>
      </c>
      <c r="R5049" s="147">
        <v>0</v>
      </c>
    </row>
    <row r="5050" spans="2:18" ht="15.75" hidden="1" thickBot="1" x14ac:dyDescent="0.3">
      <c r="B5050" s="726" t="s">
        <v>817</v>
      </c>
      <c r="C5050" s="722" t="s">
        <v>75</v>
      </c>
      <c r="D5050" t="s">
        <v>76</v>
      </c>
      <c r="E5050" s="728"/>
      <c r="F5050" s="148">
        <v>0.6</v>
      </c>
      <c r="G5050" s="148">
        <v>-0.6</v>
      </c>
      <c r="H5050" s="148">
        <v>-100</v>
      </c>
      <c r="I5050" s="728"/>
      <c r="J5050" s="728"/>
      <c r="K5050" s="728"/>
      <c r="L5050" s="148">
        <v>4.9599200000000003</v>
      </c>
      <c r="M5050" s="148">
        <v>7.2</v>
      </c>
      <c r="N5050" s="148">
        <v>-2.2400799999999998</v>
      </c>
      <c r="O5050" s="148">
        <v>-31.112222222222222</v>
      </c>
      <c r="P5050" s="148">
        <v>2.6977500000000001</v>
      </c>
      <c r="Q5050" s="148">
        <v>2.2621699999999998</v>
      </c>
      <c r="R5050" s="148">
        <v>83.853952367713831</v>
      </c>
    </row>
    <row r="5051" spans="2:18" ht="15.75" hidden="1" thickBot="1" x14ac:dyDescent="0.3">
      <c r="B5051" s="726" t="s">
        <v>817</v>
      </c>
      <c r="C5051" s="722" t="s">
        <v>121</v>
      </c>
      <c r="D5051" t="s">
        <v>122</v>
      </c>
      <c r="E5051" s="147">
        <v>0.32808999999999999</v>
      </c>
      <c r="F5051" s="147">
        <v>0.4</v>
      </c>
      <c r="G5051" s="147">
        <v>-7.1910000000000002E-2</v>
      </c>
      <c r="H5051" s="147">
        <v>-17.977499999999999</v>
      </c>
      <c r="I5051" s="729"/>
      <c r="J5051" s="147">
        <v>0.32808999999999999</v>
      </c>
      <c r="K5051" s="147">
        <v>0</v>
      </c>
      <c r="L5051" s="147">
        <v>3.0494400000000002</v>
      </c>
      <c r="M5051" s="147">
        <v>5</v>
      </c>
      <c r="N5051" s="147">
        <v>-1.9505600000000001</v>
      </c>
      <c r="O5051" s="147">
        <v>-39.011200000000002</v>
      </c>
      <c r="P5051" s="147">
        <v>1.1248899999999999</v>
      </c>
      <c r="Q5051" s="147">
        <v>1.92455</v>
      </c>
      <c r="R5051" s="147">
        <v>171.08783969988175</v>
      </c>
    </row>
    <row r="5052" spans="2:18" ht="15.75" hidden="1" thickBot="1" x14ac:dyDescent="0.3">
      <c r="B5052" s="726" t="s">
        <v>817</v>
      </c>
      <c r="C5052" s="722" t="s">
        <v>77</v>
      </c>
      <c r="D5052" t="s">
        <v>78</v>
      </c>
      <c r="E5052" s="728"/>
      <c r="F5052" s="728"/>
      <c r="G5052" s="728"/>
      <c r="H5052" s="728"/>
      <c r="I5052" s="728"/>
      <c r="J5052" s="728"/>
      <c r="K5052" s="728"/>
      <c r="L5052" s="148">
        <v>1.8355999999999999</v>
      </c>
      <c r="M5052" s="728"/>
      <c r="N5052" s="148">
        <v>1.8355999999999999</v>
      </c>
      <c r="O5052" s="148">
        <v>0</v>
      </c>
      <c r="P5052" s="148">
        <v>1.3534900000000001</v>
      </c>
      <c r="Q5052" s="148">
        <v>0.48210999999999998</v>
      </c>
      <c r="R5052" s="148">
        <v>35.619768154918027</v>
      </c>
    </row>
    <row r="5053" spans="2:18" ht="15.75" hidden="1" thickBot="1" x14ac:dyDescent="0.3">
      <c r="B5053" s="726" t="s">
        <v>817</v>
      </c>
      <c r="C5053" s="722" t="s">
        <v>79</v>
      </c>
      <c r="D5053" t="s">
        <v>80</v>
      </c>
      <c r="E5053" s="729"/>
      <c r="F5053" s="729"/>
      <c r="G5053" s="729"/>
      <c r="H5053" s="729"/>
      <c r="I5053" s="729"/>
      <c r="J5053" s="729"/>
      <c r="K5053" s="729"/>
      <c r="L5053" s="147">
        <v>0.82467999999999997</v>
      </c>
      <c r="M5053" s="729"/>
      <c r="N5053" s="147">
        <v>0.82467999999999997</v>
      </c>
      <c r="O5053" s="147">
        <v>0</v>
      </c>
      <c r="P5053" s="147">
        <v>0.51359999999999995</v>
      </c>
      <c r="Q5053" s="147">
        <v>0.31108000000000002</v>
      </c>
      <c r="R5053" s="147">
        <v>60.568535825545169</v>
      </c>
    </row>
    <row r="5054" spans="2:18" ht="15.75" hidden="1" thickBot="1" x14ac:dyDescent="0.3">
      <c r="B5054" s="726" t="s">
        <v>817</v>
      </c>
      <c r="C5054" s="722" t="s">
        <v>81</v>
      </c>
      <c r="D5054" t="s">
        <v>82</v>
      </c>
      <c r="E5054" s="148">
        <v>0.4</v>
      </c>
      <c r="F5054" s="148">
        <v>0.35</v>
      </c>
      <c r="G5054" s="148">
        <v>0.05</v>
      </c>
      <c r="H5054" s="148">
        <v>14.285714285714286</v>
      </c>
      <c r="I5054" s="728"/>
      <c r="J5054" s="148">
        <v>0.4</v>
      </c>
      <c r="K5054" s="148">
        <v>0</v>
      </c>
      <c r="L5054" s="148">
        <v>0.5</v>
      </c>
      <c r="M5054" s="148">
        <v>1.4750000000000001</v>
      </c>
      <c r="N5054" s="148">
        <v>-0.97499999999999998</v>
      </c>
      <c r="O5054" s="148">
        <v>-66.101694915254242</v>
      </c>
      <c r="P5054" s="148">
        <v>0.1</v>
      </c>
      <c r="Q5054" s="148">
        <v>0.4</v>
      </c>
      <c r="R5054" s="148">
        <v>400</v>
      </c>
    </row>
    <row r="5055" spans="2:18" ht="15.75" hidden="1" thickBot="1" x14ac:dyDescent="0.3">
      <c r="B5055" s="726" t="s">
        <v>817</v>
      </c>
      <c r="C5055" s="722" t="s">
        <v>123</v>
      </c>
      <c r="D5055" t="s">
        <v>124</v>
      </c>
      <c r="E5055" s="729"/>
      <c r="F5055" s="147">
        <v>0.35</v>
      </c>
      <c r="G5055" s="147">
        <v>-0.35</v>
      </c>
      <c r="H5055" s="147">
        <v>-100</v>
      </c>
      <c r="I5055" s="729"/>
      <c r="J5055" s="729"/>
      <c r="K5055" s="729"/>
      <c r="L5055" s="147">
        <v>3.2092399999999999</v>
      </c>
      <c r="M5055" s="147">
        <v>1.5</v>
      </c>
      <c r="N5055" s="147">
        <v>1.7092400000000001</v>
      </c>
      <c r="O5055" s="147">
        <v>113.94933333333333</v>
      </c>
      <c r="P5055" s="147">
        <v>3.2092399999999999</v>
      </c>
      <c r="Q5055" s="147">
        <v>0</v>
      </c>
      <c r="R5055" s="147">
        <v>0</v>
      </c>
    </row>
    <row r="5056" spans="2:18" ht="15.75" hidden="1" thickBot="1" x14ac:dyDescent="0.3">
      <c r="B5056" s="726" t="s">
        <v>817</v>
      </c>
      <c r="C5056" s="722" t="s">
        <v>209</v>
      </c>
      <c r="D5056" t="s">
        <v>210</v>
      </c>
      <c r="E5056" s="148">
        <v>0.97011000000000003</v>
      </c>
      <c r="F5056" s="728"/>
      <c r="G5056" s="148">
        <v>0.97011000000000003</v>
      </c>
      <c r="H5056" s="148">
        <v>0</v>
      </c>
      <c r="I5056" s="728"/>
      <c r="J5056" s="148">
        <v>0.97011000000000003</v>
      </c>
      <c r="K5056" s="148">
        <v>0</v>
      </c>
      <c r="L5056" s="148">
        <v>7.8955500000000001</v>
      </c>
      <c r="M5056" s="728"/>
      <c r="N5056" s="148">
        <v>7.8955500000000001</v>
      </c>
      <c r="O5056" s="148">
        <v>0</v>
      </c>
      <c r="P5056" s="148">
        <v>4.0842599999999996</v>
      </c>
      <c r="Q5056" s="148">
        <v>3.8112900000000001</v>
      </c>
      <c r="R5056" s="148">
        <v>93.316537145039732</v>
      </c>
    </row>
    <row r="5057" spans="2:18" ht="15.75" hidden="1" thickBot="1" x14ac:dyDescent="0.3">
      <c r="B5057" s="726" t="s">
        <v>817</v>
      </c>
      <c r="C5057" s="722" t="s">
        <v>211</v>
      </c>
      <c r="D5057" t="s">
        <v>212</v>
      </c>
      <c r="E5057" s="147">
        <v>7.1999999999999995E-2</v>
      </c>
      <c r="F5057" s="729"/>
      <c r="G5057" s="147">
        <v>7.1999999999999995E-2</v>
      </c>
      <c r="H5057" s="147">
        <v>0</v>
      </c>
      <c r="I5057" s="729"/>
      <c r="J5057" s="147">
        <v>7.1999999999999995E-2</v>
      </c>
      <c r="K5057" s="147">
        <v>0</v>
      </c>
      <c r="L5057" s="147">
        <v>7.9290900000000004</v>
      </c>
      <c r="M5057" s="729"/>
      <c r="N5057" s="147">
        <v>7.9290900000000004</v>
      </c>
      <c r="O5057" s="147">
        <v>0</v>
      </c>
      <c r="P5057" s="147">
        <v>3.4990899999999998</v>
      </c>
      <c r="Q5057" s="147">
        <v>4.43</v>
      </c>
      <c r="R5057" s="147">
        <v>126.60434570131092</v>
      </c>
    </row>
    <row r="5058" spans="2:18" ht="15.75" hidden="1" thickBot="1" x14ac:dyDescent="0.3">
      <c r="B5058" s="726" t="s">
        <v>817</v>
      </c>
      <c r="C5058" s="722" t="s">
        <v>213</v>
      </c>
      <c r="D5058" t="s">
        <v>214</v>
      </c>
      <c r="E5058" s="148">
        <v>-6.0717400000000001</v>
      </c>
      <c r="F5058" s="728"/>
      <c r="G5058" s="148">
        <v>-6.0717400000000001</v>
      </c>
      <c r="H5058" s="148">
        <v>0</v>
      </c>
      <c r="I5058" s="728"/>
      <c r="J5058" s="148">
        <v>-6.0717400000000001</v>
      </c>
      <c r="K5058" s="148">
        <v>0</v>
      </c>
      <c r="L5058" s="148">
        <v>-47.556159999999998</v>
      </c>
      <c r="M5058" s="728"/>
      <c r="N5058" s="148">
        <v>-47.556159999999998</v>
      </c>
      <c r="O5058" s="148">
        <v>0</v>
      </c>
      <c r="P5058" s="148">
        <v>-21.250620000000001</v>
      </c>
      <c r="Q5058" s="148">
        <v>-26.305540000000001</v>
      </c>
      <c r="R5058" s="148">
        <v>-123.78716479801531</v>
      </c>
    </row>
    <row r="5059" spans="2:18" ht="15.75" hidden="1" thickBot="1" x14ac:dyDescent="0.3">
      <c r="B5059" s="726" t="s">
        <v>817</v>
      </c>
      <c r="C5059" s="722" t="s">
        <v>215</v>
      </c>
      <c r="D5059" t="s">
        <v>216</v>
      </c>
      <c r="E5059" s="147">
        <v>-0.81433999999999995</v>
      </c>
      <c r="F5059" s="729"/>
      <c r="G5059" s="147">
        <v>-0.81433999999999995</v>
      </c>
      <c r="H5059" s="147">
        <v>0</v>
      </c>
      <c r="I5059" s="729"/>
      <c r="J5059" s="147">
        <v>-0.81433999999999995</v>
      </c>
      <c r="K5059" s="147">
        <v>0</v>
      </c>
      <c r="L5059" s="147">
        <v>-22.522929999999999</v>
      </c>
      <c r="M5059" s="729"/>
      <c r="N5059" s="147">
        <v>-22.522929999999999</v>
      </c>
      <c r="O5059" s="147">
        <v>0</v>
      </c>
      <c r="P5059" s="147">
        <v>-9.4506300000000003</v>
      </c>
      <c r="Q5059" s="147">
        <v>-13.0723</v>
      </c>
      <c r="R5059" s="147">
        <v>-138.32199546485262</v>
      </c>
    </row>
    <row r="5060" spans="2:18" ht="15.75" hidden="1" thickBot="1" x14ac:dyDescent="0.3">
      <c r="B5060" s="726" t="s">
        <v>817</v>
      </c>
      <c r="C5060" s="722" t="s">
        <v>83</v>
      </c>
      <c r="D5060" t="s">
        <v>84</v>
      </c>
      <c r="E5060" s="728"/>
      <c r="F5060" s="148">
        <v>2</v>
      </c>
      <c r="G5060" s="148">
        <v>-2</v>
      </c>
      <c r="H5060" s="148">
        <v>-100</v>
      </c>
      <c r="I5060" s="728"/>
      <c r="J5060" s="728"/>
      <c r="K5060" s="728"/>
      <c r="L5060" s="728"/>
      <c r="M5060" s="148">
        <v>24</v>
      </c>
      <c r="N5060" s="148">
        <v>-24</v>
      </c>
      <c r="O5060" s="148">
        <v>-100</v>
      </c>
      <c r="P5060" s="728"/>
      <c r="Q5060" s="728"/>
      <c r="R5060" s="728"/>
    </row>
    <row r="5061" spans="2:18" ht="15.75" hidden="1" thickBot="1" x14ac:dyDescent="0.3">
      <c r="B5061" s="726" t="s">
        <v>817</v>
      </c>
      <c r="C5061" s="149" t="s">
        <v>85</v>
      </c>
      <c r="D5061" t="s">
        <v>86</v>
      </c>
      <c r="E5061" s="147">
        <v>-78.005709999999993</v>
      </c>
      <c r="F5061" s="147">
        <v>82.142880000000005</v>
      </c>
      <c r="G5061" s="147">
        <v>-160.14859000000001</v>
      </c>
      <c r="H5061" s="147">
        <v>-194.96344661886704</v>
      </c>
      <c r="I5061" s="729"/>
      <c r="J5061" s="147">
        <v>-78.005709999999993</v>
      </c>
      <c r="K5061" s="147">
        <v>0</v>
      </c>
      <c r="L5061" s="147">
        <v>1522.3421699999999</v>
      </c>
      <c r="M5061" s="147">
        <v>1208.92283</v>
      </c>
      <c r="N5061" s="147">
        <v>313.41933999999998</v>
      </c>
      <c r="O5061" s="147">
        <v>25.925504277225041</v>
      </c>
      <c r="P5061" s="147">
        <v>821.84726000000001</v>
      </c>
      <c r="Q5061" s="147">
        <v>700.49491</v>
      </c>
      <c r="R5061" s="147">
        <v>85.234196680293124</v>
      </c>
    </row>
    <row r="5062" spans="2:18" ht="15.75" hidden="1" thickBot="1" x14ac:dyDescent="0.3">
      <c r="B5062" s="726" t="s">
        <v>817</v>
      </c>
      <c r="C5062" s="144" t="s">
        <v>87</v>
      </c>
      <c r="D5062" t="s">
        <v>87</v>
      </c>
      <c r="E5062" s="148">
        <v>124.94798</v>
      </c>
      <c r="F5062" s="148">
        <v>399.73635000000002</v>
      </c>
      <c r="G5062" s="148">
        <v>-274.78836999999999</v>
      </c>
      <c r="H5062" s="148">
        <v>-68.742402335939673</v>
      </c>
      <c r="I5062" s="728"/>
      <c r="J5062" s="148">
        <v>124.94798</v>
      </c>
      <c r="K5062" s="148">
        <v>0</v>
      </c>
      <c r="L5062" s="148">
        <v>5743.1086299999997</v>
      </c>
      <c r="M5062" s="148">
        <v>4974.8583699999999</v>
      </c>
      <c r="N5062" s="148">
        <v>768.25026000000003</v>
      </c>
      <c r="O5062" s="148">
        <v>15.442655908212318</v>
      </c>
      <c r="P5062" s="148">
        <v>2862.7162600000001</v>
      </c>
      <c r="Q5062" s="148">
        <v>2880.39237</v>
      </c>
      <c r="R5062" s="148">
        <v>100.61745937754935</v>
      </c>
    </row>
    <row r="5063" spans="2:18" ht="15.75" hidden="1" thickBot="1" x14ac:dyDescent="0.3">
      <c r="B5063" s="726" t="s">
        <v>818</v>
      </c>
      <c r="C5063" s="722" t="s">
        <v>59</v>
      </c>
      <c r="D5063" t="s">
        <v>60</v>
      </c>
      <c r="E5063" s="147">
        <v>26.450140000000001</v>
      </c>
      <c r="F5063" s="147">
        <v>29.476839999999999</v>
      </c>
      <c r="G5063" s="147">
        <v>-3.0266999999999999</v>
      </c>
      <c r="H5063" s="147">
        <v>-10.268061298293848</v>
      </c>
      <c r="I5063" s="729"/>
      <c r="J5063" s="147">
        <v>26.450140000000001</v>
      </c>
      <c r="K5063" s="147">
        <v>0</v>
      </c>
      <c r="L5063" s="147">
        <v>356.59332999999998</v>
      </c>
      <c r="M5063" s="147">
        <v>351.8664</v>
      </c>
      <c r="N5063" s="147">
        <v>4.7269300000000003</v>
      </c>
      <c r="O5063" s="147">
        <v>1.3433877176110023</v>
      </c>
      <c r="P5063" s="147">
        <v>186.25647000000001</v>
      </c>
      <c r="Q5063" s="147">
        <v>170.33686</v>
      </c>
      <c r="R5063" s="147">
        <v>91.452855302154063</v>
      </c>
    </row>
    <row r="5064" spans="2:18" ht="15.75" hidden="1" thickBot="1" x14ac:dyDescent="0.3">
      <c r="B5064" s="726" t="s">
        <v>818</v>
      </c>
      <c r="C5064" s="722" t="s">
        <v>89</v>
      </c>
      <c r="D5064" t="s">
        <v>90</v>
      </c>
      <c r="E5064" s="148">
        <v>3.5093100000000002</v>
      </c>
      <c r="F5064" s="728"/>
      <c r="G5064" s="148">
        <v>3.5093100000000002</v>
      </c>
      <c r="H5064" s="148">
        <v>0</v>
      </c>
      <c r="I5064" s="728"/>
      <c r="J5064" s="148">
        <v>3.5093100000000002</v>
      </c>
      <c r="K5064" s="148">
        <v>0</v>
      </c>
      <c r="L5064" s="148">
        <v>47.897289999999998</v>
      </c>
      <c r="M5064" s="728"/>
      <c r="N5064" s="148">
        <v>47.897289999999998</v>
      </c>
      <c r="O5064" s="148">
        <v>0</v>
      </c>
      <c r="P5064" s="148">
        <v>21.449310000000001</v>
      </c>
      <c r="Q5064" s="148">
        <v>26.447980000000001</v>
      </c>
      <c r="R5064" s="148">
        <v>123.30457250139982</v>
      </c>
    </row>
    <row r="5065" spans="2:18" ht="15.75" hidden="1" thickBot="1" x14ac:dyDescent="0.3">
      <c r="B5065" s="726" t="s">
        <v>818</v>
      </c>
      <c r="C5065" s="722" t="s">
        <v>91</v>
      </c>
      <c r="D5065" t="s">
        <v>92</v>
      </c>
      <c r="E5065" s="147">
        <v>85.361320000000006</v>
      </c>
      <c r="F5065" s="147">
        <v>106.67967</v>
      </c>
      <c r="G5065" s="147">
        <v>-21.318349999999999</v>
      </c>
      <c r="H5065" s="147">
        <v>-19.983517009379575</v>
      </c>
      <c r="I5065" s="729"/>
      <c r="J5065" s="147">
        <v>85.361320000000006</v>
      </c>
      <c r="K5065" s="147">
        <v>0</v>
      </c>
      <c r="L5065" s="147">
        <v>1295.50712</v>
      </c>
      <c r="M5065" s="147">
        <v>1245.9770599999999</v>
      </c>
      <c r="N5065" s="147">
        <v>49.530059999999999</v>
      </c>
      <c r="O5065" s="147">
        <v>3.9751983876813912</v>
      </c>
      <c r="P5065" s="147">
        <v>667.24734999999998</v>
      </c>
      <c r="Q5065" s="147">
        <v>628.25977</v>
      </c>
      <c r="R5065" s="147">
        <v>94.156952440500518</v>
      </c>
    </row>
    <row r="5066" spans="2:18" ht="15.75" hidden="1" thickBot="1" x14ac:dyDescent="0.3">
      <c r="B5066" s="726" t="s">
        <v>818</v>
      </c>
      <c r="C5066" s="722" t="s">
        <v>93</v>
      </c>
      <c r="D5066" t="s">
        <v>94</v>
      </c>
      <c r="E5066" s="148">
        <v>1.9436500000000001</v>
      </c>
      <c r="F5066" s="148">
        <v>3.3768400000000001</v>
      </c>
      <c r="G5066" s="148">
        <v>-1.43319</v>
      </c>
      <c r="H5066" s="148">
        <v>-42.441750275405411</v>
      </c>
      <c r="I5066" s="728"/>
      <c r="J5066" s="148">
        <v>1.9436500000000001</v>
      </c>
      <c r="K5066" s="148">
        <v>0</v>
      </c>
      <c r="L5066" s="148">
        <v>98.508290000000002</v>
      </c>
      <c r="M5066" s="148">
        <v>38.386539999999997</v>
      </c>
      <c r="N5066" s="148">
        <v>60.121749999999999</v>
      </c>
      <c r="O5066" s="148">
        <v>156.621956550395</v>
      </c>
      <c r="P5066" s="148">
        <v>52.547280000000001</v>
      </c>
      <c r="Q5066" s="148">
        <v>45.961010000000002</v>
      </c>
      <c r="R5066" s="148">
        <v>87.466011561397664</v>
      </c>
    </row>
    <row r="5067" spans="2:18" ht="15.75" hidden="1" thickBot="1" x14ac:dyDescent="0.3">
      <c r="B5067" s="726" t="s">
        <v>818</v>
      </c>
      <c r="C5067" s="722" t="s">
        <v>134</v>
      </c>
      <c r="D5067" t="s">
        <v>135</v>
      </c>
      <c r="E5067" s="147">
        <v>13.150320000000001</v>
      </c>
      <c r="F5067" s="729"/>
      <c r="G5067" s="147">
        <v>13.150320000000001</v>
      </c>
      <c r="H5067" s="147">
        <v>0</v>
      </c>
      <c r="I5067" s="729"/>
      <c r="J5067" s="147">
        <v>13.150320000000001</v>
      </c>
      <c r="K5067" s="147">
        <v>0</v>
      </c>
      <c r="L5067" s="147">
        <v>13.27632</v>
      </c>
      <c r="M5067" s="729"/>
      <c r="N5067" s="147">
        <v>13.27632</v>
      </c>
      <c r="O5067" s="147">
        <v>0</v>
      </c>
      <c r="P5067" s="147">
        <v>0.126</v>
      </c>
      <c r="Q5067" s="147">
        <v>13.150320000000001</v>
      </c>
      <c r="R5067" s="147">
        <v>10436.761904761905</v>
      </c>
    </row>
    <row r="5068" spans="2:18" ht="15.75" hidden="1" thickBot="1" x14ac:dyDescent="0.3">
      <c r="B5068" s="726" t="s">
        <v>818</v>
      </c>
      <c r="C5068" s="722" t="s">
        <v>95</v>
      </c>
      <c r="D5068" t="s">
        <v>96</v>
      </c>
      <c r="E5068" s="728"/>
      <c r="F5068" s="728"/>
      <c r="G5068" s="728"/>
      <c r="H5068" s="728"/>
      <c r="I5068" s="728"/>
      <c r="J5068" s="728"/>
      <c r="K5068" s="728"/>
      <c r="L5068" s="148">
        <v>0.126</v>
      </c>
      <c r="M5068" s="728"/>
      <c r="N5068" s="148">
        <v>0.126</v>
      </c>
      <c r="O5068" s="148">
        <v>0</v>
      </c>
      <c r="P5068" s="148">
        <v>0.126</v>
      </c>
      <c r="Q5068" s="148">
        <v>0</v>
      </c>
      <c r="R5068" s="148">
        <v>0</v>
      </c>
    </row>
    <row r="5069" spans="2:18" ht="15.75" hidden="1" thickBot="1" x14ac:dyDescent="0.3">
      <c r="B5069" s="726" t="s">
        <v>818</v>
      </c>
      <c r="C5069" s="722" t="s">
        <v>61</v>
      </c>
      <c r="D5069" t="s">
        <v>62</v>
      </c>
      <c r="E5069" s="147">
        <v>21.614640000000001</v>
      </c>
      <c r="F5069" s="147">
        <v>21.10426</v>
      </c>
      <c r="G5069" s="147">
        <v>0.51037999999999994</v>
      </c>
      <c r="H5069" s="147">
        <v>2.4183742997859201</v>
      </c>
      <c r="I5069" s="729"/>
      <c r="J5069" s="147">
        <v>21.614640000000001</v>
      </c>
      <c r="K5069" s="147">
        <v>0</v>
      </c>
      <c r="L5069" s="147">
        <v>258.95033999999998</v>
      </c>
      <c r="M5069" s="147">
        <v>247.66577000000001</v>
      </c>
      <c r="N5069" s="147">
        <v>11.28457</v>
      </c>
      <c r="O5069" s="147">
        <v>4.5563704665364133</v>
      </c>
      <c r="P5069" s="147">
        <v>128.33466000000001</v>
      </c>
      <c r="Q5069" s="147">
        <v>130.61568</v>
      </c>
      <c r="R5069" s="147">
        <v>101.77739980765914</v>
      </c>
    </row>
    <row r="5070" spans="2:18" ht="15.75" hidden="1" thickBot="1" x14ac:dyDescent="0.3">
      <c r="B5070" s="726" t="s">
        <v>818</v>
      </c>
      <c r="C5070" s="722" t="s">
        <v>63</v>
      </c>
      <c r="D5070" t="s">
        <v>64</v>
      </c>
      <c r="E5070" s="148">
        <v>84.867990000000006</v>
      </c>
      <c r="F5070" s="148">
        <v>82.102379999999997</v>
      </c>
      <c r="G5070" s="148">
        <v>2.7656100000000001</v>
      </c>
      <c r="H5070" s="148">
        <v>3.3684894396483998</v>
      </c>
      <c r="I5070" s="728"/>
      <c r="J5070" s="148">
        <v>84.867990000000006</v>
      </c>
      <c r="K5070" s="148">
        <v>0</v>
      </c>
      <c r="L5070" s="148">
        <v>1030.0492899999999</v>
      </c>
      <c r="M5070" s="148">
        <v>963.49964999999997</v>
      </c>
      <c r="N5070" s="148">
        <v>66.549639999999997</v>
      </c>
      <c r="O5070" s="148">
        <v>6.9070746419056821</v>
      </c>
      <c r="P5070" s="148">
        <v>510.70827000000003</v>
      </c>
      <c r="Q5070" s="148">
        <v>519.34101999999996</v>
      </c>
      <c r="R5070" s="148">
        <v>101.69034858198007</v>
      </c>
    </row>
    <row r="5071" spans="2:18" ht="15.75" hidden="1" thickBot="1" x14ac:dyDescent="0.3">
      <c r="B5071" s="726" t="s">
        <v>818</v>
      </c>
      <c r="C5071" s="722" t="s">
        <v>156</v>
      </c>
      <c r="D5071" t="s">
        <v>157</v>
      </c>
      <c r="E5071" s="729"/>
      <c r="F5071" s="729"/>
      <c r="G5071" s="729"/>
      <c r="H5071" s="729"/>
      <c r="I5071" s="729"/>
      <c r="J5071" s="729"/>
      <c r="K5071" s="729"/>
      <c r="L5071" s="147">
        <v>0.11734</v>
      </c>
      <c r="M5071" s="729"/>
      <c r="N5071" s="147">
        <v>0.11734</v>
      </c>
      <c r="O5071" s="147">
        <v>0</v>
      </c>
      <c r="P5071" s="729"/>
      <c r="Q5071" s="147">
        <v>0.11734</v>
      </c>
      <c r="R5071" s="147">
        <v>0</v>
      </c>
    </row>
    <row r="5072" spans="2:18" ht="15.75" hidden="1" thickBot="1" x14ac:dyDescent="0.3">
      <c r="B5072" s="726" t="s">
        <v>818</v>
      </c>
      <c r="C5072" s="722" t="s">
        <v>182</v>
      </c>
      <c r="D5072" t="s">
        <v>183</v>
      </c>
      <c r="E5072" s="148">
        <v>4.06928</v>
      </c>
      <c r="F5072" s="728"/>
      <c r="G5072" s="148">
        <v>4.06928</v>
      </c>
      <c r="H5072" s="148">
        <v>0</v>
      </c>
      <c r="I5072" s="728"/>
      <c r="J5072" s="148">
        <v>4.06928</v>
      </c>
      <c r="K5072" s="148">
        <v>0</v>
      </c>
      <c r="L5072" s="148">
        <v>54.012300000000003</v>
      </c>
      <c r="M5072" s="728"/>
      <c r="N5072" s="148">
        <v>54.012300000000003</v>
      </c>
      <c r="O5072" s="148">
        <v>0</v>
      </c>
      <c r="P5072" s="148">
        <v>23.51558</v>
      </c>
      <c r="Q5072" s="148">
        <v>30.49672</v>
      </c>
      <c r="R5072" s="148">
        <v>129.68729667735178</v>
      </c>
    </row>
    <row r="5073" spans="2:18" ht="15.75" hidden="1" thickBot="1" x14ac:dyDescent="0.3">
      <c r="B5073" s="726" t="s">
        <v>818</v>
      </c>
      <c r="C5073" s="722" t="s">
        <v>184</v>
      </c>
      <c r="D5073" t="s">
        <v>185</v>
      </c>
      <c r="E5073" s="147">
        <v>24.233180000000001</v>
      </c>
      <c r="F5073" s="729"/>
      <c r="G5073" s="147">
        <v>24.233180000000001</v>
      </c>
      <c r="H5073" s="147">
        <v>0</v>
      </c>
      <c r="I5073" s="729"/>
      <c r="J5073" s="147">
        <v>24.233180000000001</v>
      </c>
      <c r="K5073" s="147">
        <v>0</v>
      </c>
      <c r="L5073" s="147">
        <v>478.20355000000001</v>
      </c>
      <c r="M5073" s="729"/>
      <c r="N5073" s="147">
        <v>478.20355000000001</v>
      </c>
      <c r="O5073" s="147">
        <v>0</v>
      </c>
      <c r="P5073" s="147">
        <v>260.74772999999999</v>
      </c>
      <c r="Q5073" s="147">
        <v>217.45581999999999</v>
      </c>
      <c r="R5073" s="147">
        <v>83.397013657606919</v>
      </c>
    </row>
    <row r="5074" spans="2:18" ht="15.75" hidden="1" thickBot="1" x14ac:dyDescent="0.3">
      <c r="B5074" s="726" t="s">
        <v>818</v>
      </c>
      <c r="C5074" s="722" t="s">
        <v>161</v>
      </c>
      <c r="D5074" t="s">
        <v>162</v>
      </c>
      <c r="E5074" s="148">
        <v>1.16049</v>
      </c>
      <c r="F5074" s="728"/>
      <c r="G5074" s="148">
        <v>1.16049</v>
      </c>
      <c r="H5074" s="148">
        <v>0</v>
      </c>
      <c r="I5074" s="728"/>
      <c r="J5074" s="148">
        <v>1.16049</v>
      </c>
      <c r="K5074" s="148">
        <v>0</v>
      </c>
      <c r="L5074" s="148">
        <v>30.89959</v>
      </c>
      <c r="M5074" s="728"/>
      <c r="N5074" s="148">
        <v>30.89959</v>
      </c>
      <c r="O5074" s="148">
        <v>0</v>
      </c>
      <c r="P5074" s="148">
        <v>19.02514</v>
      </c>
      <c r="Q5074" s="148">
        <v>11.87445</v>
      </c>
      <c r="R5074" s="148">
        <v>62.414520996954558</v>
      </c>
    </row>
    <row r="5075" spans="2:18" ht="15.75" hidden="1" thickBot="1" x14ac:dyDescent="0.3">
      <c r="B5075" s="726" t="s">
        <v>818</v>
      </c>
      <c r="C5075" s="722" t="s">
        <v>65</v>
      </c>
      <c r="D5075" t="s">
        <v>66</v>
      </c>
      <c r="E5075" s="147">
        <v>-36.384320000000002</v>
      </c>
      <c r="F5075" s="147">
        <v>-39.901620000000001</v>
      </c>
      <c r="G5075" s="147">
        <v>3.5173000000000001</v>
      </c>
      <c r="H5075" s="147">
        <v>8.8149303211248071</v>
      </c>
      <c r="I5075" s="729"/>
      <c r="J5075" s="147">
        <v>-36.384320000000002</v>
      </c>
      <c r="K5075" s="147">
        <v>0</v>
      </c>
      <c r="L5075" s="147">
        <v>-501.05273999999997</v>
      </c>
      <c r="M5075" s="147">
        <v>-476.30748</v>
      </c>
      <c r="N5075" s="147">
        <v>-24.745259999999998</v>
      </c>
      <c r="O5075" s="147">
        <v>-5.1952280908962418</v>
      </c>
      <c r="P5075" s="147">
        <v>-262.18243999999999</v>
      </c>
      <c r="Q5075" s="147">
        <v>-238.87029999999999</v>
      </c>
      <c r="R5075" s="147">
        <v>-91.108428161702975</v>
      </c>
    </row>
    <row r="5076" spans="2:18" ht="15.75" hidden="1" thickBot="1" x14ac:dyDescent="0.3">
      <c r="B5076" s="726" t="s">
        <v>818</v>
      </c>
      <c r="C5076" s="722" t="s">
        <v>186</v>
      </c>
      <c r="D5076" t="s">
        <v>187</v>
      </c>
      <c r="E5076" s="148">
        <v>-4.54521</v>
      </c>
      <c r="F5076" s="728"/>
      <c r="G5076" s="148">
        <v>-4.54521</v>
      </c>
      <c r="H5076" s="148">
        <v>0</v>
      </c>
      <c r="I5076" s="728"/>
      <c r="J5076" s="148">
        <v>-4.54521</v>
      </c>
      <c r="K5076" s="148">
        <v>0</v>
      </c>
      <c r="L5076" s="148">
        <v>-54.88552</v>
      </c>
      <c r="M5076" s="728"/>
      <c r="N5076" s="148">
        <v>-54.88552</v>
      </c>
      <c r="O5076" s="148">
        <v>0</v>
      </c>
      <c r="P5076" s="148">
        <v>-25.545829999999999</v>
      </c>
      <c r="Q5076" s="148">
        <v>-29.339690000000001</v>
      </c>
      <c r="R5076" s="148">
        <v>-114.85119097715753</v>
      </c>
    </row>
    <row r="5077" spans="2:18" ht="15.75" hidden="1" thickBot="1" x14ac:dyDescent="0.3">
      <c r="B5077" s="726" t="s">
        <v>818</v>
      </c>
      <c r="C5077" s="722" t="s">
        <v>163</v>
      </c>
      <c r="D5077" t="s">
        <v>164</v>
      </c>
      <c r="E5077" s="147">
        <v>-167.6996</v>
      </c>
      <c r="F5077" s="147">
        <v>-144.40798000000001</v>
      </c>
      <c r="G5077" s="147">
        <v>-23.291620000000002</v>
      </c>
      <c r="H5077" s="147">
        <v>-16.129039406271037</v>
      </c>
      <c r="I5077" s="729"/>
      <c r="J5077" s="147">
        <v>-167.6996</v>
      </c>
      <c r="K5077" s="147">
        <v>0</v>
      </c>
      <c r="L5077" s="147">
        <v>-2151.8107500000001</v>
      </c>
      <c r="M5077" s="147">
        <v>-1686.6291000000001</v>
      </c>
      <c r="N5077" s="147">
        <v>-465.18164999999999</v>
      </c>
      <c r="O5077" s="147">
        <v>-27.580554017477819</v>
      </c>
      <c r="P5077" s="147">
        <v>-1084.39645</v>
      </c>
      <c r="Q5077" s="147">
        <v>-1067.4142999999999</v>
      </c>
      <c r="R5077" s="147">
        <v>-98.433953744499988</v>
      </c>
    </row>
    <row r="5078" spans="2:18" ht="15.75" hidden="1" thickBot="1" x14ac:dyDescent="0.3">
      <c r="B5078" s="726" t="s">
        <v>818</v>
      </c>
      <c r="C5078" s="722" t="s">
        <v>97</v>
      </c>
      <c r="D5078" t="s">
        <v>98</v>
      </c>
      <c r="E5078" s="148">
        <v>-9.0400700000000001</v>
      </c>
      <c r="F5078" s="728"/>
      <c r="G5078" s="148">
        <v>-9.0400700000000001</v>
      </c>
      <c r="H5078" s="148">
        <v>0</v>
      </c>
      <c r="I5078" s="728"/>
      <c r="J5078" s="148">
        <v>-9.0400700000000001</v>
      </c>
      <c r="K5078" s="148">
        <v>0</v>
      </c>
      <c r="L5078" s="148">
        <v>-115.21517</v>
      </c>
      <c r="M5078" s="728"/>
      <c r="N5078" s="148">
        <v>-115.21517</v>
      </c>
      <c r="O5078" s="148">
        <v>0</v>
      </c>
      <c r="P5078" s="148">
        <v>-61.42136</v>
      </c>
      <c r="Q5078" s="148">
        <v>-53.793810000000001</v>
      </c>
      <c r="R5078" s="148">
        <v>-87.581600277167425</v>
      </c>
    </row>
    <row r="5079" spans="2:18" ht="15.75" hidden="1" thickBot="1" x14ac:dyDescent="0.3">
      <c r="B5079" s="726" t="s">
        <v>818</v>
      </c>
      <c r="C5079" s="149" t="s">
        <v>67</v>
      </c>
      <c r="D5079" t="s">
        <v>68</v>
      </c>
      <c r="E5079" s="147">
        <v>48.691119999999998</v>
      </c>
      <c r="F5079" s="147">
        <v>58.430390000000003</v>
      </c>
      <c r="G5079" s="147">
        <v>-9.7392699999999994</v>
      </c>
      <c r="H5079" s="147">
        <v>-16.668158470275486</v>
      </c>
      <c r="I5079" s="729"/>
      <c r="J5079" s="147">
        <v>48.691119999999998</v>
      </c>
      <c r="K5079" s="147">
        <v>0</v>
      </c>
      <c r="L5079" s="147">
        <v>841.17657999999994</v>
      </c>
      <c r="M5079" s="147">
        <v>684.45884000000001</v>
      </c>
      <c r="N5079" s="147">
        <v>156.71773999999999</v>
      </c>
      <c r="O5079" s="147">
        <v>22.89659083079415</v>
      </c>
      <c r="P5079" s="147">
        <v>436.53771</v>
      </c>
      <c r="Q5079" s="147">
        <v>404.63887</v>
      </c>
      <c r="R5079" s="147">
        <v>92.692764160053898</v>
      </c>
    </row>
    <row r="5080" spans="2:18" ht="15.75" hidden="1" thickBot="1" x14ac:dyDescent="0.3">
      <c r="B5080" s="726" t="s">
        <v>818</v>
      </c>
      <c r="C5080" s="722" t="s">
        <v>69</v>
      </c>
      <c r="D5080" t="s">
        <v>70</v>
      </c>
      <c r="E5080" s="728"/>
      <c r="F5080" s="728"/>
      <c r="G5080" s="728"/>
      <c r="H5080" s="728"/>
      <c r="I5080" s="728"/>
      <c r="J5080" s="728"/>
      <c r="K5080" s="728"/>
      <c r="L5080" s="148">
        <v>5.3440000000000001E-2</v>
      </c>
      <c r="M5080" s="728"/>
      <c r="N5080" s="148">
        <v>5.3440000000000001E-2</v>
      </c>
      <c r="O5080" s="148">
        <v>0</v>
      </c>
      <c r="P5080" s="148">
        <v>3.0970000000000001E-2</v>
      </c>
      <c r="Q5080" s="148">
        <v>2.247E-2</v>
      </c>
      <c r="R5080" s="148">
        <v>72.554084597998056</v>
      </c>
    </row>
    <row r="5081" spans="2:18" ht="15.75" hidden="1" thickBot="1" x14ac:dyDescent="0.3">
      <c r="B5081" s="726" t="s">
        <v>818</v>
      </c>
      <c r="C5081" s="722" t="s">
        <v>99</v>
      </c>
      <c r="D5081" t="s">
        <v>100</v>
      </c>
      <c r="E5081" s="729"/>
      <c r="F5081" s="147">
        <v>1.6</v>
      </c>
      <c r="G5081" s="147">
        <v>-1.6</v>
      </c>
      <c r="H5081" s="147">
        <v>-100</v>
      </c>
      <c r="I5081" s="729"/>
      <c r="J5081" s="729"/>
      <c r="K5081" s="729"/>
      <c r="L5081" s="147">
        <v>1.5712699999999999</v>
      </c>
      <c r="M5081" s="147">
        <v>19.2</v>
      </c>
      <c r="N5081" s="147">
        <v>-17.628730000000001</v>
      </c>
      <c r="O5081" s="147">
        <v>-91.816302083333326</v>
      </c>
      <c r="P5081" s="147">
        <v>1.00501</v>
      </c>
      <c r="Q5081" s="147">
        <v>0.56625999999999999</v>
      </c>
      <c r="R5081" s="147">
        <v>56.343717972955496</v>
      </c>
    </row>
    <row r="5082" spans="2:18" ht="15.75" hidden="1" thickBot="1" x14ac:dyDescent="0.3">
      <c r="B5082" s="726" t="s">
        <v>818</v>
      </c>
      <c r="C5082" s="722" t="s">
        <v>165</v>
      </c>
      <c r="D5082" t="s">
        <v>166</v>
      </c>
      <c r="E5082" s="148">
        <v>0.46123999999999998</v>
      </c>
      <c r="F5082" s="728"/>
      <c r="G5082" s="148">
        <v>0.46123999999999998</v>
      </c>
      <c r="H5082" s="148">
        <v>0</v>
      </c>
      <c r="I5082" s="728"/>
      <c r="J5082" s="148">
        <v>0.46123999999999998</v>
      </c>
      <c r="K5082" s="148">
        <v>0</v>
      </c>
      <c r="L5082" s="148">
        <v>3.6740300000000001</v>
      </c>
      <c r="M5082" s="728"/>
      <c r="N5082" s="148">
        <v>3.6740300000000001</v>
      </c>
      <c r="O5082" s="148">
        <v>0</v>
      </c>
      <c r="P5082" s="148">
        <v>1.4537599999999999</v>
      </c>
      <c r="Q5082" s="148">
        <v>2.2202700000000002</v>
      </c>
      <c r="R5082" s="148">
        <v>152.72603455866167</v>
      </c>
    </row>
    <row r="5083" spans="2:18" ht="15.75" hidden="1" thickBot="1" x14ac:dyDescent="0.3">
      <c r="B5083" s="726" t="s">
        <v>818</v>
      </c>
      <c r="C5083" s="722" t="s">
        <v>188</v>
      </c>
      <c r="D5083" t="s">
        <v>189</v>
      </c>
      <c r="E5083" s="729"/>
      <c r="F5083" s="729"/>
      <c r="G5083" s="729"/>
      <c r="H5083" s="729"/>
      <c r="I5083" s="729"/>
      <c r="J5083" s="729"/>
      <c r="K5083" s="729"/>
      <c r="L5083" s="147">
        <v>0.26857999999999999</v>
      </c>
      <c r="M5083" s="729"/>
      <c r="N5083" s="147">
        <v>0.26857999999999999</v>
      </c>
      <c r="O5083" s="147">
        <v>0</v>
      </c>
      <c r="P5083" s="147">
        <v>5.7869999999999998E-2</v>
      </c>
      <c r="Q5083" s="147">
        <v>0.21071000000000001</v>
      </c>
      <c r="R5083" s="147">
        <v>364.10921029894592</v>
      </c>
    </row>
    <row r="5084" spans="2:18" ht="15.75" hidden="1" thickBot="1" x14ac:dyDescent="0.3">
      <c r="B5084" s="726" t="s">
        <v>818</v>
      </c>
      <c r="C5084" s="722" t="s">
        <v>584</v>
      </c>
      <c r="D5084" t="s">
        <v>585</v>
      </c>
      <c r="E5084" s="728"/>
      <c r="F5084" s="728"/>
      <c r="G5084" s="728"/>
      <c r="H5084" s="728"/>
      <c r="I5084" s="728"/>
      <c r="J5084" s="728"/>
      <c r="K5084" s="728"/>
      <c r="L5084" s="148">
        <v>7.5300000000000002E-3</v>
      </c>
      <c r="M5084" s="728"/>
      <c r="N5084" s="148">
        <v>7.5300000000000002E-3</v>
      </c>
      <c r="O5084" s="148">
        <v>0</v>
      </c>
      <c r="P5084" s="148">
        <v>2.8900000000000002E-3</v>
      </c>
      <c r="Q5084" s="148">
        <v>4.64E-3</v>
      </c>
      <c r="R5084" s="148">
        <v>160.55363321799308</v>
      </c>
    </row>
    <row r="5085" spans="2:18" ht="15.75" hidden="1" thickBot="1" x14ac:dyDescent="0.3">
      <c r="B5085" s="726" t="s">
        <v>818</v>
      </c>
      <c r="C5085" s="722" t="s">
        <v>586</v>
      </c>
      <c r="D5085" t="s">
        <v>587</v>
      </c>
      <c r="E5085" s="729"/>
      <c r="F5085" s="729"/>
      <c r="G5085" s="729"/>
      <c r="H5085" s="729"/>
      <c r="I5085" s="729"/>
      <c r="J5085" s="729"/>
      <c r="K5085" s="729"/>
      <c r="L5085" s="147">
        <v>5.9740000000000001E-2</v>
      </c>
      <c r="M5085" s="729"/>
      <c r="N5085" s="147">
        <v>5.9740000000000001E-2</v>
      </c>
      <c r="O5085" s="147">
        <v>0</v>
      </c>
      <c r="P5085" s="147">
        <v>5.9740000000000001E-2</v>
      </c>
      <c r="Q5085" s="147">
        <v>0</v>
      </c>
      <c r="R5085" s="147">
        <v>0</v>
      </c>
    </row>
    <row r="5086" spans="2:18" ht="15.75" hidden="1" thickBot="1" x14ac:dyDescent="0.3">
      <c r="B5086" s="726" t="s">
        <v>818</v>
      </c>
      <c r="C5086" s="722" t="s">
        <v>590</v>
      </c>
      <c r="D5086" t="s">
        <v>591</v>
      </c>
      <c r="E5086" s="728"/>
      <c r="F5086" s="728"/>
      <c r="G5086" s="728"/>
      <c r="H5086" s="728"/>
      <c r="I5086" s="728"/>
      <c r="J5086" s="728"/>
      <c r="K5086" s="728"/>
      <c r="L5086" s="148">
        <v>2.7534200000000002</v>
      </c>
      <c r="M5086" s="728"/>
      <c r="N5086" s="148">
        <v>2.7534200000000002</v>
      </c>
      <c r="O5086" s="148">
        <v>0</v>
      </c>
      <c r="P5086" s="148">
        <v>2.7534200000000002</v>
      </c>
      <c r="Q5086" s="148">
        <v>0</v>
      </c>
      <c r="R5086" s="148">
        <v>0</v>
      </c>
    </row>
    <row r="5087" spans="2:18" ht="15.75" hidden="1" thickBot="1" x14ac:dyDescent="0.3">
      <c r="B5087" s="726" t="s">
        <v>818</v>
      </c>
      <c r="C5087" s="722" t="s">
        <v>592</v>
      </c>
      <c r="D5087" t="s">
        <v>593</v>
      </c>
      <c r="E5087" s="729"/>
      <c r="F5087" s="729"/>
      <c r="G5087" s="729"/>
      <c r="H5087" s="729"/>
      <c r="I5087" s="729"/>
      <c r="J5087" s="729"/>
      <c r="K5087" s="729"/>
      <c r="L5087" s="147">
        <v>2.30511</v>
      </c>
      <c r="M5087" s="729"/>
      <c r="N5087" s="147">
        <v>2.30511</v>
      </c>
      <c r="O5087" s="147">
        <v>0</v>
      </c>
      <c r="P5087" s="147">
        <v>0.72399999999999998</v>
      </c>
      <c r="Q5087" s="147">
        <v>1.58111</v>
      </c>
      <c r="R5087" s="147">
        <v>218.3853591160221</v>
      </c>
    </row>
    <row r="5088" spans="2:18" ht="15.75" hidden="1" thickBot="1" x14ac:dyDescent="0.3">
      <c r="B5088" s="726" t="s">
        <v>818</v>
      </c>
      <c r="C5088" s="722" t="s">
        <v>137</v>
      </c>
      <c r="D5088" t="s">
        <v>138</v>
      </c>
      <c r="E5088" s="148">
        <v>0.82403999999999999</v>
      </c>
      <c r="F5088" s="148">
        <v>0.55000000000000004</v>
      </c>
      <c r="G5088" s="148">
        <v>0.27404000000000001</v>
      </c>
      <c r="H5088" s="148">
        <v>49.825454545454548</v>
      </c>
      <c r="I5088" s="728"/>
      <c r="J5088" s="148">
        <v>0.82403999999999999</v>
      </c>
      <c r="K5088" s="148">
        <v>0</v>
      </c>
      <c r="L5088" s="148">
        <v>6.8163299999999998</v>
      </c>
      <c r="M5088" s="148">
        <v>6.6</v>
      </c>
      <c r="N5088" s="148">
        <v>0.21632999999999999</v>
      </c>
      <c r="O5088" s="148">
        <v>3.2777272727272728</v>
      </c>
      <c r="P5088" s="148">
        <v>4.3954300000000002</v>
      </c>
      <c r="Q5088" s="148">
        <v>2.4209000000000001</v>
      </c>
      <c r="R5088" s="148">
        <v>55.07766020616868</v>
      </c>
    </row>
    <row r="5089" spans="2:18" ht="15.75" hidden="1" thickBot="1" x14ac:dyDescent="0.3">
      <c r="B5089" s="726" t="s">
        <v>818</v>
      </c>
      <c r="C5089" s="722" t="s">
        <v>190</v>
      </c>
      <c r="D5089" t="s">
        <v>191</v>
      </c>
      <c r="E5089" s="729"/>
      <c r="F5089" s="147">
        <v>0.7</v>
      </c>
      <c r="G5089" s="147">
        <v>-0.7</v>
      </c>
      <c r="H5089" s="147">
        <v>-100</v>
      </c>
      <c r="I5089" s="729"/>
      <c r="J5089" s="729"/>
      <c r="K5089" s="729"/>
      <c r="L5089" s="147">
        <v>2.31E-3</v>
      </c>
      <c r="M5089" s="147">
        <v>8.4</v>
      </c>
      <c r="N5089" s="147">
        <v>-8.3976900000000008</v>
      </c>
      <c r="O5089" s="147">
        <v>-99.972499999999997</v>
      </c>
      <c r="P5089" s="729"/>
      <c r="Q5089" s="147">
        <v>2.31E-3</v>
      </c>
      <c r="R5089" s="147">
        <v>0</v>
      </c>
    </row>
    <row r="5090" spans="2:18" ht="15.75" hidden="1" thickBot="1" x14ac:dyDescent="0.3">
      <c r="B5090" s="726" t="s">
        <v>818</v>
      </c>
      <c r="C5090" s="722" t="s">
        <v>36</v>
      </c>
      <c r="D5090" t="s">
        <v>192</v>
      </c>
      <c r="E5090" s="728"/>
      <c r="F5090" s="148">
        <v>3.5</v>
      </c>
      <c r="G5090" s="148">
        <v>-3.5</v>
      </c>
      <c r="H5090" s="148">
        <v>-100</v>
      </c>
      <c r="I5090" s="728"/>
      <c r="J5090" s="728"/>
      <c r="K5090" s="728"/>
      <c r="L5090" s="728"/>
      <c r="M5090" s="148">
        <v>42</v>
      </c>
      <c r="N5090" s="148">
        <v>-42</v>
      </c>
      <c r="O5090" s="148">
        <v>-100</v>
      </c>
      <c r="P5090" s="728"/>
      <c r="Q5090" s="728"/>
      <c r="R5090" s="728"/>
    </row>
    <row r="5091" spans="2:18" ht="15.75" hidden="1" thickBot="1" x14ac:dyDescent="0.3">
      <c r="B5091" s="726" t="s">
        <v>818</v>
      </c>
      <c r="C5091" s="722" t="s">
        <v>139</v>
      </c>
      <c r="D5091" t="s">
        <v>140</v>
      </c>
      <c r="E5091" s="729"/>
      <c r="F5091" s="147">
        <v>2.588E-2</v>
      </c>
      <c r="G5091" s="147">
        <v>-2.588E-2</v>
      </c>
      <c r="H5091" s="147">
        <v>-100</v>
      </c>
      <c r="I5091" s="729"/>
      <c r="J5091" s="729"/>
      <c r="K5091" s="729"/>
      <c r="L5091" s="147">
        <v>1.98E-3</v>
      </c>
      <c r="M5091" s="147">
        <v>0.13458000000000001</v>
      </c>
      <c r="N5091" s="147">
        <v>-0.1326</v>
      </c>
      <c r="O5091" s="147">
        <v>-98.528756130182785</v>
      </c>
      <c r="P5091" s="147">
        <v>1.98E-3</v>
      </c>
      <c r="Q5091" s="147">
        <v>0</v>
      </c>
      <c r="R5091" s="147">
        <v>0</v>
      </c>
    </row>
    <row r="5092" spans="2:18" ht="15.75" hidden="1" thickBot="1" x14ac:dyDescent="0.3">
      <c r="B5092" s="726" t="s">
        <v>818</v>
      </c>
      <c r="C5092" s="722" t="s">
        <v>101</v>
      </c>
      <c r="D5092" t="s">
        <v>102</v>
      </c>
      <c r="E5092" s="728"/>
      <c r="F5092" s="148">
        <v>4</v>
      </c>
      <c r="G5092" s="148">
        <v>-4</v>
      </c>
      <c r="H5092" s="148">
        <v>-100</v>
      </c>
      <c r="I5092" s="728"/>
      <c r="J5092" s="728"/>
      <c r="K5092" s="728"/>
      <c r="L5092" s="148">
        <v>0.60255999999999998</v>
      </c>
      <c r="M5092" s="148">
        <v>76.3</v>
      </c>
      <c r="N5092" s="148">
        <v>-75.69744</v>
      </c>
      <c r="O5092" s="148">
        <v>-99.210275229357805</v>
      </c>
      <c r="P5092" s="148">
        <v>2.5485500000000001</v>
      </c>
      <c r="Q5092" s="148">
        <v>-1.9459900000000001</v>
      </c>
      <c r="R5092" s="148">
        <v>-76.356751878519162</v>
      </c>
    </row>
    <row r="5093" spans="2:18" ht="15.75" hidden="1" thickBot="1" x14ac:dyDescent="0.3">
      <c r="B5093" s="726" t="s">
        <v>818</v>
      </c>
      <c r="C5093" s="722" t="s">
        <v>218</v>
      </c>
      <c r="D5093" t="s">
        <v>219</v>
      </c>
      <c r="E5093" s="147">
        <v>-2.0649999999999999</v>
      </c>
      <c r="F5093" s="729"/>
      <c r="G5093" s="147">
        <v>-2.0649999999999999</v>
      </c>
      <c r="H5093" s="147">
        <v>0</v>
      </c>
      <c r="I5093" s="729"/>
      <c r="J5093" s="147">
        <v>-2.0649999999999999</v>
      </c>
      <c r="K5093" s="147">
        <v>0</v>
      </c>
      <c r="L5093" s="147">
        <v>1.8534999999999999</v>
      </c>
      <c r="M5093" s="729"/>
      <c r="N5093" s="147">
        <v>1.8534999999999999</v>
      </c>
      <c r="O5093" s="147">
        <v>0</v>
      </c>
      <c r="P5093" s="147">
        <v>0.67349999999999999</v>
      </c>
      <c r="Q5093" s="147">
        <v>1.18</v>
      </c>
      <c r="R5093" s="147">
        <v>175.20415738678545</v>
      </c>
    </row>
    <row r="5094" spans="2:18" ht="15.75" hidden="1" thickBot="1" x14ac:dyDescent="0.3">
      <c r="B5094" s="726" t="s">
        <v>818</v>
      </c>
      <c r="C5094" s="722" t="s">
        <v>462</v>
      </c>
      <c r="D5094" t="s">
        <v>463</v>
      </c>
      <c r="E5094" s="148">
        <v>0.46767999999999998</v>
      </c>
      <c r="F5094" s="728"/>
      <c r="G5094" s="148">
        <v>0.46767999999999998</v>
      </c>
      <c r="H5094" s="148">
        <v>0</v>
      </c>
      <c r="I5094" s="728"/>
      <c r="J5094" s="148">
        <v>0.46767999999999998</v>
      </c>
      <c r="K5094" s="148">
        <v>0</v>
      </c>
      <c r="L5094" s="148">
        <v>0.54393000000000002</v>
      </c>
      <c r="M5094" s="728"/>
      <c r="N5094" s="148">
        <v>0.54393000000000002</v>
      </c>
      <c r="O5094" s="148">
        <v>0</v>
      </c>
      <c r="P5094" s="148">
        <v>1.7610000000000001E-2</v>
      </c>
      <c r="Q5094" s="148">
        <v>0.52632000000000001</v>
      </c>
      <c r="R5094" s="148">
        <v>2988.756388415673</v>
      </c>
    </row>
    <row r="5095" spans="2:18" ht="15.75" hidden="1" thickBot="1" x14ac:dyDescent="0.3">
      <c r="B5095" s="726" t="s">
        <v>818</v>
      </c>
      <c r="C5095" s="722" t="s">
        <v>613</v>
      </c>
      <c r="D5095" t="s">
        <v>614</v>
      </c>
      <c r="E5095" s="729"/>
      <c r="F5095" s="729"/>
      <c r="G5095" s="729"/>
      <c r="H5095" s="729"/>
      <c r="I5095" s="729"/>
      <c r="J5095" s="729"/>
      <c r="K5095" s="729"/>
      <c r="L5095" s="147">
        <v>3.125</v>
      </c>
      <c r="M5095" s="729"/>
      <c r="N5095" s="147">
        <v>3.125</v>
      </c>
      <c r="O5095" s="147">
        <v>0</v>
      </c>
      <c r="P5095" s="147">
        <v>-2.5750000000000002</v>
      </c>
      <c r="Q5095" s="147">
        <v>5.7</v>
      </c>
      <c r="R5095" s="147">
        <v>221.35922330097088</v>
      </c>
    </row>
    <row r="5096" spans="2:18" ht="15.75" hidden="1" thickBot="1" x14ac:dyDescent="0.3">
      <c r="B5096" s="726" t="s">
        <v>818</v>
      </c>
      <c r="C5096" s="722" t="s">
        <v>193</v>
      </c>
      <c r="D5096" t="s">
        <v>194</v>
      </c>
      <c r="E5096" s="148">
        <v>0.64215</v>
      </c>
      <c r="F5096" s="728"/>
      <c r="G5096" s="148">
        <v>0.64215</v>
      </c>
      <c r="H5096" s="148">
        <v>0</v>
      </c>
      <c r="I5096" s="728"/>
      <c r="J5096" s="148">
        <v>0.64215</v>
      </c>
      <c r="K5096" s="148">
        <v>0</v>
      </c>
      <c r="L5096" s="148">
        <v>21.121390000000002</v>
      </c>
      <c r="M5096" s="728"/>
      <c r="N5096" s="148">
        <v>21.121390000000002</v>
      </c>
      <c r="O5096" s="148">
        <v>0</v>
      </c>
      <c r="P5096" s="148">
        <v>9.1319999999999997</v>
      </c>
      <c r="Q5096" s="148">
        <v>11.98939</v>
      </c>
      <c r="R5096" s="148">
        <v>131.28985983355236</v>
      </c>
    </row>
    <row r="5097" spans="2:18" ht="15.75" hidden="1" thickBot="1" x14ac:dyDescent="0.3">
      <c r="B5097" s="726" t="s">
        <v>818</v>
      </c>
      <c r="C5097" s="722" t="s">
        <v>195</v>
      </c>
      <c r="D5097" t="s">
        <v>196</v>
      </c>
      <c r="E5097" s="147">
        <v>2.6890000000000001</v>
      </c>
      <c r="F5097" s="729"/>
      <c r="G5097" s="147">
        <v>2.6890000000000001</v>
      </c>
      <c r="H5097" s="147">
        <v>0</v>
      </c>
      <c r="I5097" s="729"/>
      <c r="J5097" s="147">
        <v>2.6890000000000001</v>
      </c>
      <c r="K5097" s="147">
        <v>0</v>
      </c>
      <c r="L5097" s="147">
        <v>5.0937999999999999</v>
      </c>
      <c r="M5097" s="729"/>
      <c r="N5097" s="147">
        <v>5.0937999999999999</v>
      </c>
      <c r="O5097" s="147">
        <v>0</v>
      </c>
      <c r="P5097" s="147">
        <v>2.4047999999999998</v>
      </c>
      <c r="Q5097" s="147">
        <v>2.6890000000000001</v>
      </c>
      <c r="R5097" s="147">
        <v>111.81803060545576</v>
      </c>
    </row>
    <row r="5098" spans="2:18" ht="15.75" hidden="1" thickBot="1" x14ac:dyDescent="0.3">
      <c r="B5098" s="726" t="s">
        <v>818</v>
      </c>
      <c r="C5098" s="722" t="s">
        <v>197</v>
      </c>
      <c r="D5098" t="s">
        <v>198</v>
      </c>
      <c r="E5098" s="728"/>
      <c r="F5098" s="728"/>
      <c r="G5098" s="728"/>
      <c r="H5098" s="728"/>
      <c r="I5098" s="728"/>
      <c r="J5098" s="728"/>
      <c r="K5098" s="728"/>
      <c r="L5098" s="148">
        <v>9.5310000000000006</v>
      </c>
      <c r="M5098" s="728"/>
      <c r="N5098" s="148">
        <v>9.5310000000000006</v>
      </c>
      <c r="O5098" s="148">
        <v>0</v>
      </c>
      <c r="P5098" s="148">
        <v>6.3310000000000004</v>
      </c>
      <c r="Q5098" s="148">
        <v>3.2</v>
      </c>
      <c r="R5098" s="148">
        <v>50.54493760859264</v>
      </c>
    </row>
    <row r="5099" spans="2:18" ht="15.75" hidden="1" thickBot="1" x14ac:dyDescent="0.3">
      <c r="B5099" s="726" t="s">
        <v>818</v>
      </c>
      <c r="C5099" s="722" t="s">
        <v>464</v>
      </c>
      <c r="D5099" t="s">
        <v>465</v>
      </c>
      <c r="E5099" s="729"/>
      <c r="F5099" s="147">
        <v>0.25881999999999999</v>
      </c>
      <c r="G5099" s="147">
        <v>-0.25881999999999999</v>
      </c>
      <c r="H5099" s="147">
        <v>-100</v>
      </c>
      <c r="I5099" s="729"/>
      <c r="J5099" s="729"/>
      <c r="K5099" s="729"/>
      <c r="L5099" s="147">
        <v>-6.6193999999999997</v>
      </c>
      <c r="M5099" s="147">
        <v>6.9882</v>
      </c>
      <c r="N5099" s="147">
        <v>-13.6076</v>
      </c>
      <c r="O5099" s="147">
        <v>-194.7225322686815</v>
      </c>
      <c r="P5099" s="147">
        <v>-6.6193999999999997</v>
      </c>
      <c r="Q5099" s="147">
        <v>0</v>
      </c>
      <c r="R5099" s="147">
        <v>0</v>
      </c>
    </row>
    <row r="5100" spans="2:18" ht="15.75" hidden="1" thickBot="1" x14ac:dyDescent="0.3">
      <c r="B5100" s="726" t="s">
        <v>818</v>
      </c>
      <c r="C5100" s="722" t="s">
        <v>619</v>
      </c>
      <c r="D5100" t="s">
        <v>620</v>
      </c>
      <c r="E5100" s="728"/>
      <c r="F5100" s="728"/>
      <c r="G5100" s="728"/>
      <c r="H5100" s="728"/>
      <c r="I5100" s="728"/>
      <c r="J5100" s="728"/>
      <c r="K5100" s="728"/>
      <c r="L5100" s="148">
        <v>29.97062</v>
      </c>
      <c r="M5100" s="728"/>
      <c r="N5100" s="148">
        <v>29.97062</v>
      </c>
      <c r="O5100" s="148">
        <v>0</v>
      </c>
      <c r="P5100" s="148">
        <v>28.767520000000001</v>
      </c>
      <c r="Q5100" s="148">
        <v>1.2031000000000001</v>
      </c>
      <c r="R5100" s="148">
        <v>4.1821470881049185</v>
      </c>
    </row>
    <row r="5101" spans="2:18" ht="15.75" hidden="1" thickBot="1" x14ac:dyDescent="0.3">
      <c r="B5101" s="726" t="s">
        <v>818</v>
      </c>
      <c r="C5101" s="722" t="s">
        <v>103</v>
      </c>
      <c r="D5101" t="s">
        <v>104</v>
      </c>
      <c r="E5101" s="729"/>
      <c r="F5101" s="729"/>
      <c r="G5101" s="729"/>
      <c r="H5101" s="729"/>
      <c r="I5101" s="729"/>
      <c r="J5101" s="729"/>
      <c r="K5101" s="729"/>
      <c r="L5101" s="147">
        <v>3.8400000000000001E-3</v>
      </c>
      <c r="M5101" s="729"/>
      <c r="N5101" s="147">
        <v>3.8400000000000001E-3</v>
      </c>
      <c r="O5101" s="147">
        <v>0</v>
      </c>
      <c r="P5101" s="147">
        <v>5.9800000000000001E-3</v>
      </c>
      <c r="Q5101" s="147">
        <v>-2.14E-3</v>
      </c>
      <c r="R5101" s="147">
        <v>-35.785953177257525</v>
      </c>
    </row>
    <row r="5102" spans="2:18" ht="15.75" hidden="1" thickBot="1" x14ac:dyDescent="0.3">
      <c r="B5102" s="726" t="s">
        <v>818</v>
      </c>
      <c r="C5102" s="722" t="s">
        <v>73</v>
      </c>
      <c r="D5102" t="s">
        <v>74</v>
      </c>
      <c r="E5102" s="728"/>
      <c r="F5102" s="148">
        <v>2.588E-2</v>
      </c>
      <c r="G5102" s="148">
        <v>-2.588E-2</v>
      </c>
      <c r="H5102" s="148">
        <v>-100</v>
      </c>
      <c r="I5102" s="728"/>
      <c r="J5102" s="728"/>
      <c r="K5102" s="728"/>
      <c r="L5102" s="148">
        <v>6.3039999999999999E-2</v>
      </c>
      <c r="M5102" s="148">
        <v>0.31056</v>
      </c>
      <c r="N5102" s="148">
        <v>-0.24751999999999999</v>
      </c>
      <c r="O5102" s="148">
        <v>-79.701184956208138</v>
      </c>
      <c r="P5102" s="728"/>
      <c r="Q5102" s="148">
        <v>6.3039999999999999E-2</v>
      </c>
      <c r="R5102" s="148">
        <v>0</v>
      </c>
    </row>
    <row r="5103" spans="2:18" ht="15.75" hidden="1" thickBot="1" x14ac:dyDescent="0.3">
      <c r="B5103" s="726" t="s">
        <v>818</v>
      </c>
      <c r="C5103" s="722" t="s">
        <v>111</v>
      </c>
      <c r="D5103" t="s">
        <v>112</v>
      </c>
      <c r="E5103" s="729"/>
      <c r="F5103" s="729"/>
      <c r="G5103" s="729"/>
      <c r="H5103" s="729"/>
      <c r="I5103" s="729"/>
      <c r="J5103" s="729"/>
      <c r="K5103" s="729"/>
      <c r="L5103" s="147">
        <v>6.8279999999999993E-2</v>
      </c>
      <c r="M5103" s="729"/>
      <c r="N5103" s="147">
        <v>6.8279999999999993E-2</v>
      </c>
      <c r="O5103" s="147">
        <v>0</v>
      </c>
      <c r="P5103" s="147">
        <v>6.8279999999999993E-2</v>
      </c>
      <c r="Q5103" s="147">
        <v>0</v>
      </c>
      <c r="R5103" s="147">
        <v>0</v>
      </c>
    </row>
    <row r="5104" spans="2:18" ht="15.75" hidden="1" thickBot="1" x14ac:dyDescent="0.3">
      <c r="B5104" s="726" t="s">
        <v>818</v>
      </c>
      <c r="C5104" s="722" t="s">
        <v>113</v>
      </c>
      <c r="D5104" t="s">
        <v>114</v>
      </c>
      <c r="E5104" s="148">
        <v>2.7399999999999998E-3</v>
      </c>
      <c r="F5104" s="148">
        <v>3.6880000000000003E-2</v>
      </c>
      <c r="G5104" s="148">
        <v>-3.4139999999999997E-2</v>
      </c>
      <c r="H5104" s="148">
        <v>-92.570498915401302</v>
      </c>
      <c r="I5104" s="728"/>
      <c r="J5104" s="148">
        <v>2.7399999999999998E-3</v>
      </c>
      <c r="K5104" s="148">
        <v>0</v>
      </c>
      <c r="L5104" s="148">
        <v>6.0859999999999997E-2</v>
      </c>
      <c r="M5104" s="148">
        <v>0.44256000000000001</v>
      </c>
      <c r="N5104" s="148">
        <v>-0.38169999999999998</v>
      </c>
      <c r="O5104" s="148">
        <v>-86.248192335502537</v>
      </c>
      <c r="P5104" s="148">
        <v>4.5199999999999997E-2</v>
      </c>
      <c r="Q5104" s="148">
        <v>1.566E-2</v>
      </c>
      <c r="R5104" s="148">
        <v>34.646017699115042</v>
      </c>
    </row>
    <row r="5105" spans="2:18" ht="15.75" hidden="1" thickBot="1" x14ac:dyDescent="0.3">
      <c r="B5105" s="726" t="s">
        <v>818</v>
      </c>
      <c r="C5105" s="722" t="s">
        <v>201</v>
      </c>
      <c r="D5105" t="s">
        <v>202</v>
      </c>
      <c r="E5105" s="729"/>
      <c r="F5105" s="147">
        <v>4.8529999999999997E-2</v>
      </c>
      <c r="G5105" s="147">
        <v>-4.8529999999999997E-2</v>
      </c>
      <c r="H5105" s="147">
        <v>-100</v>
      </c>
      <c r="I5105" s="729"/>
      <c r="J5105" s="729"/>
      <c r="K5105" s="729"/>
      <c r="L5105" s="729"/>
      <c r="M5105" s="147">
        <v>0.62117999999999995</v>
      </c>
      <c r="N5105" s="147">
        <v>-0.62117999999999995</v>
      </c>
      <c r="O5105" s="147">
        <v>-100</v>
      </c>
      <c r="P5105" s="729"/>
      <c r="Q5105" s="729"/>
      <c r="R5105" s="729"/>
    </row>
    <row r="5106" spans="2:18" ht="15.75" hidden="1" thickBot="1" x14ac:dyDescent="0.3">
      <c r="B5106" s="726" t="s">
        <v>818</v>
      </c>
      <c r="C5106" s="722" t="s">
        <v>145</v>
      </c>
      <c r="D5106" t="s">
        <v>146</v>
      </c>
      <c r="E5106" s="148">
        <v>9.0000000000000006E-5</v>
      </c>
      <c r="F5106" s="148">
        <v>4.8529999999999997E-2</v>
      </c>
      <c r="G5106" s="148">
        <v>-4.8439999999999997E-2</v>
      </c>
      <c r="H5106" s="148">
        <v>-99.814547702452089</v>
      </c>
      <c r="I5106" s="728"/>
      <c r="J5106" s="148">
        <v>9.0000000000000006E-5</v>
      </c>
      <c r="K5106" s="148">
        <v>0</v>
      </c>
      <c r="L5106" s="148">
        <v>5.2900000000000004E-3</v>
      </c>
      <c r="M5106" s="148">
        <v>0.32356000000000001</v>
      </c>
      <c r="N5106" s="148">
        <v>-0.31827</v>
      </c>
      <c r="O5106" s="148">
        <v>-98.365063666707869</v>
      </c>
      <c r="P5106" s="148">
        <v>6.8000000000000005E-4</v>
      </c>
      <c r="Q5106" s="148">
        <v>4.6100000000000004E-3</v>
      </c>
      <c r="R5106" s="148">
        <v>677.94117647058829</v>
      </c>
    </row>
    <row r="5107" spans="2:18" ht="15.75" hidden="1" thickBot="1" x14ac:dyDescent="0.3">
      <c r="B5107" s="726" t="s">
        <v>818</v>
      </c>
      <c r="C5107" s="722" t="s">
        <v>647</v>
      </c>
      <c r="D5107" t="s">
        <v>648</v>
      </c>
      <c r="E5107" s="729"/>
      <c r="F5107" s="729"/>
      <c r="G5107" s="729"/>
      <c r="H5107" s="729"/>
      <c r="I5107" s="729"/>
      <c r="J5107" s="729"/>
      <c r="K5107" s="729"/>
      <c r="L5107" s="147">
        <v>-5.5438099999999997</v>
      </c>
      <c r="M5107" s="729"/>
      <c r="N5107" s="147">
        <v>-5.5438099999999997</v>
      </c>
      <c r="O5107" s="147">
        <v>0</v>
      </c>
      <c r="P5107" s="147">
        <v>-1.1216900000000001</v>
      </c>
      <c r="Q5107" s="147">
        <v>-4.4221199999999996</v>
      </c>
      <c r="R5107" s="147">
        <v>-394.23726698107322</v>
      </c>
    </row>
    <row r="5108" spans="2:18" ht="15.75" hidden="1" thickBot="1" x14ac:dyDescent="0.3">
      <c r="B5108" s="726" t="s">
        <v>818</v>
      </c>
      <c r="C5108" s="722" t="s">
        <v>173</v>
      </c>
      <c r="D5108" t="s">
        <v>174</v>
      </c>
      <c r="E5108" s="148">
        <v>1.0222199999999999</v>
      </c>
      <c r="F5108" s="148">
        <v>0.21353</v>
      </c>
      <c r="G5108" s="148">
        <v>0.80869000000000002</v>
      </c>
      <c r="H5108" s="148">
        <v>378.7243010349834</v>
      </c>
      <c r="I5108" s="728"/>
      <c r="J5108" s="148">
        <v>1.0222199999999999</v>
      </c>
      <c r="K5108" s="148">
        <v>0</v>
      </c>
      <c r="L5108" s="148">
        <v>12.21218</v>
      </c>
      <c r="M5108" s="148">
        <v>2.56236</v>
      </c>
      <c r="N5108" s="148">
        <v>9.6498200000000001</v>
      </c>
      <c r="O5108" s="148">
        <v>376.59891662373747</v>
      </c>
      <c r="P5108" s="148">
        <v>6.2268499999999998</v>
      </c>
      <c r="Q5108" s="148">
        <v>5.9853300000000003</v>
      </c>
      <c r="R5108" s="148">
        <v>96.121313344628504</v>
      </c>
    </row>
    <row r="5109" spans="2:18" ht="15.75" hidden="1" thickBot="1" x14ac:dyDescent="0.3">
      <c r="B5109" s="726" t="s">
        <v>818</v>
      </c>
      <c r="C5109" s="722" t="s">
        <v>151</v>
      </c>
      <c r="D5109" t="s">
        <v>152</v>
      </c>
      <c r="E5109" s="729"/>
      <c r="F5109" s="147">
        <v>2.588E-2</v>
      </c>
      <c r="G5109" s="147">
        <v>-2.588E-2</v>
      </c>
      <c r="H5109" s="147">
        <v>-100</v>
      </c>
      <c r="I5109" s="729"/>
      <c r="J5109" s="729"/>
      <c r="K5109" s="729"/>
      <c r="L5109" s="729"/>
      <c r="M5109" s="147">
        <v>0.69879999999999998</v>
      </c>
      <c r="N5109" s="147">
        <v>-0.69879999999999998</v>
      </c>
      <c r="O5109" s="147">
        <v>-100</v>
      </c>
      <c r="P5109" s="729"/>
      <c r="Q5109" s="729"/>
      <c r="R5109" s="729"/>
    </row>
    <row r="5110" spans="2:18" ht="15.75" hidden="1" thickBot="1" x14ac:dyDescent="0.3">
      <c r="B5110" s="726" t="s">
        <v>818</v>
      </c>
      <c r="C5110" s="722" t="s">
        <v>661</v>
      </c>
      <c r="D5110" t="s">
        <v>662</v>
      </c>
      <c r="E5110" s="148">
        <v>-8.3302899999999998</v>
      </c>
      <c r="F5110" s="728"/>
      <c r="G5110" s="148">
        <v>-8.3302899999999998</v>
      </c>
      <c r="H5110" s="148">
        <v>0</v>
      </c>
      <c r="I5110" s="728"/>
      <c r="J5110" s="148">
        <v>-8.3302899999999998</v>
      </c>
      <c r="K5110" s="148">
        <v>0</v>
      </c>
      <c r="L5110" s="148">
        <v>-8.3302899999999998</v>
      </c>
      <c r="M5110" s="728"/>
      <c r="N5110" s="148">
        <v>-8.3302899999999998</v>
      </c>
      <c r="O5110" s="148">
        <v>0</v>
      </c>
      <c r="P5110" s="728"/>
      <c r="Q5110" s="148">
        <v>-8.3302899999999998</v>
      </c>
      <c r="R5110" s="148">
        <v>0</v>
      </c>
    </row>
    <row r="5111" spans="2:18" ht="15.75" hidden="1" thickBot="1" x14ac:dyDescent="0.3">
      <c r="B5111" s="726" t="s">
        <v>818</v>
      </c>
      <c r="C5111" s="722" t="s">
        <v>75</v>
      </c>
      <c r="D5111" t="s">
        <v>76</v>
      </c>
      <c r="E5111" s="729"/>
      <c r="F5111" s="147">
        <v>0.10353</v>
      </c>
      <c r="G5111" s="147">
        <v>-0.10353</v>
      </c>
      <c r="H5111" s="147">
        <v>-100</v>
      </c>
      <c r="I5111" s="729"/>
      <c r="J5111" s="729"/>
      <c r="K5111" s="729"/>
      <c r="L5111" s="147">
        <v>2.7390000000000001E-2</v>
      </c>
      <c r="M5111" s="147">
        <v>1.8809</v>
      </c>
      <c r="N5111" s="147">
        <v>-1.85351</v>
      </c>
      <c r="O5111" s="147">
        <v>-98.543782231910257</v>
      </c>
      <c r="P5111" s="147">
        <v>1.456E-2</v>
      </c>
      <c r="Q5111" s="147">
        <v>1.2829999999999999E-2</v>
      </c>
      <c r="R5111" s="147">
        <v>88.118131868131869</v>
      </c>
    </row>
    <row r="5112" spans="2:18" ht="15.75" hidden="1" thickBot="1" x14ac:dyDescent="0.3">
      <c r="B5112" s="726" t="s">
        <v>818</v>
      </c>
      <c r="C5112" s="722" t="s">
        <v>121</v>
      </c>
      <c r="D5112" t="s">
        <v>122</v>
      </c>
      <c r="E5112" s="148">
        <v>5.4699999999999999E-2</v>
      </c>
      <c r="F5112" s="148">
        <v>0.25</v>
      </c>
      <c r="G5112" s="148">
        <v>-0.1953</v>
      </c>
      <c r="H5112" s="148">
        <v>-78.12</v>
      </c>
      <c r="I5112" s="728"/>
      <c r="J5112" s="148">
        <v>5.4699999999999999E-2</v>
      </c>
      <c r="K5112" s="148">
        <v>0</v>
      </c>
      <c r="L5112" s="148">
        <v>0.46786</v>
      </c>
      <c r="M5112" s="148">
        <v>3.1</v>
      </c>
      <c r="N5112" s="148">
        <v>-2.6321400000000001</v>
      </c>
      <c r="O5112" s="148">
        <v>-84.90774193548387</v>
      </c>
      <c r="P5112" s="148">
        <v>0.1875</v>
      </c>
      <c r="Q5112" s="148">
        <v>0.28036</v>
      </c>
      <c r="R5112" s="148">
        <v>149.52533333333332</v>
      </c>
    </row>
    <row r="5113" spans="2:18" ht="15.75" hidden="1" thickBot="1" x14ac:dyDescent="0.3">
      <c r="B5113" s="726" t="s">
        <v>818</v>
      </c>
      <c r="C5113" s="722" t="s">
        <v>77</v>
      </c>
      <c r="D5113" t="s">
        <v>78</v>
      </c>
      <c r="E5113" s="729"/>
      <c r="F5113" s="729"/>
      <c r="G5113" s="729"/>
      <c r="H5113" s="729"/>
      <c r="I5113" s="729"/>
      <c r="J5113" s="729"/>
      <c r="K5113" s="729"/>
      <c r="L5113" s="147">
        <v>3.022E-2</v>
      </c>
      <c r="M5113" s="729"/>
      <c r="N5113" s="147">
        <v>3.022E-2</v>
      </c>
      <c r="O5113" s="147">
        <v>0</v>
      </c>
      <c r="P5113" s="729"/>
      <c r="Q5113" s="147">
        <v>3.022E-2</v>
      </c>
      <c r="R5113" s="147">
        <v>0</v>
      </c>
    </row>
    <row r="5114" spans="2:18" ht="15.75" hidden="1" thickBot="1" x14ac:dyDescent="0.3">
      <c r="B5114" s="726" t="s">
        <v>818</v>
      </c>
      <c r="C5114" s="722" t="s">
        <v>79</v>
      </c>
      <c r="D5114" t="s">
        <v>80</v>
      </c>
      <c r="E5114" s="728"/>
      <c r="F5114" s="728"/>
      <c r="G5114" s="728"/>
      <c r="H5114" s="728"/>
      <c r="I5114" s="728"/>
      <c r="J5114" s="728"/>
      <c r="K5114" s="728"/>
      <c r="L5114" s="148">
        <v>5.1839999999999997E-2</v>
      </c>
      <c r="M5114" s="728"/>
      <c r="N5114" s="148">
        <v>5.1839999999999997E-2</v>
      </c>
      <c r="O5114" s="148">
        <v>0</v>
      </c>
      <c r="P5114" s="728"/>
      <c r="Q5114" s="148">
        <v>5.1839999999999997E-2</v>
      </c>
      <c r="R5114" s="148">
        <v>0</v>
      </c>
    </row>
    <row r="5115" spans="2:18" ht="15.75" hidden="1" thickBot="1" x14ac:dyDescent="0.3">
      <c r="B5115" s="726" t="s">
        <v>818</v>
      </c>
      <c r="C5115" s="722" t="s">
        <v>81</v>
      </c>
      <c r="D5115" t="s">
        <v>82</v>
      </c>
      <c r="E5115" s="729"/>
      <c r="F5115" s="147">
        <v>6.4710000000000004E-2</v>
      </c>
      <c r="G5115" s="147">
        <v>-6.4710000000000004E-2</v>
      </c>
      <c r="H5115" s="147">
        <v>-100</v>
      </c>
      <c r="I5115" s="729"/>
      <c r="J5115" s="729"/>
      <c r="K5115" s="729"/>
      <c r="L5115" s="729"/>
      <c r="M5115" s="147">
        <v>0.30347000000000002</v>
      </c>
      <c r="N5115" s="147">
        <v>-0.30347000000000002</v>
      </c>
      <c r="O5115" s="147">
        <v>-100</v>
      </c>
      <c r="P5115" s="729"/>
      <c r="Q5115" s="729"/>
      <c r="R5115" s="729"/>
    </row>
    <row r="5116" spans="2:18" ht="15.75" hidden="1" thickBot="1" x14ac:dyDescent="0.3">
      <c r="B5116" s="726" t="s">
        <v>818</v>
      </c>
      <c r="C5116" s="722" t="s">
        <v>123</v>
      </c>
      <c r="D5116" t="s">
        <v>124</v>
      </c>
      <c r="E5116" s="728"/>
      <c r="F5116" s="148">
        <v>6.4710000000000004E-2</v>
      </c>
      <c r="G5116" s="148">
        <v>-6.4710000000000004E-2</v>
      </c>
      <c r="H5116" s="148">
        <v>-100</v>
      </c>
      <c r="I5116" s="728"/>
      <c r="J5116" s="728"/>
      <c r="K5116" s="728"/>
      <c r="L5116" s="148">
        <v>4.8700000000000002E-3</v>
      </c>
      <c r="M5116" s="148">
        <v>0.29764000000000002</v>
      </c>
      <c r="N5116" s="148">
        <v>-0.29276999999999997</v>
      </c>
      <c r="O5116" s="148">
        <v>-98.363795188818713</v>
      </c>
      <c r="P5116" s="148">
        <v>4.8700000000000002E-3</v>
      </c>
      <c r="Q5116" s="148">
        <v>0</v>
      </c>
      <c r="R5116" s="148">
        <v>0</v>
      </c>
    </row>
    <row r="5117" spans="2:18" ht="15.75" hidden="1" thickBot="1" x14ac:dyDescent="0.3">
      <c r="B5117" s="726" t="s">
        <v>818</v>
      </c>
      <c r="C5117" s="722" t="s">
        <v>209</v>
      </c>
      <c r="D5117" t="s">
        <v>210</v>
      </c>
      <c r="E5117" s="147">
        <v>9.8680000000000004E-2</v>
      </c>
      <c r="F5117" s="729"/>
      <c r="G5117" s="147">
        <v>9.8680000000000004E-2</v>
      </c>
      <c r="H5117" s="147">
        <v>0</v>
      </c>
      <c r="I5117" s="729"/>
      <c r="J5117" s="147">
        <v>9.8680000000000004E-2</v>
      </c>
      <c r="K5117" s="147">
        <v>0</v>
      </c>
      <c r="L5117" s="147">
        <v>0.85433999999999999</v>
      </c>
      <c r="M5117" s="729"/>
      <c r="N5117" s="147">
        <v>0.85433999999999999</v>
      </c>
      <c r="O5117" s="147">
        <v>0</v>
      </c>
      <c r="P5117" s="147">
        <v>0.46398</v>
      </c>
      <c r="Q5117" s="147">
        <v>0.39035999999999998</v>
      </c>
      <c r="R5117" s="147">
        <v>84.132936764515705</v>
      </c>
    </row>
    <row r="5118" spans="2:18" ht="15.75" hidden="1" thickBot="1" x14ac:dyDescent="0.3">
      <c r="B5118" s="726" t="s">
        <v>818</v>
      </c>
      <c r="C5118" s="722" t="s">
        <v>211</v>
      </c>
      <c r="D5118" t="s">
        <v>212</v>
      </c>
      <c r="E5118" s="148">
        <v>2.273E-2</v>
      </c>
      <c r="F5118" s="728"/>
      <c r="G5118" s="148">
        <v>2.273E-2</v>
      </c>
      <c r="H5118" s="148">
        <v>0</v>
      </c>
      <c r="I5118" s="728"/>
      <c r="J5118" s="148">
        <v>2.273E-2</v>
      </c>
      <c r="K5118" s="148">
        <v>0</v>
      </c>
      <c r="L5118" s="148">
        <v>0.69643999999999995</v>
      </c>
      <c r="M5118" s="728"/>
      <c r="N5118" s="148">
        <v>0.69643999999999995</v>
      </c>
      <c r="O5118" s="148">
        <v>0</v>
      </c>
      <c r="P5118" s="148">
        <v>0.46882000000000001</v>
      </c>
      <c r="Q5118" s="148">
        <v>0.22761999999999999</v>
      </c>
      <c r="R5118" s="148">
        <v>48.551682948679662</v>
      </c>
    </row>
    <row r="5119" spans="2:18" ht="15.75" hidden="1" thickBot="1" x14ac:dyDescent="0.3">
      <c r="B5119" s="726" t="s">
        <v>818</v>
      </c>
      <c r="C5119" s="722" t="s">
        <v>213</v>
      </c>
      <c r="D5119" t="s">
        <v>214</v>
      </c>
      <c r="E5119" s="147">
        <v>-0.37931999999999999</v>
      </c>
      <c r="F5119" s="729"/>
      <c r="G5119" s="147">
        <v>-0.37931999999999999</v>
      </c>
      <c r="H5119" s="147">
        <v>0</v>
      </c>
      <c r="I5119" s="729"/>
      <c r="J5119" s="147">
        <v>-0.37931999999999999</v>
      </c>
      <c r="K5119" s="147">
        <v>0</v>
      </c>
      <c r="L5119" s="147">
        <v>-4.8348599999999999</v>
      </c>
      <c r="M5119" s="729"/>
      <c r="N5119" s="147">
        <v>-4.8348599999999999</v>
      </c>
      <c r="O5119" s="147">
        <v>0</v>
      </c>
      <c r="P5119" s="147">
        <v>-3.3971399999999998</v>
      </c>
      <c r="Q5119" s="147">
        <v>-1.4377200000000001</v>
      </c>
      <c r="R5119" s="147">
        <v>-42.321482187958104</v>
      </c>
    </row>
    <row r="5120" spans="2:18" ht="15.75" hidden="1" thickBot="1" x14ac:dyDescent="0.3">
      <c r="B5120" s="726" t="s">
        <v>818</v>
      </c>
      <c r="C5120" s="722" t="s">
        <v>215</v>
      </c>
      <c r="D5120" t="s">
        <v>216</v>
      </c>
      <c r="E5120" s="148">
        <v>-0.12858</v>
      </c>
      <c r="F5120" s="728"/>
      <c r="G5120" s="148">
        <v>-0.12858</v>
      </c>
      <c r="H5120" s="148">
        <v>0</v>
      </c>
      <c r="I5120" s="728"/>
      <c r="J5120" s="148">
        <v>-0.12858</v>
      </c>
      <c r="K5120" s="148">
        <v>0</v>
      </c>
      <c r="L5120" s="148">
        <v>-1.17865</v>
      </c>
      <c r="M5120" s="728"/>
      <c r="N5120" s="148">
        <v>-1.17865</v>
      </c>
      <c r="O5120" s="148">
        <v>0</v>
      </c>
      <c r="P5120" s="148">
        <v>-0.66432999999999998</v>
      </c>
      <c r="Q5120" s="148">
        <v>-0.51432</v>
      </c>
      <c r="R5120" s="148">
        <v>-77.41935483870968</v>
      </c>
    </row>
    <row r="5121" spans="2:18" ht="15.75" hidden="1" thickBot="1" x14ac:dyDescent="0.3">
      <c r="B5121" s="726" t="s">
        <v>818</v>
      </c>
      <c r="C5121" s="722" t="s">
        <v>83</v>
      </c>
      <c r="D5121" t="s">
        <v>84</v>
      </c>
      <c r="E5121" s="729"/>
      <c r="F5121" s="147">
        <v>0.45</v>
      </c>
      <c r="G5121" s="147">
        <v>-0.45</v>
      </c>
      <c r="H5121" s="147">
        <v>-100</v>
      </c>
      <c r="I5121" s="729"/>
      <c r="J5121" s="729"/>
      <c r="K5121" s="729"/>
      <c r="L5121" s="729"/>
      <c r="M5121" s="147">
        <v>5.4</v>
      </c>
      <c r="N5121" s="147">
        <v>-5.4</v>
      </c>
      <c r="O5121" s="147">
        <v>-100</v>
      </c>
      <c r="P5121" s="729"/>
      <c r="Q5121" s="729"/>
      <c r="R5121" s="729"/>
    </row>
    <row r="5122" spans="2:18" ht="15.75" hidden="1" thickBot="1" x14ac:dyDescent="0.3">
      <c r="B5122" s="726" t="s">
        <v>818</v>
      </c>
      <c r="C5122" s="149" t="s">
        <v>85</v>
      </c>
      <c r="D5122" t="s">
        <v>86</v>
      </c>
      <c r="E5122" s="148">
        <v>-4.6179199999999998</v>
      </c>
      <c r="F5122" s="148">
        <v>11.96688</v>
      </c>
      <c r="G5122" s="148">
        <v>-16.584800000000001</v>
      </c>
      <c r="H5122" s="148">
        <v>-138.58917278354926</v>
      </c>
      <c r="I5122" s="728"/>
      <c r="J5122" s="148">
        <v>-4.6179199999999998</v>
      </c>
      <c r="K5122" s="148">
        <v>0</v>
      </c>
      <c r="L5122" s="148">
        <v>77.394980000000004</v>
      </c>
      <c r="M5122" s="148">
        <v>175.56380999999999</v>
      </c>
      <c r="N5122" s="148">
        <v>-98.16883</v>
      </c>
      <c r="O5122" s="148">
        <v>-55.916324668506569</v>
      </c>
      <c r="P5122" s="148">
        <v>53.469209999999997</v>
      </c>
      <c r="Q5122" s="148">
        <v>23.92577</v>
      </c>
      <c r="R5122" s="148">
        <v>44.746817841520382</v>
      </c>
    </row>
    <row r="5123" spans="2:18" ht="15.75" hidden="1" thickBot="1" x14ac:dyDescent="0.3">
      <c r="B5123" s="726" t="s">
        <v>818</v>
      </c>
      <c r="C5123" s="144" t="s">
        <v>87</v>
      </c>
      <c r="D5123" t="s">
        <v>87</v>
      </c>
      <c r="E5123" s="147">
        <v>44.0732</v>
      </c>
      <c r="F5123" s="147">
        <v>70.397270000000006</v>
      </c>
      <c r="G5123" s="147">
        <v>-26.324069999999999</v>
      </c>
      <c r="H5123" s="147">
        <v>-37.393594950486005</v>
      </c>
      <c r="I5123" s="729"/>
      <c r="J5123" s="147">
        <v>44.0732</v>
      </c>
      <c r="K5123" s="147">
        <v>0</v>
      </c>
      <c r="L5123" s="147">
        <v>918.57155999999998</v>
      </c>
      <c r="M5123" s="147">
        <v>860.02265</v>
      </c>
      <c r="N5123" s="147">
        <v>58.548909999999999</v>
      </c>
      <c r="O5123" s="147">
        <v>6.8078334913621168</v>
      </c>
      <c r="P5123" s="147">
        <v>490.00691999999998</v>
      </c>
      <c r="Q5123" s="147">
        <v>428.56464</v>
      </c>
      <c r="R5123" s="147">
        <v>87.460936265961308</v>
      </c>
    </row>
    <row r="5124" spans="2:18" ht="15.75" hidden="1" thickBot="1" x14ac:dyDescent="0.3">
      <c r="B5124" s="145" t="s">
        <v>819</v>
      </c>
      <c r="C5124" s="722" t="s">
        <v>59</v>
      </c>
      <c r="D5124" t="s">
        <v>60</v>
      </c>
      <c r="E5124" s="148">
        <v>143.06178</v>
      </c>
      <c r="F5124" s="148">
        <v>197.55085</v>
      </c>
      <c r="G5124" s="148">
        <v>-54.489069999999998</v>
      </c>
      <c r="H5124" s="148">
        <v>-27.58230096200548</v>
      </c>
      <c r="I5124" s="728"/>
      <c r="J5124" s="148">
        <v>143.06178</v>
      </c>
      <c r="K5124" s="148">
        <v>0</v>
      </c>
      <c r="L5124" s="148">
        <v>2237.0704099999998</v>
      </c>
      <c r="M5124" s="148">
        <v>2358.1736000000001</v>
      </c>
      <c r="N5124" s="148">
        <v>-121.10319</v>
      </c>
      <c r="O5124" s="148">
        <v>-5.1354654296867714</v>
      </c>
      <c r="P5124" s="148">
        <v>1202.69093</v>
      </c>
      <c r="Q5124" s="148">
        <v>1034.3794800000001</v>
      </c>
      <c r="R5124" s="148">
        <v>86.005427845040785</v>
      </c>
    </row>
    <row r="5125" spans="2:18" ht="15.75" hidden="1" thickBot="1" x14ac:dyDescent="0.3">
      <c r="B5125" s="145" t="s">
        <v>819</v>
      </c>
      <c r="C5125" s="722" t="s">
        <v>566</v>
      </c>
      <c r="D5125" t="s">
        <v>567</v>
      </c>
      <c r="E5125" s="147">
        <v>0.47993000000000002</v>
      </c>
      <c r="F5125" s="729"/>
      <c r="G5125" s="147">
        <v>0.47993000000000002</v>
      </c>
      <c r="H5125" s="147">
        <v>0</v>
      </c>
      <c r="I5125" s="729"/>
      <c r="J5125" s="147">
        <v>0.47993000000000002</v>
      </c>
      <c r="K5125" s="147">
        <v>0</v>
      </c>
      <c r="L5125" s="147">
        <v>1.3511200000000001</v>
      </c>
      <c r="M5125" s="729"/>
      <c r="N5125" s="147">
        <v>1.3511200000000001</v>
      </c>
      <c r="O5125" s="147">
        <v>0</v>
      </c>
      <c r="P5125" s="147">
        <v>0.39128000000000002</v>
      </c>
      <c r="Q5125" s="147">
        <v>0.95984000000000003</v>
      </c>
      <c r="R5125" s="147">
        <v>245.30770803516663</v>
      </c>
    </row>
    <row r="5126" spans="2:18" ht="15.75" hidden="1" thickBot="1" x14ac:dyDescent="0.3">
      <c r="B5126" s="145" t="s">
        <v>819</v>
      </c>
      <c r="C5126" s="722" t="s">
        <v>89</v>
      </c>
      <c r="D5126" t="s">
        <v>90</v>
      </c>
      <c r="E5126" s="728"/>
      <c r="F5126" s="728"/>
      <c r="G5126" s="728"/>
      <c r="H5126" s="728"/>
      <c r="I5126" s="728"/>
      <c r="J5126" s="728"/>
      <c r="K5126" s="728"/>
      <c r="L5126" s="148">
        <v>0.50234999999999996</v>
      </c>
      <c r="M5126" s="728"/>
      <c r="N5126" s="148">
        <v>0.50234999999999996</v>
      </c>
      <c r="O5126" s="148">
        <v>0</v>
      </c>
      <c r="P5126" s="148">
        <v>0.50234999999999996</v>
      </c>
      <c r="Q5126" s="148">
        <v>0</v>
      </c>
      <c r="R5126" s="148">
        <v>0</v>
      </c>
    </row>
    <row r="5127" spans="2:18" ht="15.75" hidden="1" thickBot="1" x14ac:dyDescent="0.3">
      <c r="B5127" s="145" t="s">
        <v>819</v>
      </c>
      <c r="C5127" s="722" t="s">
        <v>91</v>
      </c>
      <c r="D5127" t="s">
        <v>92</v>
      </c>
      <c r="E5127" s="147">
        <v>6.9707499999999998</v>
      </c>
      <c r="F5127" s="147">
        <v>14.905379999999999</v>
      </c>
      <c r="G5127" s="147">
        <v>-7.9346300000000003</v>
      </c>
      <c r="H5127" s="147">
        <v>-53.233329173761419</v>
      </c>
      <c r="I5127" s="729"/>
      <c r="J5127" s="147">
        <v>6.9707499999999998</v>
      </c>
      <c r="K5127" s="147">
        <v>0</v>
      </c>
      <c r="L5127" s="147">
        <v>104.29808</v>
      </c>
      <c r="M5127" s="147">
        <v>174.08902</v>
      </c>
      <c r="N5127" s="147">
        <v>-69.790940000000006</v>
      </c>
      <c r="O5127" s="147">
        <v>-40.089225615722349</v>
      </c>
      <c r="P5127" s="147">
        <v>48.767209999999999</v>
      </c>
      <c r="Q5127" s="147">
        <v>55.53087</v>
      </c>
      <c r="R5127" s="147">
        <v>113.86927814816553</v>
      </c>
    </row>
    <row r="5128" spans="2:18" ht="15.75" hidden="1" thickBot="1" x14ac:dyDescent="0.3">
      <c r="B5128" s="145" t="s">
        <v>819</v>
      </c>
      <c r="C5128" s="722" t="s">
        <v>93</v>
      </c>
      <c r="D5128" t="s">
        <v>94</v>
      </c>
      <c r="E5128" s="148">
        <v>0.21318999999999999</v>
      </c>
      <c r="F5128" s="148">
        <v>0.53044999999999998</v>
      </c>
      <c r="G5128" s="148">
        <v>-0.31725999999999999</v>
      </c>
      <c r="H5128" s="148">
        <v>-59.809595626354984</v>
      </c>
      <c r="I5128" s="728"/>
      <c r="J5128" s="148">
        <v>0.21318999999999999</v>
      </c>
      <c r="K5128" s="148">
        <v>0</v>
      </c>
      <c r="L5128" s="148">
        <v>4.7740900000000002</v>
      </c>
      <c r="M5128" s="148">
        <v>6.1954500000000001</v>
      </c>
      <c r="N5128" s="148">
        <v>-1.42136</v>
      </c>
      <c r="O5128" s="148">
        <v>-22.941997756418015</v>
      </c>
      <c r="P5128" s="148">
        <v>2.6259299999999999</v>
      </c>
      <c r="Q5128" s="148">
        <v>2.1481599999999998</v>
      </c>
      <c r="R5128" s="148">
        <v>81.805684081449243</v>
      </c>
    </row>
    <row r="5129" spans="2:18" ht="15.75" hidden="1" thickBot="1" x14ac:dyDescent="0.3">
      <c r="B5129" s="145" t="s">
        <v>819</v>
      </c>
      <c r="C5129" s="722" t="s">
        <v>134</v>
      </c>
      <c r="D5129" t="s">
        <v>135</v>
      </c>
      <c r="E5129" s="147">
        <v>11.53847</v>
      </c>
      <c r="F5129" s="729"/>
      <c r="G5129" s="147">
        <v>11.53847</v>
      </c>
      <c r="H5129" s="147">
        <v>0</v>
      </c>
      <c r="I5129" s="729"/>
      <c r="J5129" s="147">
        <v>11.53847</v>
      </c>
      <c r="K5129" s="147">
        <v>0</v>
      </c>
      <c r="L5129" s="147">
        <v>82.900270000000006</v>
      </c>
      <c r="M5129" s="147">
        <v>15</v>
      </c>
      <c r="N5129" s="147">
        <v>67.900270000000006</v>
      </c>
      <c r="O5129" s="147">
        <v>452.66846666666669</v>
      </c>
      <c r="P5129" s="147">
        <v>13.856109999999999</v>
      </c>
      <c r="Q5129" s="147">
        <v>69.044160000000005</v>
      </c>
      <c r="R5129" s="147">
        <v>498.29396562238605</v>
      </c>
    </row>
    <row r="5130" spans="2:18" ht="15.75" hidden="1" thickBot="1" x14ac:dyDescent="0.3">
      <c r="B5130" s="145" t="s">
        <v>819</v>
      </c>
      <c r="C5130" s="722" t="s">
        <v>568</v>
      </c>
      <c r="D5130" t="s">
        <v>569</v>
      </c>
      <c r="E5130" s="728"/>
      <c r="F5130" s="728"/>
      <c r="G5130" s="728"/>
      <c r="H5130" s="728"/>
      <c r="I5130" s="728"/>
      <c r="J5130" s="728"/>
      <c r="K5130" s="728"/>
      <c r="L5130" s="148">
        <v>8.2460000000000004</v>
      </c>
      <c r="M5130" s="728"/>
      <c r="N5130" s="148">
        <v>8.2460000000000004</v>
      </c>
      <c r="O5130" s="148">
        <v>0</v>
      </c>
      <c r="P5130" s="728"/>
      <c r="Q5130" s="148">
        <v>8.2460000000000004</v>
      </c>
      <c r="R5130" s="148">
        <v>0</v>
      </c>
    </row>
    <row r="5131" spans="2:18" ht="15.75" hidden="1" thickBot="1" x14ac:dyDescent="0.3">
      <c r="B5131" s="145" t="s">
        <v>819</v>
      </c>
      <c r="C5131" s="722" t="s">
        <v>61</v>
      </c>
      <c r="D5131" t="s">
        <v>62</v>
      </c>
      <c r="E5131" s="147">
        <v>27.325279999999999</v>
      </c>
      <c r="F5131" s="147">
        <v>32.930720000000001</v>
      </c>
      <c r="G5131" s="147">
        <v>-5.6054399999999998</v>
      </c>
      <c r="H5131" s="147">
        <v>-17.02191752867839</v>
      </c>
      <c r="I5131" s="729"/>
      <c r="J5131" s="147">
        <v>27.325279999999999</v>
      </c>
      <c r="K5131" s="147">
        <v>0</v>
      </c>
      <c r="L5131" s="147">
        <v>358.35282999999998</v>
      </c>
      <c r="M5131" s="147">
        <v>392.50074999999998</v>
      </c>
      <c r="N5131" s="147">
        <v>-34.147919999999999</v>
      </c>
      <c r="O5131" s="147">
        <v>-8.7000903819929007</v>
      </c>
      <c r="P5131" s="147">
        <v>184.24216000000001</v>
      </c>
      <c r="Q5131" s="147">
        <v>174.11067</v>
      </c>
      <c r="R5131" s="147">
        <v>94.500992606686765</v>
      </c>
    </row>
    <row r="5132" spans="2:18" ht="15.75" hidden="1" thickBot="1" x14ac:dyDescent="0.3">
      <c r="B5132" s="145" t="s">
        <v>819</v>
      </c>
      <c r="C5132" s="722" t="s">
        <v>63</v>
      </c>
      <c r="D5132" t="s">
        <v>64</v>
      </c>
      <c r="E5132" s="148">
        <v>107.32387</v>
      </c>
      <c r="F5132" s="148">
        <v>128.11111</v>
      </c>
      <c r="G5132" s="148">
        <v>-20.787240000000001</v>
      </c>
      <c r="H5132" s="148">
        <v>-16.225946367961374</v>
      </c>
      <c r="I5132" s="728"/>
      <c r="J5132" s="148">
        <v>107.32387</v>
      </c>
      <c r="K5132" s="148">
        <v>0</v>
      </c>
      <c r="L5132" s="148">
        <v>1399.14978</v>
      </c>
      <c r="M5132" s="148">
        <v>1526.9543699999999</v>
      </c>
      <c r="N5132" s="148">
        <v>-127.80459</v>
      </c>
      <c r="O5132" s="148">
        <v>-8.3699023697741541</v>
      </c>
      <c r="P5132" s="148">
        <v>717.8288</v>
      </c>
      <c r="Q5132" s="148">
        <v>681.32097999999996</v>
      </c>
      <c r="R5132" s="148">
        <v>94.914132729140988</v>
      </c>
    </row>
    <row r="5133" spans="2:18" ht="15.75" hidden="1" thickBot="1" x14ac:dyDescent="0.3">
      <c r="B5133" s="145" t="s">
        <v>819</v>
      </c>
      <c r="C5133" s="722" t="s">
        <v>184</v>
      </c>
      <c r="D5133" t="s">
        <v>185</v>
      </c>
      <c r="E5133" s="729"/>
      <c r="F5133" s="729"/>
      <c r="G5133" s="729"/>
      <c r="H5133" s="729"/>
      <c r="I5133" s="729"/>
      <c r="J5133" s="729"/>
      <c r="K5133" s="729"/>
      <c r="L5133" s="147">
        <v>5.7779999999999998E-2</v>
      </c>
      <c r="M5133" s="729"/>
      <c r="N5133" s="147">
        <v>5.7779999999999998E-2</v>
      </c>
      <c r="O5133" s="147">
        <v>0</v>
      </c>
      <c r="P5133" s="729"/>
      <c r="Q5133" s="147">
        <v>5.7779999999999998E-2</v>
      </c>
      <c r="R5133" s="147">
        <v>0</v>
      </c>
    </row>
    <row r="5134" spans="2:18" ht="15.75" hidden="1" thickBot="1" x14ac:dyDescent="0.3">
      <c r="B5134" s="145" t="s">
        <v>819</v>
      </c>
      <c r="C5134" s="722" t="s">
        <v>65</v>
      </c>
      <c r="D5134" t="s">
        <v>66</v>
      </c>
      <c r="E5134" s="148">
        <v>-2.4439799999999998</v>
      </c>
      <c r="F5134" s="148">
        <v>-19.3172</v>
      </c>
      <c r="G5134" s="148">
        <v>16.87322</v>
      </c>
      <c r="H5134" s="148">
        <v>87.348166400927667</v>
      </c>
      <c r="I5134" s="728"/>
      <c r="J5134" s="148">
        <v>-2.4439799999999998</v>
      </c>
      <c r="K5134" s="148">
        <v>0</v>
      </c>
      <c r="L5134" s="148">
        <v>-361.17527999999999</v>
      </c>
      <c r="M5134" s="148">
        <v>-230.59030000000001</v>
      </c>
      <c r="N5134" s="148">
        <v>-130.58498</v>
      </c>
      <c r="O5134" s="148">
        <v>-56.630734250313218</v>
      </c>
      <c r="P5134" s="148">
        <v>-192.71981</v>
      </c>
      <c r="Q5134" s="148">
        <v>-168.45546999999999</v>
      </c>
      <c r="R5134" s="148">
        <v>-87.409524739568809</v>
      </c>
    </row>
    <row r="5135" spans="2:18" ht="15.75" hidden="1" thickBot="1" x14ac:dyDescent="0.3">
      <c r="B5135" s="145" t="s">
        <v>819</v>
      </c>
      <c r="C5135" s="149" t="s">
        <v>67</v>
      </c>
      <c r="D5135" t="s">
        <v>68</v>
      </c>
      <c r="E5135" s="147">
        <v>294.46929</v>
      </c>
      <c r="F5135" s="147">
        <v>354.71131000000003</v>
      </c>
      <c r="G5135" s="147">
        <v>-60.242019999999997</v>
      </c>
      <c r="H5135" s="147">
        <v>-16.98339418610588</v>
      </c>
      <c r="I5135" s="729"/>
      <c r="J5135" s="147">
        <v>294.46929</v>
      </c>
      <c r="K5135" s="147">
        <v>0</v>
      </c>
      <c r="L5135" s="147">
        <v>3835.5274300000001</v>
      </c>
      <c r="M5135" s="147">
        <v>4242.3228900000004</v>
      </c>
      <c r="N5135" s="147">
        <v>-406.79545999999999</v>
      </c>
      <c r="O5135" s="147">
        <v>-9.5889792113395682</v>
      </c>
      <c r="P5135" s="147">
        <v>1978.18496</v>
      </c>
      <c r="Q5135" s="147">
        <v>1857.34247</v>
      </c>
      <c r="R5135" s="147">
        <v>93.891244123097565</v>
      </c>
    </row>
    <row r="5136" spans="2:18" ht="15.75" hidden="1" thickBot="1" x14ac:dyDescent="0.3">
      <c r="B5136" s="145" t="s">
        <v>819</v>
      </c>
      <c r="C5136" s="722" t="s">
        <v>69</v>
      </c>
      <c r="D5136" t="s">
        <v>70</v>
      </c>
      <c r="E5136" s="728"/>
      <c r="F5136" s="148">
        <v>1.4583299999999999</v>
      </c>
      <c r="G5136" s="148">
        <v>-1.4583299999999999</v>
      </c>
      <c r="H5136" s="148">
        <v>-100</v>
      </c>
      <c r="I5136" s="728"/>
      <c r="J5136" s="728"/>
      <c r="K5136" s="728"/>
      <c r="L5136" s="148">
        <v>11.39575</v>
      </c>
      <c r="M5136" s="148">
        <v>21.499960000000002</v>
      </c>
      <c r="N5136" s="148">
        <v>-10.10421</v>
      </c>
      <c r="O5136" s="148">
        <v>-46.996413016582359</v>
      </c>
      <c r="P5136" s="148">
        <v>11.226749999999999</v>
      </c>
      <c r="Q5136" s="148">
        <v>0.16900000000000001</v>
      </c>
      <c r="R5136" s="148">
        <v>1.5053332442603602</v>
      </c>
    </row>
    <row r="5137" spans="2:18" ht="15.75" hidden="1" thickBot="1" x14ac:dyDescent="0.3">
      <c r="B5137" s="145" t="s">
        <v>819</v>
      </c>
      <c r="C5137" s="722" t="s">
        <v>582</v>
      </c>
      <c r="D5137" t="s">
        <v>583</v>
      </c>
      <c r="E5137" s="147">
        <v>1.575</v>
      </c>
      <c r="F5137" s="147">
        <v>2.2890000000000001</v>
      </c>
      <c r="G5137" s="147">
        <v>-0.71399999999999997</v>
      </c>
      <c r="H5137" s="147">
        <v>-31.192660550458715</v>
      </c>
      <c r="I5137" s="729"/>
      <c r="J5137" s="147">
        <v>1.575</v>
      </c>
      <c r="K5137" s="147">
        <v>0</v>
      </c>
      <c r="L5137" s="147">
        <v>23.975000000000001</v>
      </c>
      <c r="M5137" s="147">
        <v>25.388999999999999</v>
      </c>
      <c r="N5137" s="147">
        <v>-1.4139999999999999</v>
      </c>
      <c r="O5137" s="147">
        <v>-5.5693410532120211</v>
      </c>
      <c r="P5137" s="147">
        <v>12.95</v>
      </c>
      <c r="Q5137" s="147">
        <v>11.025</v>
      </c>
      <c r="R5137" s="147">
        <v>85.13513513513513</v>
      </c>
    </row>
    <row r="5138" spans="2:18" ht="15.75" hidden="1" thickBot="1" x14ac:dyDescent="0.3">
      <c r="B5138" s="145" t="s">
        <v>819</v>
      </c>
      <c r="C5138" s="722" t="s">
        <v>99</v>
      </c>
      <c r="D5138" t="s">
        <v>100</v>
      </c>
      <c r="E5138" s="148">
        <v>20.949660000000002</v>
      </c>
      <c r="F5138" s="148">
        <v>1.4614</v>
      </c>
      <c r="G5138" s="148">
        <v>19.48826</v>
      </c>
      <c r="H5138" s="148">
        <v>1333.533597919803</v>
      </c>
      <c r="I5138" s="728"/>
      <c r="J5138" s="148">
        <v>20.949660000000002</v>
      </c>
      <c r="K5138" s="148">
        <v>0</v>
      </c>
      <c r="L5138" s="148">
        <v>61.920259999999999</v>
      </c>
      <c r="M5138" s="148">
        <v>13.210039999999999</v>
      </c>
      <c r="N5138" s="148">
        <v>48.71022</v>
      </c>
      <c r="O5138" s="148">
        <v>368.73635507538205</v>
      </c>
      <c r="P5138" s="148">
        <v>22.405370000000001</v>
      </c>
      <c r="Q5138" s="148">
        <v>39.514890000000001</v>
      </c>
      <c r="R5138" s="148">
        <v>176.36347893384487</v>
      </c>
    </row>
    <row r="5139" spans="2:18" ht="15.75" hidden="1" thickBot="1" x14ac:dyDescent="0.3">
      <c r="B5139" s="145" t="s">
        <v>819</v>
      </c>
      <c r="C5139" s="722" t="s">
        <v>165</v>
      </c>
      <c r="D5139" t="s">
        <v>166</v>
      </c>
      <c r="E5139" s="147">
        <v>1.1661699999999999</v>
      </c>
      <c r="F5139" s="147">
        <v>1.3755599999999999</v>
      </c>
      <c r="G5139" s="147">
        <v>-0.20938999999999999</v>
      </c>
      <c r="H5139" s="147">
        <v>-15.222164064090261</v>
      </c>
      <c r="I5139" s="729"/>
      <c r="J5139" s="147">
        <v>1.1661699999999999</v>
      </c>
      <c r="K5139" s="147">
        <v>0</v>
      </c>
      <c r="L5139" s="147">
        <v>16.93045</v>
      </c>
      <c r="M5139" s="147">
        <v>14.479200000000001</v>
      </c>
      <c r="N5139" s="147">
        <v>2.4512499999999999</v>
      </c>
      <c r="O5139" s="147">
        <v>16.929457428587213</v>
      </c>
      <c r="P5139" s="147">
        <v>7.8420800000000002</v>
      </c>
      <c r="Q5139" s="147">
        <v>9.0883699999999994</v>
      </c>
      <c r="R5139" s="147">
        <v>115.89233978740334</v>
      </c>
    </row>
    <row r="5140" spans="2:18" ht="15.75" hidden="1" thickBot="1" x14ac:dyDescent="0.3">
      <c r="B5140" s="145" t="s">
        <v>819</v>
      </c>
      <c r="C5140" s="722" t="s">
        <v>137</v>
      </c>
      <c r="D5140" t="s">
        <v>138</v>
      </c>
      <c r="E5140" s="148">
        <v>0.40221000000000001</v>
      </c>
      <c r="F5140" s="148">
        <v>0.504</v>
      </c>
      <c r="G5140" s="148">
        <v>-0.10179000000000001</v>
      </c>
      <c r="H5140" s="148">
        <v>-20.196428571428573</v>
      </c>
      <c r="I5140" s="728"/>
      <c r="J5140" s="148">
        <v>0.40221000000000001</v>
      </c>
      <c r="K5140" s="148">
        <v>0</v>
      </c>
      <c r="L5140" s="148">
        <v>3.9662299999999999</v>
      </c>
      <c r="M5140" s="148">
        <v>6.4584999999999999</v>
      </c>
      <c r="N5140" s="148">
        <v>-2.49227</v>
      </c>
      <c r="O5140" s="148">
        <v>-38.588991251838664</v>
      </c>
      <c r="P5140" s="148">
        <v>1.88056</v>
      </c>
      <c r="Q5140" s="148">
        <v>2.0856699999999999</v>
      </c>
      <c r="R5140" s="148">
        <v>110.90685753179903</v>
      </c>
    </row>
    <row r="5141" spans="2:18" ht="15.75" hidden="1" thickBot="1" x14ac:dyDescent="0.3">
      <c r="B5141" s="145" t="s">
        <v>819</v>
      </c>
      <c r="C5141" s="722" t="s">
        <v>190</v>
      </c>
      <c r="D5141" t="s">
        <v>191</v>
      </c>
      <c r="E5141" s="147">
        <v>1.508</v>
      </c>
      <c r="F5141" s="147">
        <v>2.2690000000000001</v>
      </c>
      <c r="G5141" s="147">
        <v>-0.76100000000000001</v>
      </c>
      <c r="H5141" s="147">
        <v>-33.539003966505071</v>
      </c>
      <c r="I5141" s="729"/>
      <c r="J5141" s="147">
        <v>1.508</v>
      </c>
      <c r="K5141" s="147">
        <v>0</v>
      </c>
      <c r="L5141" s="147">
        <v>18.173999999999999</v>
      </c>
      <c r="M5141" s="147">
        <v>27.228000000000002</v>
      </c>
      <c r="N5141" s="147">
        <v>-9.0540000000000003</v>
      </c>
      <c r="O5141" s="147">
        <v>-33.252534156015869</v>
      </c>
      <c r="P5141" s="147">
        <v>9.0579999999999998</v>
      </c>
      <c r="Q5141" s="147">
        <v>9.1159999999999997</v>
      </c>
      <c r="R5141" s="147">
        <v>100.64031795098256</v>
      </c>
    </row>
    <row r="5142" spans="2:18" ht="15.75" hidden="1" thickBot="1" x14ac:dyDescent="0.3">
      <c r="B5142" s="145" t="s">
        <v>819</v>
      </c>
      <c r="C5142" s="722" t="s">
        <v>36</v>
      </c>
      <c r="D5142" t="s">
        <v>192</v>
      </c>
      <c r="E5142" s="148">
        <v>3.3595199999999998</v>
      </c>
      <c r="F5142" s="148">
        <v>3.2992499999999998</v>
      </c>
      <c r="G5142" s="148">
        <v>6.0269999999999997E-2</v>
      </c>
      <c r="H5142" s="148">
        <v>1.8267788133666742</v>
      </c>
      <c r="I5142" s="728"/>
      <c r="J5142" s="148">
        <v>3.3595199999999998</v>
      </c>
      <c r="K5142" s="148">
        <v>0</v>
      </c>
      <c r="L5142" s="148">
        <v>28.167169999999999</v>
      </c>
      <c r="M5142" s="148">
        <v>25.600999999999999</v>
      </c>
      <c r="N5142" s="148">
        <v>2.5661700000000001</v>
      </c>
      <c r="O5142" s="148">
        <v>10.023710011327683</v>
      </c>
      <c r="P5142" s="148">
        <v>11.41677</v>
      </c>
      <c r="Q5142" s="148">
        <v>16.750399999999999</v>
      </c>
      <c r="R5142" s="148">
        <v>146.71750416273605</v>
      </c>
    </row>
    <row r="5143" spans="2:18" ht="15.75" hidden="1" thickBot="1" x14ac:dyDescent="0.3">
      <c r="B5143" s="145" t="s">
        <v>819</v>
      </c>
      <c r="C5143" s="722" t="s">
        <v>598</v>
      </c>
      <c r="D5143" t="s">
        <v>168</v>
      </c>
      <c r="E5143" s="729"/>
      <c r="F5143" s="147">
        <v>0.81123000000000001</v>
      </c>
      <c r="G5143" s="147">
        <v>-0.81123000000000001</v>
      </c>
      <c r="H5143" s="147">
        <v>-100</v>
      </c>
      <c r="I5143" s="729"/>
      <c r="J5143" s="729"/>
      <c r="K5143" s="729"/>
      <c r="L5143" s="147">
        <v>10.59271</v>
      </c>
      <c r="M5143" s="147">
        <v>7.8009199999999996</v>
      </c>
      <c r="N5143" s="147">
        <v>2.7917900000000002</v>
      </c>
      <c r="O5143" s="147">
        <v>35.787958343374882</v>
      </c>
      <c r="P5143" s="147">
        <v>9.3486600000000006</v>
      </c>
      <c r="Q5143" s="147">
        <v>1.2440500000000001</v>
      </c>
      <c r="R5143" s="147">
        <v>13.307254729554824</v>
      </c>
    </row>
    <row r="5144" spans="2:18" ht="15.75" hidden="1" thickBot="1" x14ac:dyDescent="0.3">
      <c r="B5144" s="145" t="s">
        <v>819</v>
      </c>
      <c r="C5144" s="722" t="s">
        <v>139</v>
      </c>
      <c r="D5144" t="s">
        <v>140</v>
      </c>
      <c r="E5144" s="148">
        <v>1.0205599999999999</v>
      </c>
      <c r="F5144" s="148">
        <v>0.41666999999999998</v>
      </c>
      <c r="G5144" s="148">
        <v>0.60389000000000004</v>
      </c>
      <c r="H5144" s="148">
        <v>144.93244054047568</v>
      </c>
      <c r="I5144" s="728"/>
      <c r="J5144" s="148">
        <v>1.0205599999999999</v>
      </c>
      <c r="K5144" s="148">
        <v>0</v>
      </c>
      <c r="L5144" s="148">
        <v>33.285139999999998</v>
      </c>
      <c r="M5144" s="148">
        <v>37.050040000000003</v>
      </c>
      <c r="N5144" s="148">
        <v>-3.7648999999999999</v>
      </c>
      <c r="O5144" s="148">
        <v>-10.161662443549318</v>
      </c>
      <c r="P5144" s="148">
        <v>25.562539999999998</v>
      </c>
      <c r="Q5144" s="148">
        <v>7.7225999999999999</v>
      </c>
      <c r="R5144" s="148">
        <v>30.210612873368611</v>
      </c>
    </row>
    <row r="5145" spans="2:18" ht="15.75" hidden="1" thickBot="1" x14ac:dyDescent="0.3">
      <c r="B5145" s="145" t="s">
        <v>819</v>
      </c>
      <c r="C5145" s="722" t="s">
        <v>169</v>
      </c>
      <c r="D5145" t="s">
        <v>170</v>
      </c>
      <c r="E5145" s="147">
        <v>1.8216399999999999</v>
      </c>
      <c r="F5145" s="729"/>
      <c r="G5145" s="147">
        <v>1.8216399999999999</v>
      </c>
      <c r="H5145" s="147">
        <v>0</v>
      </c>
      <c r="I5145" s="729"/>
      <c r="J5145" s="147">
        <v>1.8216399999999999</v>
      </c>
      <c r="K5145" s="147">
        <v>0</v>
      </c>
      <c r="L5145" s="147">
        <v>7.01675</v>
      </c>
      <c r="M5145" s="147">
        <v>8.8397100000000002</v>
      </c>
      <c r="N5145" s="147">
        <v>-1.8229599999999999</v>
      </c>
      <c r="O5145" s="147">
        <v>-20.622395983578645</v>
      </c>
      <c r="P5145" s="147">
        <v>4.8499600000000003</v>
      </c>
      <c r="Q5145" s="147">
        <v>2.1667900000000002</v>
      </c>
      <c r="R5145" s="147">
        <v>44.676450939801562</v>
      </c>
    </row>
    <row r="5146" spans="2:18" ht="15.75" hidden="1" thickBot="1" x14ac:dyDescent="0.3">
      <c r="B5146" s="145" t="s">
        <v>819</v>
      </c>
      <c r="C5146" s="722" t="s">
        <v>101</v>
      </c>
      <c r="D5146" t="s">
        <v>102</v>
      </c>
      <c r="E5146" s="148">
        <v>81.416349999999994</v>
      </c>
      <c r="F5146" s="148">
        <v>61.576250000000002</v>
      </c>
      <c r="G5146" s="148">
        <v>19.8401</v>
      </c>
      <c r="H5146" s="148">
        <v>32.2203771746412</v>
      </c>
      <c r="I5146" s="728"/>
      <c r="J5146" s="148">
        <v>81.416349999999994</v>
      </c>
      <c r="K5146" s="148">
        <v>0</v>
      </c>
      <c r="L5146" s="148">
        <v>737.51220000000001</v>
      </c>
      <c r="M5146" s="148">
        <v>757.7</v>
      </c>
      <c r="N5146" s="148">
        <v>-20.187799999999999</v>
      </c>
      <c r="O5146" s="148">
        <v>-2.6643526461660287</v>
      </c>
      <c r="P5146" s="148">
        <v>357.58537999999999</v>
      </c>
      <c r="Q5146" s="148">
        <v>379.92682000000002</v>
      </c>
      <c r="R5146" s="148">
        <v>106.24786169949118</v>
      </c>
    </row>
    <row r="5147" spans="2:18" ht="15.75" hidden="1" thickBot="1" x14ac:dyDescent="0.3">
      <c r="B5147" s="145" t="s">
        <v>819</v>
      </c>
      <c r="C5147" s="722" t="s">
        <v>195</v>
      </c>
      <c r="D5147" t="s">
        <v>196</v>
      </c>
      <c r="E5147" s="729"/>
      <c r="F5147" s="729"/>
      <c r="G5147" s="729"/>
      <c r="H5147" s="729"/>
      <c r="I5147" s="729"/>
      <c r="J5147" s="729"/>
      <c r="K5147" s="729"/>
      <c r="L5147" s="147">
        <v>0.624</v>
      </c>
      <c r="M5147" s="729"/>
      <c r="N5147" s="147">
        <v>0.624</v>
      </c>
      <c r="O5147" s="147">
        <v>0</v>
      </c>
      <c r="P5147" s="147">
        <v>0.41599999999999998</v>
      </c>
      <c r="Q5147" s="147">
        <v>0.20799999999999999</v>
      </c>
      <c r="R5147" s="147">
        <v>50</v>
      </c>
    </row>
    <row r="5148" spans="2:18" ht="15.75" hidden="1" thickBot="1" x14ac:dyDescent="0.3">
      <c r="B5148" s="145" t="s">
        <v>819</v>
      </c>
      <c r="C5148" s="722" t="s">
        <v>464</v>
      </c>
      <c r="D5148" t="s">
        <v>465</v>
      </c>
      <c r="E5148" s="148">
        <v>380.43128000000002</v>
      </c>
      <c r="F5148" s="148">
        <v>382.95310999999998</v>
      </c>
      <c r="G5148" s="148">
        <v>-2.52183</v>
      </c>
      <c r="H5148" s="148">
        <v>-0.65852187491048186</v>
      </c>
      <c r="I5148" s="728"/>
      <c r="J5148" s="148">
        <v>380.43128000000002</v>
      </c>
      <c r="K5148" s="148">
        <v>0</v>
      </c>
      <c r="L5148" s="148">
        <v>4518.3156799999997</v>
      </c>
      <c r="M5148" s="148">
        <v>4520.4423200000001</v>
      </c>
      <c r="N5148" s="148">
        <v>-2.1266400000000001</v>
      </c>
      <c r="O5148" s="148">
        <v>-4.7044953777886055E-2</v>
      </c>
      <c r="P5148" s="148">
        <v>2229.0565000000001</v>
      </c>
      <c r="Q5148" s="148">
        <v>2289.25918</v>
      </c>
      <c r="R5148" s="148">
        <v>102.7008144477271</v>
      </c>
    </row>
    <row r="5149" spans="2:18" ht="15.75" hidden="1" thickBot="1" x14ac:dyDescent="0.3">
      <c r="B5149" s="145" t="s">
        <v>819</v>
      </c>
      <c r="C5149" s="722" t="s">
        <v>103</v>
      </c>
      <c r="D5149" t="s">
        <v>104</v>
      </c>
      <c r="E5149" s="147">
        <v>2.0069900000000001</v>
      </c>
      <c r="F5149" s="147">
        <v>0.1</v>
      </c>
      <c r="G5149" s="147">
        <v>1.90699</v>
      </c>
      <c r="H5149" s="147">
        <v>1906.99</v>
      </c>
      <c r="I5149" s="729"/>
      <c r="J5149" s="147">
        <v>2.0069900000000001</v>
      </c>
      <c r="K5149" s="147">
        <v>0</v>
      </c>
      <c r="L5149" s="147">
        <v>3.7472599999999998</v>
      </c>
      <c r="M5149" s="147">
        <v>1.2</v>
      </c>
      <c r="N5149" s="147">
        <v>2.5472600000000001</v>
      </c>
      <c r="O5149" s="147">
        <v>212.27166666666668</v>
      </c>
      <c r="P5149" s="147">
        <v>0.23777000000000001</v>
      </c>
      <c r="Q5149" s="147">
        <v>3.50949</v>
      </c>
      <c r="R5149" s="147">
        <v>1476.0020187576229</v>
      </c>
    </row>
    <row r="5150" spans="2:18" ht="15.75" hidden="1" thickBot="1" x14ac:dyDescent="0.3">
      <c r="B5150" s="145" t="s">
        <v>819</v>
      </c>
      <c r="C5150" s="722" t="s">
        <v>71</v>
      </c>
      <c r="D5150" t="s">
        <v>72</v>
      </c>
      <c r="E5150" s="148">
        <v>-3.6889999999999999E-2</v>
      </c>
      <c r="F5150" s="728"/>
      <c r="G5150" s="148">
        <v>-3.6889999999999999E-2</v>
      </c>
      <c r="H5150" s="148">
        <v>0</v>
      </c>
      <c r="I5150" s="728"/>
      <c r="J5150" s="148">
        <v>-3.6889999999999999E-2</v>
      </c>
      <c r="K5150" s="148">
        <v>0</v>
      </c>
      <c r="L5150" s="148">
        <v>8.5000000000000006E-3</v>
      </c>
      <c r="M5150" s="728"/>
      <c r="N5150" s="148">
        <v>8.5000000000000006E-3</v>
      </c>
      <c r="O5150" s="148">
        <v>0</v>
      </c>
      <c r="P5150" s="148">
        <v>0.58987000000000001</v>
      </c>
      <c r="Q5150" s="148">
        <v>-0.58137000000000005</v>
      </c>
      <c r="R5150" s="148">
        <v>-98.559004526421077</v>
      </c>
    </row>
    <row r="5151" spans="2:18" ht="15.75" hidden="1" thickBot="1" x14ac:dyDescent="0.3">
      <c r="B5151" s="145" t="s">
        <v>819</v>
      </c>
      <c r="C5151" s="722" t="s">
        <v>627</v>
      </c>
      <c r="D5151" t="s">
        <v>628</v>
      </c>
      <c r="E5151" s="147">
        <v>61.445459999999997</v>
      </c>
      <c r="F5151" s="147">
        <v>55.89743</v>
      </c>
      <c r="G5151" s="147">
        <v>5.5480299999999998</v>
      </c>
      <c r="H5151" s="147">
        <v>9.9253758178148797</v>
      </c>
      <c r="I5151" s="729"/>
      <c r="J5151" s="147">
        <v>61.445459999999997</v>
      </c>
      <c r="K5151" s="147">
        <v>0</v>
      </c>
      <c r="L5151" s="147">
        <v>710.79119000000003</v>
      </c>
      <c r="M5151" s="147">
        <v>670.76916000000006</v>
      </c>
      <c r="N5151" s="147">
        <v>40.022030000000001</v>
      </c>
      <c r="O5151" s="147">
        <v>5.9665876707867724</v>
      </c>
      <c r="P5151" s="147">
        <v>360.21600000000001</v>
      </c>
      <c r="Q5151" s="147">
        <v>350.57519000000002</v>
      </c>
      <c r="R5151" s="147">
        <v>97.323603060385992</v>
      </c>
    </row>
    <row r="5152" spans="2:18" ht="15.75" hidden="1" thickBot="1" x14ac:dyDescent="0.3">
      <c r="B5152" s="145" t="s">
        <v>819</v>
      </c>
      <c r="C5152" s="722" t="s">
        <v>107</v>
      </c>
      <c r="D5152" t="s">
        <v>108</v>
      </c>
      <c r="E5152" s="728"/>
      <c r="F5152" s="728"/>
      <c r="G5152" s="728"/>
      <c r="H5152" s="728"/>
      <c r="I5152" s="728"/>
      <c r="J5152" s="728"/>
      <c r="K5152" s="728"/>
      <c r="L5152" s="148">
        <v>0.27944000000000002</v>
      </c>
      <c r="M5152" s="728"/>
      <c r="N5152" s="148">
        <v>0.27944000000000002</v>
      </c>
      <c r="O5152" s="148">
        <v>0</v>
      </c>
      <c r="P5152" s="148">
        <v>0.24793999999999999</v>
      </c>
      <c r="Q5152" s="148">
        <v>3.15E-2</v>
      </c>
      <c r="R5152" s="148">
        <v>12.704686617730095</v>
      </c>
    </row>
    <row r="5153" spans="2:18" ht="15.75" hidden="1" thickBot="1" x14ac:dyDescent="0.3">
      <c r="B5153" s="145" t="s">
        <v>819</v>
      </c>
      <c r="C5153" s="722" t="s">
        <v>109</v>
      </c>
      <c r="D5153" t="s">
        <v>110</v>
      </c>
      <c r="E5153" s="147">
        <v>0.15942000000000001</v>
      </c>
      <c r="F5153" s="147">
        <v>1.45604</v>
      </c>
      <c r="G5153" s="147">
        <v>-1.2966200000000001</v>
      </c>
      <c r="H5153" s="147">
        <v>-89.051124969094261</v>
      </c>
      <c r="I5153" s="729"/>
      <c r="J5153" s="147">
        <v>0.15942000000000001</v>
      </c>
      <c r="K5153" s="147">
        <v>0</v>
      </c>
      <c r="L5153" s="147">
        <v>2.1441499999999998</v>
      </c>
      <c r="M5153" s="147">
        <v>18.16058</v>
      </c>
      <c r="N5153" s="147">
        <v>-16.01643</v>
      </c>
      <c r="O5153" s="147">
        <v>-88.193383691490027</v>
      </c>
      <c r="P5153" s="147">
        <v>0.97167000000000003</v>
      </c>
      <c r="Q5153" s="147">
        <v>1.17248</v>
      </c>
      <c r="R5153" s="147">
        <v>120.66648141858862</v>
      </c>
    </row>
    <row r="5154" spans="2:18" ht="15.75" hidden="1" thickBot="1" x14ac:dyDescent="0.3">
      <c r="B5154" s="145" t="s">
        <v>819</v>
      </c>
      <c r="C5154" s="722" t="s">
        <v>73</v>
      </c>
      <c r="D5154" t="s">
        <v>74</v>
      </c>
      <c r="E5154" s="148">
        <v>1.23926</v>
      </c>
      <c r="F5154" s="148">
        <v>2.0414699999999999</v>
      </c>
      <c r="G5154" s="148">
        <v>-0.80220999999999998</v>
      </c>
      <c r="H5154" s="148">
        <v>-39.295703586141357</v>
      </c>
      <c r="I5154" s="728"/>
      <c r="J5154" s="148">
        <v>1.23926</v>
      </c>
      <c r="K5154" s="148">
        <v>0</v>
      </c>
      <c r="L5154" s="148">
        <v>19.470700000000001</v>
      </c>
      <c r="M5154" s="148">
        <v>22.704640000000001</v>
      </c>
      <c r="N5154" s="148">
        <v>-3.23394</v>
      </c>
      <c r="O5154" s="148">
        <v>-14.243520267222911</v>
      </c>
      <c r="P5154" s="148">
        <v>9.2782199999999992</v>
      </c>
      <c r="Q5154" s="148">
        <v>10.19248</v>
      </c>
      <c r="R5154" s="148">
        <v>109.85382972164919</v>
      </c>
    </row>
    <row r="5155" spans="2:18" ht="15.75" hidden="1" thickBot="1" x14ac:dyDescent="0.3">
      <c r="B5155" s="145" t="s">
        <v>819</v>
      </c>
      <c r="C5155" s="722" t="s">
        <v>111</v>
      </c>
      <c r="D5155" t="s">
        <v>112</v>
      </c>
      <c r="E5155" s="147">
        <v>6.68</v>
      </c>
      <c r="F5155" s="147">
        <v>0.58337000000000006</v>
      </c>
      <c r="G5155" s="147">
        <v>6.0966300000000002</v>
      </c>
      <c r="H5155" s="147">
        <v>1045.0708812588923</v>
      </c>
      <c r="I5155" s="729"/>
      <c r="J5155" s="147">
        <v>6.68</v>
      </c>
      <c r="K5155" s="147">
        <v>0</v>
      </c>
      <c r="L5155" s="147">
        <v>19.014469999999999</v>
      </c>
      <c r="M5155" s="147">
        <v>7</v>
      </c>
      <c r="N5155" s="147">
        <v>12.014469999999999</v>
      </c>
      <c r="O5155" s="147">
        <v>171.63528571428571</v>
      </c>
      <c r="P5155" s="147">
        <v>7.4029699999999998</v>
      </c>
      <c r="Q5155" s="147">
        <v>11.611499999999999</v>
      </c>
      <c r="R5155" s="147">
        <v>156.84921051956175</v>
      </c>
    </row>
    <row r="5156" spans="2:18" ht="15.75" hidden="1" thickBot="1" x14ac:dyDescent="0.3">
      <c r="B5156" s="145" t="s">
        <v>819</v>
      </c>
      <c r="C5156" s="722" t="s">
        <v>141</v>
      </c>
      <c r="D5156" t="s">
        <v>142</v>
      </c>
      <c r="E5156" s="148">
        <v>3.5358499999999999</v>
      </c>
      <c r="F5156" s="148">
        <v>1.3104199999999999</v>
      </c>
      <c r="G5156" s="148">
        <v>2.2254299999999998</v>
      </c>
      <c r="H5156" s="148">
        <v>169.82570473588621</v>
      </c>
      <c r="I5156" s="728"/>
      <c r="J5156" s="148">
        <v>3.5358499999999999</v>
      </c>
      <c r="K5156" s="148">
        <v>0</v>
      </c>
      <c r="L5156" s="148">
        <v>16.824179999999998</v>
      </c>
      <c r="M5156" s="148">
        <v>16.125039999999998</v>
      </c>
      <c r="N5156" s="148">
        <v>0.69913999999999998</v>
      </c>
      <c r="O5156" s="148">
        <v>4.3357411826575314</v>
      </c>
      <c r="P5156" s="148">
        <v>5.9008399999999996</v>
      </c>
      <c r="Q5156" s="148">
        <v>10.92334</v>
      </c>
      <c r="R5156" s="148">
        <v>185.11500057618915</v>
      </c>
    </row>
    <row r="5157" spans="2:18" ht="15.75" hidden="1" thickBot="1" x14ac:dyDescent="0.3">
      <c r="B5157" s="145" t="s">
        <v>819</v>
      </c>
      <c r="C5157" s="722" t="s">
        <v>113</v>
      </c>
      <c r="D5157" t="s">
        <v>114</v>
      </c>
      <c r="E5157" s="147">
        <v>0.43280000000000002</v>
      </c>
      <c r="F5157" s="147">
        <v>7.6499999999999999E-2</v>
      </c>
      <c r="G5157" s="147">
        <v>0.35630000000000001</v>
      </c>
      <c r="H5157" s="147">
        <v>465.75163398692808</v>
      </c>
      <c r="I5157" s="729"/>
      <c r="J5157" s="147">
        <v>0.43280000000000002</v>
      </c>
      <c r="K5157" s="147">
        <v>0</v>
      </c>
      <c r="L5157" s="147">
        <v>2.2696700000000001</v>
      </c>
      <c r="M5157" s="147">
        <v>3.9180000000000001</v>
      </c>
      <c r="N5157" s="147">
        <v>-1.6483300000000001</v>
      </c>
      <c r="O5157" s="147">
        <v>-42.070699336396117</v>
      </c>
      <c r="P5157" s="147">
        <v>0.72770000000000001</v>
      </c>
      <c r="Q5157" s="147">
        <v>1.5419700000000001</v>
      </c>
      <c r="R5157" s="147">
        <v>211.89638587329944</v>
      </c>
    </row>
    <row r="5158" spans="2:18" ht="15.75" hidden="1" thickBot="1" x14ac:dyDescent="0.3">
      <c r="B5158" s="145" t="s">
        <v>819</v>
      </c>
      <c r="C5158" s="722" t="s">
        <v>201</v>
      </c>
      <c r="D5158" t="s">
        <v>202</v>
      </c>
      <c r="E5158" s="728"/>
      <c r="F5158" s="148">
        <v>0.1</v>
      </c>
      <c r="G5158" s="148">
        <v>-0.1</v>
      </c>
      <c r="H5158" s="148">
        <v>-100</v>
      </c>
      <c r="I5158" s="728"/>
      <c r="J5158" s="728"/>
      <c r="K5158" s="728"/>
      <c r="L5158" s="148">
        <v>0.80520000000000003</v>
      </c>
      <c r="M5158" s="148">
        <v>1.2</v>
      </c>
      <c r="N5158" s="148">
        <v>-0.39479999999999998</v>
      </c>
      <c r="O5158" s="148">
        <v>-32.9</v>
      </c>
      <c r="P5158" s="728"/>
      <c r="Q5158" s="148">
        <v>0.80520000000000003</v>
      </c>
      <c r="R5158" s="148">
        <v>0</v>
      </c>
    </row>
    <row r="5159" spans="2:18" ht="15.75" hidden="1" thickBot="1" x14ac:dyDescent="0.3">
      <c r="B5159" s="145" t="s">
        <v>819</v>
      </c>
      <c r="C5159" s="722" t="s">
        <v>477</v>
      </c>
      <c r="D5159" t="s">
        <v>478</v>
      </c>
      <c r="E5159" s="729"/>
      <c r="F5159" s="729"/>
      <c r="G5159" s="729"/>
      <c r="H5159" s="729"/>
      <c r="I5159" s="729"/>
      <c r="J5159" s="729"/>
      <c r="K5159" s="729"/>
      <c r="L5159" s="147">
        <v>5.9499999999999997E-2</v>
      </c>
      <c r="M5159" s="729"/>
      <c r="N5159" s="147">
        <v>5.9499999999999997E-2</v>
      </c>
      <c r="O5159" s="147">
        <v>0</v>
      </c>
      <c r="P5159" s="147">
        <v>5.9499999999999997E-2</v>
      </c>
      <c r="Q5159" s="147">
        <v>0</v>
      </c>
      <c r="R5159" s="147">
        <v>0</v>
      </c>
    </row>
    <row r="5160" spans="2:18" ht="15.75" hidden="1" thickBot="1" x14ac:dyDescent="0.3">
      <c r="B5160" s="145" t="s">
        <v>819</v>
      </c>
      <c r="C5160" s="722" t="s">
        <v>117</v>
      </c>
      <c r="D5160" t="s">
        <v>118</v>
      </c>
      <c r="E5160" s="148">
        <v>-0.43125000000000002</v>
      </c>
      <c r="F5160" s="728"/>
      <c r="G5160" s="148">
        <v>-0.43125000000000002</v>
      </c>
      <c r="H5160" s="148">
        <v>0</v>
      </c>
      <c r="I5160" s="728"/>
      <c r="J5160" s="148">
        <v>-0.43125000000000002</v>
      </c>
      <c r="K5160" s="148">
        <v>0</v>
      </c>
      <c r="L5160" s="148">
        <v>-5.4554499999999999</v>
      </c>
      <c r="M5160" s="728"/>
      <c r="N5160" s="148">
        <v>-5.4554499999999999</v>
      </c>
      <c r="O5160" s="148">
        <v>0</v>
      </c>
      <c r="P5160" s="148">
        <v>-2.3592499999999998</v>
      </c>
      <c r="Q5160" s="148">
        <v>-3.0962000000000001</v>
      </c>
      <c r="R5160" s="148">
        <v>-131.23662180777791</v>
      </c>
    </row>
    <row r="5161" spans="2:18" ht="15.75" hidden="1" thickBot="1" x14ac:dyDescent="0.3">
      <c r="B5161" s="145" t="s">
        <v>819</v>
      </c>
      <c r="C5161" s="722" t="s">
        <v>637</v>
      </c>
      <c r="D5161" t="s">
        <v>638</v>
      </c>
      <c r="E5161" s="147">
        <v>3.6865299999999999</v>
      </c>
      <c r="F5161" s="147">
        <v>20.710999999999999</v>
      </c>
      <c r="G5161" s="147">
        <v>-17.024470000000001</v>
      </c>
      <c r="H5161" s="147">
        <v>-82.20013519385833</v>
      </c>
      <c r="I5161" s="729"/>
      <c r="J5161" s="147">
        <v>3.6865299999999999</v>
      </c>
      <c r="K5161" s="147">
        <v>0</v>
      </c>
      <c r="L5161" s="147">
        <v>238.52475999999999</v>
      </c>
      <c r="M5161" s="147">
        <v>248.53200000000001</v>
      </c>
      <c r="N5161" s="147">
        <v>-10.007239999999999</v>
      </c>
      <c r="O5161" s="147">
        <v>-4.0265398419519416</v>
      </c>
      <c r="P5161" s="147">
        <v>141.09809999999999</v>
      </c>
      <c r="Q5161" s="147">
        <v>97.426659999999998</v>
      </c>
      <c r="R5161" s="147">
        <v>69.048881593728055</v>
      </c>
    </row>
    <row r="5162" spans="2:18" ht="15.75" hidden="1" thickBot="1" x14ac:dyDescent="0.3">
      <c r="B5162" s="145" t="s">
        <v>819</v>
      </c>
      <c r="C5162" s="722" t="s">
        <v>145</v>
      </c>
      <c r="D5162" t="s">
        <v>146</v>
      </c>
      <c r="E5162" s="148">
        <v>3.4485999999999999</v>
      </c>
      <c r="F5162" s="148">
        <v>0.22408</v>
      </c>
      <c r="G5162" s="148">
        <v>3.2245200000000001</v>
      </c>
      <c r="H5162" s="148">
        <v>1439.0039271688684</v>
      </c>
      <c r="I5162" s="728"/>
      <c r="J5162" s="148">
        <v>3.4485999999999999</v>
      </c>
      <c r="K5162" s="148">
        <v>0</v>
      </c>
      <c r="L5162" s="148">
        <v>53.023260000000001</v>
      </c>
      <c r="M5162" s="148">
        <v>2.6889599999999998</v>
      </c>
      <c r="N5162" s="148">
        <v>50.334299999999999</v>
      </c>
      <c r="O5162" s="148">
        <v>1871.8872724027133</v>
      </c>
      <c r="P5162" s="148">
        <v>18.914549999999998</v>
      </c>
      <c r="Q5162" s="148">
        <v>34.108710000000002</v>
      </c>
      <c r="R5162" s="148">
        <v>180.33053918808537</v>
      </c>
    </row>
    <row r="5163" spans="2:18" ht="15.75" hidden="1" thickBot="1" x14ac:dyDescent="0.3">
      <c r="B5163" s="145" t="s">
        <v>819</v>
      </c>
      <c r="C5163" s="722" t="s">
        <v>147</v>
      </c>
      <c r="D5163" t="s">
        <v>148</v>
      </c>
      <c r="E5163" s="147">
        <v>8.3336799999999993</v>
      </c>
      <c r="F5163" s="147">
        <v>3.2792500000000002</v>
      </c>
      <c r="G5163" s="147">
        <v>5.05443</v>
      </c>
      <c r="H5163" s="147">
        <v>154.13371960051842</v>
      </c>
      <c r="I5163" s="729"/>
      <c r="J5163" s="147">
        <v>8.3336799999999993</v>
      </c>
      <c r="K5163" s="147">
        <v>0</v>
      </c>
      <c r="L5163" s="147">
        <v>53.16968</v>
      </c>
      <c r="M5163" s="147">
        <v>41.165120000000002</v>
      </c>
      <c r="N5163" s="147">
        <v>12.00456</v>
      </c>
      <c r="O5163" s="147">
        <v>29.161970133938635</v>
      </c>
      <c r="P5163" s="147">
        <v>25.745270000000001</v>
      </c>
      <c r="Q5163" s="147">
        <v>27.424410000000002</v>
      </c>
      <c r="R5163" s="147">
        <v>106.52213008447765</v>
      </c>
    </row>
    <row r="5164" spans="2:18" ht="15.75" hidden="1" thickBot="1" x14ac:dyDescent="0.3">
      <c r="B5164" s="145" t="s">
        <v>819</v>
      </c>
      <c r="C5164" s="722" t="s">
        <v>643</v>
      </c>
      <c r="D5164" t="s">
        <v>644</v>
      </c>
      <c r="E5164" s="148">
        <v>138.81229999999999</v>
      </c>
      <c r="F5164" s="148">
        <v>125.27772</v>
      </c>
      <c r="G5164" s="148">
        <v>13.53458</v>
      </c>
      <c r="H5164" s="148">
        <v>10.803660858451128</v>
      </c>
      <c r="I5164" s="728"/>
      <c r="J5164" s="148">
        <v>138.81229999999999</v>
      </c>
      <c r="K5164" s="148">
        <v>0</v>
      </c>
      <c r="L5164" s="148">
        <v>2409.6908699999999</v>
      </c>
      <c r="M5164" s="148">
        <v>1527.7401600000001</v>
      </c>
      <c r="N5164" s="148">
        <v>881.95070999999996</v>
      </c>
      <c r="O5164" s="148">
        <v>57.729104273857672</v>
      </c>
      <c r="P5164" s="148">
        <v>1086.3677299999999</v>
      </c>
      <c r="Q5164" s="148">
        <v>1323.32314</v>
      </c>
      <c r="R5164" s="148">
        <v>121.81171287184681</v>
      </c>
    </row>
    <row r="5165" spans="2:18" ht="15.75" hidden="1" thickBot="1" x14ac:dyDescent="0.3">
      <c r="B5165" s="145" t="s">
        <v>819</v>
      </c>
      <c r="C5165" s="722" t="s">
        <v>149</v>
      </c>
      <c r="D5165" t="s">
        <v>150</v>
      </c>
      <c r="E5165" s="147">
        <v>56.595770000000002</v>
      </c>
      <c r="F5165" s="147">
        <v>2.3333699999999999</v>
      </c>
      <c r="G5165" s="147">
        <v>54.2624</v>
      </c>
      <c r="H5165" s="147">
        <v>2325.4948850803771</v>
      </c>
      <c r="I5165" s="729"/>
      <c r="J5165" s="147">
        <v>56.595770000000002</v>
      </c>
      <c r="K5165" s="147">
        <v>0</v>
      </c>
      <c r="L5165" s="147">
        <v>40.710850000000001</v>
      </c>
      <c r="M5165" s="147">
        <v>138.05199999999999</v>
      </c>
      <c r="N5165" s="147">
        <v>-97.341149999999999</v>
      </c>
      <c r="O5165" s="147">
        <v>-70.510496044968562</v>
      </c>
      <c r="P5165" s="147">
        <v>-109.44931</v>
      </c>
      <c r="Q5165" s="147">
        <v>150.16015999999999</v>
      </c>
      <c r="R5165" s="147">
        <v>137.1960773439321</v>
      </c>
    </row>
    <row r="5166" spans="2:18" ht="15.75" hidden="1" thickBot="1" x14ac:dyDescent="0.3">
      <c r="B5166" s="145" t="s">
        <v>819</v>
      </c>
      <c r="C5166" s="722" t="s">
        <v>645</v>
      </c>
      <c r="D5166" t="s">
        <v>646</v>
      </c>
      <c r="E5166" s="728"/>
      <c r="F5166" s="148">
        <v>0</v>
      </c>
      <c r="G5166" s="148">
        <v>0</v>
      </c>
      <c r="H5166" s="148">
        <v>0</v>
      </c>
      <c r="I5166" s="728"/>
      <c r="J5166" s="728"/>
      <c r="K5166" s="728"/>
      <c r="L5166" s="148">
        <v>14.1516</v>
      </c>
      <c r="M5166" s="148">
        <v>22</v>
      </c>
      <c r="N5166" s="148">
        <v>-7.8483999999999998</v>
      </c>
      <c r="O5166" s="148">
        <v>-35.674545454545452</v>
      </c>
      <c r="P5166" s="148">
        <v>6.4157999999999999</v>
      </c>
      <c r="Q5166" s="148">
        <v>7.7358000000000002</v>
      </c>
      <c r="R5166" s="148">
        <v>120.57420742541849</v>
      </c>
    </row>
    <row r="5167" spans="2:18" ht="15.75" hidden="1" thickBot="1" x14ac:dyDescent="0.3">
      <c r="B5167" s="145" t="s">
        <v>819</v>
      </c>
      <c r="C5167" s="722" t="s">
        <v>205</v>
      </c>
      <c r="D5167" t="s">
        <v>206</v>
      </c>
      <c r="E5167" s="147">
        <v>21.54598</v>
      </c>
      <c r="F5167" s="147">
        <v>25.182839999999999</v>
      </c>
      <c r="G5167" s="147">
        <v>-3.63686</v>
      </c>
      <c r="H5167" s="147">
        <v>-14.441818317552746</v>
      </c>
      <c r="I5167" s="729"/>
      <c r="J5167" s="147">
        <v>21.54598</v>
      </c>
      <c r="K5167" s="147">
        <v>0</v>
      </c>
      <c r="L5167" s="147">
        <v>172.23302000000001</v>
      </c>
      <c r="M5167" s="147">
        <v>301.65008</v>
      </c>
      <c r="N5167" s="147">
        <v>-129.41705999999999</v>
      </c>
      <c r="O5167" s="147">
        <v>-42.90304182912864</v>
      </c>
      <c r="P5167" s="147">
        <v>74.140780000000007</v>
      </c>
      <c r="Q5167" s="147">
        <v>98.092240000000004</v>
      </c>
      <c r="R5167" s="147">
        <v>132.3053790370158</v>
      </c>
    </row>
    <row r="5168" spans="2:18" ht="15.75" hidden="1" thickBot="1" x14ac:dyDescent="0.3">
      <c r="B5168" s="145" t="s">
        <v>819</v>
      </c>
      <c r="C5168" s="722" t="s">
        <v>649</v>
      </c>
      <c r="D5168" t="s">
        <v>650</v>
      </c>
      <c r="E5168" s="728"/>
      <c r="F5168" s="148">
        <v>1.25</v>
      </c>
      <c r="G5168" s="148">
        <v>-1.25</v>
      </c>
      <c r="H5168" s="148">
        <v>-100</v>
      </c>
      <c r="I5168" s="728"/>
      <c r="J5168" s="728"/>
      <c r="K5168" s="728"/>
      <c r="L5168" s="148">
        <v>1.7034499999999999</v>
      </c>
      <c r="M5168" s="148">
        <v>15.75</v>
      </c>
      <c r="N5168" s="148">
        <v>-14.04655</v>
      </c>
      <c r="O5168" s="148">
        <v>-89.184444444444438</v>
      </c>
      <c r="P5168" s="148">
        <v>1.7034499999999999</v>
      </c>
      <c r="Q5168" s="148">
        <v>0</v>
      </c>
      <c r="R5168" s="148">
        <v>0</v>
      </c>
    </row>
    <row r="5169" spans="2:18" ht="15.75" hidden="1" thickBot="1" x14ac:dyDescent="0.3">
      <c r="B5169" s="145" t="s">
        <v>819</v>
      </c>
      <c r="C5169" s="722" t="s">
        <v>173</v>
      </c>
      <c r="D5169" t="s">
        <v>174</v>
      </c>
      <c r="E5169" s="729"/>
      <c r="F5169" s="147">
        <v>0.32300000000000001</v>
      </c>
      <c r="G5169" s="147">
        <v>-0.32300000000000001</v>
      </c>
      <c r="H5169" s="147">
        <v>-100</v>
      </c>
      <c r="I5169" s="729"/>
      <c r="J5169" s="729"/>
      <c r="K5169" s="729"/>
      <c r="L5169" s="147">
        <v>1.82145</v>
      </c>
      <c r="M5169" s="147">
        <v>3.8759999999999999</v>
      </c>
      <c r="N5169" s="147">
        <v>-2.0545499999999999</v>
      </c>
      <c r="O5169" s="147">
        <v>-53.006965944272444</v>
      </c>
      <c r="P5169" s="147">
        <v>1.5385899999999999</v>
      </c>
      <c r="Q5169" s="147">
        <v>0.28286</v>
      </c>
      <c r="R5169" s="147">
        <v>18.38436490553039</v>
      </c>
    </row>
    <row r="5170" spans="2:18" ht="15.75" hidden="1" thickBot="1" x14ac:dyDescent="0.3">
      <c r="B5170" s="145" t="s">
        <v>819</v>
      </c>
      <c r="C5170" s="722" t="s">
        <v>653</v>
      </c>
      <c r="D5170" t="s">
        <v>654</v>
      </c>
      <c r="E5170" s="148">
        <v>8.9329699999999992</v>
      </c>
      <c r="F5170" s="728"/>
      <c r="G5170" s="148">
        <v>8.9329699999999992</v>
      </c>
      <c r="H5170" s="148">
        <v>0</v>
      </c>
      <c r="I5170" s="728"/>
      <c r="J5170" s="148">
        <v>8.9329699999999992</v>
      </c>
      <c r="K5170" s="148">
        <v>0</v>
      </c>
      <c r="L5170" s="148">
        <v>93.389629999999997</v>
      </c>
      <c r="M5170" s="148">
        <v>3</v>
      </c>
      <c r="N5170" s="148">
        <v>90.389629999999997</v>
      </c>
      <c r="O5170" s="148">
        <v>3012.9876666666669</v>
      </c>
      <c r="P5170" s="148">
        <v>46.292610000000003</v>
      </c>
      <c r="Q5170" s="148">
        <v>47.097020000000001</v>
      </c>
      <c r="R5170" s="148">
        <v>101.73766395975512</v>
      </c>
    </row>
    <row r="5171" spans="2:18" ht="15.75" hidden="1" thickBot="1" x14ac:dyDescent="0.3">
      <c r="B5171" s="145" t="s">
        <v>819</v>
      </c>
      <c r="C5171" s="722" t="s">
        <v>151</v>
      </c>
      <c r="D5171" t="s">
        <v>152</v>
      </c>
      <c r="E5171" s="147">
        <v>0.23</v>
      </c>
      <c r="F5171" s="147">
        <v>6.8750000000000006E-2</v>
      </c>
      <c r="G5171" s="147">
        <v>0.16125</v>
      </c>
      <c r="H5171" s="147">
        <v>234.54545454545453</v>
      </c>
      <c r="I5171" s="729"/>
      <c r="J5171" s="147">
        <v>0.23</v>
      </c>
      <c r="K5171" s="147">
        <v>0</v>
      </c>
      <c r="L5171" s="147">
        <v>10.08597</v>
      </c>
      <c r="M5171" s="147">
        <v>5.5289999999999999</v>
      </c>
      <c r="N5171" s="147">
        <v>4.5569699999999997</v>
      </c>
      <c r="O5171" s="147">
        <v>82.419424850786754</v>
      </c>
      <c r="P5171" s="147">
        <v>2.8711600000000002</v>
      </c>
      <c r="Q5171" s="147">
        <v>7.2148099999999999</v>
      </c>
      <c r="R5171" s="147">
        <v>251.28554312542667</v>
      </c>
    </row>
    <row r="5172" spans="2:18" ht="15.75" hidden="1" thickBot="1" x14ac:dyDescent="0.3">
      <c r="B5172" s="145" t="s">
        <v>819</v>
      </c>
      <c r="C5172" s="722" t="s">
        <v>481</v>
      </c>
      <c r="D5172" t="s">
        <v>482</v>
      </c>
      <c r="E5172" s="728"/>
      <c r="F5172" s="728"/>
      <c r="G5172" s="728"/>
      <c r="H5172" s="728"/>
      <c r="I5172" s="728"/>
      <c r="J5172" s="728"/>
      <c r="K5172" s="728"/>
      <c r="L5172" s="148">
        <v>1.3990000000000001E-2</v>
      </c>
      <c r="M5172" s="728"/>
      <c r="N5172" s="148">
        <v>1.3990000000000001E-2</v>
      </c>
      <c r="O5172" s="148">
        <v>0</v>
      </c>
      <c r="P5172" s="728"/>
      <c r="Q5172" s="148">
        <v>1.3990000000000001E-2</v>
      </c>
      <c r="R5172" s="148">
        <v>0</v>
      </c>
    </row>
    <row r="5173" spans="2:18" ht="15.75" hidden="1" thickBot="1" x14ac:dyDescent="0.3">
      <c r="B5173" s="145" t="s">
        <v>819</v>
      </c>
      <c r="C5173" s="722" t="s">
        <v>175</v>
      </c>
      <c r="D5173" t="s">
        <v>176</v>
      </c>
      <c r="E5173" s="729"/>
      <c r="F5173" s="729"/>
      <c r="G5173" s="729"/>
      <c r="H5173" s="729"/>
      <c r="I5173" s="729"/>
      <c r="J5173" s="729"/>
      <c r="K5173" s="729"/>
      <c r="L5173" s="147">
        <v>16.66</v>
      </c>
      <c r="M5173" s="729"/>
      <c r="N5173" s="147">
        <v>16.66</v>
      </c>
      <c r="O5173" s="147">
        <v>0</v>
      </c>
      <c r="P5173" s="147">
        <v>9.2349999999999994</v>
      </c>
      <c r="Q5173" s="147">
        <v>7.4249999999999998</v>
      </c>
      <c r="R5173" s="147">
        <v>80.400649702219809</v>
      </c>
    </row>
    <row r="5174" spans="2:18" ht="15.75" hidden="1" thickBot="1" x14ac:dyDescent="0.3">
      <c r="B5174" s="145" t="s">
        <v>819</v>
      </c>
      <c r="C5174" s="722" t="s">
        <v>661</v>
      </c>
      <c r="D5174" t="s">
        <v>662</v>
      </c>
      <c r="E5174" s="728"/>
      <c r="F5174" s="728"/>
      <c r="G5174" s="728"/>
      <c r="H5174" s="728"/>
      <c r="I5174" s="728"/>
      <c r="J5174" s="728"/>
      <c r="K5174" s="728"/>
      <c r="L5174" s="148">
        <v>27.644749999999998</v>
      </c>
      <c r="M5174" s="728"/>
      <c r="N5174" s="148">
        <v>27.644749999999998</v>
      </c>
      <c r="O5174" s="148">
        <v>0</v>
      </c>
      <c r="P5174" s="148">
        <v>-93.155249999999995</v>
      </c>
      <c r="Q5174" s="148">
        <v>120.8</v>
      </c>
      <c r="R5174" s="148">
        <v>129.67599786378116</v>
      </c>
    </row>
    <row r="5175" spans="2:18" ht="15.75" hidden="1" thickBot="1" x14ac:dyDescent="0.3">
      <c r="B5175" s="145" t="s">
        <v>819</v>
      </c>
      <c r="C5175" s="722" t="s">
        <v>663</v>
      </c>
      <c r="D5175" t="s">
        <v>664</v>
      </c>
      <c r="E5175" s="729"/>
      <c r="F5175" s="729"/>
      <c r="G5175" s="729"/>
      <c r="H5175" s="729"/>
      <c r="I5175" s="729"/>
      <c r="J5175" s="729"/>
      <c r="K5175" s="729"/>
      <c r="L5175" s="147">
        <v>148.28486000000001</v>
      </c>
      <c r="M5175" s="729"/>
      <c r="N5175" s="147">
        <v>148.28486000000001</v>
      </c>
      <c r="O5175" s="147">
        <v>0</v>
      </c>
      <c r="P5175" s="147">
        <v>148.28486000000001</v>
      </c>
      <c r="Q5175" s="147">
        <v>0</v>
      </c>
      <c r="R5175" s="147">
        <v>0</v>
      </c>
    </row>
    <row r="5176" spans="2:18" ht="15.75" hidden="1" thickBot="1" x14ac:dyDescent="0.3">
      <c r="B5176" s="145" t="s">
        <v>819</v>
      </c>
      <c r="C5176" s="722" t="s">
        <v>153</v>
      </c>
      <c r="D5176" t="s">
        <v>154</v>
      </c>
      <c r="E5176" s="728"/>
      <c r="F5176" s="728"/>
      <c r="G5176" s="728"/>
      <c r="H5176" s="728"/>
      <c r="I5176" s="728"/>
      <c r="J5176" s="728"/>
      <c r="K5176" s="728"/>
      <c r="L5176" s="148">
        <v>8</v>
      </c>
      <c r="M5176" s="728"/>
      <c r="N5176" s="148">
        <v>8</v>
      </c>
      <c r="O5176" s="148">
        <v>0</v>
      </c>
      <c r="P5176" s="728"/>
      <c r="Q5176" s="148">
        <v>8</v>
      </c>
      <c r="R5176" s="148">
        <v>0</v>
      </c>
    </row>
    <row r="5177" spans="2:18" ht="15.75" hidden="1" thickBot="1" x14ac:dyDescent="0.3">
      <c r="B5177" s="145" t="s">
        <v>819</v>
      </c>
      <c r="C5177" s="722" t="s">
        <v>207</v>
      </c>
      <c r="D5177" t="s">
        <v>208</v>
      </c>
      <c r="E5177" s="729"/>
      <c r="F5177" s="147">
        <v>0.2</v>
      </c>
      <c r="G5177" s="147">
        <v>-0.2</v>
      </c>
      <c r="H5177" s="147">
        <v>-100</v>
      </c>
      <c r="I5177" s="729"/>
      <c r="J5177" s="729"/>
      <c r="K5177" s="729"/>
      <c r="L5177" s="147">
        <v>0.31901000000000002</v>
      </c>
      <c r="M5177" s="147">
        <v>2.4</v>
      </c>
      <c r="N5177" s="147">
        <v>-2.0809899999999999</v>
      </c>
      <c r="O5177" s="147">
        <v>-86.707916666666662</v>
      </c>
      <c r="P5177" s="147">
        <v>0.10732</v>
      </c>
      <c r="Q5177" s="147">
        <v>0.21168999999999999</v>
      </c>
      <c r="R5177" s="147">
        <v>197.25121133060009</v>
      </c>
    </row>
    <row r="5178" spans="2:18" ht="15.75" hidden="1" thickBot="1" x14ac:dyDescent="0.3">
      <c r="B5178" s="145" t="s">
        <v>819</v>
      </c>
      <c r="C5178" s="722" t="s">
        <v>75</v>
      </c>
      <c r="D5178" t="s">
        <v>76</v>
      </c>
      <c r="E5178" s="148">
        <v>2.8658299999999999</v>
      </c>
      <c r="F5178" s="148">
        <v>1.24142</v>
      </c>
      <c r="G5178" s="148">
        <v>1.6244099999999999</v>
      </c>
      <c r="H5178" s="148">
        <v>130.85096099627845</v>
      </c>
      <c r="I5178" s="728"/>
      <c r="J5178" s="148">
        <v>2.8658299999999999</v>
      </c>
      <c r="K5178" s="148">
        <v>0</v>
      </c>
      <c r="L5178" s="148">
        <v>18.043939999999999</v>
      </c>
      <c r="M5178" s="148">
        <v>14.897040000000001</v>
      </c>
      <c r="N5178" s="148">
        <v>3.1469</v>
      </c>
      <c r="O5178" s="148">
        <v>21.124330739529462</v>
      </c>
      <c r="P5178" s="148">
        <v>7.1851000000000003</v>
      </c>
      <c r="Q5178" s="148">
        <v>10.858840000000001</v>
      </c>
      <c r="R5178" s="148">
        <v>151.12997731416402</v>
      </c>
    </row>
    <row r="5179" spans="2:18" ht="15.75" hidden="1" thickBot="1" x14ac:dyDescent="0.3">
      <c r="B5179" s="145" t="s">
        <v>819</v>
      </c>
      <c r="C5179" s="722" t="s">
        <v>121</v>
      </c>
      <c r="D5179" t="s">
        <v>122</v>
      </c>
      <c r="E5179" s="729"/>
      <c r="F5179" s="147">
        <v>0.31670999999999999</v>
      </c>
      <c r="G5179" s="147">
        <v>-0.31670999999999999</v>
      </c>
      <c r="H5179" s="147">
        <v>-100</v>
      </c>
      <c r="I5179" s="729"/>
      <c r="J5179" s="729"/>
      <c r="K5179" s="729"/>
      <c r="L5179" s="147">
        <v>1.9578500000000001</v>
      </c>
      <c r="M5179" s="147">
        <v>3.8005200000000001</v>
      </c>
      <c r="N5179" s="147">
        <v>-1.84267</v>
      </c>
      <c r="O5179" s="147">
        <v>-48.48468104364666</v>
      </c>
      <c r="P5179" s="147">
        <v>1.0578000000000001</v>
      </c>
      <c r="Q5179" s="147">
        <v>0.90005000000000002</v>
      </c>
      <c r="R5179" s="147">
        <v>85.086972962752881</v>
      </c>
    </row>
    <row r="5180" spans="2:18" ht="15.75" hidden="1" thickBot="1" x14ac:dyDescent="0.3">
      <c r="B5180" s="145" t="s">
        <v>819</v>
      </c>
      <c r="C5180" s="722" t="s">
        <v>77</v>
      </c>
      <c r="D5180" t="s">
        <v>78</v>
      </c>
      <c r="E5180" s="148">
        <v>4.1417700000000002</v>
      </c>
      <c r="F5180" s="148">
        <v>1.0781700000000001</v>
      </c>
      <c r="G5180" s="148">
        <v>3.0636000000000001</v>
      </c>
      <c r="H5180" s="148">
        <v>284.14813990372573</v>
      </c>
      <c r="I5180" s="728"/>
      <c r="J5180" s="148">
        <v>4.1417700000000002</v>
      </c>
      <c r="K5180" s="148">
        <v>0</v>
      </c>
      <c r="L5180" s="148">
        <v>30.598310000000001</v>
      </c>
      <c r="M5180" s="148">
        <v>33.438040000000001</v>
      </c>
      <c r="N5180" s="148">
        <v>-2.8397299999999999</v>
      </c>
      <c r="O5180" s="148">
        <v>-8.4925133171681111</v>
      </c>
      <c r="P5180" s="148">
        <v>15.062950000000001</v>
      </c>
      <c r="Q5180" s="148">
        <v>15.535360000000001</v>
      </c>
      <c r="R5180" s="148">
        <v>103.13623825346296</v>
      </c>
    </row>
    <row r="5181" spans="2:18" ht="15.75" hidden="1" thickBot="1" x14ac:dyDescent="0.3">
      <c r="B5181" s="145" t="s">
        <v>819</v>
      </c>
      <c r="C5181" s="722" t="s">
        <v>79</v>
      </c>
      <c r="D5181" t="s">
        <v>80</v>
      </c>
      <c r="E5181" s="729"/>
      <c r="F5181" s="147">
        <v>0.81083000000000005</v>
      </c>
      <c r="G5181" s="147">
        <v>-0.81083000000000005</v>
      </c>
      <c r="H5181" s="147">
        <v>-100</v>
      </c>
      <c r="I5181" s="729"/>
      <c r="J5181" s="729"/>
      <c r="K5181" s="729"/>
      <c r="L5181" s="147">
        <v>6.9238600000000003</v>
      </c>
      <c r="M5181" s="147">
        <v>13.679959999999999</v>
      </c>
      <c r="N5181" s="147">
        <v>-6.7561</v>
      </c>
      <c r="O5181" s="147">
        <v>-49.386840312398576</v>
      </c>
      <c r="P5181" s="147">
        <v>5.4099899999999996</v>
      </c>
      <c r="Q5181" s="147">
        <v>1.51387</v>
      </c>
      <c r="R5181" s="147">
        <v>27.982861336157736</v>
      </c>
    </row>
    <row r="5182" spans="2:18" ht="15.75" hidden="1" thickBot="1" x14ac:dyDescent="0.3">
      <c r="B5182" s="145" t="s">
        <v>819</v>
      </c>
      <c r="C5182" s="722" t="s">
        <v>81</v>
      </c>
      <c r="D5182" t="s">
        <v>82</v>
      </c>
      <c r="E5182" s="728"/>
      <c r="F5182" s="148">
        <v>8.4000000000000005E-2</v>
      </c>
      <c r="G5182" s="148">
        <v>-8.4000000000000005E-2</v>
      </c>
      <c r="H5182" s="148">
        <v>-100</v>
      </c>
      <c r="I5182" s="728"/>
      <c r="J5182" s="728"/>
      <c r="K5182" s="728"/>
      <c r="L5182" s="148">
        <v>1.52077</v>
      </c>
      <c r="M5182" s="148">
        <v>1.2779400000000001</v>
      </c>
      <c r="N5182" s="148">
        <v>0.24282999999999999</v>
      </c>
      <c r="O5182" s="148">
        <v>19.001674570011112</v>
      </c>
      <c r="P5182" s="148">
        <v>1.2273400000000001</v>
      </c>
      <c r="Q5182" s="148">
        <v>0.29343000000000002</v>
      </c>
      <c r="R5182" s="148">
        <v>23.907800609448074</v>
      </c>
    </row>
    <row r="5183" spans="2:18" ht="15.75" hidden="1" thickBot="1" x14ac:dyDescent="0.3">
      <c r="B5183" s="145" t="s">
        <v>819</v>
      </c>
      <c r="C5183" s="722" t="s">
        <v>123</v>
      </c>
      <c r="D5183" t="s">
        <v>124</v>
      </c>
      <c r="E5183" s="147">
        <v>0.30911</v>
      </c>
      <c r="F5183" s="147">
        <v>0.11</v>
      </c>
      <c r="G5183" s="147">
        <v>0.19911000000000001</v>
      </c>
      <c r="H5183" s="147">
        <v>181.0090909090909</v>
      </c>
      <c r="I5183" s="729"/>
      <c r="J5183" s="147">
        <v>0.30911</v>
      </c>
      <c r="K5183" s="147">
        <v>0</v>
      </c>
      <c r="L5183" s="147">
        <v>0.75333000000000006</v>
      </c>
      <c r="M5183" s="147">
        <v>1.2210000000000001</v>
      </c>
      <c r="N5183" s="147">
        <v>-0.46766999999999997</v>
      </c>
      <c r="O5183" s="147">
        <v>-38.302211302211305</v>
      </c>
      <c r="P5183" s="147">
        <v>0.17494000000000001</v>
      </c>
      <c r="Q5183" s="147">
        <v>0.57838999999999996</v>
      </c>
      <c r="R5183" s="147">
        <v>330.62192751800615</v>
      </c>
    </row>
    <row r="5184" spans="2:18" ht="15.75" hidden="1" thickBot="1" x14ac:dyDescent="0.3">
      <c r="B5184" s="145" t="s">
        <v>819</v>
      </c>
      <c r="C5184" s="722" t="s">
        <v>125</v>
      </c>
      <c r="D5184" t="s">
        <v>126</v>
      </c>
      <c r="E5184" s="728"/>
      <c r="F5184" s="148">
        <v>1.0999999999999999E-2</v>
      </c>
      <c r="G5184" s="148">
        <v>-1.0999999999999999E-2</v>
      </c>
      <c r="H5184" s="148">
        <v>-100</v>
      </c>
      <c r="I5184" s="728"/>
      <c r="J5184" s="728"/>
      <c r="K5184" s="728"/>
      <c r="L5184" s="148">
        <v>8.4370000000000001E-2</v>
      </c>
      <c r="M5184" s="148">
        <v>0.1221</v>
      </c>
      <c r="N5184" s="148">
        <v>-3.773E-2</v>
      </c>
      <c r="O5184" s="148">
        <v>-30.900900900900901</v>
      </c>
      <c r="P5184" s="148">
        <v>5.9380000000000002E-2</v>
      </c>
      <c r="Q5184" s="148">
        <v>2.4989999999999998E-2</v>
      </c>
      <c r="R5184" s="148">
        <v>42.08487706298417</v>
      </c>
    </row>
    <row r="5185" spans="2:18" ht="15.75" hidden="1" thickBot="1" x14ac:dyDescent="0.3">
      <c r="B5185" s="145" t="s">
        <v>819</v>
      </c>
      <c r="C5185" s="722" t="s">
        <v>83</v>
      </c>
      <c r="D5185" t="s">
        <v>84</v>
      </c>
      <c r="E5185" s="729"/>
      <c r="F5185" s="147">
        <v>2.85</v>
      </c>
      <c r="G5185" s="147">
        <v>-2.85</v>
      </c>
      <c r="H5185" s="147">
        <v>-100</v>
      </c>
      <c r="I5185" s="729"/>
      <c r="J5185" s="729"/>
      <c r="K5185" s="729"/>
      <c r="L5185" s="729"/>
      <c r="M5185" s="147">
        <v>39.527000000000001</v>
      </c>
      <c r="N5185" s="147">
        <v>-39.527000000000001</v>
      </c>
      <c r="O5185" s="147">
        <v>-100</v>
      </c>
      <c r="P5185" s="729"/>
      <c r="Q5185" s="729"/>
      <c r="R5185" s="729"/>
    </row>
    <row r="5186" spans="2:18" ht="15.75" hidden="1" thickBot="1" x14ac:dyDescent="0.3">
      <c r="B5186" s="145" t="s">
        <v>819</v>
      </c>
      <c r="C5186" s="149" t="s">
        <v>85</v>
      </c>
      <c r="D5186" t="s">
        <v>86</v>
      </c>
      <c r="E5186" s="148">
        <v>817.58456999999999</v>
      </c>
      <c r="F5186" s="148">
        <v>705.33117000000004</v>
      </c>
      <c r="G5186" s="148">
        <v>112.2534</v>
      </c>
      <c r="H5186" s="148">
        <v>15.914992102220578</v>
      </c>
      <c r="I5186" s="728"/>
      <c r="J5186" s="148">
        <v>817.58456999999999</v>
      </c>
      <c r="K5186" s="148">
        <v>0</v>
      </c>
      <c r="L5186" s="148">
        <v>9591.1437299999998</v>
      </c>
      <c r="M5186" s="148">
        <v>8627.1230300000007</v>
      </c>
      <c r="N5186" s="148">
        <v>964.02070000000003</v>
      </c>
      <c r="O5186" s="148">
        <v>11.174301057811622</v>
      </c>
      <c r="P5186" s="148">
        <v>4477.15996</v>
      </c>
      <c r="Q5186" s="148">
        <v>5113.9837699999998</v>
      </c>
      <c r="R5186" s="148">
        <v>114.22383420939912</v>
      </c>
    </row>
    <row r="5187" spans="2:18" ht="15.75" hidden="1" thickBot="1" x14ac:dyDescent="0.3">
      <c r="B5187" s="145" t="s">
        <v>819</v>
      </c>
      <c r="C5187" s="144" t="s">
        <v>87</v>
      </c>
      <c r="D5187" t="s">
        <v>87</v>
      </c>
      <c r="E5187" s="147">
        <v>1112.05386</v>
      </c>
      <c r="F5187" s="147">
        <v>1060.0424800000001</v>
      </c>
      <c r="G5187" s="147">
        <v>52.011380000000003</v>
      </c>
      <c r="H5187" s="147">
        <v>4.9065373304662279</v>
      </c>
      <c r="I5187" s="729"/>
      <c r="J5187" s="147">
        <v>1112.05386</v>
      </c>
      <c r="K5187" s="147">
        <v>0</v>
      </c>
      <c r="L5187" s="147">
        <v>13426.67116</v>
      </c>
      <c r="M5187" s="147">
        <v>12869.44592</v>
      </c>
      <c r="N5187" s="147">
        <v>557.22523999999999</v>
      </c>
      <c r="O5187" s="147">
        <v>4.3298308525779952</v>
      </c>
      <c r="P5187" s="147">
        <v>6455.3449199999995</v>
      </c>
      <c r="Q5187" s="147">
        <v>6971.3262400000003</v>
      </c>
      <c r="R5187" s="147">
        <v>107.99308675825179</v>
      </c>
    </row>
    <row r="5188" spans="2:18" ht="15.75" hidden="1" thickBot="1" x14ac:dyDescent="0.3">
      <c r="B5188" s="723" t="s">
        <v>820</v>
      </c>
      <c r="C5188" s="722" t="s">
        <v>59</v>
      </c>
      <c r="D5188" t="s">
        <v>60</v>
      </c>
      <c r="E5188" s="148">
        <v>9.9721100000000007</v>
      </c>
      <c r="F5188" s="148">
        <v>12.34829</v>
      </c>
      <c r="G5188" s="148">
        <v>-2.3761800000000002</v>
      </c>
      <c r="H5188" s="148">
        <v>-19.242988300404349</v>
      </c>
      <c r="I5188" s="728"/>
      <c r="J5188" s="148">
        <v>9.9721100000000007</v>
      </c>
      <c r="K5188" s="148">
        <v>0</v>
      </c>
      <c r="L5188" s="148">
        <v>159.83420000000001</v>
      </c>
      <c r="M5188" s="148">
        <v>147.40209999999999</v>
      </c>
      <c r="N5188" s="148">
        <v>12.4321</v>
      </c>
      <c r="O5188" s="148">
        <v>8.4341403548524756</v>
      </c>
      <c r="P5188" s="148">
        <v>82.228099999999998</v>
      </c>
      <c r="Q5188" s="148">
        <v>77.606099999999998</v>
      </c>
      <c r="R5188" s="148">
        <v>94.37905047058122</v>
      </c>
    </row>
    <row r="5189" spans="2:18" ht="15.75" hidden="1" thickBot="1" x14ac:dyDescent="0.3">
      <c r="B5189" s="723" t="s">
        <v>820</v>
      </c>
      <c r="C5189" s="722" t="s">
        <v>61</v>
      </c>
      <c r="D5189" t="s">
        <v>62</v>
      </c>
      <c r="E5189" s="147">
        <v>1.99848</v>
      </c>
      <c r="F5189" s="147">
        <v>1.91398</v>
      </c>
      <c r="G5189" s="147">
        <v>8.4500000000000006E-2</v>
      </c>
      <c r="H5189" s="147">
        <v>4.4148841680686317</v>
      </c>
      <c r="I5189" s="729"/>
      <c r="J5189" s="147">
        <v>1.99848</v>
      </c>
      <c r="K5189" s="147">
        <v>0</v>
      </c>
      <c r="L5189" s="147">
        <v>23.706299999999999</v>
      </c>
      <c r="M5189" s="147">
        <v>22.847280000000001</v>
      </c>
      <c r="N5189" s="147">
        <v>0.85902000000000001</v>
      </c>
      <c r="O5189" s="147">
        <v>3.7598348687458638</v>
      </c>
      <c r="P5189" s="147">
        <v>11.715310000000001</v>
      </c>
      <c r="Q5189" s="147">
        <v>11.99099</v>
      </c>
      <c r="R5189" s="147">
        <v>102.35316009563554</v>
      </c>
    </row>
    <row r="5190" spans="2:18" ht="15.75" hidden="1" thickBot="1" x14ac:dyDescent="0.3">
      <c r="B5190" s="723" t="s">
        <v>820</v>
      </c>
      <c r="C5190" s="722" t="s">
        <v>63</v>
      </c>
      <c r="D5190" t="s">
        <v>64</v>
      </c>
      <c r="E5190" s="148">
        <v>7.7640200000000004</v>
      </c>
      <c r="F5190" s="148">
        <v>7.4460199999999999</v>
      </c>
      <c r="G5190" s="148">
        <v>0.318</v>
      </c>
      <c r="H5190" s="148">
        <v>4.2707379244213683</v>
      </c>
      <c r="I5190" s="728"/>
      <c r="J5190" s="148">
        <v>7.7640200000000004</v>
      </c>
      <c r="K5190" s="148">
        <v>0</v>
      </c>
      <c r="L5190" s="148">
        <v>92.097290000000001</v>
      </c>
      <c r="M5190" s="148">
        <v>88.883480000000006</v>
      </c>
      <c r="N5190" s="148">
        <v>3.2138100000000001</v>
      </c>
      <c r="O5190" s="148">
        <v>3.6157562687689544</v>
      </c>
      <c r="P5190" s="148">
        <v>45.51314</v>
      </c>
      <c r="Q5190" s="148">
        <v>46.584150000000001</v>
      </c>
      <c r="R5190" s="148">
        <v>102.35318855170178</v>
      </c>
    </row>
    <row r="5191" spans="2:18" ht="15.75" hidden="1" thickBot="1" x14ac:dyDescent="0.3">
      <c r="B5191" s="723" t="s">
        <v>820</v>
      </c>
      <c r="C5191" s="149" t="s">
        <v>67</v>
      </c>
      <c r="D5191" t="s">
        <v>68</v>
      </c>
      <c r="E5191" s="147">
        <v>19.73461</v>
      </c>
      <c r="F5191" s="147">
        <v>21.708290000000002</v>
      </c>
      <c r="G5191" s="147">
        <v>-1.9736800000000001</v>
      </c>
      <c r="H5191" s="147">
        <v>-9.0918262101713214</v>
      </c>
      <c r="I5191" s="729"/>
      <c r="J5191" s="147">
        <v>19.73461</v>
      </c>
      <c r="K5191" s="147">
        <v>0</v>
      </c>
      <c r="L5191" s="147">
        <v>275.63779</v>
      </c>
      <c r="M5191" s="147">
        <v>259.13285999999999</v>
      </c>
      <c r="N5191" s="147">
        <v>16.504930000000002</v>
      </c>
      <c r="O5191" s="147">
        <v>6.3692925706141628</v>
      </c>
      <c r="P5191" s="147">
        <v>139.45654999999999</v>
      </c>
      <c r="Q5191" s="147">
        <v>136.18124</v>
      </c>
      <c r="R5191" s="147">
        <v>97.651376002059422</v>
      </c>
    </row>
    <row r="5192" spans="2:18" ht="15.75" hidden="1" thickBot="1" x14ac:dyDescent="0.3">
      <c r="B5192" s="723" t="s">
        <v>820</v>
      </c>
      <c r="C5192" s="722" t="s">
        <v>69</v>
      </c>
      <c r="D5192" t="s">
        <v>70</v>
      </c>
      <c r="E5192" s="728"/>
      <c r="F5192" s="148">
        <v>0</v>
      </c>
      <c r="G5192" s="148">
        <v>0</v>
      </c>
      <c r="H5192" s="148">
        <v>0</v>
      </c>
      <c r="I5192" s="728"/>
      <c r="J5192" s="728"/>
      <c r="K5192" s="728"/>
      <c r="L5192" s="728"/>
      <c r="M5192" s="148">
        <v>4</v>
      </c>
      <c r="N5192" s="148">
        <v>-4</v>
      </c>
      <c r="O5192" s="148">
        <v>-100</v>
      </c>
      <c r="P5192" s="728"/>
      <c r="Q5192" s="728"/>
      <c r="R5192" s="728"/>
    </row>
    <row r="5193" spans="2:18" ht="15.75" hidden="1" thickBot="1" x14ac:dyDescent="0.3">
      <c r="B5193" s="723" t="s">
        <v>820</v>
      </c>
      <c r="C5193" s="722" t="s">
        <v>99</v>
      </c>
      <c r="D5193" t="s">
        <v>100</v>
      </c>
      <c r="E5193" s="729"/>
      <c r="F5193" s="729"/>
      <c r="G5193" s="729"/>
      <c r="H5193" s="729"/>
      <c r="I5193" s="729"/>
      <c r="J5193" s="729"/>
      <c r="K5193" s="729"/>
      <c r="L5193" s="147">
        <v>7.6300000000000007E-2</v>
      </c>
      <c r="M5193" s="729"/>
      <c r="N5193" s="147">
        <v>7.6300000000000007E-2</v>
      </c>
      <c r="O5193" s="147">
        <v>0</v>
      </c>
      <c r="P5193" s="147">
        <v>7.6300000000000007E-2</v>
      </c>
      <c r="Q5193" s="147">
        <v>0</v>
      </c>
      <c r="R5193" s="147">
        <v>0</v>
      </c>
    </row>
    <row r="5194" spans="2:18" ht="15.75" hidden="1" thickBot="1" x14ac:dyDescent="0.3">
      <c r="B5194" s="723" t="s">
        <v>820</v>
      </c>
      <c r="C5194" s="722" t="s">
        <v>165</v>
      </c>
      <c r="D5194" t="s">
        <v>166</v>
      </c>
      <c r="E5194" s="728"/>
      <c r="F5194" s="728"/>
      <c r="G5194" s="728"/>
      <c r="H5194" s="728"/>
      <c r="I5194" s="728"/>
      <c r="J5194" s="728"/>
      <c r="K5194" s="728"/>
      <c r="L5194" s="148">
        <v>2.3099999999999999E-2</v>
      </c>
      <c r="M5194" s="728"/>
      <c r="N5194" s="148">
        <v>2.3099999999999999E-2</v>
      </c>
      <c r="O5194" s="148">
        <v>0</v>
      </c>
      <c r="P5194" s="148">
        <v>2.3099999999999999E-2</v>
      </c>
      <c r="Q5194" s="148">
        <v>0</v>
      </c>
      <c r="R5194" s="148">
        <v>0</v>
      </c>
    </row>
    <row r="5195" spans="2:18" ht="15.75" hidden="1" thickBot="1" x14ac:dyDescent="0.3">
      <c r="B5195" s="723" t="s">
        <v>820</v>
      </c>
      <c r="C5195" s="722" t="s">
        <v>137</v>
      </c>
      <c r="D5195" t="s">
        <v>138</v>
      </c>
      <c r="E5195" s="729"/>
      <c r="F5195" s="147">
        <v>0.1</v>
      </c>
      <c r="G5195" s="147">
        <v>-0.1</v>
      </c>
      <c r="H5195" s="147">
        <v>-100</v>
      </c>
      <c r="I5195" s="729"/>
      <c r="J5195" s="729"/>
      <c r="K5195" s="729"/>
      <c r="L5195" s="147">
        <v>1.2925899999999999</v>
      </c>
      <c r="M5195" s="147">
        <v>1.2</v>
      </c>
      <c r="N5195" s="147">
        <v>9.2590000000000006E-2</v>
      </c>
      <c r="O5195" s="147">
        <v>7.7158333333333333</v>
      </c>
      <c r="P5195" s="147">
        <v>0.29959999999999998</v>
      </c>
      <c r="Q5195" s="147">
        <v>0.99299000000000004</v>
      </c>
      <c r="R5195" s="147">
        <v>331.43858477970628</v>
      </c>
    </row>
    <row r="5196" spans="2:18" ht="15.75" hidden="1" thickBot="1" x14ac:dyDescent="0.3">
      <c r="B5196" s="723" t="s">
        <v>820</v>
      </c>
      <c r="C5196" s="722" t="s">
        <v>36</v>
      </c>
      <c r="D5196" t="s">
        <v>192</v>
      </c>
      <c r="E5196" s="148">
        <v>2.2919999999999998</v>
      </c>
      <c r="F5196" s="728"/>
      <c r="G5196" s="148">
        <v>2.2919999999999998</v>
      </c>
      <c r="H5196" s="148">
        <v>0</v>
      </c>
      <c r="I5196" s="728"/>
      <c r="J5196" s="148">
        <v>2.2919999999999998</v>
      </c>
      <c r="K5196" s="148">
        <v>0</v>
      </c>
      <c r="L5196" s="148">
        <v>2.2919999999999998</v>
      </c>
      <c r="M5196" s="728"/>
      <c r="N5196" s="148">
        <v>2.2919999999999998</v>
      </c>
      <c r="O5196" s="148">
        <v>0</v>
      </c>
      <c r="P5196" s="728"/>
      <c r="Q5196" s="148">
        <v>2.2919999999999998</v>
      </c>
      <c r="R5196" s="148">
        <v>0</v>
      </c>
    </row>
    <row r="5197" spans="2:18" ht="15.75" hidden="1" thickBot="1" x14ac:dyDescent="0.3">
      <c r="B5197" s="723" t="s">
        <v>820</v>
      </c>
      <c r="C5197" s="722" t="s">
        <v>139</v>
      </c>
      <c r="D5197" t="s">
        <v>140</v>
      </c>
      <c r="E5197" s="147">
        <v>1.299E-2</v>
      </c>
      <c r="F5197" s="729"/>
      <c r="G5197" s="147">
        <v>1.299E-2</v>
      </c>
      <c r="H5197" s="147">
        <v>0</v>
      </c>
      <c r="I5197" s="729"/>
      <c r="J5197" s="147">
        <v>1.299E-2</v>
      </c>
      <c r="K5197" s="147">
        <v>0</v>
      </c>
      <c r="L5197" s="147">
        <v>0.28758</v>
      </c>
      <c r="M5197" s="729"/>
      <c r="N5197" s="147">
        <v>0.28758</v>
      </c>
      <c r="O5197" s="147">
        <v>0</v>
      </c>
      <c r="P5197" s="147">
        <v>0.13561999999999999</v>
      </c>
      <c r="Q5197" s="147">
        <v>0.15196000000000001</v>
      </c>
      <c r="R5197" s="147">
        <v>112.04837044683676</v>
      </c>
    </row>
    <row r="5198" spans="2:18" ht="15.75" hidden="1" thickBot="1" x14ac:dyDescent="0.3">
      <c r="B5198" s="723" t="s">
        <v>820</v>
      </c>
      <c r="C5198" s="722" t="s">
        <v>101</v>
      </c>
      <c r="D5198" t="s">
        <v>102</v>
      </c>
      <c r="E5198" s="728"/>
      <c r="F5198" s="148">
        <v>0</v>
      </c>
      <c r="G5198" s="148">
        <v>0</v>
      </c>
      <c r="H5198" s="148">
        <v>0</v>
      </c>
      <c r="I5198" s="728"/>
      <c r="J5198" s="728"/>
      <c r="K5198" s="728"/>
      <c r="L5198" s="728"/>
      <c r="M5198" s="148">
        <v>20</v>
      </c>
      <c r="N5198" s="148">
        <v>-20</v>
      </c>
      <c r="O5198" s="148">
        <v>-100</v>
      </c>
      <c r="P5198" s="728"/>
      <c r="Q5198" s="728"/>
      <c r="R5198" s="728"/>
    </row>
    <row r="5199" spans="2:18" ht="15.75" hidden="1" thickBot="1" x14ac:dyDescent="0.3">
      <c r="B5199" s="723" t="s">
        <v>820</v>
      </c>
      <c r="C5199" s="722" t="s">
        <v>103</v>
      </c>
      <c r="D5199" t="s">
        <v>104</v>
      </c>
      <c r="E5199" s="147">
        <v>1.972</v>
      </c>
      <c r="F5199" s="729"/>
      <c r="G5199" s="147">
        <v>1.972</v>
      </c>
      <c r="H5199" s="147">
        <v>0</v>
      </c>
      <c r="I5199" s="729"/>
      <c r="J5199" s="147">
        <v>1.972</v>
      </c>
      <c r="K5199" s="147">
        <v>0</v>
      </c>
      <c r="L5199" s="147">
        <v>3.6037699999999999</v>
      </c>
      <c r="M5199" s="729"/>
      <c r="N5199" s="147">
        <v>3.6037699999999999</v>
      </c>
      <c r="O5199" s="147">
        <v>0</v>
      </c>
      <c r="P5199" s="147">
        <v>0.17935999999999999</v>
      </c>
      <c r="Q5199" s="147">
        <v>3.42441</v>
      </c>
      <c r="R5199" s="147">
        <v>1909.2384032114185</v>
      </c>
    </row>
    <row r="5200" spans="2:18" ht="15.75" hidden="1" thickBot="1" x14ac:dyDescent="0.3">
      <c r="B5200" s="723" t="s">
        <v>820</v>
      </c>
      <c r="C5200" s="722" t="s">
        <v>71</v>
      </c>
      <c r="D5200" t="s">
        <v>72</v>
      </c>
      <c r="E5200" s="148">
        <v>-3.9890000000000002E-2</v>
      </c>
      <c r="F5200" s="728"/>
      <c r="G5200" s="148">
        <v>-3.9890000000000002E-2</v>
      </c>
      <c r="H5200" s="148">
        <v>0</v>
      </c>
      <c r="I5200" s="728"/>
      <c r="J5200" s="148">
        <v>-3.9890000000000002E-2</v>
      </c>
      <c r="K5200" s="148">
        <v>0</v>
      </c>
      <c r="L5200" s="148">
        <v>0</v>
      </c>
      <c r="M5200" s="728"/>
      <c r="N5200" s="148">
        <v>0</v>
      </c>
      <c r="O5200" s="148">
        <v>0</v>
      </c>
      <c r="P5200" s="148">
        <v>0.02</v>
      </c>
      <c r="Q5200" s="148">
        <v>-0.02</v>
      </c>
      <c r="R5200" s="148">
        <v>-100</v>
      </c>
    </row>
    <row r="5201" spans="2:18" ht="15.75" hidden="1" thickBot="1" x14ac:dyDescent="0.3">
      <c r="B5201" s="723" t="s">
        <v>820</v>
      </c>
      <c r="C5201" s="722" t="s">
        <v>107</v>
      </c>
      <c r="D5201" t="s">
        <v>108</v>
      </c>
      <c r="E5201" s="729"/>
      <c r="F5201" s="729"/>
      <c r="G5201" s="729"/>
      <c r="H5201" s="729"/>
      <c r="I5201" s="729"/>
      <c r="J5201" s="729"/>
      <c r="K5201" s="729"/>
      <c r="L5201" s="147">
        <v>3.15E-2</v>
      </c>
      <c r="M5201" s="729"/>
      <c r="N5201" s="147">
        <v>3.15E-2</v>
      </c>
      <c r="O5201" s="147">
        <v>0</v>
      </c>
      <c r="P5201" s="729"/>
      <c r="Q5201" s="147">
        <v>3.15E-2</v>
      </c>
      <c r="R5201" s="147">
        <v>0</v>
      </c>
    </row>
    <row r="5202" spans="2:18" ht="15.75" hidden="1" thickBot="1" x14ac:dyDescent="0.3">
      <c r="B5202" s="723" t="s">
        <v>820</v>
      </c>
      <c r="C5202" s="722" t="s">
        <v>73</v>
      </c>
      <c r="D5202" t="s">
        <v>74</v>
      </c>
      <c r="E5202" s="148">
        <v>3.9890000000000002E-2</v>
      </c>
      <c r="F5202" s="148">
        <v>0.33300000000000002</v>
      </c>
      <c r="G5202" s="148">
        <v>-0.29310999999999998</v>
      </c>
      <c r="H5202" s="148">
        <v>-88.021021021021028</v>
      </c>
      <c r="I5202" s="728"/>
      <c r="J5202" s="148">
        <v>3.9890000000000002E-2</v>
      </c>
      <c r="K5202" s="148">
        <v>0</v>
      </c>
      <c r="L5202" s="148">
        <v>0.57103000000000004</v>
      </c>
      <c r="M5202" s="148">
        <v>3.996</v>
      </c>
      <c r="N5202" s="148">
        <v>-3.4249700000000001</v>
      </c>
      <c r="O5202" s="148">
        <v>-85.70995995995996</v>
      </c>
      <c r="P5202" s="148">
        <v>0.10512000000000001</v>
      </c>
      <c r="Q5202" s="148">
        <v>0.46590999999999999</v>
      </c>
      <c r="R5202" s="148">
        <v>443.21727549467278</v>
      </c>
    </row>
    <row r="5203" spans="2:18" ht="15.75" hidden="1" thickBot="1" x14ac:dyDescent="0.3">
      <c r="B5203" s="723" t="s">
        <v>820</v>
      </c>
      <c r="C5203" s="722" t="s">
        <v>111</v>
      </c>
      <c r="D5203" t="s">
        <v>112</v>
      </c>
      <c r="E5203" s="729"/>
      <c r="F5203" s="729"/>
      <c r="G5203" s="729"/>
      <c r="H5203" s="729"/>
      <c r="I5203" s="729"/>
      <c r="J5203" s="729"/>
      <c r="K5203" s="729"/>
      <c r="L5203" s="147">
        <v>7.8380000000000005E-2</v>
      </c>
      <c r="M5203" s="729"/>
      <c r="N5203" s="147">
        <v>7.8380000000000005E-2</v>
      </c>
      <c r="O5203" s="147">
        <v>0</v>
      </c>
      <c r="P5203" s="147">
        <v>7.8380000000000005E-2</v>
      </c>
      <c r="Q5203" s="147">
        <v>0</v>
      </c>
      <c r="R5203" s="147">
        <v>0</v>
      </c>
    </row>
    <row r="5204" spans="2:18" ht="15.75" hidden="1" thickBot="1" x14ac:dyDescent="0.3">
      <c r="B5204" s="723" t="s">
        <v>820</v>
      </c>
      <c r="C5204" s="722" t="s">
        <v>141</v>
      </c>
      <c r="D5204" t="s">
        <v>142</v>
      </c>
      <c r="E5204" s="728"/>
      <c r="F5204" s="728"/>
      <c r="G5204" s="728"/>
      <c r="H5204" s="728"/>
      <c r="I5204" s="728"/>
      <c r="J5204" s="728"/>
      <c r="K5204" s="728"/>
      <c r="L5204" s="728"/>
      <c r="M5204" s="148">
        <v>0.4</v>
      </c>
      <c r="N5204" s="148">
        <v>-0.4</v>
      </c>
      <c r="O5204" s="148">
        <v>-100</v>
      </c>
      <c r="P5204" s="728"/>
      <c r="Q5204" s="728"/>
      <c r="R5204" s="728"/>
    </row>
    <row r="5205" spans="2:18" ht="15.75" hidden="1" thickBot="1" x14ac:dyDescent="0.3">
      <c r="B5205" s="723" t="s">
        <v>820</v>
      </c>
      <c r="C5205" s="722" t="s">
        <v>113</v>
      </c>
      <c r="D5205" t="s">
        <v>114</v>
      </c>
      <c r="E5205" s="729"/>
      <c r="F5205" s="147">
        <v>0</v>
      </c>
      <c r="G5205" s="147">
        <v>0</v>
      </c>
      <c r="H5205" s="147">
        <v>0</v>
      </c>
      <c r="I5205" s="729"/>
      <c r="J5205" s="729"/>
      <c r="K5205" s="729"/>
      <c r="L5205" s="147">
        <v>0.24349000000000001</v>
      </c>
      <c r="M5205" s="147">
        <v>3</v>
      </c>
      <c r="N5205" s="147">
        <v>-2.75651</v>
      </c>
      <c r="O5205" s="147">
        <v>-91.88366666666667</v>
      </c>
      <c r="P5205" s="147">
        <v>0.22489000000000001</v>
      </c>
      <c r="Q5205" s="147">
        <v>1.8599999999999998E-2</v>
      </c>
      <c r="R5205" s="147">
        <v>8.270710124949975</v>
      </c>
    </row>
    <row r="5206" spans="2:18" ht="15.75" hidden="1" thickBot="1" x14ac:dyDescent="0.3">
      <c r="B5206" s="723" t="s">
        <v>820</v>
      </c>
      <c r="C5206" s="722" t="s">
        <v>145</v>
      </c>
      <c r="D5206" t="s">
        <v>146</v>
      </c>
      <c r="E5206" s="728"/>
      <c r="F5206" s="728"/>
      <c r="G5206" s="728"/>
      <c r="H5206" s="728"/>
      <c r="I5206" s="728"/>
      <c r="J5206" s="728"/>
      <c r="K5206" s="728"/>
      <c r="L5206" s="148">
        <v>0.13300000000000001</v>
      </c>
      <c r="M5206" s="728"/>
      <c r="N5206" s="148">
        <v>0.13300000000000001</v>
      </c>
      <c r="O5206" s="148">
        <v>0</v>
      </c>
      <c r="P5206" s="148">
        <v>1.7500000000000002E-2</v>
      </c>
      <c r="Q5206" s="148">
        <v>0.11550000000000001</v>
      </c>
      <c r="R5206" s="148">
        <v>660</v>
      </c>
    </row>
    <row r="5207" spans="2:18" ht="15.75" hidden="1" thickBot="1" x14ac:dyDescent="0.3">
      <c r="B5207" s="723" t="s">
        <v>820</v>
      </c>
      <c r="C5207" s="722" t="s">
        <v>149</v>
      </c>
      <c r="D5207" t="s">
        <v>150</v>
      </c>
      <c r="E5207" s="147">
        <v>1.4179999999999999</v>
      </c>
      <c r="F5207" s="147">
        <v>0</v>
      </c>
      <c r="G5207" s="147">
        <v>1.4179999999999999</v>
      </c>
      <c r="H5207" s="147">
        <v>0</v>
      </c>
      <c r="I5207" s="729"/>
      <c r="J5207" s="147">
        <v>1.4179999999999999</v>
      </c>
      <c r="K5207" s="147">
        <v>0</v>
      </c>
      <c r="L5207" s="147">
        <v>19.417999999999999</v>
      </c>
      <c r="M5207" s="147">
        <v>0</v>
      </c>
      <c r="N5207" s="147">
        <v>19.417999999999999</v>
      </c>
      <c r="O5207" s="147">
        <v>0</v>
      </c>
      <c r="P5207" s="147">
        <v>18</v>
      </c>
      <c r="Q5207" s="147">
        <v>1.4179999999999999</v>
      </c>
      <c r="R5207" s="147">
        <v>7.8777777777777782</v>
      </c>
    </row>
    <row r="5208" spans="2:18" ht="15.75" hidden="1" thickBot="1" x14ac:dyDescent="0.3">
      <c r="B5208" s="723" t="s">
        <v>820</v>
      </c>
      <c r="C5208" s="722" t="s">
        <v>649</v>
      </c>
      <c r="D5208" t="s">
        <v>650</v>
      </c>
      <c r="E5208" s="728"/>
      <c r="F5208" s="728"/>
      <c r="G5208" s="728"/>
      <c r="H5208" s="728"/>
      <c r="I5208" s="728"/>
      <c r="J5208" s="728"/>
      <c r="K5208" s="728"/>
      <c r="L5208" s="728"/>
      <c r="M5208" s="148">
        <v>0.75</v>
      </c>
      <c r="N5208" s="148">
        <v>-0.75</v>
      </c>
      <c r="O5208" s="148">
        <v>-100</v>
      </c>
      <c r="P5208" s="728"/>
      <c r="Q5208" s="728"/>
      <c r="R5208" s="728"/>
    </row>
    <row r="5209" spans="2:18" ht="15.75" hidden="1" thickBot="1" x14ac:dyDescent="0.3">
      <c r="B5209" s="723" t="s">
        <v>820</v>
      </c>
      <c r="C5209" s="722" t="s">
        <v>207</v>
      </c>
      <c r="D5209" t="s">
        <v>208</v>
      </c>
      <c r="E5209" s="729"/>
      <c r="F5209" s="729"/>
      <c r="G5209" s="729"/>
      <c r="H5209" s="729"/>
      <c r="I5209" s="729"/>
      <c r="J5209" s="729"/>
      <c r="K5209" s="729"/>
      <c r="L5209" s="147">
        <v>3.499E-2</v>
      </c>
      <c r="M5209" s="729"/>
      <c r="N5209" s="147">
        <v>3.499E-2</v>
      </c>
      <c r="O5209" s="147">
        <v>0</v>
      </c>
      <c r="P5209" s="729"/>
      <c r="Q5209" s="147">
        <v>3.499E-2</v>
      </c>
      <c r="R5209" s="147">
        <v>0</v>
      </c>
    </row>
    <row r="5210" spans="2:18" ht="15.75" hidden="1" thickBot="1" x14ac:dyDescent="0.3">
      <c r="B5210" s="723" t="s">
        <v>820</v>
      </c>
      <c r="C5210" s="722" t="s">
        <v>75</v>
      </c>
      <c r="D5210" t="s">
        <v>76</v>
      </c>
      <c r="E5210" s="148">
        <v>0.99973999999999996</v>
      </c>
      <c r="F5210" s="148">
        <v>0.05</v>
      </c>
      <c r="G5210" s="148">
        <v>0.94974000000000003</v>
      </c>
      <c r="H5210" s="148">
        <v>1899.48</v>
      </c>
      <c r="I5210" s="728"/>
      <c r="J5210" s="148">
        <v>0.99973999999999996</v>
      </c>
      <c r="K5210" s="148">
        <v>0</v>
      </c>
      <c r="L5210" s="148">
        <v>3.3297300000000001</v>
      </c>
      <c r="M5210" s="148">
        <v>0.6</v>
      </c>
      <c r="N5210" s="148">
        <v>2.72973</v>
      </c>
      <c r="O5210" s="148">
        <v>454.95499999999998</v>
      </c>
      <c r="P5210" s="148">
        <v>0.31389</v>
      </c>
      <c r="Q5210" s="148">
        <v>3.0158399999999999</v>
      </c>
      <c r="R5210" s="148">
        <v>960.79518302590077</v>
      </c>
    </row>
    <row r="5211" spans="2:18" ht="15.75" hidden="1" thickBot="1" x14ac:dyDescent="0.3">
      <c r="B5211" s="723" t="s">
        <v>820</v>
      </c>
      <c r="C5211" s="722" t="s">
        <v>121</v>
      </c>
      <c r="D5211" t="s">
        <v>122</v>
      </c>
      <c r="E5211" s="729"/>
      <c r="F5211" s="729"/>
      <c r="G5211" s="729"/>
      <c r="H5211" s="729"/>
      <c r="I5211" s="729"/>
      <c r="J5211" s="729"/>
      <c r="K5211" s="729"/>
      <c r="L5211" s="147">
        <v>0.59211999999999998</v>
      </c>
      <c r="M5211" s="729"/>
      <c r="N5211" s="147">
        <v>0.59211999999999998</v>
      </c>
      <c r="O5211" s="147">
        <v>0</v>
      </c>
      <c r="P5211" s="147">
        <v>0.59211999999999998</v>
      </c>
      <c r="Q5211" s="147">
        <v>0</v>
      </c>
      <c r="R5211" s="147">
        <v>0</v>
      </c>
    </row>
    <row r="5212" spans="2:18" ht="15.75" hidden="1" thickBot="1" x14ac:dyDescent="0.3">
      <c r="B5212" s="723" t="s">
        <v>820</v>
      </c>
      <c r="C5212" s="722" t="s">
        <v>77</v>
      </c>
      <c r="D5212" t="s">
        <v>78</v>
      </c>
      <c r="E5212" s="148">
        <v>3</v>
      </c>
      <c r="F5212" s="148">
        <v>0</v>
      </c>
      <c r="G5212" s="148">
        <v>3</v>
      </c>
      <c r="H5212" s="148">
        <v>0</v>
      </c>
      <c r="I5212" s="728"/>
      <c r="J5212" s="148">
        <v>3</v>
      </c>
      <c r="K5212" s="148">
        <v>0</v>
      </c>
      <c r="L5212" s="148">
        <v>9.7604900000000008</v>
      </c>
      <c r="M5212" s="148">
        <v>4.5</v>
      </c>
      <c r="N5212" s="148">
        <v>5.2604899999999999</v>
      </c>
      <c r="O5212" s="148">
        <v>116.89977777777777</v>
      </c>
      <c r="P5212" s="148">
        <v>3.6053799999999998</v>
      </c>
      <c r="Q5212" s="148">
        <v>6.1551099999999996</v>
      </c>
      <c r="R5212" s="148">
        <v>170.72014600402733</v>
      </c>
    </row>
    <row r="5213" spans="2:18" ht="15.75" hidden="1" thickBot="1" x14ac:dyDescent="0.3">
      <c r="B5213" s="723" t="s">
        <v>820</v>
      </c>
      <c r="C5213" s="722" t="s">
        <v>79</v>
      </c>
      <c r="D5213" t="s">
        <v>80</v>
      </c>
      <c r="E5213" s="729"/>
      <c r="F5213" s="729"/>
      <c r="G5213" s="729"/>
      <c r="H5213" s="729"/>
      <c r="I5213" s="729"/>
      <c r="J5213" s="729"/>
      <c r="K5213" s="729"/>
      <c r="L5213" s="147">
        <v>0.42159999999999997</v>
      </c>
      <c r="M5213" s="729"/>
      <c r="N5213" s="147">
        <v>0.42159999999999997</v>
      </c>
      <c r="O5213" s="147">
        <v>0</v>
      </c>
      <c r="P5213" s="147">
        <v>0.30509999999999998</v>
      </c>
      <c r="Q5213" s="147">
        <v>0.11650000000000001</v>
      </c>
      <c r="R5213" s="147">
        <v>38.18420190101606</v>
      </c>
    </row>
    <row r="5214" spans="2:18" ht="15.75" hidden="1" thickBot="1" x14ac:dyDescent="0.3">
      <c r="B5214" s="723" t="s">
        <v>820</v>
      </c>
      <c r="C5214" s="722" t="s">
        <v>81</v>
      </c>
      <c r="D5214" t="s">
        <v>82</v>
      </c>
      <c r="E5214" s="728"/>
      <c r="F5214" s="728"/>
      <c r="G5214" s="728"/>
      <c r="H5214" s="728"/>
      <c r="I5214" s="728"/>
      <c r="J5214" s="728"/>
      <c r="K5214" s="728"/>
      <c r="L5214" s="148">
        <v>0.11842999999999999</v>
      </c>
      <c r="M5214" s="728"/>
      <c r="N5214" s="148">
        <v>0.11842999999999999</v>
      </c>
      <c r="O5214" s="148">
        <v>0</v>
      </c>
      <c r="P5214" s="728"/>
      <c r="Q5214" s="148">
        <v>0.11842999999999999</v>
      </c>
      <c r="R5214" s="148">
        <v>0</v>
      </c>
    </row>
    <row r="5215" spans="2:18" ht="15.75" hidden="1" thickBot="1" x14ac:dyDescent="0.3">
      <c r="B5215" s="723" t="s">
        <v>820</v>
      </c>
      <c r="C5215" s="722" t="s">
        <v>125</v>
      </c>
      <c r="D5215" t="s">
        <v>126</v>
      </c>
      <c r="E5215" s="729"/>
      <c r="F5215" s="729"/>
      <c r="G5215" s="729"/>
      <c r="H5215" s="729"/>
      <c r="I5215" s="729"/>
      <c r="J5215" s="729"/>
      <c r="K5215" s="729"/>
      <c r="L5215" s="147">
        <v>2.4989999999999998E-2</v>
      </c>
      <c r="M5215" s="729"/>
      <c r="N5215" s="147">
        <v>2.4989999999999998E-2</v>
      </c>
      <c r="O5215" s="147">
        <v>0</v>
      </c>
      <c r="P5215" s="729"/>
      <c r="Q5215" s="147">
        <v>2.4989999999999998E-2</v>
      </c>
      <c r="R5215" s="147">
        <v>0</v>
      </c>
    </row>
    <row r="5216" spans="2:18" ht="15.75" hidden="1" thickBot="1" x14ac:dyDescent="0.3">
      <c r="B5216" s="723" t="s">
        <v>820</v>
      </c>
      <c r="C5216" s="722" t="s">
        <v>83</v>
      </c>
      <c r="D5216" t="s">
        <v>84</v>
      </c>
      <c r="E5216" s="728"/>
      <c r="F5216" s="148">
        <v>0</v>
      </c>
      <c r="G5216" s="148">
        <v>0</v>
      </c>
      <c r="H5216" s="148">
        <v>0</v>
      </c>
      <c r="I5216" s="728"/>
      <c r="J5216" s="728"/>
      <c r="K5216" s="728"/>
      <c r="L5216" s="728"/>
      <c r="M5216" s="148">
        <v>27.327000000000002</v>
      </c>
      <c r="N5216" s="148">
        <v>-27.327000000000002</v>
      </c>
      <c r="O5216" s="148">
        <v>-100</v>
      </c>
      <c r="P5216" s="728"/>
      <c r="Q5216" s="728"/>
      <c r="R5216" s="728"/>
    </row>
    <row r="5217" spans="2:18" ht="15.75" hidden="1" thickBot="1" x14ac:dyDescent="0.3">
      <c r="B5217" s="723" t="s">
        <v>820</v>
      </c>
      <c r="C5217" s="149" t="s">
        <v>85</v>
      </c>
      <c r="D5217" t="s">
        <v>86</v>
      </c>
      <c r="E5217" s="147">
        <v>9.6947299999999998</v>
      </c>
      <c r="F5217" s="147">
        <v>0.48299999999999998</v>
      </c>
      <c r="G5217" s="147">
        <v>9.2117299999999993</v>
      </c>
      <c r="H5217" s="147">
        <v>1907.1904761904761</v>
      </c>
      <c r="I5217" s="729"/>
      <c r="J5217" s="147">
        <v>9.6947299999999998</v>
      </c>
      <c r="K5217" s="147">
        <v>0</v>
      </c>
      <c r="L5217" s="147">
        <v>42.333089999999999</v>
      </c>
      <c r="M5217" s="147">
        <v>65.772999999999996</v>
      </c>
      <c r="N5217" s="147">
        <v>-23.439910000000001</v>
      </c>
      <c r="O5217" s="147">
        <v>-35.637586851747677</v>
      </c>
      <c r="P5217" s="147">
        <v>23.97636</v>
      </c>
      <c r="Q5217" s="147">
        <v>18.356729999999999</v>
      </c>
      <c r="R5217" s="147">
        <v>76.561788361536117</v>
      </c>
    </row>
    <row r="5218" spans="2:18" ht="15.75" hidden="1" thickBot="1" x14ac:dyDescent="0.3">
      <c r="B5218" s="723" t="s">
        <v>820</v>
      </c>
      <c r="C5218" s="144" t="s">
        <v>87</v>
      </c>
      <c r="D5218" t="s">
        <v>87</v>
      </c>
      <c r="E5218" s="148">
        <v>29.42934</v>
      </c>
      <c r="F5218" s="148">
        <v>22.191289999999999</v>
      </c>
      <c r="G5218" s="148">
        <v>7.2380500000000003</v>
      </c>
      <c r="H5218" s="148">
        <v>32.616625712160044</v>
      </c>
      <c r="I5218" s="728"/>
      <c r="J5218" s="148">
        <v>29.42934</v>
      </c>
      <c r="K5218" s="148">
        <v>0</v>
      </c>
      <c r="L5218" s="148">
        <v>317.97088000000002</v>
      </c>
      <c r="M5218" s="148">
        <v>324.90586000000002</v>
      </c>
      <c r="N5218" s="148">
        <v>-6.9349800000000004</v>
      </c>
      <c r="O5218" s="148">
        <v>-2.1344582704664052</v>
      </c>
      <c r="P5218" s="148">
        <v>163.43290999999999</v>
      </c>
      <c r="Q5218" s="148">
        <v>154.53797</v>
      </c>
      <c r="R5218" s="148">
        <v>94.557436442880444</v>
      </c>
    </row>
    <row r="5219" spans="2:18" ht="15.75" hidden="1" thickBot="1" x14ac:dyDescent="0.3">
      <c r="B5219" s="723" t="s">
        <v>821</v>
      </c>
      <c r="C5219" s="722" t="s">
        <v>59</v>
      </c>
      <c r="D5219" t="s">
        <v>60</v>
      </c>
      <c r="E5219" s="147">
        <v>16.00224</v>
      </c>
      <c r="F5219" s="147">
        <v>17.443660000000001</v>
      </c>
      <c r="G5219" s="147">
        <v>-1.4414199999999999</v>
      </c>
      <c r="H5219" s="147">
        <v>-8.2632887822853682</v>
      </c>
      <c r="I5219" s="729"/>
      <c r="J5219" s="147">
        <v>16.00224</v>
      </c>
      <c r="K5219" s="147">
        <v>0</v>
      </c>
      <c r="L5219" s="147">
        <v>207.35717</v>
      </c>
      <c r="M5219" s="147">
        <v>208.22577999999999</v>
      </c>
      <c r="N5219" s="147">
        <v>-0.86860999999999999</v>
      </c>
      <c r="O5219" s="147">
        <v>-0.41714815523803056</v>
      </c>
      <c r="P5219" s="147">
        <v>105.70626</v>
      </c>
      <c r="Q5219" s="147">
        <v>101.65091</v>
      </c>
      <c r="R5219" s="147">
        <v>96.163566850250874</v>
      </c>
    </row>
    <row r="5220" spans="2:18" ht="15.75" hidden="1" thickBot="1" x14ac:dyDescent="0.3">
      <c r="B5220" s="723" t="s">
        <v>821</v>
      </c>
      <c r="C5220" s="722" t="s">
        <v>134</v>
      </c>
      <c r="D5220" t="s">
        <v>135</v>
      </c>
      <c r="E5220" s="148">
        <v>4.1938000000000004</v>
      </c>
      <c r="F5220" s="728"/>
      <c r="G5220" s="148">
        <v>4.1938000000000004</v>
      </c>
      <c r="H5220" s="148">
        <v>0</v>
      </c>
      <c r="I5220" s="728"/>
      <c r="J5220" s="148">
        <v>4.1938000000000004</v>
      </c>
      <c r="K5220" s="148">
        <v>0</v>
      </c>
      <c r="L5220" s="148">
        <v>33.804989999999997</v>
      </c>
      <c r="M5220" s="148">
        <v>15</v>
      </c>
      <c r="N5220" s="148">
        <v>18.80499</v>
      </c>
      <c r="O5220" s="148">
        <v>125.36660000000001</v>
      </c>
      <c r="P5220" s="148">
        <v>12.68262</v>
      </c>
      <c r="Q5220" s="148">
        <v>21.12237</v>
      </c>
      <c r="R5220" s="148">
        <v>166.54579258859764</v>
      </c>
    </row>
    <row r="5221" spans="2:18" ht="15.75" hidden="1" thickBot="1" x14ac:dyDescent="0.3">
      <c r="B5221" s="723" t="s">
        <v>821</v>
      </c>
      <c r="C5221" s="722" t="s">
        <v>61</v>
      </c>
      <c r="D5221" t="s">
        <v>62</v>
      </c>
      <c r="E5221" s="147">
        <v>2.7458499999999999</v>
      </c>
      <c r="F5221" s="147">
        <v>2.70377</v>
      </c>
      <c r="G5221" s="147">
        <v>4.2079999999999999E-2</v>
      </c>
      <c r="H5221" s="147">
        <v>1.5563453992018552</v>
      </c>
      <c r="I5221" s="729"/>
      <c r="J5221" s="147">
        <v>2.7458499999999999</v>
      </c>
      <c r="K5221" s="147">
        <v>0</v>
      </c>
      <c r="L5221" s="147">
        <v>32.420029999999997</v>
      </c>
      <c r="M5221" s="147">
        <v>32.275019999999998</v>
      </c>
      <c r="N5221" s="147">
        <v>0.14501</v>
      </c>
      <c r="O5221" s="147">
        <v>0.4492948416453344</v>
      </c>
      <c r="P5221" s="147">
        <v>16.043320000000001</v>
      </c>
      <c r="Q5221" s="147">
        <v>16.376709999999999</v>
      </c>
      <c r="R5221" s="147">
        <v>102.0780611494379</v>
      </c>
    </row>
    <row r="5222" spans="2:18" ht="15.75" hidden="1" thickBot="1" x14ac:dyDescent="0.3">
      <c r="B5222" s="723" t="s">
        <v>821</v>
      </c>
      <c r="C5222" s="722" t="s">
        <v>63</v>
      </c>
      <c r="D5222" t="s">
        <v>64</v>
      </c>
      <c r="E5222" s="148">
        <v>11.06514</v>
      </c>
      <c r="F5222" s="148">
        <v>10.51853</v>
      </c>
      <c r="G5222" s="148">
        <v>0.54661000000000004</v>
      </c>
      <c r="H5222" s="148">
        <v>5.1966386938098763</v>
      </c>
      <c r="I5222" s="728"/>
      <c r="J5222" s="148">
        <v>11.06514</v>
      </c>
      <c r="K5222" s="148">
        <v>0</v>
      </c>
      <c r="L5222" s="148">
        <v>129.29023000000001</v>
      </c>
      <c r="M5222" s="148">
        <v>125.56018</v>
      </c>
      <c r="N5222" s="148">
        <v>3.7300499999999999</v>
      </c>
      <c r="O5222" s="148">
        <v>2.9707268657945538</v>
      </c>
      <c r="P5222" s="148">
        <v>63.577350000000003</v>
      </c>
      <c r="Q5222" s="148">
        <v>65.712879999999998</v>
      </c>
      <c r="R5222" s="148">
        <v>103.35894780137895</v>
      </c>
    </row>
    <row r="5223" spans="2:18" ht="15.75" hidden="1" thickBot="1" x14ac:dyDescent="0.3">
      <c r="B5223" s="723" t="s">
        <v>821</v>
      </c>
      <c r="C5223" s="149" t="s">
        <v>67</v>
      </c>
      <c r="D5223" t="s">
        <v>68</v>
      </c>
      <c r="E5223" s="147">
        <v>34.00703</v>
      </c>
      <c r="F5223" s="147">
        <v>30.665959999999998</v>
      </c>
      <c r="G5223" s="147">
        <v>3.3410700000000002</v>
      </c>
      <c r="H5223" s="147">
        <v>10.895044537982832</v>
      </c>
      <c r="I5223" s="729"/>
      <c r="J5223" s="147">
        <v>34.00703</v>
      </c>
      <c r="K5223" s="147">
        <v>0</v>
      </c>
      <c r="L5223" s="147">
        <v>402.87241999999998</v>
      </c>
      <c r="M5223" s="147">
        <v>381.06097999999997</v>
      </c>
      <c r="N5223" s="147">
        <v>21.811440000000001</v>
      </c>
      <c r="O5223" s="147">
        <v>5.7238712817040467</v>
      </c>
      <c r="P5223" s="147">
        <v>198.00954999999999</v>
      </c>
      <c r="Q5223" s="147">
        <v>204.86286999999999</v>
      </c>
      <c r="R5223" s="147">
        <v>103.46110579009952</v>
      </c>
    </row>
    <row r="5224" spans="2:18" ht="15.75" hidden="1" thickBot="1" x14ac:dyDescent="0.3">
      <c r="B5224" s="723" t="s">
        <v>821</v>
      </c>
      <c r="C5224" s="722" t="s">
        <v>99</v>
      </c>
      <c r="D5224" t="s">
        <v>100</v>
      </c>
      <c r="E5224" s="728"/>
      <c r="F5224" s="148">
        <v>0.5</v>
      </c>
      <c r="G5224" s="148">
        <v>-0.5</v>
      </c>
      <c r="H5224" s="148">
        <v>-100</v>
      </c>
      <c r="I5224" s="728"/>
      <c r="J5224" s="728"/>
      <c r="K5224" s="728"/>
      <c r="L5224" s="728"/>
      <c r="M5224" s="148">
        <v>2.5</v>
      </c>
      <c r="N5224" s="148">
        <v>-2.5</v>
      </c>
      <c r="O5224" s="148">
        <v>-100</v>
      </c>
      <c r="P5224" s="728"/>
      <c r="Q5224" s="728"/>
      <c r="R5224" s="728"/>
    </row>
    <row r="5225" spans="2:18" ht="15.75" hidden="1" thickBot="1" x14ac:dyDescent="0.3">
      <c r="B5225" s="723" t="s">
        <v>821</v>
      </c>
      <c r="C5225" s="722" t="s">
        <v>137</v>
      </c>
      <c r="D5225" t="s">
        <v>138</v>
      </c>
      <c r="E5225" s="729"/>
      <c r="F5225" s="147">
        <v>0.2</v>
      </c>
      <c r="G5225" s="147">
        <v>-0.2</v>
      </c>
      <c r="H5225" s="147">
        <v>-100</v>
      </c>
      <c r="I5225" s="729"/>
      <c r="J5225" s="729"/>
      <c r="K5225" s="729"/>
      <c r="L5225" s="729"/>
      <c r="M5225" s="147">
        <v>2.4</v>
      </c>
      <c r="N5225" s="147">
        <v>-2.4</v>
      </c>
      <c r="O5225" s="147">
        <v>-100</v>
      </c>
      <c r="P5225" s="729"/>
      <c r="Q5225" s="729"/>
      <c r="R5225" s="729"/>
    </row>
    <row r="5226" spans="2:18" ht="15.75" hidden="1" thickBot="1" x14ac:dyDescent="0.3">
      <c r="B5226" s="723" t="s">
        <v>821</v>
      </c>
      <c r="C5226" s="722" t="s">
        <v>190</v>
      </c>
      <c r="D5226" t="s">
        <v>191</v>
      </c>
      <c r="E5226" s="728"/>
      <c r="F5226" s="148">
        <v>0.754</v>
      </c>
      <c r="G5226" s="148">
        <v>-0.754</v>
      </c>
      <c r="H5226" s="148">
        <v>-100</v>
      </c>
      <c r="I5226" s="728"/>
      <c r="J5226" s="728"/>
      <c r="K5226" s="728"/>
      <c r="L5226" s="148">
        <v>0.01</v>
      </c>
      <c r="M5226" s="148">
        <v>9.048</v>
      </c>
      <c r="N5226" s="148">
        <v>-9.0380000000000003</v>
      </c>
      <c r="O5226" s="148">
        <v>-99.889478337754198</v>
      </c>
      <c r="P5226" s="148">
        <v>0.01</v>
      </c>
      <c r="Q5226" s="148">
        <v>0</v>
      </c>
      <c r="R5226" s="148">
        <v>0</v>
      </c>
    </row>
    <row r="5227" spans="2:18" ht="15.75" hidden="1" thickBot="1" x14ac:dyDescent="0.3">
      <c r="B5227" s="723" t="s">
        <v>821</v>
      </c>
      <c r="C5227" s="722" t="s">
        <v>139</v>
      </c>
      <c r="D5227" t="s">
        <v>140</v>
      </c>
      <c r="E5227" s="729"/>
      <c r="F5227" s="729"/>
      <c r="G5227" s="729"/>
      <c r="H5227" s="729"/>
      <c r="I5227" s="729"/>
      <c r="J5227" s="729"/>
      <c r="K5227" s="729"/>
      <c r="L5227" s="147">
        <v>0.04</v>
      </c>
      <c r="M5227" s="729"/>
      <c r="N5227" s="147">
        <v>0.04</v>
      </c>
      <c r="O5227" s="147">
        <v>0</v>
      </c>
      <c r="P5227" s="147">
        <v>0.04</v>
      </c>
      <c r="Q5227" s="147">
        <v>0</v>
      </c>
      <c r="R5227" s="147">
        <v>0</v>
      </c>
    </row>
    <row r="5228" spans="2:18" ht="15.75" hidden="1" thickBot="1" x14ac:dyDescent="0.3">
      <c r="B5228" s="723" t="s">
        <v>821</v>
      </c>
      <c r="C5228" s="722" t="s">
        <v>169</v>
      </c>
      <c r="D5228" t="s">
        <v>170</v>
      </c>
      <c r="E5228" s="728"/>
      <c r="F5228" s="728"/>
      <c r="G5228" s="728"/>
      <c r="H5228" s="728"/>
      <c r="I5228" s="728"/>
      <c r="J5228" s="728"/>
      <c r="K5228" s="728"/>
      <c r="L5228" s="148">
        <v>0.2</v>
      </c>
      <c r="M5228" s="728"/>
      <c r="N5228" s="148">
        <v>0.2</v>
      </c>
      <c r="O5228" s="148">
        <v>0</v>
      </c>
      <c r="P5228" s="148">
        <v>0.2</v>
      </c>
      <c r="Q5228" s="148">
        <v>0</v>
      </c>
      <c r="R5228" s="148">
        <v>0</v>
      </c>
    </row>
    <row r="5229" spans="2:18" ht="15.75" hidden="1" thickBot="1" x14ac:dyDescent="0.3">
      <c r="B5229" s="723" t="s">
        <v>821</v>
      </c>
      <c r="C5229" s="722" t="s">
        <v>101</v>
      </c>
      <c r="D5229" t="s">
        <v>102</v>
      </c>
      <c r="E5229" s="147">
        <v>23.26164</v>
      </c>
      <c r="F5229" s="147">
        <v>23.689</v>
      </c>
      <c r="G5229" s="147">
        <v>-0.42736000000000002</v>
      </c>
      <c r="H5229" s="147">
        <v>-1.8040440710878467</v>
      </c>
      <c r="I5229" s="729"/>
      <c r="J5229" s="147">
        <v>23.26164</v>
      </c>
      <c r="K5229" s="147">
        <v>0</v>
      </c>
      <c r="L5229" s="147">
        <v>241.40953999999999</v>
      </c>
      <c r="M5229" s="147">
        <v>284.00099999999998</v>
      </c>
      <c r="N5229" s="147">
        <v>-42.591459999999998</v>
      </c>
      <c r="O5229" s="147">
        <v>-14.996940151619185</v>
      </c>
      <c r="P5229" s="147">
        <v>112.74636</v>
      </c>
      <c r="Q5229" s="147">
        <v>128.66318000000001</v>
      </c>
      <c r="R5229" s="147">
        <v>114.11736928801959</v>
      </c>
    </row>
    <row r="5230" spans="2:18" ht="15.75" hidden="1" thickBot="1" x14ac:dyDescent="0.3">
      <c r="B5230" s="723" t="s">
        <v>821</v>
      </c>
      <c r="C5230" s="722" t="s">
        <v>103</v>
      </c>
      <c r="D5230" t="s">
        <v>104</v>
      </c>
      <c r="E5230" s="728"/>
      <c r="F5230" s="728"/>
      <c r="G5230" s="728"/>
      <c r="H5230" s="728"/>
      <c r="I5230" s="728"/>
      <c r="J5230" s="728"/>
      <c r="K5230" s="728"/>
      <c r="L5230" s="148">
        <v>5.441E-2</v>
      </c>
      <c r="M5230" s="728"/>
      <c r="N5230" s="148">
        <v>5.441E-2</v>
      </c>
      <c r="O5230" s="148">
        <v>0</v>
      </c>
      <c r="P5230" s="148">
        <v>5.441E-2</v>
      </c>
      <c r="Q5230" s="148">
        <v>0</v>
      </c>
      <c r="R5230" s="148">
        <v>0</v>
      </c>
    </row>
    <row r="5231" spans="2:18" ht="15.75" hidden="1" thickBot="1" x14ac:dyDescent="0.3">
      <c r="B5231" s="723" t="s">
        <v>821</v>
      </c>
      <c r="C5231" s="722" t="s">
        <v>73</v>
      </c>
      <c r="D5231" t="s">
        <v>74</v>
      </c>
      <c r="E5231" s="729"/>
      <c r="F5231" s="729"/>
      <c r="G5231" s="729"/>
      <c r="H5231" s="729"/>
      <c r="I5231" s="729"/>
      <c r="J5231" s="729"/>
      <c r="K5231" s="729"/>
      <c r="L5231" s="147">
        <v>3.7179999999999998E-2</v>
      </c>
      <c r="M5231" s="729"/>
      <c r="N5231" s="147">
        <v>3.7179999999999998E-2</v>
      </c>
      <c r="O5231" s="147">
        <v>0</v>
      </c>
      <c r="P5231" s="147">
        <v>3.7179999999999998E-2</v>
      </c>
      <c r="Q5231" s="147">
        <v>0</v>
      </c>
      <c r="R5231" s="147">
        <v>0</v>
      </c>
    </row>
    <row r="5232" spans="2:18" ht="15.75" hidden="1" thickBot="1" x14ac:dyDescent="0.3">
      <c r="B5232" s="723" t="s">
        <v>821</v>
      </c>
      <c r="C5232" s="722" t="s">
        <v>145</v>
      </c>
      <c r="D5232" t="s">
        <v>146</v>
      </c>
      <c r="E5232" s="728"/>
      <c r="F5232" s="728"/>
      <c r="G5232" s="728"/>
      <c r="H5232" s="728"/>
      <c r="I5232" s="728"/>
      <c r="J5232" s="728"/>
      <c r="K5232" s="728"/>
      <c r="L5232" s="148">
        <v>2.1000000000000001E-2</v>
      </c>
      <c r="M5232" s="728"/>
      <c r="N5232" s="148">
        <v>2.1000000000000001E-2</v>
      </c>
      <c r="O5232" s="148">
        <v>0</v>
      </c>
      <c r="P5232" s="148">
        <v>8.9999999999999993E-3</v>
      </c>
      <c r="Q5232" s="148">
        <v>1.2E-2</v>
      </c>
      <c r="R5232" s="148">
        <v>133.33333333333334</v>
      </c>
    </row>
    <row r="5233" spans="2:18" ht="15.75" hidden="1" thickBot="1" x14ac:dyDescent="0.3">
      <c r="B5233" s="723" t="s">
        <v>821</v>
      </c>
      <c r="C5233" s="722" t="s">
        <v>149</v>
      </c>
      <c r="D5233" t="s">
        <v>150</v>
      </c>
      <c r="E5233" s="729"/>
      <c r="F5233" s="729"/>
      <c r="G5233" s="729"/>
      <c r="H5233" s="729"/>
      <c r="I5233" s="729"/>
      <c r="J5233" s="729"/>
      <c r="K5233" s="729"/>
      <c r="L5233" s="147">
        <v>0.03</v>
      </c>
      <c r="M5233" s="729"/>
      <c r="N5233" s="147">
        <v>0.03</v>
      </c>
      <c r="O5233" s="147">
        <v>0</v>
      </c>
      <c r="P5233" s="147">
        <v>0</v>
      </c>
      <c r="Q5233" s="147">
        <v>0.03</v>
      </c>
      <c r="R5233" s="147">
        <v>0</v>
      </c>
    </row>
    <row r="5234" spans="2:18" ht="15.75" hidden="1" thickBot="1" x14ac:dyDescent="0.3">
      <c r="B5234" s="723" t="s">
        <v>821</v>
      </c>
      <c r="C5234" s="722" t="s">
        <v>653</v>
      </c>
      <c r="D5234" t="s">
        <v>654</v>
      </c>
      <c r="E5234" s="148">
        <v>8.9329699999999992</v>
      </c>
      <c r="F5234" s="728"/>
      <c r="G5234" s="148">
        <v>8.9329699999999992</v>
      </c>
      <c r="H5234" s="148">
        <v>0</v>
      </c>
      <c r="I5234" s="728"/>
      <c r="J5234" s="148">
        <v>8.9329699999999992</v>
      </c>
      <c r="K5234" s="148">
        <v>0</v>
      </c>
      <c r="L5234" s="148">
        <v>88.253590000000003</v>
      </c>
      <c r="M5234" s="148">
        <v>3</v>
      </c>
      <c r="N5234" s="148">
        <v>85.253590000000003</v>
      </c>
      <c r="O5234" s="148">
        <v>2841.7863333333335</v>
      </c>
      <c r="P5234" s="148">
        <v>45.27901</v>
      </c>
      <c r="Q5234" s="148">
        <v>42.974580000000003</v>
      </c>
      <c r="R5234" s="148">
        <v>94.910599856313112</v>
      </c>
    </row>
    <row r="5235" spans="2:18" ht="15.75" hidden="1" thickBot="1" x14ac:dyDescent="0.3">
      <c r="B5235" s="723" t="s">
        <v>821</v>
      </c>
      <c r="C5235" s="722" t="s">
        <v>207</v>
      </c>
      <c r="D5235" t="s">
        <v>208</v>
      </c>
      <c r="E5235" s="729"/>
      <c r="F5235" s="729"/>
      <c r="G5235" s="729"/>
      <c r="H5235" s="729"/>
      <c r="I5235" s="729"/>
      <c r="J5235" s="729"/>
      <c r="K5235" s="729"/>
      <c r="L5235" s="147">
        <v>2.5000000000000001E-2</v>
      </c>
      <c r="M5235" s="729"/>
      <c r="N5235" s="147">
        <v>2.5000000000000001E-2</v>
      </c>
      <c r="O5235" s="147">
        <v>0</v>
      </c>
      <c r="P5235" s="729"/>
      <c r="Q5235" s="147">
        <v>2.5000000000000001E-2</v>
      </c>
      <c r="R5235" s="147">
        <v>0</v>
      </c>
    </row>
    <row r="5236" spans="2:18" ht="15.75" hidden="1" thickBot="1" x14ac:dyDescent="0.3">
      <c r="B5236" s="723" t="s">
        <v>821</v>
      </c>
      <c r="C5236" s="722" t="s">
        <v>75</v>
      </c>
      <c r="D5236" t="s">
        <v>76</v>
      </c>
      <c r="E5236" s="728"/>
      <c r="F5236" s="728"/>
      <c r="G5236" s="728"/>
      <c r="H5236" s="728"/>
      <c r="I5236" s="728"/>
      <c r="J5236" s="728"/>
      <c r="K5236" s="728"/>
      <c r="L5236" s="148">
        <v>0.19814000000000001</v>
      </c>
      <c r="M5236" s="728"/>
      <c r="N5236" s="148">
        <v>0.19814000000000001</v>
      </c>
      <c r="O5236" s="148">
        <v>0</v>
      </c>
      <c r="P5236" s="728"/>
      <c r="Q5236" s="148">
        <v>0.19814000000000001</v>
      </c>
      <c r="R5236" s="148">
        <v>0</v>
      </c>
    </row>
    <row r="5237" spans="2:18" ht="15.75" hidden="1" thickBot="1" x14ac:dyDescent="0.3">
      <c r="B5237" s="723" t="s">
        <v>821</v>
      </c>
      <c r="C5237" s="722" t="s">
        <v>77</v>
      </c>
      <c r="D5237" t="s">
        <v>78</v>
      </c>
      <c r="E5237" s="729"/>
      <c r="F5237" s="729"/>
      <c r="G5237" s="729"/>
      <c r="H5237" s="729"/>
      <c r="I5237" s="729"/>
      <c r="J5237" s="729"/>
      <c r="K5237" s="729"/>
      <c r="L5237" s="147">
        <v>1.6903900000000001</v>
      </c>
      <c r="M5237" s="147">
        <v>10</v>
      </c>
      <c r="N5237" s="147">
        <v>-8.3096099999999993</v>
      </c>
      <c r="O5237" s="147">
        <v>-83.096100000000007</v>
      </c>
      <c r="P5237" s="147">
        <v>1.5403899999999999</v>
      </c>
      <c r="Q5237" s="147">
        <v>0.15</v>
      </c>
      <c r="R5237" s="147">
        <v>9.7377936756276</v>
      </c>
    </row>
    <row r="5238" spans="2:18" ht="15.75" hidden="1" thickBot="1" x14ac:dyDescent="0.3">
      <c r="B5238" s="723" t="s">
        <v>821</v>
      </c>
      <c r="C5238" s="722" t="s">
        <v>79</v>
      </c>
      <c r="D5238" t="s">
        <v>80</v>
      </c>
      <c r="E5238" s="728"/>
      <c r="F5238" s="728"/>
      <c r="G5238" s="728"/>
      <c r="H5238" s="728"/>
      <c r="I5238" s="728"/>
      <c r="J5238" s="728"/>
      <c r="K5238" s="728"/>
      <c r="L5238" s="148">
        <v>0.90361999999999998</v>
      </c>
      <c r="M5238" s="148">
        <v>2.75</v>
      </c>
      <c r="N5238" s="148">
        <v>-1.8463799999999999</v>
      </c>
      <c r="O5238" s="148">
        <v>-67.141090909090906</v>
      </c>
      <c r="P5238" s="148">
        <v>0.66395999999999999</v>
      </c>
      <c r="Q5238" s="148">
        <v>0.23966000000000001</v>
      </c>
      <c r="R5238" s="148">
        <v>36.095547924573772</v>
      </c>
    </row>
    <row r="5239" spans="2:18" ht="15.75" hidden="1" thickBot="1" x14ac:dyDescent="0.3">
      <c r="B5239" s="723" t="s">
        <v>821</v>
      </c>
      <c r="C5239" s="722" t="s">
        <v>83</v>
      </c>
      <c r="D5239" t="s">
        <v>84</v>
      </c>
      <c r="E5239" s="729"/>
      <c r="F5239" s="147">
        <v>2.75</v>
      </c>
      <c r="G5239" s="147">
        <v>-2.75</v>
      </c>
      <c r="H5239" s="147">
        <v>-100</v>
      </c>
      <c r="I5239" s="729"/>
      <c r="J5239" s="729"/>
      <c r="K5239" s="729"/>
      <c r="L5239" s="729"/>
      <c r="M5239" s="147">
        <v>11</v>
      </c>
      <c r="N5239" s="147">
        <v>-11</v>
      </c>
      <c r="O5239" s="147">
        <v>-100</v>
      </c>
      <c r="P5239" s="729"/>
      <c r="Q5239" s="729"/>
      <c r="R5239" s="729"/>
    </row>
    <row r="5240" spans="2:18" ht="15.75" hidden="1" thickBot="1" x14ac:dyDescent="0.3">
      <c r="B5240" s="723" t="s">
        <v>821</v>
      </c>
      <c r="C5240" s="149" t="s">
        <v>85</v>
      </c>
      <c r="D5240" t="s">
        <v>86</v>
      </c>
      <c r="E5240" s="148">
        <v>32.194609999999997</v>
      </c>
      <c r="F5240" s="148">
        <v>27.893000000000001</v>
      </c>
      <c r="G5240" s="148">
        <v>4.3016100000000002</v>
      </c>
      <c r="H5240" s="148">
        <v>15.421826264654214</v>
      </c>
      <c r="I5240" s="728"/>
      <c r="J5240" s="148">
        <v>32.194609999999997</v>
      </c>
      <c r="K5240" s="148">
        <v>0</v>
      </c>
      <c r="L5240" s="148">
        <v>332.87286999999998</v>
      </c>
      <c r="M5240" s="148">
        <v>324.69900000000001</v>
      </c>
      <c r="N5240" s="148">
        <v>8.1738700000000009</v>
      </c>
      <c r="O5240" s="148">
        <v>2.5173683934967461</v>
      </c>
      <c r="P5240" s="148">
        <v>160.58031</v>
      </c>
      <c r="Q5240" s="148">
        <v>172.29256000000001</v>
      </c>
      <c r="R5240" s="148">
        <v>107.29370244708085</v>
      </c>
    </row>
    <row r="5241" spans="2:18" ht="15.75" hidden="1" thickBot="1" x14ac:dyDescent="0.3">
      <c r="B5241" s="723" t="s">
        <v>821</v>
      </c>
      <c r="C5241" s="144" t="s">
        <v>87</v>
      </c>
      <c r="D5241" t="s">
        <v>87</v>
      </c>
      <c r="E5241" s="147">
        <v>66.201639999999998</v>
      </c>
      <c r="F5241" s="147">
        <v>58.558959999999999</v>
      </c>
      <c r="G5241" s="147">
        <v>7.6426800000000004</v>
      </c>
      <c r="H5241" s="147">
        <v>13.051256374771683</v>
      </c>
      <c r="I5241" s="729"/>
      <c r="J5241" s="147">
        <v>66.201639999999998</v>
      </c>
      <c r="K5241" s="147">
        <v>0</v>
      </c>
      <c r="L5241" s="147">
        <v>735.74528999999995</v>
      </c>
      <c r="M5241" s="147">
        <v>705.75998000000004</v>
      </c>
      <c r="N5241" s="147">
        <v>29.985309999999998</v>
      </c>
      <c r="O5241" s="147">
        <v>4.2486554706601529</v>
      </c>
      <c r="P5241" s="147">
        <v>358.58985999999999</v>
      </c>
      <c r="Q5241" s="147">
        <v>377.15543000000002</v>
      </c>
      <c r="R5241" s="147">
        <v>105.17738287412811</v>
      </c>
    </row>
    <row r="5242" spans="2:18" ht="15.75" hidden="1" thickBot="1" x14ac:dyDescent="0.3">
      <c r="B5242" s="723" t="s">
        <v>822</v>
      </c>
      <c r="C5242" s="722" t="s">
        <v>59</v>
      </c>
      <c r="D5242" t="s">
        <v>60</v>
      </c>
      <c r="E5242" s="148">
        <v>44.833390000000001</v>
      </c>
      <c r="F5242" s="148">
        <v>73.517200000000003</v>
      </c>
      <c r="G5242" s="148">
        <v>-28.683810000000001</v>
      </c>
      <c r="H5242" s="148">
        <v>-39.016461453918268</v>
      </c>
      <c r="I5242" s="728"/>
      <c r="J5242" s="148">
        <v>44.833390000000001</v>
      </c>
      <c r="K5242" s="148">
        <v>0</v>
      </c>
      <c r="L5242" s="148">
        <v>807.76189999999997</v>
      </c>
      <c r="M5242" s="148">
        <v>877.57820000000004</v>
      </c>
      <c r="N5242" s="148">
        <v>-69.816299999999998</v>
      </c>
      <c r="O5242" s="148">
        <v>-7.9555645297478899</v>
      </c>
      <c r="P5242" s="148">
        <v>458.58886999999999</v>
      </c>
      <c r="Q5242" s="148">
        <v>349.17302999999998</v>
      </c>
      <c r="R5242" s="148">
        <v>76.140755443977525</v>
      </c>
    </row>
    <row r="5243" spans="2:18" ht="15.75" hidden="1" thickBot="1" x14ac:dyDescent="0.3">
      <c r="B5243" s="723" t="s">
        <v>822</v>
      </c>
      <c r="C5243" s="722" t="s">
        <v>566</v>
      </c>
      <c r="D5243" t="s">
        <v>567</v>
      </c>
      <c r="E5243" s="147">
        <v>0.47993000000000002</v>
      </c>
      <c r="F5243" s="729"/>
      <c r="G5243" s="147">
        <v>0.47993000000000002</v>
      </c>
      <c r="H5243" s="147">
        <v>0</v>
      </c>
      <c r="I5243" s="729"/>
      <c r="J5243" s="147">
        <v>0.47993000000000002</v>
      </c>
      <c r="K5243" s="147">
        <v>0</v>
      </c>
      <c r="L5243" s="147">
        <v>1.3511200000000001</v>
      </c>
      <c r="M5243" s="729"/>
      <c r="N5243" s="147">
        <v>1.3511200000000001</v>
      </c>
      <c r="O5243" s="147">
        <v>0</v>
      </c>
      <c r="P5243" s="147">
        <v>0.39128000000000002</v>
      </c>
      <c r="Q5243" s="147">
        <v>0.95984000000000003</v>
      </c>
      <c r="R5243" s="147">
        <v>245.30770803516663</v>
      </c>
    </row>
    <row r="5244" spans="2:18" ht="15.75" hidden="1" thickBot="1" x14ac:dyDescent="0.3">
      <c r="B5244" s="723" t="s">
        <v>822</v>
      </c>
      <c r="C5244" s="722" t="s">
        <v>134</v>
      </c>
      <c r="D5244" t="s">
        <v>135</v>
      </c>
      <c r="E5244" s="148">
        <v>6.7119499999999999</v>
      </c>
      <c r="F5244" s="728"/>
      <c r="G5244" s="148">
        <v>6.7119499999999999</v>
      </c>
      <c r="H5244" s="148">
        <v>0</v>
      </c>
      <c r="I5244" s="728"/>
      <c r="J5244" s="148">
        <v>6.7119499999999999</v>
      </c>
      <c r="K5244" s="148">
        <v>0</v>
      </c>
      <c r="L5244" s="148">
        <v>35.370159999999998</v>
      </c>
      <c r="M5244" s="728"/>
      <c r="N5244" s="148">
        <v>35.370159999999998</v>
      </c>
      <c r="O5244" s="148">
        <v>0</v>
      </c>
      <c r="P5244" s="728"/>
      <c r="Q5244" s="148">
        <v>35.370159999999998</v>
      </c>
      <c r="R5244" s="148">
        <v>0</v>
      </c>
    </row>
    <row r="5245" spans="2:18" ht="15.75" hidden="1" thickBot="1" x14ac:dyDescent="0.3">
      <c r="B5245" s="723" t="s">
        <v>822</v>
      </c>
      <c r="C5245" s="722" t="s">
        <v>568</v>
      </c>
      <c r="D5245" t="s">
        <v>569</v>
      </c>
      <c r="E5245" s="729"/>
      <c r="F5245" s="729"/>
      <c r="G5245" s="729"/>
      <c r="H5245" s="729"/>
      <c r="I5245" s="729"/>
      <c r="J5245" s="729"/>
      <c r="K5245" s="729"/>
      <c r="L5245" s="147">
        <v>8.2460000000000004</v>
      </c>
      <c r="M5245" s="729"/>
      <c r="N5245" s="147">
        <v>8.2460000000000004</v>
      </c>
      <c r="O5245" s="147">
        <v>0</v>
      </c>
      <c r="P5245" s="729"/>
      <c r="Q5245" s="147">
        <v>8.2460000000000004</v>
      </c>
      <c r="R5245" s="147">
        <v>0</v>
      </c>
    </row>
    <row r="5246" spans="2:18" ht="15.75" hidden="1" thickBot="1" x14ac:dyDescent="0.3">
      <c r="B5246" s="723" t="s">
        <v>822</v>
      </c>
      <c r="C5246" s="722" t="s">
        <v>61</v>
      </c>
      <c r="D5246" t="s">
        <v>62</v>
      </c>
      <c r="E5246" s="148">
        <v>8.3489299999999993</v>
      </c>
      <c r="F5246" s="148">
        <v>11.39517</v>
      </c>
      <c r="G5246" s="148">
        <v>-3.0462400000000001</v>
      </c>
      <c r="H5246" s="148">
        <v>-26.732729744268845</v>
      </c>
      <c r="I5246" s="728"/>
      <c r="J5246" s="148">
        <v>8.3489299999999993</v>
      </c>
      <c r="K5246" s="148">
        <v>0</v>
      </c>
      <c r="L5246" s="148">
        <v>125.86987000000001</v>
      </c>
      <c r="M5246" s="148">
        <v>136.02466000000001</v>
      </c>
      <c r="N5246" s="148">
        <v>-10.15479</v>
      </c>
      <c r="O5246" s="148">
        <v>-7.4654036995938826</v>
      </c>
      <c r="P5246" s="148">
        <v>68.052329999999998</v>
      </c>
      <c r="Q5246" s="148">
        <v>57.817540000000001</v>
      </c>
      <c r="R5246" s="148">
        <v>84.96041208287798</v>
      </c>
    </row>
    <row r="5247" spans="2:18" ht="15.75" hidden="1" thickBot="1" x14ac:dyDescent="0.3">
      <c r="B5247" s="723" t="s">
        <v>822</v>
      </c>
      <c r="C5247" s="722" t="s">
        <v>63</v>
      </c>
      <c r="D5247" t="s">
        <v>64</v>
      </c>
      <c r="E5247" s="147">
        <v>33.169319999999999</v>
      </c>
      <c r="F5247" s="147">
        <v>44.330869999999997</v>
      </c>
      <c r="G5247" s="147">
        <v>-11.16155</v>
      </c>
      <c r="H5247" s="147">
        <v>-25.177827549966874</v>
      </c>
      <c r="I5247" s="729"/>
      <c r="J5247" s="147">
        <v>33.169319999999999</v>
      </c>
      <c r="K5247" s="147">
        <v>0</v>
      </c>
      <c r="L5247" s="147">
        <v>491.52931999999998</v>
      </c>
      <c r="M5247" s="147">
        <v>529.17963999999995</v>
      </c>
      <c r="N5247" s="147">
        <v>-37.650320000000001</v>
      </c>
      <c r="O5247" s="147">
        <v>-7.1148466709716951</v>
      </c>
      <c r="P5247" s="147">
        <v>264.44315999999998</v>
      </c>
      <c r="Q5247" s="147">
        <v>227.08616000000001</v>
      </c>
      <c r="R5247" s="147">
        <v>85.873334746113301</v>
      </c>
    </row>
    <row r="5248" spans="2:18" ht="15.75" hidden="1" thickBot="1" x14ac:dyDescent="0.3">
      <c r="B5248" s="723" t="s">
        <v>822</v>
      </c>
      <c r="C5248" s="722" t="s">
        <v>65</v>
      </c>
      <c r="D5248" t="s">
        <v>66</v>
      </c>
      <c r="E5248" s="148">
        <v>-1.75386</v>
      </c>
      <c r="F5248" s="728"/>
      <c r="G5248" s="148">
        <v>-1.75386</v>
      </c>
      <c r="H5248" s="148">
        <v>0</v>
      </c>
      <c r="I5248" s="728"/>
      <c r="J5248" s="148">
        <v>-1.75386</v>
      </c>
      <c r="K5248" s="148">
        <v>0</v>
      </c>
      <c r="L5248" s="148">
        <v>-5.9102399999999999</v>
      </c>
      <c r="M5248" s="728"/>
      <c r="N5248" s="148">
        <v>-5.9102399999999999</v>
      </c>
      <c r="O5248" s="148">
        <v>0</v>
      </c>
      <c r="P5248" s="148">
        <v>-2.3174800000000002</v>
      </c>
      <c r="Q5248" s="148">
        <v>-3.5927600000000002</v>
      </c>
      <c r="R5248" s="148">
        <v>-155.02873811208727</v>
      </c>
    </row>
    <row r="5249" spans="2:18" ht="15.75" hidden="1" thickBot="1" x14ac:dyDescent="0.3">
      <c r="B5249" s="723" t="s">
        <v>822</v>
      </c>
      <c r="C5249" s="149" t="s">
        <v>67</v>
      </c>
      <c r="D5249" t="s">
        <v>68</v>
      </c>
      <c r="E5249" s="147">
        <v>91.789659999999998</v>
      </c>
      <c r="F5249" s="147">
        <v>129.24323999999999</v>
      </c>
      <c r="G5249" s="147">
        <v>-37.453580000000002</v>
      </c>
      <c r="H5249" s="147">
        <v>-28.979140417711594</v>
      </c>
      <c r="I5249" s="729"/>
      <c r="J5249" s="147">
        <v>91.789659999999998</v>
      </c>
      <c r="K5249" s="147">
        <v>0</v>
      </c>
      <c r="L5249" s="147">
        <v>1464.21813</v>
      </c>
      <c r="M5249" s="147">
        <v>1542.7825</v>
      </c>
      <c r="N5249" s="147">
        <v>-78.564369999999997</v>
      </c>
      <c r="O5249" s="147">
        <v>-5.0923814601215662</v>
      </c>
      <c r="P5249" s="147">
        <v>789.15815999999995</v>
      </c>
      <c r="Q5249" s="147">
        <v>675.05997000000002</v>
      </c>
      <c r="R5249" s="147">
        <v>85.541784171629175</v>
      </c>
    </row>
    <row r="5250" spans="2:18" ht="15.75" hidden="1" thickBot="1" x14ac:dyDescent="0.3">
      <c r="B5250" s="723" t="s">
        <v>822</v>
      </c>
      <c r="C5250" s="722" t="s">
        <v>69</v>
      </c>
      <c r="D5250" t="s">
        <v>70</v>
      </c>
      <c r="E5250" s="728"/>
      <c r="F5250" s="148">
        <v>0.5</v>
      </c>
      <c r="G5250" s="148">
        <v>-0.5</v>
      </c>
      <c r="H5250" s="148">
        <v>-100</v>
      </c>
      <c r="I5250" s="728"/>
      <c r="J5250" s="728"/>
      <c r="K5250" s="728"/>
      <c r="L5250" s="148">
        <v>5.6917499999999999</v>
      </c>
      <c r="M5250" s="148">
        <v>6</v>
      </c>
      <c r="N5250" s="148">
        <v>-0.30825000000000002</v>
      </c>
      <c r="O5250" s="148">
        <v>-5.1375000000000002</v>
      </c>
      <c r="P5250" s="148">
        <v>5.6917499999999999</v>
      </c>
      <c r="Q5250" s="148">
        <v>0</v>
      </c>
      <c r="R5250" s="148">
        <v>0</v>
      </c>
    </row>
    <row r="5251" spans="2:18" ht="15.75" hidden="1" thickBot="1" x14ac:dyDescent="0.3">
      <c r="B5251" s="723" t="s">
        <v>822</v>
      </c>
      <c r="C5251" s="722" t="s">
        <v>582</v>
      </c>
      <c r="D5251" t="s">
        <v>583</v>
      </c>
      <c r="E5251" s="147">
        <v>0.52500000000000002</v>
      </c>
      <c r="F5251" s="147">
        <v>0.52500000000000002</v>
      </c>
      <c r="G5251" s="147">
        <v>0</v>
      </c>
      <c r="H5251" s="147">
        <v>0</v>
      </c>
      <c r="I5251" s="729"/>
      <c r="J5251" s="147">
        <v>0.52500000000000002</v>
      </c>
      <c r="K5251" s="147">
        <v>0</v>
      </c>
      <c r="L5251" s="147">
        <v>6.8250000000000002</v>
      </c>
      <c r="M5251" s="147">
        <v>6.3</v>
      </c>
      <c r="N5251" s="147">
        <v>0.52500000000000002</v>
      </c>
      <c r="O5251" s="147">
        <v>8.3333333333333339</v>
      </c>
      <c r="P5251" s="147">
        <v>3.15</v>
      </c>
      <c r="Q5251" s="147">
        <v>3.6749999999999998</v>
      </c>
      <c r="R5251" s="147">
        <v>116.66666666666667</v>
      </c>
    </row>
    <row r="5252" spans="2:18" ht="15.75" hidden="1" thickBot="1" x14ac:dyDescent="0.3">
      <c r="B5252" s="723" t="s">
        <v>822</v>
      </c>
      <c r="C5252" s="722" t="s">
        <v>165</v>
      </c>
      <c r="D5252" t="s">
        <v>166</v>
      </c>
      <c r="E5252" s="148">
        <v>2.8700000000000002E-3</v>
      </c>
      <c r="F5252" s="728"/>
      <c r="G5252" s="148">
        <v>2.8700000000000002E-3</v>
      </c>
      <c r="H5252" s="148">
        <v>0</v>
      </c>
      <c r="I5252" s="728"/>
      <c r="J5252" s="148">
        <v>2.8700000000000002E-3</v>
      </c>
      <c r="K5252" s="148">
        <v>0</v>
      </c>
      <c r="L5252" s="148">
        <v>6.1399999999999996E-3</v>
      </c>
      <c r="M5252" s="728"/>
      <c r="N5252" s="148">
        <v>6.1399999999999996E-3</v>
      </c>
      <c r="O5252" s="148">
        <v>0</v>
      </c>
      <c r="P5252" s="148">
        <v>1.65E-3</v>
      </c>
      <c r="Q5252" s="148">
        <v>4.4900000000000001E-3</v>
      </c>
      <c r="R5252" s="148">
        <v>272.12121212121212</v>
      </c>
    </row>
    <row r="5253" spans="2:18" ht="15.75" hidden="1" thickBot="1" x14ac:dyDescent="0.3">
      <c r="B5253" s="723" t="s">
        <v>822</v>
      </c>
      <c r="C5253" s="722" t="s">
        <v>137</v>
      </c>
      <c r="D5253" t="s">
        <v>138</v>
      </c>
      <c r="E5253" s="729"/>
      <c r="F5253" s="147">
        <v>0.2</v>
      </c>
      <c r="G5253" s="147">
        <v>-0.2</v>
      </c>
      <c r="H5253" s="147">
        <v>-100</v>
      </c>
      <c r="I5253" s="729"/>
      <c r="J5253" s="729"/>
      <c r="K5253" s="729"/>
      <c r="L5253" s="147">
        <v>1.4255899999999999</v>
      </c>
      <c r="M5253" s="147">
        <v>2.4</v>
      </c>
      <c r="N5253" s="147">
        <v>-0.97441</v>
      </c>
      <c r="O5253" s="147">
        <v>-40.600416666666668</v>
      </c>
      <c r="P5253" s="147">
        <v>1.0610299999999999</v>
      </c>
      <c r="Q5253" s="147">
        <v>0.36456</v>
      </c>
      <c r="R5253" s="147">
        <v>34.359066190399894</v>
      </c>
    </row>
    <row r="5254" spans="2:18" ht="15.75" hidden="1" thickBot="1" x14ac:dyDescent="0.3">
      <c r="B5254" s="723" t="s">
        <v>822</v>
      </c>
      <c r="C5254" s="722" t="s">
        <v>139</v>
      </c>
      <c r="D5254" t="s">
        <v>140</v>
      </c>
      <c r="E5254" s="728"/>
      <c r="F5254" s="148">
        <v>0</v>
      </c>
      <c r="G5254" s="148">
        <v>0</v>
      </c>
      <c r="H5254" s="148">
        <v>0</v>
      </c>
      <c r="I5254" s="728"/>
      <c r="J5254" s="728"/>
      <c r="K5254" s="728"/>
      <c r="L5254" s="148">
        <v>26.384</v>
      </c>
      <c r="M5254" s="148">
        <v>32.049999999999997</v>
      </c>
      <c r="N5254" s="148">
        <v>-5.6660000000000004</v>
      </c>
      <c r="O5254" s="148">
        <v>-17.678627145085802</v>
      </c>
      <c r="P5254" s="148">
        <v>20.279</v>
      </c>
      <c r="Q5254" s="148">
        <v>6.1050000000000004</v>
      </c>
      <c r="R5254" s="148">
        <v>30.10503476502786</v>
      </c>
    </row>
    <row r="5255" spans="2:18" ht="15.75" hidden="1" thickBot="1" x14ac:dyDescent="0.3">
      <c r="B5255" s="723" t="s">
        <v>822</v>
      </c>
      <c r="C5255" s="722" t="s">
        <v>101</v>
      </c>
      <c r="D5255" t="s">
        <v>102</v>
      </c>
      <c r="E5255" s="147">
        <v>2.46E-2</v>
      </c>
      <c r="F5255" s="729"/>
      <c r="G5255" s="147">
        <v>2.46E-2</v>
      </c>
      <c r="H5255" s="147">
        <v>0</v>
      </c>
      <c r="I5255" s="729"/>
      <c r="J5255" s="147">
        <v>2.46E-2</v>
      </c>
      <c r="K5255" s="147">
        <v>0</v>
      </c>
      <c r="L5255" s="147">
        <v>0.26837</v>
      </c>
      <c r="M5255" s="729"/>
      <c r="N5255" s="147">
        <v>0.26837</v>
      </c>
      <c r="O5255" s="147">
        <v>0</v>
      </c>
      <c r="P5255" s="147">
        <v>0.14223</v>
      </c>
      <c r="Q5255" s="147">
        <v>0.12614</v>
      </c>
      <c r="R5255" s="147">
        <v>88.687337411235319</v>
      </c>
    </row>
    <row r="5256" spans="2:18" ht="15.75" hidden="1" thickBot="1" x14ac:dyDescent="0.3">
      <c r="B5256" s="723" t="s">
        <v>822</v>
      </c>
      <c r="C5256" s="722" t="s">
        <v>103</v>
      </c>
      <c r="D5256" t="s">
        <v>104</v>
      </c>
      <c r="E5256" s="148">
        <v>1.9990000000000001E-2</v>
      </c>
      <c r="F5256" s="728"/>
      <c r="G5256" s="148">
        <v>1.9990000000000001E-2</v>
      </c>
      <c r="H5256" s="148">
        <v>0</v>
      </c>
      <c r="I5256" s="728"/>
      <c r="J5256" s="148">
        <v>1.9990000000000001E-2</v>
      </c>
      <c r="K5256" s="148">
        <v>0</v>
      </c>
      <c r="L5256" s="148">
        <v>4.7079999999999997E-2</v>
      </c>
      <c r="M5256" s="728"/>
      <c r="N5256" s="148">
        <v>4.7079999999999997E-2</v>
      </c>
      <c r="O5256" s="148">
        <v>0</v>
      </c>
      <c r="P5256" s="148">
        <v>4.0000000000000001E-3</v>
      </c>
      <c r="Q5256" s="148">
        <v>4.308E-2</v>
      </c>
      <c r="R5256" s="148">
        <v>1077</v>
      </c>
    </row>
    <row r="5257" spans="2:18" ht="15.75" hidden="1" thickBot="1" x14ac:dyDescent="0.3">
      <c r="B5257" s="723" t="s">
        <v>822</v>
      </c>
      <c r="C5257" s="722" t="s">
        <v>71</v>
      </c>
      <c r="D5257" t="s">
        <v>72</v>
      </c>
      <c r="E5257" s="729"/>
      <c r="F5257" s="729"/>
      <c r="G5257" s="729"/>
      <c r="H5257" s="729"/>
      <c r="I5257" s="729"/>
      <c r="J5257" s="729"/>
      <c r="K5257" s="729"/>
      <c r="L5257" s="147">
        <v>2.5000000000000001E-3</v>
      </c>
      <c r="M5257" s="729"/>
      <c r="N5257" s="147">
        <v>2.5000000000000001E-3</v>
      </c>
      <c r="O5257" s="147">
        <v>0</v>
      </c>
      <c r="P5257" s="729"/>
      <c r="Q5257" s="147">
        <v>2.5000000000000001E-3</v>
      </c>
      <c r="R5257" s="147">
        <v>0</v>
      </c>
    </row>
    <row r="5258" spans="2:18" ht="15.75" hidden="1" thickBot="1" x14ac:dyDescent="0.3">
      <c r="B5258" s="723" t="s">
        <v>822</v>
      </c>
      <c r="C5258" s="722" t="s">
        <v>109</v>
      </c>
      <c r="D5258" t="s">
        <v>110</v>
      </c>
      <c r="E5258" s="148">
        <v>4.7579999999999997E-2</v>
      </c>
      <c r="F5258" s="728"/>
      <c r="G5258" s="148">
        <v>4.7579999999999997E-2</v>
      </c>
      <c r="H5258" s="148">
        <v>0</v>
      </c>
      <c r="I5258" s="728"/>
      <c r="J5258" s="148">
        <v>4.7579999999999997E-2</v>
      </c>
      <c r="K5258" s="148">
        <v>0</v>
      </c>
      <c r="L5258" s="148">
        <v>1.17804</v>
      </c>
      <c r="M5258" s="728"/>
      <c r="N5258" s="148">
        <v>1.17804</v>
      </c>
      <c r="O5258" s="148">
        <v>0</v>
      </c>
      <c r="P5258" s="148">
        <v>0.62209000000000003</v>
      </c>
      <c r="Q5258" s="148">
        <v>0.55595000000000006</v>
      </c>
      <c r="R5258" s="148">
        <v>89.368097863653176</v>
      </c>
    </row>
    <row r="5259" spans="2:18" ht="15.75" hidden="1" thickBot="1" x14ac:dyDescent="0.3">
      <c r="B5259" s="723" t="s">
        <v>822</v>
      </c>
      <c r="C5259" s="722" t="s">
        <v>73</v>
      </c>
      <c r="D5259" t="s">
        <v>74</v>
      </c>
      <c r="E5259" s="147">
        <v>-7.0319999999999994E-2</v>
      </c>
      <c r="F5259" s="147">
        <v>0.2</v>
      </c>
      <c r="G5259" s="147">
        <v>-0.27032</v>
      </c>
      <c r="H5259" s="147">
        <v>-135.16</v>
      </c>
      <c r="I5259" s="729"/>
      <c r="J5259" s="147">
        <v>-7.0319999999999994E-2</v>
      </c>
      <c r="K5259" s="147">
        <v>0</v>
      </c>
      <c r="L5259" s="147">
        <v>2.11877</v>
      </c>
      <c r="M5259" s="147">
        <v>2.4</v>
      </c>
      <c r="N5259" s="147">
        <v>-0.28122999999999998</v>
      </c>
      <c r="O5259" s="147">
        <v>-11.717916666666667</v>
      </c>
      <c r="P5259" s="147">
        <v>1.3195699999999999</v>
      </c>
      <c r="Q5259" s="147">
        <v>0.79920000000000002</v>
      </c>
      <c r="R5259" s="147">
        <v>60.565184113006509</v>
      </c>
    </row>
    <row r="5260" spans="2:18" ht="15.75" hidden="1" thickBot="1" x14ac:dyDescent="0.3">
      <c r="B5260" s="723" t="s">
        <v>822</v>
      </c>
      <c r="C5260" s="722" t="s">
        <v>141</v>
      </c>
      <c r="D5260" t="s">
        <v>142</v>
      </c>
      <c r="E5260" s="728"/>
      <c r="F5260" s="728"/>
      <c r="G5260" s="728"/>
      <c r="H5260" s="728"/>
      <c r="I5260" s="728"/>
      <c r="J5260" s="728"/>
      <c r="K5260" s="728"/>
      <c r="L5260" s="148">
        <v>9.3939999999999996E-2</v>
      </c>
      <c r="M5260" s="728"/>
      <c r="N5260" s="148">
        <v>9.3939999999999996E-2</v>
      </c>
      <c r="O5260" s="148">
        <v>0</v>
      </c>
      <c r="P5260" s="148">
        <v>5.94E-3</v>
      </c>
      <c r="Q5260" s="148">
        <v>8.7999999999999995E-2</v>
      </c>
      <c r="R5260" s="148">
        <v>1481.4814814814815</v>
      </c>
    </row>
    <row r="5261" spans="2:18" ht="15.75" hidden="1" thickBot="1" x14ac:dyDescent="0.3">
      <c r="B5261" s="723" t="s">
        <v>822</v>
      </c>
      <c r="C5261" s="722" t="s">
        <v>113</v>
      </c>
      <c r="D5261" t="s">
        <v>114</v>
      </c>
      <c r="E5261" s="147">
        <v>4.1599999999999998E-2</v>
      </c>
      <c r="F5261" s="729"/>
      <c r="G5261" s="147">
        <v>4.1599999999999998E-2</v>
      </c>
      <c r="H5261" s="147">
        <v>0</v>
      </c>
      <c r="I5261" s="729"/>
      <c r="J5261" s="147">
        <v>4.1599999999999998E-2</v>
      </c>
      <c r="K5261" s="147">
        <v>0</v>
      </c>
      <c r="L5261" s="147">
        <v>0.25253999999999999</v>
      </c>
      <c r="M5261" s="729"/>
      <c r="N5261" s="147">
        <v>0.25253999999999999</v>
      </c>
      <c r="O5261" s="147">
        <v>0</v>
      </c>
      <c r="P5261" s="147">
        <v>0.10437</v>
      </c>
      <c r="Q5261" s="147">
        <v>0.14817</v>
      </c>
      <c r="R5261" s="147">
        <v>141.96608220753089</v>
      </c>
    </row>
    <row r="5262" spans="2:18" ht="15.75" hidden="1" thickBot="1" x14ac:dyDescent="0.3">
      <c r="B5262" s="723" t="s">
        <v>822</v>
      </c>
      <c r="C5262" s="722" t="s">
        <v>145</v>
      </c>
      <c r="D5262" t="s">
        <v>146</v>
      </c>
      <c r="E5262" s="728"/>
      <c r="F5262" s="728"/>
      <c r="G5262" s="728"/>
      <c r="H5262" s="728"/>
      <c r="I5262" s="728"/>
      <c r="J5262" s="728"/>
      <c r="K5262" s="728"/>
      <c r="L5262" s="148">
        <v>0.33400000000000002</v>
      </c>
      <c r="M5262" s="728"/>
      <c r="N5262" s="148">
        <v>0.33400000000000002</v>
      </c>
      <c r="O5262" s="148">
        <v>0</v>
      </c>
      <c r="P5262" s="148">
        <v>0.12</v>
      </c>
      <c r="Q5262" s="148">
        <v>0.214</v>
      </c>
      <c r="R5262" s="148">
        <v>178.33333333333334</v>
      </c>
    </row>
    <row r="5263" spans="2:18" ht="15.75" hidden="1" thickBot="1" x14ac:dyDescent="0.3">
      <c r="B5263" s="723" t="s">
        <v>822</v>
      </c>
      <c r="C5263" s="722" t="s">
        <v>149</v>
      </c>
      <c r="D5263" t="s">
        <v>150</v>
      </c>
      <c r="E5263" s="147">
        <v>45.69</v>
      </c>
      <c r="F5263" s="147">
        <v>0</v>
      </c>
      <c r="G5263" s="147">
        <v>45.69</v>
      </c>
      <c r="H5263" s="147">
        <v>0</v>
      </c>
      <c r="I5263" s="729"/>
      <c r="J5263" s="147">
        <v>45.69</v>
      </c>
      <c r="K5263" s="147">
        <v>0</v>
      </c>
      <c r="L5263" s="147">
        <v>152.91511</v>
      </c>
      <c r="M5263" s="147">
        <v>110</v>
      </c>
      <c r="N5263" s="147">
        <v>42.915109999999999</v>
      </c>
      <c r="O5263" s="147">
        <v>39.013736363636362</v>
      </c>
      <c r="P5263" s="147">
        <v>15.911250000000001</v>
      </c>
      <c r="Q5263" s="147">
        <v>137.00386</v>
      </c>
      <c r="R5263" s="147">
        <v>861.05026317856857</v>
      </c>
    </row>
    <row r="5264" spans="2:18" ht="15.75" hidden="1" thickBot="1" x14ac:dyDescent="0.3">
      <c r="B5264" s="723" t="s">
        <v>822</v>
      </c>
      <c r="C5264" s="722" t="s">
        <v>645</v>
      </c>
      <c r="D5264" t="s">
        <v>646</v>
      </c>
      <c r="E5264" s="728"/>
      <c r="F5264" s="148">
        <v>0</v>
      </c>
      <c r="G5264" s="148">
        <v>0</v>
      </c>
      <c r="H5264" s="148">
        <v>0</v>
      </c>
      <c r="I5264" s="728"/>
      <c r="J5264" s="728"/>
      <c r="K5264" s="728"/>
      <c r="L5264" s="148">
        <v>14.1516</v>
      </c>
      <c r="M5264" s="148">
        <v>22</v>
      </c>
      <c r="N5264" s="148">
        <v>-7.8483999999999998</v>
      </c>
      <c r="O5264" s="148">
        <v>-35.674545454545452</v>
      </c>
      <c r="P5264" s="148">
        <v>6.4157999999999999</v>
      </c>
      <c r="Q5264" s="148">
        <v>7.7358000000000002</v>
      </c>
      <c r="R5264" s="148">
        <v>120.57420742541849</v>
      </c>
    </row>
    <row r="5265" spans="2:18" ht="15.75" hidden="1" thickBot="1" x14ac:dyDescent="0.3">
      <c r="B5265" s="723" t="s">
        <v>822</v>
      </c>
      <c r="C5265" s="722" t="s">
        <v>153</v>
      </c>
      <c r="D5265" t="s">
        <v>154</v>
      </c>
      <c r="E5265" s="729"/>
      <c r="F5265" s="729"/>
      <c r="G5265" s="729"/>
      <c r="H5265" s="729"/>
      <c r="I5265" s="729"/>
      <c r="J5265" s="729"/>
      <c r="K5265" s="729"/>
      <c r="L5265" s="147">
        <v>8</v>
      </c>
      <c r="M5265" s="729"/>
      <c r="N5265" s="147">
        <v>8</v>
      </c>
      <c r="O5265" s="147">
        <v>0</v>
      </c>
      <c r="P5265" s="729"/>
      <c r="Q5265" s="147">
        <v>8</v>
      </c>
      <c r="R5265" s="147">
        <v>0</v>
      </c>
    </row>
    <row r="5266" spans="2:18" ht="15.75" hidden="1" thickBot="1" x14ac:dyDescent="0.3">
      <c r="B5266" s="723" t="s">
        <v>822</v>
      </c>
      <c r="C5266" s="722" t="s">
        <v>75</v>
      </c>
      <c r="D5266" t="s">
        <v>76</v>
      </c>
      <c r="E5266" s="148">
        <v>0.80686999999999998</v>
      </c>
      <c r="F5266" s="148">
        <v>0.25</v>
      </c>
      <c r="G5266" s="148">
        <v>0.55686999999999998</v>
      </c>
      <c r="H5266" s="148">
        <v>222.74799999999999</v>
      </c>
      <c r="I5266" s="728"/>
      <c r="J5266" s="148">
        <v>0.80686999999999998</v>
      </c>
      <c r="K5266" s="148">
        <v>0</v>
      </c>
      <c r="L5266" s="148">
        <v>5.5669700000000004</v>
      </c>
      <c r="M5266" s="148">
        <v>3</v>
      </c>
      <c r="N5266" s="148">
        <v>2.56697</v>
      </c>
      <c r="O5266" s="148">
        <v>85.565666666666672</v>
      </c>
      <c r="P5266" s="148">
        <v>2.2698100000000001</v>
      </c>
      <c r="Q5266" s="148">
        <v>3.2971599999999999</v>
      </c>
      <c r="R5266" s="148">
        <v>145.26149765839432</v>
      </c>
    </row>
    <row r="5267" spans="2:18" ht="15.75" hidden="1" thickBot="1" x14ac:dyDescent="0.3">
      <c r="B5267" s="723" t="s">
        <v>822</v>
      </c>
      <c r="C5267" s="722" t="s">
        <v>121</v>
      </c>
      <c r="D5267" t="s">
        <v>122</v>
      </c>
      <c r="E5267" s="729"/>
      <c r="F5267" s="729"/>
      <c r="G5267" s="729"/>
      <c r="H5267" s="729"/>
      <c r="I5267" s="729"/>
      <c r="J5267" s="729"/>
      <c r="K5267" s="729"/>
      <c r="L5267" s="147">
        <v>0.46405000000000002</v>
      </c>
      <c r="M5267" s="729"/>
      <c r="N5267" s="147">
        <v>0.46405000000000002</v>
      </c>
      <c r="O5267" s="147">
        <v>0</v>
      </c>
      <c r="P5267" s="729"/>
      <c r="Q5267" s="147">
        <v>0.46405000000000002</v>
      </c>
      <c r="R5267" s="147">
        <v>0</v>
      </c>
    </row>
    <row r="5268" spans="2:18" ht="15.75" hidden="1" thickBot="1" x14ac:dyDescent="0.3">
      <c r="B5268" s="723" t="s">
        <v>822</v>
      </c>
      <c r="C5268" s="722" t="s">
        <v>77</v>
      </c>
      <c r="D5268" t="s">
        <v>78</v>
      </c>
      <c r="E5268" s="148">
        <v>0.59499999999999997</v>
      </c>
      <c r="F5268" s="148">
        <v>0</v>
      </c>
      <c r="G5268" s="148">
        <v>0.59499999999999997</v>
      </c>
      <c r="H5268" s="148">
        <v>0</v>
      </c>
      <c r="I5268" s="728"/>
      <c r="J5268" s="148">
        <v>0.59499999999999997</v>
      </c>
      <c r="K5268" s="148">
        <v>0</v>
      </c>
      <c r="L5268" s="148">
        <v>11.300079999999999</v>
      </c>
      <c r="M5268" s="148">
        <v>6</v>
      </c>
      <c r="N5268" s="148">
        <v>5.3000800000000003</v>
      </c>
      <c r="O5268" s="148">
        <v>88.334666666666664</v>
      </c>
      <c r="P5268" s="148">
        <v>7.4080700000000004</v>
      </c>
      <c r="Q5268" s="148">
        <v>3.89201</v>
      </c>
      <c r="R5268" s="148">
        <v>52.537435526392166</v>
      </c>
    </row>
    <row r="5269" spans="2:18" ht="15.75" hidden="1" thickBot="1" x14ac:dyDescent="0.3">
      <c r="B5269" s="723" t="s">
        <v>822</v>
      </c>
      <c r="C5269" s="722" t="s">
        <v>79</v>
      </c>
      <c r="D5269" t="s">
        <v>80</v>
      </c>
      <c r="E5269" s="729"/>
      <c r="F5269" s="147">
        <v>0</v>
      </c>
      <c r="G5269" s="147">
        <v>0</v>
      </c>
      <c r="H5269" s="147">
        <v>0</v>
      </c>
      <c r="I5269" s="729"/>
      <c r="J5269" s="729"/>
      <c r="K5269" s="729"/>
      <c r="L5269" s="147">
        <v>0.26830999999999999</v>
      </c>
      <c r="M5269" s="147">
        <v>1.2</v>
      </c>
      <c r="N5269" s="147">
        <v>-0.93169000000000002</v>
      </c>
      <c r="O5269" s="147">
        <v>-77.640833333333333</v>
      </c>
      <c r="P5269" s="729"/>
      <c r="Q5269" s="147">
        <v>0.26830999999999999</v>
      </c>
      <c r="R5269" s="147">
        <v>0</v>
      </c>
    </row>
    <row r="5270" spans="2:18" ht="15.75" hidden="1" thickBot="1" x14ac:dyDescent="0.3">
      <c r="B5270" s="723" t="s">
        <v>822</v>
      </c>
      <c r="C5270" s="722" t="s">
        <v>81</v>
      </c>
      <c r="D5270" t="s">
        <v>82</v>
      </c>
      <c r="E5270" s="728"/>
      <c r="F5270" s="728"/>
      <c r="G5270" s="728"/>
      <c r="H5270" s="728"/>
      <c r="I5270" s="728"/>
      <c r="J5270" s="728"/>
      <c r="K5270" s="728"/>
      <c r="L5270" s="148">
        <v>0.95355000000000001</v>
      </c>
      <c r="M5270" s="728"/>
      <c r="N5270" s="148">
        <v>0.95355000000000001</v>
      </c>
      <c r="O5270" s="148">
        <v>0</v>
      </c>
      <c r="P5270" s="148">
        <v>0.95355000000000001</v>
      </c>
      <c r="Q5270" s="148">
        <v>0</v>
      </c>
      <c r="R5270" s="148">
        <v>0</v>
      </c>
    </row>
    <row r="5271" spans="2:18" ht="15.75" hidden="1" thickBot="1" x14ac:dyDescent="0.3">
      <c r="B5271" s="723" t="s">
        <v>822</v>
      </c>
      <c r="C5271" s="722" t="s">
        <v>123</v>
      </c>
      <c r="D5271" t="s">
        <v>124</v>
      </c>
      <c r="E5271" s="729"/>
      <c r="F5271" s="729"/>
      <c r="G5271" s="729"/>
      <c r="H5271" s="729"/>
      <c r="I5271" s="729"/>
      <c r="J5271" s="729"/>
      <c r="K5271" s="729"/>
      <c r="L5271" s="147">
        <v>0.11494</v>
      </c>
      <c r="M5271" s="729"/>
      <c r="N5271" s="147">
        <v>0.11494</v>
      </c>
      <c r="O5271" s="147">
        <v>0</v>
      </c>
      <c r="P5271" s="147">
        <v>0.11494</v>
      </c>
      <c r="Q5271" s="147">
        <v>0</v>
      </c>
      <c r="R5271" s="147">
        <v>0</v>
      </c>
    </row>
    <row r="5272" spans="2:18" ht="15.75" hidden="1" thickBot="1" x14ac:dyDescent="0.3">
      <c r="B5272" s="723" t="s">
        <v>822</v>
      </c>
      <c r="C5272" s="722" t="s">
        <v>83</v>
      </c>
      <c r="D5272" t="s">
        <v>84</v>
      </c>
      <c r="E5272" s="728"/>
      <c r="F5272" s="148">
        <v>0.1</v>
      </c>
      <c r="G5272" s="148">
        <v>-0.1</v>
      </c>
      <c r="H5272" s="148">
        <v>-100</v>
      </c>
      <c r="I5272" s="728"/>
      <c r="J5272" s="728"/>
      <c r="K5272" s="728"/>
      <c r="L5272" s="728"/>
      <c r="M5272" s="148">
        <v>1.2</v>
      </c>
      <c r="N5272" s="148">
        <v>-1.2</v>
      </c>
      <c r="O5272" s="148">
        <v>-100</v>
      </c>
      <c r="P5272" s="728"/>
      <c r="Q5272" s="728"/>
      <c r="R5272" s="728"/>
    </row>
    <row r="5273" spans="2:18" ht="15.75" hidden="1" thickBot="1" x14ac:dyDescent="0.3">
      <c r="B5273" s="723" t="s">
        <v>822</v>
      </c>
      <c r="C5273" s="149" t="s">
        <v>85</v>
      </c>
      <c r="D5273" t="s">
        <v>86</v>
      </c>
      <c r="E5273" s="147">
        <v>47.683190000000003</v>
      </c>
      <c r="F5273" s="147">
        <v>1.7749999999999999</v>
      </c>
      <c r="G5273" s="147">
        <v>45.908189999999998</v>
      </c>
      <c r="H5273" s="147">
        <v>2586.3769014084505</v>
      </c>
      <c r="I5273" s="729"/>
      <c r="J5273" s="147">
        <v>47.683190000000003</v>
      </c>
      <c r="K5273" s="147">
        <v>0</v>
      </c>
      <c r="L5273" s="147">
        <v>238.36232999999999</v>
      </c>
      <c r="M5273" s="147">
        <v>192.55</v>
      </c>
      <c r="N5273" s="147">
        <v>45.812330000000003</v>
      </c>
      <c r="O5273" s="147">
        <v>23.792433134250842</v>
      </c>
      <c r="P5273" s="147">
        <v>65.575050000000005</v>
      </c>
      <c r="Q5273" s="147">
        <v>172.78728000000001</v>
      </c>
      <c r="R5273" s="147">
        <v>263.49546054482613</v>
      </c>
    </row>
    <row r="5274" spans="2:18" ht="15.75" hidden="1" thickBot="1" x14ac:dyDescent="0.3">
      <c r="B5274" s="723" t="s">
        <v>822</v>
      </c>
      <c r="C5274" s="144" t="s">
        <v>87</v>
      </c>
      <c r="D5274" t="s">
        <v>87</v>
      </c>
      <c r="E5274" s="148">
        <v>139.47284999999999</v>
      </c>
      <c r="F5274" s="148">
        <v>131.01823999999999</v>
      </c>
      <c r="G5274" s="148">
        <v>8.4546100000000006</v>
      </c>
      <c r="H5274" s="148">
        <v>6.4530022689970492</v>
      </c>
      <c r="I5274" s="728"/>
      <c r="J5274" s="148">
        <v>139.47284999999999</v>
      </c>
      <c r="K5274" s="148">
        <v>0</v>
      </c>
      <c r="L5274" s="148">
        <v>1702.5804599999999</v>
      </c>
      <c r="M5274" s="148">
        <v>1735.3325</v>
      </c>
      <c r="N5274" s="148">
        <v>-32.752040000000001</v>
      </c>
      <c r="O5274" s="148">
        <v>-1.8873639489838403</v>
      </c>
      <c r="P5274" s="148">
        <v>854.73320999999999</v>
      </c>
      <c r="Q5274" s="148">
        <v>847.84725000000003</v>
      </c>
      <c r="R5274" s="148">
        <v>99.1943731775673</v>
      </c>
    </row>
    <row r="5275" spans="2:18" ht="15.75" hidden="1" thickBot="1" x14ac:dyDescent="0.3">
      <c r="B5275" s="723" t="s">
        <v>823</v>
      </c>
      <c r="C5275" s="722" t="s">
        <v>59</v>
      </c>
      <c r="D5275" t="s">
        <v>60</v>
      </c>
      <c r="E5275" s="147">
        <v>58.102800000000002</v>
      </c>
      <c r="F5275" s="147">
        <v>75.911029999999997</v>
      </c>
      <c r="G5275" s="147">
        <v>-17.808229999999998</v>
      </c>
      <c r="H5275" s="147">
        <v>-23.45934444572811</v>
      </c>
      <c r="I5275" s="729"/>
      <c r="J5275" s="147">
        <v>58.102800000000002</v>
      </c>
      <c r="K5275" s="147">
        <v>0</v>
      </c>
      <c r="L5275" s="147">
        <v>840.16582000000005</v>
      </c>
      <c r="M5275" s="147">
        <v>906.15346</v>
      </c>
      <c r="N5275" s="147">
        <v>-65.987639999999999</v>
      </c>
      <c r="O5275" s="147">
        <v>-7.2821705056448165</v>
      </c>
      <c r="P5275" s="147">
        <v>440.83537999999999</v>
      </c>
      <c r="Q5275" s="147">
        <v>399.33044000000001</v>
      </c>
      <c r="R5275" s="147">
        <v>90.58493444877314</v>
      </c>
    </row>
    <row r="5276" spans="2:18" ht="15.75" hidden="1" thickBot="1" x14ac:dyDescent="0.3">
      <c r="B5276" s="723" t="s">
        <v>823</v>
      </c>
      <c r="C5276" s="722" t="s">
        <v>134</v>
      </c>
      <c r="D5276" t="s">
        <v>135</v>
      </c>
      <c r="E5276" s="148">
        <v>0.63271999999999995</v>
      </c>
      <c r="F5276" s="728"/>
      <c r="G5276" s="148">
        <v>0.63271999999999995</v>
      </c>
      <c r="H5276" s="148">
        <v>0</v>
      </c>
      <c r="I5276" s="728"/>
      <c r="J5276" s="148">
        <v>0.63271999999999995</v>
      </c>
      <c r="K5276" s="148">
        <v>0</v>
      </c>
      <c r="L5276" s="148">
        <v>13.72512</v>
      </c>
      <c r="M5276" s="728"/>
      <c r="N5276" s="148">
        <v>13.72512</v>
      </c>
      <c r="O5276" s="148">
        <v>0</v>
      </c>
      <c r="P5276" s="148">
        <v>1.1734899999999999</v>
      </c>
      <c r="Q5276" s="148">
        <v>12.551629999999999</v>
      </c>
      <c r="R5276" s="148">
        <v>1069.5983774893693</v>
      </c>
    </row>
    <row r="5277" spans="2:18" ht="15.75" hidden="1" thickBot="1" x14ac:dyDescent="0.3">
      <c r="B5277" s="723" t="s">
        <v>823</v>
      </c>
      <c r="C5277" s="722" t="s">
        <v>61</v>
      </c>
      <c r="D5277" t="s">
        <v>62</v>
      </c>
      <c r="E5277" s="147">
        <v>10.000819999999999</v>
      </c>
      <c r="F5277" s="147">
        <v>11.766209999999999</v>
      </c>
      <c r="G5277" s="147">
        <v>-1.76539</v>
      </c>
      <c r="H5277" s="147">
        <v>-15.003896751800282</v>
      </c>
      <c r="I5277" s="729"/>
      <c r="J5277" s="147">
        <v>10.000819999999999</v>
      </c>
      <c r="K5277" s="147">
        <v>0</v>
      </c>
      <c r="L5277" s="147">
        <v>126.45761</v>
      </c>
      <c r="M5277" s="147">
        <v>140.45377999999999</v>
      </c>
      <c r="N5277" s="147">
        <v>-13.996169999999999</v>
      </c>
      <c r="O5277" s="147">
        <v>-9.9649649870583765</v>
      </c>
      <c r="P5277" s="147">
        <v>64.039439999999999</v>
      </c>
      <c r="Q5277" s="147">
        <v>62.418170000000003</v>
      </c>
      <c r="R5277" s="147">
        <v>97.4683257692447</v>
      </c>
    </row>
    <row r="5278" spans="2:18" ht="15.75" hidden="1" thickBot="1" x14ac:dyDescent="0.3">
      <c r="B5278" s="723" t="s">
        <v>823</v>
      </c>
      <c r="C5278" s="722" t="s">
        <v>63</v>
      </c>
      <c r="D5278" t="s">
        <v>64</v>
      </c>
      <c r="E5278" s="148">
        <v>38.852429999999998</v>
      </c>
      <c r="F5278" s="148">
        <v>45.774349999999998</v>
      </c>
      <c r="G5278" s="148">
        <v>-6.9219200000000001</v>
      </c>
      <c r="H5278" s="148">
        <v>-15.121831331302356</v>
      </c>
      <c r="I5278" s="728"/>
      <c r="J5278" s="148">
        <v>38.852429999999998</v>
      </c>
      <c r="K5278" s="148">
        <v>0</v>
      </c>
      <c r="L5278" s="148">
        <v>491.36135999999999</v>
      </c>
      <c r="M5278" s="148">
        <v>546.41052000000002</v>
      </c>
      <c r="N5278" s="148">
        <v>-55.049160000000001</v>
      </c>
      <c r="O5278" s="148">
        <v>-10.074688898742286</v>
      </c>
      <c r="P5278" s="148">
        <v>248.87129999999999</v>
      </c>
      <c r="Q5278" s="148">
        <v>242.49006</v>
      </c>
      <c r="R5278" s="148">
        <v>97.4359277264996</v>
      </c>
    </row>
    <row r="5279" spans="2:18" ht="15.75" hidden="1" thickBot="1" x14ac:dyDescent="0.3">
      <c r="B5279" s="723" t="s">
        <v>823</v>
      </c>
      <c r="C5279" s="722" t="s">
        <v>65</v>
      </c>
      <c r="D5279" t="s">
        <v>66</v>
      </c>
      <c r="E5279" s="147">
        <v>-1.3118000000000001</v>
      </c>
      <c r="F5279" s="147">
        <v>-3.3064200000000001</v>
      </c>
      <c r="G5279" s="147">
        <v>1.9946200000000001</v>
      </c>
      <c r="H5279" s="147">
        <v>60.325669455181135</v>
      </c>
      <c r="I5279" s="729"/>
      <c r="J5279" s="147">
        <v>-1.3118000000000001</v>
      </c>
      <c r="K5279" s="147">
        <v>0</v>
      </c>
      <c r="L5279" s="147">
        <v>-142.26768000000001</v>
      </c>
      <c r="M5279" s="147">
        <v>-39.468879999999999</v>
      </c>
      <c r="N5279" s="147">
        <v>-102.7988</v>
      </c>
      <c r="O5279" s="147">
        <v>-260.45532581618733</v>
      </c>
      <c r="P5279" s="147">
        <v>-77.113690000000005</v>
      </c>
      <c r="Q5279" s="147">
        <v>-65.153989999999993</v>
      </c>
      <c r="R5279" s="147">
        <v>-84.490821279593803</v>
      </c>
    </row>
    <row r="5280" spans="2:18" ht="15.75" hidden="1" thickBot="1" x14ac:dyDescent="0.3">
      <c r="B5280" s="723" t="s">
        <v>823</v>
      </c>
      <c r="C5280" s="149" t="s">
        <v>67</v>
      </c>
      <c r="D5280" t="s">
        <v>68</v>
      </c>
      <c r="E5280" s="148">
        <v>106.27697000000001</v>
      </c>
      <c r="F5280" s="148">
        <v>130.14517000000001</v>
      </c>
      <c r="G5280" s="148">
        <v>-23.868200000000002</v>
      </c>
      <c r="H5280" s="148">
        <v>-18.339674073190729</v>
      </c>
      <c r="I5280" s="728"/>
      <c r="J5280" s="148">
        <v>106.27697000000001</v>
      </c>
      <c r="K5280" s="148">
        <v>0</v>
      </c>
      <c r="L5280" s="148">
        <v>1329.4422300000001</v>
      </c>
      <c r="M5280" s="148">
        <v>1553.5488800000001</v>
      </c>
      <c r="N5280" s="148">
        <v>-224.10665</v>
      </c>
      <c r="O5280" s="148">
        <v>-14.425465003714592</v>
      </c>
      <c r="P5280" s="148">
        <v>677.80592000000001</v>
      </c>
      <c r="Q5280" s="148">
        <v>651.63630999999998</v>
      </c>
      <c r="R5280" s="148">
        <v>96.139070310864213</v>
      </c>
    </row>
    <row r="5281" spans="2:18" ht="15.75" hidden="1" thickBot="1" x14ac:dyDescent="0.3">
      <c r="B5281" s="723" t="s">
        <v>823</v>
      </c>
      <c r="C5281" s="722" t="s">
        <v>69</v>
      </c>
      <c r="D5281" t="s">
        <v>70</v>
      </c>
      <c r="E5281" s="729"/>
      <c r="F5281" s="147">
        <v>0.85833000000000004</v>
      </c>
      <c r="G5281" s="147">
        <v>-0.85833000000000004</v>
      </c>
      <c r="H5281" s="147">
        <v>-100</v>
      </c>
      <c r="I5281" s="729"/>
      <c r="J5281" s="729"/>
      <c r="K5281" s="729"/>
      <c r="L5281" s="147">
        <v>2.669</v>
      </c>
      <c r="M5281" s="147">
        <v>10.29996</v>
      </c>
      <c r="N5281" s="147">
        <v>-7.63096</v>
      </c>
      <c r="O5281" s="147">
        <v>-74.087278008846638</v>
      </c>
      <c r="P5281" s="147">
        <v>2.5</v>
      </c>
      <c r="Q5281" s="147">
        <v>0.16900000000000001</v>
      </c>
      <c r="R5281" s="147">
        <v>6.76</v>
      </c>
    </row>
    <row r="5282" spans="2:18" ht="15.75" hidden="1" thickBot="1" x14ac:dyDescent="0.3">
      <c r="B5282" s="723" t="s">
        <v>823</v>
      </c>
      <c r="C5282" s="722" t="s">
        <v>582</v>
      </c>
      <c r="D5282" t="s">
        <v>583</v>
      </c>
      <c r="E5282" s="148">
        <v>1.05</v>
      </c>
      <c r="F5282" s="148">
        <v>1.764</v>
      </c>
      <c r="G5282" s="148">
        <v>-0.71399999999999997</v>
      </c>
      <c r="H5282" s="148">
        <v>-40.476190476190474</v>
      </c>
      <c r="I5282" s="728"/>
      <c r="J5282" s="148">
        <v>1.05</v>
      </c>
      <c r="K5282" s="148">
        <v>0</v>
      </c>
      <c r="L5282" s="148">
        <v>16.8</v>
      </c>
      <c r="M5282" s="148">
        <v>19.088999999999999</v>
      </c>
      <c r="N5282" s="148">
        <v>-2.2890000000000001</v>
      </c>
      <c r="O5282" s="148">
        <v>-11.991199119911991</v>
      </c>
      <c r="P5282" s="148">
        <v>9.4499999999999993</v>
      </c>
      <c r="Q5282" s="148">
        <v>7.35</v>
      </c>
      <c r="R5282" s="148">
        <v>77.777777777777771</v>
      </c>
    </row>
    <row r="5283" spans="2:18" ht="15.75" hidden="1" thickBot="1" x14ac:dyDescent="0.3">
      <c r="B5283" s="723" t="s">
        <v>823</v>
      </c>
      <c r="C5283" s="722" t="s">
        <v>137</v>
      </c>
      <c r="D5283" t="s">
        <v>138</v>
      </c>
      <c r="E5283" s="147">
        <v>0.22563</v>
      </c>
      <c r="F5283" s="147">
        <v>4.0000000000000001E-3</v>
      </c>
      <c r="G5283" s="147">
        <v>0.22162999999999999</v>
      </c>
      <c r="H5283" s="147">
        <v>5540.75</v>
      </c>
      <c r="I5283" s="729"/>
      <c r="J5283" s="147">
        <v>0.22563</v>
      </c>
      <c r="K5283" s="147">
        <v>0</v>
      </c>
      <c r="L5283" s="147">
        <v>0.43054999999999999</v>
      </c>
      <c r="M5283" s="147">
        <v>0.45850000000000002</v>
      </c>
      <c r="N5283" s="147">
        <v>-2.7949999999999999E-2</v>
      </c>
      <c r="O5283" s="147">
        <v>-6.095965103598691</v>
      </c>
      <c r="P5283" s="729"/>
      <c r="Q5283" s="147">
        <v>0.43054999999999999</v>
      </c>
      <c r="R5283" s="147">
        <v>0</v>
      </c>
    </row>
    <row r="5284" spans="2:18" ht="15.75" hidden="1" thickBot="1" x14ac:dyDescent="0.3">
      <c r="B5284" s="723" t="s">
        <v>823</v>
      </c>
      <c r="C5284" s="722" t="s">
        <v>139</v>
      </c>
      <c r="D5284" t="s">
        <v>140</v>
      </c>
      <c r="E5284" s="148">
        <v>0.99458000000000002</v>
      </c>
      <c r="F5284" s="148">
        <v>0.41666999999999998</v>
      </c>
      <c r="G5284" s="148">
        <v>0.57791000000000003</v>
      </c>
      <c r="H5284" s="148">
        <v>138.69729042167663</v>
      </c>
      <c r="I5284" s="728"/>
      <c r="J5284" s="148">
        <v>0.99458000000000002</v>
      </c>
      <c r="K5284" s="148">
        <v>0</v>
      </c>
      <c r="L5284" s="148">
        <v>6.3486599999999997</v>
      </c>
      <c r="M5284" s="148">
        <v>5.0000400000000003</v>
      </c>
      <c r="N5284" s="148">
        <v>1.3486199999999999</v>
      </c>
      <c r="O5284" s="148">
        <v>26.97218422252622</v>
      </c>
      <c r="P5284" s="148">
        <v>4.9349800000000004</v>
      </c>
      <c r="Q5284" s="148">
        <v>1.41368</v>
      </c>
      <c r="R5284" s="148">
        <v>28.646114067331581</v>
      </c>
    </row>
    <row r="5285" spans="2:18" ht="15.75" hidden="1" thickBot="1" x14ac:dyDescent="0.3">
      <c r="B5285" s="723" t="s">
        <v>823</v>
      </c>
      <c r="C5285" s="722" t="s">
        <v>169</v>
      </c>
      <c r="D5285" t="s">
        <v>170</v>
      </c>
      <c r="E5285" s="147">
        <v>1.8216399999999999</v>
      </c>
      <c r="F5285" s="729"/>
      <c r="G5285" s="147">
        <v>1.8216399999999999</v>
      </c>
      <c r="H5285" s="147">
        <v>0</v>
      </c>
      <c r="I5285" s="729"/>
      <c r="J5285" s="147">
        <v>1.8216399999999999</v>
      </c>
      <c r="K5285" s="147">
        <v>0</v>
      </c>
      <c r="L5285" s="147">
        <v>6.8167499999999999</v>
      </c>
      <c r="M5285" s="147">
        <v>8.8397100000000002</v>
      </c>
      <c r="N5285" s="147">
        <v>-2.0229599999999999</v>
      </c>
      <c r="O5285" s="147">
        <v>-22.884913645357145</v>
      </c>
      <c r="P5285" s="147">
        <v>4.6499600000000001</v>
      </c>
      <c r="Q5285" s="147">
        <v>2.1667900000000002</v>
      </c>
      <c r="R5285" s="147">
        <v>46.598035251916144</v>
      </c>
    </row>
    <row r="5286" spans="2:18" ht="15.75" hidden="1" thickBot="1" x14ac:dyDescent="0.3">
      <c r="B5286" s="723" t="s">
        <v>823</v>
      </c>
      <c r="C5286" s="722" t="s">
        <v>101</v>
      </c>
      <c r="D5286" t="s">
        <v>102</v>
      </c>
      <c r="E5286" s="148">
        <v>2.5340000000000001E-2</v>
      </c>
      <c r="F5286" s="148">
        <v>0.113</v>
      </c>
      <c r="G5286" s="148">
        <v>-8.7660000000000002E-2</v>
      </c>
      <c r="H5286" s="148">
        <v>-77.575221238938056</v>
      </c>
      <c r="I5286" s="728"/>
      <c r="J5286" s="148">
        <v>2.5340000000000001E-2</v>
      </c>
      <c r="K5286" s="148">
        <v>0</v>
      </c>
      <c r="L5286" s="148">
        <v>1.2302500000000001</v>
      </c>
      <c r="M5286" s="148">
        <v>1.224</v>
      </c>
      <c r="N5286" s="148">
        <v>6.2500000000000003E-3</v>
      </c>
      <c r="O5286" s="148">
        <v>0.5106209150326797</v>
      </c>
      <c r="P5286" s="148">
        <v>0.77373999999999998</v>
      </c>
      <c r="Q5286" s="148">
        <v>0.45651000000000003</v>
      </c>
      <c r="R5286" s="148">
        <v>59.000439424095951</v>
      </c>
    </row>
    <row r="5287" spans="2:18" ht="15.75" hidden="1" thickBot="1" x14ac:dyDescent="0.3">
      <c r="B5287" s="723" t="s">
        <v>823</v>
      </c>
      <c r="C5287" s="722" t="s">
        <v>71</v>
      </c>
      <c r="D5287" t="s">
        <v>72</v>
      </c>
      <c r="E5287" s="147">
        <v>3.0000000000000001E-3</v>
      </c>
      <c r="F5287" s="729"/>
      <c r="G5287" s="147">
        <v>3.0000000000000001E-3</v>
      </c>
      <c r="H5287" s="147">
        <v>0</v>
      </c>
      <c r="I5287" s="729"/>
      <c r="J5287" s="147">
        <v>3.0000000000000001E-3</v>
      </c>
      <c r="K5287" s="147">
        <v>0</v>
      </c>
      <c r="L5287" s="147">
        <v>6.0000000000000001E-3</v>
      </c>
      <c r="M5287" s="729"/>
      <c r="N5287" s="147">
        <v>6.0000000000000001E-3</v>
      </c>
      <c r="O5287" s="147">
        <v>0</v>
      </c>
      <c r="P5287" s="729"/>
      <c r="Q5287" s="147">
        <v>6.0000000000000001E-3</v>
      </c>
      <c r="R5287" s="147">
        <v>0</v>
      </c>
    </row>
    <row r="5288" spans="2:18" ht="15.75" hidden="1" thickBot="1" x14ac:dyDescent="0.3">
      <c r="B5288" s="723" t="s">
        <v>823</v>
      </c>
      <c r="C5288" s="722" t="s">
        <v>109</v>
      </c>
      <c r="D5288" t="s">
        <v>110</v>
      </c>
      <c r="E5288" s="148">
        <v>0.11183999999999999</v>
      </c>
      <c r="F5288" s="148">
        <v>1.3720000000000001</v>
      </c>
      <c r="G5288" s="148">
        <v>-1.2601599999999999</v>
      </c>
      <c r="H5288" s="148">
        <v>-91.848396501457728</v>
      </c>
      <c r="I5288" s="728"/>
      <c r="J5288" s="148">
        <v>0.11183999999999999</v>
      </c>
      <c r="K5288" s="148">
        <v>0</v>
      </c>
      <c r="L5288" s="148">
        <v>0.85887999999999998</v>
      </c>
      <c r="M5288" s="148">
        <v>17.152100000000001</v>
      </c>
      <c r="N5288" s="148">
        <v>-16.293220000000002</v>
      </c>
      <c r="O5288" s="148">
        <v>-94.992566507891155</v>
      </c>
      <c r="P5288" s="148">
        <v>0.25805</v>
      </c>
      <c r="Q5288" s="148">
        <v>0.60082999999999998</v>
      </c>
      <c r="R5288" s="148">
        <v>232.83472195310986</v>
      </c>
    </row>
    <row r="5289" spans="2:18" ht="15.75" hidden="1" thickBot="1" x14ac:dyDescent="0.3">
      <c r="B5289" s="723" t="s">
        <v>823</v>
      </c>
      <c r="C5289" s="722" t="s">
        <v>73</v>
      </c>
      <c r="D5289" t="s">
        <v>74</v>
      </c>
      <c r="E5289" s="147">
        <v>0.57569999999999999</v>
      </c>
      <c r="F5289" s="147">
        <v>0.58333000000000002</v>
      </c>
      <c r="G5289" s="147">
        <v>-7.6299999999999996E-3</v>
      </c>
      <c r="H5289" s="147">
        <v>-1.3080074743284247</v>
      </c>
      <c r="I5289" s="729"/>
      <c r="J5289" s="147">
        <v>0.57569999999999999</v>
      </c>
      <c r="K5289" s="147">
        <v>0</v>
      </c>
      <c r="L5289" s="147">
        <v>3.4916100000000001</v>
      </c>
      <c r="M5289" s="147">
        <v>6.9999599999999997</v>
      </c>
      <c r="N5289" s="147">
        <v>-3.5083500000000001</v>
      </c>
      <c r="O5289" s="147">
        <v>-50.11957211184064</v>
      </c>
      <c r="P5289" s="147">
        <v>1.6027199999999999</v>
      </c>
      <c r="Q5289" s="147">
        <v>1.88889</v>
      </c>
      <c r="R5289" s="147">
        <v>117.8552710392333</v>
      </c>
    </row>
    <row r="5290" spans="2:18" ht="15.75" hidden="1" thickBot="1" x14ac:dyDescent="0.3">
      <c r="B5290" s="723" t="s">
        <v>823</v>
      </c>
      <c r="C5290" s="722" t="s">
        <v>111</v>
      </c>
      <c r="D5290" t="s">
        <v>112</v>
      </c>
      <c r="E5290" s="148">
        <v>6.68</v>
      </c>
      <c r="F5290" s="148">
        <v>0.58337000000000006</v>
      </c>
      <c r="G5290" s="148">
        <v>6.0966300000000002</v>
      </c>
      <c r="H5290" s="148">
        <v>1045.0708812588923</v>
      </c>
      <c r="I5290" s="728"/>
      <c r="J5290" s="148">
        <v>6.68</v>
      </c>
      <c r="K5290" s="148">
        <v>0</v>
      </c>
      <c r="L5290" s="148">
        <v>18.666</v>
      </c>
      <c r="M5290" s="148">
        <v>7</v>
      </c>
      <c r="N5290" s="148">
        <v>11.666</v>
      </c>
      <c r="O5290" s="148">
        <v>166.65714285714284</v>
      </c>
      <c r="P5290" s="148">
        <v>7.1989999999999998</v>
      </c>
      <c r="Q5290" s="148">
        <v>11.467000000000001</v>
      </c>
      <c r="R5290" s="148">
        <v>159.28601194610363</v>
      </c>
    </row>
    <row r="5291" spans="2:18" ht="15.75" hidden="1" thickBot="1" x14ac:dyDescent="0.3">
      <c r="B5291" s="723" t="s">
        <v>823</v>
      </c>
      <c r="C5291" s="722" t="s">
        <v>141</v>
      </c>
      <c r="D5291" t="s">
        <v>142</v>
      </c>
      <c r="E5291" s="147">
        <v>3.5040100000000001</v>
      </c>
      <c r="F5291" s="147">
        <v>1.27342</v>
      </c>
      <c r="G5291" s="147">
        <v>2.2305899999999999</v>
      </c>
      <c r="H5291" s="147">
        <v>175.16530288514394</v>
      </c>
      <c r="I5291" s="729"/>
      <c r="J5291" s="147">
        <v>3.5040100000000001</v>
      </c>
      <c r="K5291" s="147">
        <v>0</v>
      </c>
      <c r="L5291" s="147">
        <v>16.265799999999999</v>
      </c>
      <c r="M5291" s="147">
        <v>15.281040000000001</v>
      </c>
      <c r="N5291" s="147">
        <v>0.98475999999999997</v>
      </c>
      <c r="O5291" s="147">
        <v>6.4443257788736892</v>
      </c>
      <c r="P5291" s="147">
        <v>5.7594900000000004</v>
      </c>
      <c r="Q5291" s="147">
        <v>10.506309999999999</v>
      </c>
      <c r="R5291" s="147">
        <v>182.41736681546456</v>
      </c>
    </row>
    <row r="5292" spans="2:18" ht="15.75" hidden="1" thickBot="1" x14ac:dyDescent="0.3">
      <c r="B5292" s="723" t="s">
        <v>823</v>
      </c>
      <c r="C5292" s="722" t="s">
        <v>113</v>
      </c>
      <c r="D5292" t="s">
        <v>114</v>
      </c>
      <c r="E5292" s="728"/>
      <c r="F5292" s="148">
        <v>3.7499999999999999E-2</v>
      </c>
      <c r="G5292" s="148">
        <v>-3.7499999999999999E-2</v>
      </c>
      <c r="H5292" s="148">
        <v>-100</v>
      </c>
      <c r="I5292" s="728"/>
      <c r="J5292" s="728"/>
      <c r="K5292" s="728"/>
      <c r="L5292" s="148">
        <v>6.0330000000000002E-2</v>
      </c>
      <c r="M5292" s="148">
        <v>0.45</v>
      </c>
      <c r="N5292" s="148">
        <v>-0.38967000000000002</v>
      </c>
      <c r="O5292" s="148">
        <v>-86.593333333333334</v>
      </c>
      <c r="P5292" s="148">
        <v>2.47E-2</v>
      </c>
      <c r="Q5292" s="148">
        <v>3.5630000000000002E-2</v>
      </c>
      <c r="R5292" s="148">
        <v>144.251012145749</v>
      </c>
    </row>
    <row r="5293" spans="2:18" ht="15.75" hidden="1" thickBot="1" x14ac:dyDescent="0.3">
      <c r="B5293" s="723" t="s">
        <v>823</v>
      </c>
      <c r="C5293" s="722" t="s">
        <v>145</v>
      </c>
      <c r="D5293" t="s">
        <v>146</v>
      </c>
      <c r="E5293" s="147">
        <v>4.0000000000000001E-3</v>
      </c>
      <c r="F5293" s="147">
        <v>0.16667000000000001</v>
      </c>
      <c r="G5293" s="147">
        <v>-0.16267000000000001</v>
      </c>
      <c r="H5293" s="147">
        <v>-97.600047999040015</v>
      </c>
      <c r="I5293" s="729"/>
      <c r="J5293" s="147">
        <v>4.0000000000000001E-3</v>
      </c>
      <c r="K5293" s="147">
        <v>0</v>
      </c>
      <c r="L5293" s="147">
        <v>0.10645</v>
      </c>
      <c r="M5293" s="147">
        <v>2.0000399999999998</v>
      </c>
      <c r="N5293" s="147">
        <v>-1.8935900000000001</v>
      </c>
      <c r="O5293" s="147">
        <v>-94.677606447871042</v>
      </c>
      <c r="P5293" s="147">
        <v>7.6950000000000005E-2</v>
      </c>
      <c r="Q5293" s="147">
        <v>2.9499999999999998E-2</v>
      </c>
      <c r="R5293" s="147">
        <v>38.336582196231319</v>
      </c>
    </row>
    <row r="5294" spans="2:18" ht="15.75" hidden="1" thickBot="1" x14ac:dyDescent="0.3">
      <c r="B5294" s="723" t="s">
        <v>823</v>
      </c>
      <c r="C5294" s="722" t="s">
        <v>147</v>
      </c>
      <c r="D5294" t="s">
        <v>148</v>
      </c>
      <c r="E5294" s="728"/>
      <c r="F5294" s="728"/>
      <c r="G5294" s="728"/>
      <c r="H5294" s="728"/>
      <c r="I5294" s="728"/>
      <c r="J5294" s="728"/>
      <c r="K5294" s="728"/>
      <c r="L5294" s="148">
        <v>0.1043</v>
      </c>
      <c r="M5294" s="728"/>
      <c r="N5294" s="148">
        <v>0.1043</v>
      </c>
      <c r="O5294" s="148">
        <v>0</v>
      </c>
      <c r="P5294" s="148">
        <v>3.5099999999999999E-2</v>
      </c>
      <c r="Q5294" s="148">
        <v>6.9199999999999998E-2</v>
      </c>
      <c r="R5294" s="148">
        <v>197.15099715099714</v>
      </c>
    </row>
    <row r="5295" spans="2:18" ht="15.75" hidden="1" thickBot="1" x14ac:dyDescent="0.3">
      <c r="B5295" s="723" t="s">
        <v>823</v>
      </c>
      <c r="C5295" s="722" t="s">
        <v>643</v>
      </c>
      <c r="D5295" t="s">
        <v>644</v>
      </c>
      <c r="E5295" s="147">
        <v>138.81229999999999</v>
      </c>
      <c r="F5295" s="147">
        <v>125.27772</v>
      </c>
      <c r="G5295" s="147">
        <v>13.53458</v>
      </c>
      <c r="H5295" s="147">
        <v>10.803660858451128</v>
      </c>
      <c r="I5295" s="729"/>
      <c r="J5295" s="147">
        <v>138.81229999999999</v>
      </c>
      <c r="K5295" s="147">
        <v>0</v>
      </c>
      <c r="L5295" s="147">
        <v>2409.6908699999999</v>
      </c>
      <c r="M5295" s="147">
        <v>1527.7401600000001</v>
      </c>
      <c r="N5295" s="147">
        <v>881.95070999999996</v>
      </c>
      <c r="O5295" s="147">
        <v>57.729104273857672</v>
      </c>
      <c r="P5295" s="147">
        <v>1086.3677299999999</v>
      </c>
      <c r="Q5295" s="147">
        <v>1323.32314</v>
      </c>
      <c r="R5295" s="147">
        <v>121.81171287184681</v>
      </c>
    </row>
    <row r="5296" spans="2:18" ht="15.75" hidden="1" thickBot="1" x14ac:dyDescent="0.3">
      <c r="B5296" s="723" t="s">
        <v>823</v>
      </c>
      <c r="C5296" s="722" t="s">
        <v>149</v>
      </c>
      <c r="D5296" t="s">
        <v>150</v>
      </c>
      <c r="E5296" s="728"/>
      <c r="F5296" s="148">
        <v>2.3333699999999999</v>
      </c>
      <c r="G5296" s="148">
        <v>-2.3333699999999999</v>
      </c>
      <c r="H5296" s="148">
        <v>-100</v>
      </c>
      <c r="I5296" s="728"/>
      <c r="J5296" s="728"/>
      <c r="K5296" s="728"/>
      <c r="L5296" s="148">
        <v>2.8590000000000001E-2</v>
      </c>
      <c r="M5296" s="148">
        <v>28.052</v>
      </c>
      <c r="N5296" s="148">
        <v>-28.023409999999998</v>
      </c>
      <c r="O5296" s="148">
        <v>-99.898082133181234</v>
      </c>
      <c r="P5296" s="148">
        <v>8.6999999999999994E-3</v>
      </c>
      <c r="Q5296" s="148">
        <v>1.9890000000000001E-2</v>
      </c>
      <c r="R5296" s="148">
        <v>228.62068965517241</v>
      </c>
    </row>
    <row r="5297" spans="2:18" ht="15.75" hidden="1" thickBot="1" x14ac:dyDescent="0.3">
      <c r="B5297" s="723" t="s">
        <v>823</v>
      </c>
      <c r="C5297" s="722" t="s">
        <v>151</v>
      </c>
      <c r="D5297" t="s">
        <v>152</v>
      </c>
      <c r="E5297" s="729"/>
      <c r="F5297" s="729"/>
      <c r="G5297" s="729"/>
      <c r="H5297" s="729"/>
      <c r="I5297" s="729"/>
      <c r="J5297" s="729"/>
      <c r="K5297" s="729"/>
      <c r="L5297" s="147">
        <v>1.1151</v>
      </c>
      <c r="M5297" s="147">
        <v>0.20399999999999999</v>
      </c>
      <c r="N5297" s="147">
        <v>0.91110000000000002</v>
      </c>
      <c r="O5297" s="147">
        <v>446.61764705882354</v>
      </c>
      <c r="P5297" s="729"/>
      <c r="Q5297" s="147">
        <v>1.1151</v>
      </c>
      <c r="R5297" s="147">
        <v>0</v>
      </c>
    </row>
    <row r="5298" spans="2:18" ht="15.75" hidden="1" thickBot="1" x14ac:dyDescent="0.3">
      <c r="B5298" s="723" t="s">
        <v>823</v>
      </c>
      <c r="C5298" s="722" t="s">
        <v>661</v>
      </c>
      <c r="D5298" t="s">
        <v>662</v>
      </c>
      <c r="E5298" s="728"/>
      <c r="F5298" s="728"/>
      <c r="G5298" s="728"/>
      <c r="H5298" s="728"/>
      <c r="I5298" s="728"/>
      <c r="J5298" s="728"/>
      <c r="K5298" s="728"/>
      <c r="L5298" s="148">
        <v>120.8</v>
      </c>
      <c r="M5298" s="728"/>
      <c r="N5298" s="148">
        <v>120.8</v>
      </c>
      <c r="O5298" s="148">
        <v>0</v>
      </c>
      <c r="P5298" s="728"/>
      <c r="Q5298" s="148">
        <v>120.8</v>
      </c>
      <c r="R5298" s="148">
        <v>0</v>
      </c>
    </row>
    <row r="5299" spans="2:18" ht="15.75" hidden="1" thickBot="1" x14ac:dyDescent="0.3">
      <c r="B5299" s="723" t="s">
        <v>823</v>
      </c>
      <c r="C5299" s="722" t="s">
        <v>75</v>
      </c>
      <c r="D5299" t="s">
        <v>76</v>
      </c>
      <c r="E5299" s="147">
        <v>5.561E-2</v>
      </c>
      <c r="F5299" s="147">
        <v>0.79242000000000001</v>
      </c>
      <c r="G5299" s="147">
        <v>-0.73680999999999996</v>
      </c>
      <c r="H5299" s="147">
        <v>-92.982256883975666</v>
      </c>
      <c r="I5299" s="729"/>
      <c r="J5299" s="147">
        <v>5.561E-2</v>
      </c>
      <c r="K5299" s="147">
        <v>0</v>
      </c>
      <c r="L5299" s="147">
        <v>3.5301200000000001</v>
      </c>
      <c r="M5299" s="147">
        <v>9.5090400000000006</v>
      </c>
      <c r="N5299" s="147">
        <v>-5.9789199999999996</v>
      </c>
      <c r="O5299" s="147">
        <v>-62.87616836189563</v>
      </c>
      <c r="P5299" s="147">
        <v>1.90171</v>
      </c>
      <c r="Q5299" s="147">
        <v>1.6284099999999999</v>
      </c>
      <c r="R5299" s="147">
        <v>85.628723622424033</v>
      </c>
    </row>
    <row r="5300" spans="2:18" ht="15.75" hidden="1" thickBot="1" x14ac:dyDescent="0.3">
      <c r="B5300" s="723" t="s">
        <v>823</v>
      </c>
      <c r="C5300" s="722" t="s">
        <v>121</v>
      </c>
      <c r="D5300" t="s">
        <v>122</v>
      </c>
      <c r="E5300" s="728"/>
      <c r="F5300" s="728"/>
      <c r="G5300" s="728"/>
      <c r="H5300" s="728"/>
      <c r="I5300" s="728"/>
      <c r="J5300" s="728"/>
      <c r="K5300" s="728"/>
      <c r="L5300" s="148">
        <v>0.20745</v>
      </c>
      <c r="M5300" s="728"/>
      <c r="N5300" s="148">
        <v>0.20745</v>
      </c>
      <c r="O5300" s="148">
        <v>0</v>
      </c>
      <c r="P5300" s="148">
        <v>0.12709000000000001</v>
      </c>
      <c r="Q5300" s="148">
        <v>8.0360000000000001E-2</v>
      </c>
      <c r="R5300" s="148">
        <v>63.230781336061057</v>
      </c>
    </row>
    <row r="5301" spans="2:18" ht="15.75" hidden="1" thickBot="1" x14ac:dyDescent="0.3">
      <c r="B5301" s="723" t="s">
        <v>823</v>
      </c>
      <c r="C5301" s="722" t="s">
        <v>77</v>
      </c>
      <c r="D5301" t="s">
        <v>78</v>
      </c>
      <c r="E5301" s="147">
        <v>0.54676999999999998</v>
      </c>
      <c r="F5301" s="147">
        <v>0.97816999999999998</v>
      </c>
      <c r="G5301" s="147">
        <v>-0.43140000000000001</v>
      </c>
      <c r="H5301" s="147">
        <v>-44.102763323348704</v>
      </c>
      <c r="I5301" s="729"/>
      <c r="J5301" s="147">
        <v>0.54676999999999998</v>
      </c>
      <c r="K5301" s="147">
        <v>0</v>
      </c>
      <c r="L5301" s="147">
        <v>7.8473499999999996</v>
      </c>
      <c r="M5301" s="147">
        <v>11.73804</v>
      </c>
      <c r="N5301" s="147">
        <v>-3.8906900000000002</v>
      </c>
      <c r="O5301" s="147">
        <v>-33.145993709341596</v>
      </c>
      <c r="P5301" s="147">
        <v>2.5091100000000002</v>
      </c>
      <c r="Q5301" s="147">
        <v>5.3382399999999999</v>
      </c>
      <c r="R5301" s="147">
        <v>212.75432324609125</v>
      </c>
    </row>
    <row r="5302" spans="2:18" ht="15.75" hidden="1" thickBot="1" x14ac:dyDescent="0.3">
      <c r="B5302" s="723" t="s">
        <v>823</v>
      </c>
      <c r="C5302" s="722" t="s">
        <v>79</v>
      </c>
      <c r="D5302" t="s">
        <v>80</v>
      </c>
      <c r="E5302" s="728"/>
      <c r="F5302" s="148">
        <v>0.71082999999999996</v>
      </c>
      <c r="G5302" s="148">
        <v>-0.71082999999999996</v>
      </c>
      <c r="H5302" s="148">
        <v>-100</v>
      </c>
      <c r="I5302" s="728"/>
      <c r="J5302" s="728"/>
      <c r="K5302" s="728"/>
      <c r="L5302" s="148">
        <v>1.1153500000000001</v>
      </c>
      <c r="M5302" s="148">
        <v>8.5299600000000009</v>
      </c>
      <c r="N5302" s="148">
        <v>-7.4146099999999997</v>
      </c>
      <c r="O5302" s="148">
        <v>-86.924323209018567</v>
      </c>
      <c r="P5302" s="148">
        <v>0.86138999999999999</v>
      </c>
      <c r="Q5302" s="148">
        <v>0.25396000000000002</v>
      </c>
      <c r="R5302" s="148">
        <v>29.482580480386353</v>
      </c>
    </row>
    <row r="5303" spans="2:18" ht="15.75" hidden="1" thickBot="1" x14ac:dyDescent="0.3">
      <c r="B5303" s="723" t="s">
        <v>823</v>
      </c>
      <c r="C5303" s="722" t="s">
        <v>81</v>
      </c>
      <c r="D5303" t="s">
        <v>82</v>
      </c>
      <c r="E5303" s="729"/>
      <c r="F5303" s="147">
        <v>0.03</v>
      </c>
      <c r="G5303" s="147">
        <v>-0.03</v>
      </c>
      <c r="H5303" s="147">
        <v>-100</v>
      </c>
      <c r="I5303" s="729"/>
      <c r="J5303" s="729"/>
      <c r="K5303" s="729"/>
      <c r="L5303" s="147">
        <v>6.6989999999999994E-2</v>
      </c>
      <c r="M5303" s="147">
        <v>0.62994000000000006</v>
      </c>
      <c r="N5303" s="147">
        <v>-0.56294999999999995</v>
      </c>
      <c r="O5303" s="147">
        <v>-89.365653871797321</v>
      </c>
      <c r="P5303" s="147">
        <v>6.6989999999999994E-2</v>
      </c>
      <c r="Q5303" s="147">
        <v>0</v>
      </c>
      <c r="R5303" s="147">
        <v>0</v>
      </c>
    </row>
    <row r="5304" spans="2:18" ht="15.75" hidden="1" thickBot="1" x14ac:dyDescent="0.3">
      <c r="B5304" s="723" t="s">
        <v>823</v>
      </c>
      <c r="C5304" s="722" t="s">
        <v>123</v>
      </c>
      <c r="D5304" t="s">
        <v>124</v>
      </c>
      <c r="E5304" s="728"/>
      <c r="F5304" s="148">
        <v>0.11</v>
      </c>
      <c r="G5304" s="148">
        <v>-0.11</v>
      </c>
      <c r="H5304" s="148">
        <v>-100</v>
      </c>
      <c r="I5304" s="728"/>
      <c r="J5304" s="728"/>
      <c r="K5304" s="728"/>
      <c r="L5304" s="728"/>
      <c r="M5304" s="148">
        <v>1.2210000000000001</v>
      </c>
      <c r="N5304" s="148">
        <v>-1.2210000000000001</v>
      </c>
      <c r="O5304" s="148">
        <v>-100</v>
      </c>
      <c r="P5304" s="728"/>
      <c r="Q5304" s="728"/>
      <c r="R5304" s="728"/>
    </row>
    <row r="5305" spans="2:18" ht="15.75" hidden="1" thickBot="1" x14ac:dyDescent="0.3">
      <c r="B5305" s="723" t="s">
        <v>823</v>
      </c>
      <c r="C5305" s="722" t="s">
        <v>125</v>
      </c>
      <c r="D5305" t="s">
        <v>126</v>
      </c>
      <c r="E5305" s="729"/>
      <c r="F5305" s="147">
        <v>1.0999999999999999E-2</v>
      </c>
      <c r="G5305" s="147">
        <v>-1.0999999999999999E-2</v>
      </c>
      <c r="H5305" s="147">
        <v>-100</v>
      </c>
      <c r="I5305" s="729"/>
      <c r="J5305" s="729"/>
      <c r="K5305" s="729"/>
      <c r="L5305" s="729"/>
      <c r="M5305" s="147">
        <v>0.1221</v>
      </c>
      <c r="N5305" s="147">
        <v>-0.1221</v>
      </c>
      <c r="O5305" s="147">
        <v>-100</v>
      </c>
      <c r="P5305" s="729"/>
      <c r="Q5305" s="729"/>
      <c r="R5305" s="729"/>
    </row>
    <row r="5306" spans="2:18" ht="15.75" hidden="1" thickBot="1" x14ac:dyDescent="0.3">
      <c r="B5306" s="723" t="s">
        <v>823</v>
      </c>
      <c r="C5306" s="722" t="s">
        <v>83</v>
      </c>
      <c r="D5306" t="s">
        <v>84</v>
      </c>
      <c r="E5306" s="728"/>
      <c r="F5306" s="728"/>
      <c r="G5306" s="728"/>
      <c r="H5306" s="728"/>
      <c r="I5306" s="728"/>
      <c r="J5306" s="728"/>
      <c r="K5306" s="728"/>
      <c r="L5306" s="728"/>
      <c r="M5306" s="148">
        <v>0</v>
      </c>
      <c r="N5306" s="148">
        <v>0</v>
      </c>
      <c r="O5306" s="148">
        <v>0</v>
      </c>
      <c r="P5306" s="728"/>
      <c r="Q5306" s="728"/>
      <c r="R5306" s="728"/>
    </row>
    <row r="5307" spans="2:18" ht="15.75" hidden="1" thickBot="1" x14ac:dyDescent="0.3">
      <c r="B5307" s="723" t="s">
        <v>823</v>
      </c>
      <c r="C5307" s="149" t="s">
        <v>85</v>
      </c>
      <c r="D5307" t="s">
        <v>86</v>
      </c>
      <c r="E5307" s="147">
        <v>154.41041999999999</v>
      </c>
      <c r="F5307" s="147">
        <v>137.41579999999999</v>
      </c>
      <c r="G5307" s="147">
        <v>16.994620000000001</v>
      </c>
      <c r="H5307" s="147">
        <v>12.367296919277114</v>
      </c>
      <c r="I5307" s="729"/>
      <c r="J5307" s="147">
        <v>154.41041999999999</v>
      </c>
      <c r="K5307" s="147">
        <v>0</v>
      </c>
      <c r="L5307" s="147">
        <v>2618.2564000000002</v>
      </c>
      <c r="M5307" s="147">
        <v>1681.5405900000001</v>
      </c>
      <c r="N5307" s="147">
        <v>936.71581000000003</v>
      </c>
      <c r="O5307" s="147">
        <v>55.70581022965375</v>
      </c>
      <c r="P5307" s="147">
        <v>1129.1074100000001</v>
      </c>
      <c r="Q5307" s="147">
        <v>1489.1489899999999</v>
      </c>
      <c r="R5307" s="147">
        <v>131.88727456850185</v>
      </c>
    </row>
    <row r="5308" spans="2:18" ht="15.75" hidden="1" thickBot="1" x14ac:dyDescent="0.3">
      <c r="B5308" s="723" t="s">
        <v>823</v>
      </c>
      <c r="C5308" s="144" t="s">
        <v>87</v>
      </c>
      <c r="D5308" t="s">
        <v>87</v>
      </c>
      <c r="E5308" s="148">
        <v>260.68738999999999</v>
      </c>
      <c r="F5308" s="148">
        <v>267.56097</v>
      </c>
      <c r="G5308" s="148">
        <v>-6.8735799999999996</v>
      </c>
      <c r="H5308" s="148">
        <v>-2.5689770821207594</v>
      </c>
      <c r="I5308" s="728"/>
      <c r="J5308" s="148">
        <v>260.68738999999999</v>
      </c>
      <c r="K5308" s="148">
        <v>0</v>
      </c>
      <c r="L5308" s="148">
        <v>3947.6986299999999</v>
      </c>
      <c r="M5308" s="148">
        <v>3235.0894699999999</v>
      </c>
      <c r="N5308" s="148">
        <v>712.60915999999997</v>
      </c>
      <c r="O5308" s="148">
        <v>22.027494652257641</v>
      </c>
      <c r="P5308" s="148">
        <v>1806.9133300000001</v>
      </c>
      <c r="Q5308" s="148">
        <v>2140.7853</v>
      </c>
      <c r="R5308" s="148">
        <v>118.47747561860092</v>
      </c>
    </row>
    <row r="5309" spans="2:18" ht="15.75" hidden="1" thickBot="1" x14ac:dyDescent="0.3">
      <c r="B5309" s="724" t="s">
        <v>824</v>
      </c>
      <c r="C5309" s="722" t="s">
        <v>59</v>
      </c>
      <c r="D5309" t="s">
        <v>60</v>
      </c>
      <c r="E5309" s="147">
        <v>58.102800000000002</v>
      </c>
      <c r="F5309" s="147">
        <v>75.911029999999997</v>
      </c>
      <c r="G5309" s="147">
        <v>-17.808229999999998</v>
      </c>
      <c r="H5309" s="147">
        <v>-23.45934444572811</v>
      </c>
      <c r="I5309" s="729"/>
      <c r="J5309" s="147">
        <v>58.102800000000002</v>
      </c>
      <c r="K5309" s="147">
        <v>0</v>
      </c>
      <c r="L5309" s="147">
        <v>840.16582000000005</v>
      </c>
      <c r="M5309" s="147">
        <v>906.15346</v>
      </c>
      <c r="N5309" s="147">
        <v>-65.987639999999999</v>
      </c>
      <c r="O5309" s="147">
        <v>-7.2821705056448165</v>
      </c>
      <c r="P5309" s="147">
        <v>440.83537999999999</v>
      </c>
      <c r="Q5309" s="147">
        <v>399.33044000000001</v>
      </c>
      <c r="R5309" s="147">
        <v>90.58493444877314</v>
      </c>
    </row>
    <row r="5310" spans="2:18" ht="15.75" hidden="1" thickBot="1" x14ac:dyDescent="0.3">
      <c r="B5310" s="724" t="s">
        <v>824</v>
      </c>
      <c r="C5310" s="722" t="s">
        <v>134</v>
      </c>
      <c r="D5310" t="s">
        <v>135</v>
      </c>
      <c r="E5310" s="148">
        <v>0.63271999999999995</v>
      </c>
      <c r="F5310" s="728"/>
      <c r="G5310" s="148">
        <v>0.63271999999999995</v>
      </c>
      <c r="H5310" s="148">
        <v>0</v>
      </c>
      <c r="I5310" s="728"/>
      <c r="J5310" s="148">
        <v>0.63271999999999995</v>
      </c>
      <c r="K5310" s="148">
        <v>0</v>
      </c>
      <c r="L5310" s="148">
        <v>13.72512</v>
      </c>
      <c r="M5310" s="728"/>
      <c r="N5310" s="148">
        <v>13.72512</v>
      </c>
      <c r="O5310" s="148">
        <v>0</v>
      </c>
      <c r="P5310" s="148">
        <v>1.1734899999999999</v>
      </c>
      <c r="Q5310" s="148">
        <v>12.551629999999999</v>
      </c>
      <c r="R5310" s="148">
        <v>1069.5983774893693</v>
      </c>
    </row>
    <row r="5311" spans="2:18" ht="15.75" hidden="1" thickBot="1" x14ac:dyDescent="0.3">
      <c r="B5311" s="724" t="s">
        <v>824</v>
      </c>
      <c r="C5311" s="722" t="s">
        <v>61</v>
      </c>
      <c r="D5311" t="s">
        <v>62</v>
      </c>
      <c r="E5311" s="147">
        <v>10.000819999999999</v>
      </c>
      <c r="F5311" s="147">
        <v>11.766209999999999</v>
      </c>
      <c r="G5311" s="147">
        <v>-1.76539</v>
      </c>
      <c r="H5311" s="147">
        <v>-15.003896751800282</v>
      </c>
      <c r="I5311" s="729"/>
      <c r="J5311" s="147">
        <v>10.000819999999999</v>
      </c>
      <c r="K5311" s="147">
        <v>0</v>
      </c>
      <c r="L5311" s="147">
        <v>126.45761</v>
      </c>
      <c r="M5311" s="147">
        <v>140.45377999999999</v>
      </c>
      <c r="N5311" s="147">
        <v>-13.996169999999999</v>
      </c>
      <c r="O5311" s="147">
        <v>-9.9649649870583765</v>
      </c>
      <c r="P5311" s="147">
        <v>64.039439999999999</v>
      </c>
      <c r="Q5311" s="147">
        <v>62.418170000000003</v>
      </c>
      <c r="R5311" s="147">
        <v>97.4683257692447</v>
      </c>
    </row>
    <row r="5312" spans="2:18" ht="15.75" hidden="1" thickBot="1" x14ac:dyDescent="0.3">
      <c r="B5312" s="724" t="s">
        <v>824</v>
      </c>
      <c r="C5312" s="722" t="s">
        <v>63</v>
      </c>
      <c r="D5312" t="s">
        <v>64</v>
      </c>
      <c r="E5312" s="148">
        <v>38.852429999999998</v>
      </c>
      <c r="F5312" s="148">
        <v>45.774349999999998</v>
      </c>
      <c r="G5312" s="148">
        <v>-6.9219200000000001</v>
      </c>
      <c r="H5312" s="148">
        <v>-15.121831331302356</v>
      </c>
      <c r="I5312" s="728"/>
      <c r="J5312" s="148">
        <v>38.852429999999998</v>
      </c>
      <c r="K5312" s="148">
        <v>0</v>
      </c>
      <c r="L5312" s="148">
        <v>491.36135999999999</v>
      </c>
      <c r="M5312" s="148">
        <v>546.41052000000002</v>
      </c>
      <c r="N5312" s="148">
        <v>-55.049160000000001</v>
      </c>
      <c r="O5312" s="148">
        <v>-10.074688898742286</v>
      </c>
      <c r="P5312" s="148">
        <v>248.87129999999999</v>
      </c>
      <c r="Q5312" s="148">
        <v>242.49006</v>
      </c>
      <c r="R5312" s="148">
        <v>97.4359277264996</v>
      </c>
    </row>
    <row r="5313" spans="2:18" ht="15.75" hidden="1" thickBot="1" x14ac:dyDescent="0.3">
      <c r="B5313" s="724" t="s">
        <v>824</v>
      </c>
      <c r="C5313" s="722" t="s">
        <v>65</v>
      </c>
      <c r="D5313" t="s">
        <v>66</v>
      </c>
      <c r="E5313" s="147">
        <v>-1.3118000000000001</v>
      </c>
      <c r="F5313" s="147">
        <v>-3.3064200000000001</v>
      </c>
      <c r="G5313" s="147">
        <v>1.9946200000000001</v>
      </c>
      <c r="H5313" s="147">
        <v>60.325669455181135</v>
      </c>
      <c r="I5313" s="729"/>
      <c r="J5313" s="147">
        <v>-1.3118000000000001</v>
      </c>
      <c r="K5313" s="147">
        <v>0</v>
      </c>
      <c r="L5313" s="147">
        <v>-142.26768000000001</v>
      </c>
      <c r="M5313" s="147">
        <v>-39.468879999999999</v>
      </c>
      <c r="N5313" s="147">
        <v>-102.7988</v>
      </c>
      <c r="O5313" s="147">
        <v>-260.45532581618733</v>
      </c>
      <c r="P5313" s="147">
        <v>-77.113690000000005</v>
      </c>
      <c r="Q5313" s="147">
        <v>-65.153989999999993</v>
      </c>
      <c r="R5313" s="147">
        <v>-84.490821279593803</v>
      </c>
    </row>
    <row r="5314" spans="2:18" ht="15.75" hidden="1" thickBot="1" x14ac:dyDescent="0.3">
      <c r="B5314" s="724" t="s">
        <v>824</v>
      </c>
      <c r="C5314" s="149" t="s">
        <v>67</v>
      </c>
      <c r="D5314" t="s">
        <v>68</v>
      </c>
      <c r="E5314" s="148">
        <v>106.27697000000001</v>
      </c>
      <c r="F5314" s="148">
        <v>130.14517000000001</v>
      </c>
      <c r="G5314" s="148">
        <v>-23.868200000000002</v>
      </c>
      <c r="H5314" s="148">
        <v>-18.339674073190729</v>
      </c>
      <c r="I5314" s="728"/>
      <c r="J5314" s="148">
        <v>106.27697000000001</v>
      </c>
      <c r="K5314" s="148">
        <v>0</v>
      </c>
      <c r="L5314" s="148">
        <v>1329.4422300000001</v>
      </c>
      <c r="M5314" s="148">
        <v>1553.5488800000001</v>
      </c>
      <c r="N5314" s="148">
        <v>-224.10665</v>
      </c>
      <c r="O5314" s="148">
        <v>-14.425465003714592</v>
      </c>
      <c r="P5314" s="148">
        <v>677.80592000000001</v>
      </c>
      <c r="Q5314" s="148">
        <v>651.63630999999998</v>
      </c>
      <c r="R5314" s="148">
        <v>96.139070310864213</v>
      </c>
    </row>
    <row r="5315" spans="2:18" ht="15.75" hidden="1" thickBot="1" x14ac:dyDescent="0.3">
      <c r="B5315" s="724" t="s">
        <v>824</v>
      </c>
      <c r="C5315" s="722" t="s">
        <v>69</v>
      </c>
      <c r="D5315" t="s">
        <v>70</v>
      </c>
      <c r="E5315" s="729"/>
      <c r="F5315" s="147">
        <v>0.85833000000000004</v>
      </c>
      <c r="G5315" s="147">
        <v>-0.85833000000000004</v>
      </c>
      <c r="H5315" s="147">
        <v>-100</v>
      </c>
      <c r="I5315" s="729"/>
      <c r="J5315" s="729"/>
      <c r="K5315" s="729"/>
      <c r="L5315" s="147">
        <v>2.669</v>
      </c>
      <c r="M5315" s="147">
        <v>10.29996</v>
      </c>
      <c r="N5315" s="147">
        <v>-7.63096</v>
      </c>
      <c r="O5315" s="147">
        <v>-74.087278008846638</v>
      </c>
      <c r="P5315" s="147">
        <v>2.5</v>
      </c>
      <c r="Q5315" s="147">
        <v>0.16900000000000001</v>
      </c>
      <c r="R5315" s="147">
        <v>6.76</v>
      </c>
    </row>
    <row r="5316" spans="2:18" ht="15.75" hidden="1" thickBot="1" x14ac:dyDescent="0.3">
      <c r="B5316" s="724" t="s">
        <v>824</v>
      </c>
      <c r="C5316" s="722" t="s">
        <v>582</v>
      </c>
      <c r="D5316" t="s">
        <v>583</v>
      </c>
      <c r="E5316" s="148">
        <v>1.05</v>
      </c>
      <c r="F5316" s="148">
        <v>1.764</v>
      </c>
      <c r="G5316" s="148">
        <v>-0.71399999999999997</v>
      </c>
      <c r="H5316" s="148">
        <v>-40.476190476190474</v>
      </c>
      <c r="I5316" s="728"/>
      <c r="J5316" s="148">
        <v>1.05</v>
      </c>
      <c r="K5316" s="148">
        <v>0</v>
      </c>
      <c r="L5316" s="148">
        <v>16.8</v>
      </c>
      <c r="M5316" s="148">
        <v>19.088999999999999</v>
      </c>
      <c r="N5316" s="148">
        <v>-2.2890000000000001</v>
      </c>
      <c r="O5316" s="148">
        <v>-11.991199119911991</v>
      </c>
      <c r="P5316" s="148">
        <v>9.4499999999999993</v>
      </c>
      <c r="Q5316" s="148">
        <v>7.35</v>
      </c>
      <c r="R5316" s="148">
        <v>77.777777777777771</v>
      </c>
    </row>
    <row r="5317" spans="2:18" ht="15.75" hidden="1" thickBot="1" x14ac:dyDescent="0.3">
      <c r="B5317" s="724" t="s">
        <v>824</v>
      </c>
      <c r="C5317" s="722" t="s">
        <v>137</v>
      </c>
      <c r="D5317" t="s">
        <v>138</v>
      </c>
      <c r="E5317" s="147">
        <v>0.22563</v>
      </c>
      <c r="F5317" s="147">
        <v>4.0000000000000001E-3</v>
      </c>
      <c r="G5317" s="147">
        <v>0.22162999999999999</v>
      </c>
      <c r="H5317" s="147">
        <v>5540.75</v>
      </c>
      <c r="I5317" s="729"/>
      <c r="J5317" s="147">
        <v>0.22563</v>
      </c>
      <c r="K5317" s="147">
        <v>0</v>
      </c>
      <c r="L5317" s="147">
        <v>0.43054999999999999</v>
      </c>
      <c r="M5317" s="147">
        <v>0.45850000000000002</v>
      </c>
      <c r="N5317" s="147">
        <v>-2.7949999999999999E-2</v>
      </c>
      <c r="O5317" s="147">
        <v>-6.095965103598691</v>
      </c>
      <c r="P5317" s="729"/>
      <c r="Q5317" s="147">
        <v>0.43054999999999999</v>
      </c>
      <c r="R5317" s="147">
        <v>0</v>
      </c>
    </row>
    <row r="5318" spans="2:18" ht="15.75" hidden="1" thickBot="1" x14ac:dyDescent="0.3">
      <c r="B5318" s="724" t="s">
        <v>824</v>
      </c>
      <c r="C5318" s="722" t="s">
        <v>139</v>
      </c>
      <c r="D5318" t="s">
        <v>140</v>
      </c>
      <c r="E5318" s="148">
        <v>0.99458000000000002</v>
      </c>
      <c r="F5318" s="148">
        <v>0.41666999999999998</v>
      </c>
      <c r="G5318" s="148">
        <v>0.57791000000000003</v>
      </c>
      <c r="H5318" s="148">
        <v>138.69729042167663</v>
      </c>
      <c r="I5318" s="728"/>
      <c r="J5318" s="148">
        <v>0.99458000000000002</v>
      </c>
      <c r="K5318" s="148">
        <v>0</v>
      </c>
      <c r="L5318" s="148">
        <v>6.3486599999999997</v>
      </c>
      <c r="M5318" s="148">
        <v>5.0000400000000003</v>
      </c>
      <c r="N5318" s="148">
        <v>1.3486199999999999</v>
      </c>
      <c r="O5318" s="148">
        <v>26.97218422252622</v>
      </c>
      <c r="P5318" s="148">
        <v>4.9349800000000004</v>
      </c>
      <c r="Q5318" s="148">
        <v>1.41368</v>
      </c>
      <c r="R5318" s="148">
        <v>28.646114067331581</v>
      </c>
    </row>
    <row r="5319" spans="2:18" ht="15.75" hidden="1" thickBot="1" x14ac:dyDescent="0.3">
      <c r="B5319" s="724" t="s">
        <v>824</v>
      </c>
      <c r="C5319" s="722" t="s">
        <v>169</v>
      </c>
      <c r="D5319" t="s">
        <v>170</v>
      </c>
      <c r="E5319" s="147">
        <v>1.8216399999999999</v>
      </c>
      <c r="F5319" s="729"/>
      <c r="G5319" s="147">
        <v>1.8216399999999999</v>
      </c>
      <c r="H5319" s="147">
        <v>0</v>
      </c>
      <c r="I5319" s="729"/>
      <c r="J5319" s="147">
        <v>1.8216399999999999</v>
      </c>
      <c r="K5319" s="147">
        <v>0</v>
      </c>
      <c r="L5319" s="147">
        <v>6.8167499999999999</v>
      </c>
      <c r="M5319" s="147">
        <v>8.8397100000000002</v>
      </c>
      <c r="N5319" s="147">
        <v>-2.0229599999999999</v>
      </c>
      <c r="O5319" s="147">
        <v>-22.884913645357145</v>
      </c>
      <c r="P5319" s="147">
        <v>4.6499600000000001</v>
      </c>
      <c r="Q5319" s="147">
        <v>2.1667900000000002</v>
      </c>
      <c r="R5319" s="147">
        <v>46.598035251916144</v>
      </c>
    </row>
    <row r="5320" spans="2:18" ht="15.75" hidden="1" thickBot="1" x14ac:dyDescent="0.3">
      <c r="B5320" s="724" t="s">
        <v>824</v>
      </c>
      <c r="C5320" s="722" t="s">
        <v>101</v>
      </c>
      <c r="D5320" t="s">
        <v>102</v>
      </c>
      <c r="E5320" s="148">
        <v>2.5340000000000001E-2</v>
      </c>
      <c r="F5320" s="148">
        <v>0.113</v>
      </c>
      <c r="G5320" s="148">
        <v>-8.7660000000000002E-2</v>
      </c>
      <c r="H5320" s="148">
        <v>-77.575221238938056</v>
      </c>
      <c r="I5320" s="728"/>
      <c r="J5320" s="148">
        <v>2.5340000000000001E-2</v>
      </c>
      <c r="K5320" s="148">
        <v>0</v>
      </c>
      <c r="L5320" s="148">
        <v>1.2302500000000001</v>
      </c>
      <c r="M5320" s="148">
        <v>1.224</v>
      </c>
      <c r="N5320" s="148">
        <v>6.2500000000000003E-3</v>
      </c>
      <c r="O5320" s="148">
        <v>0.5106209150326797</v>
      </c>
      <c r="P5320" s="148">
        <v>0.77373999999999998</v>
      </c>
      <c r="Q5320" s="148">
        <v>0.45651000000000003</v>
      </c>
      <c r="R5320" s="148">
        <v>59.000439424095951</v>
      </c>
    </row>
    <row r="5321" spans="2:18" ht="15.75" hidden="1" thickBot="1" x14ac:dyDescent="0.3">
      <c r="B5321" s="724" t="s">
        <v>824</v>
      </c>
      <c r="C5321" s="722" t="s">
        <v>71</v>
      </c>
      <c r="D5321" t="s">
        <v>72</v>
      </c>
      <c r="E5321" s="147">
        <v>3.0000000000000001E-3</v>
      </c>
      <c r="F5321" s="729"/>
      <c r="G5321" s="147">
        <v>3.0000000000000001E-3</v>
      </c>
      <c r="H5321" s="147">
        <v>0</v>
      </c>
      <c r="I5321" s="729"/>
      <c r="J5321" s="147">
        <v>3.0000000000000001E-3</v>
      </c>
      <c r="K5321" s="147">
        <v>0</v>
      </c>
      <c r="L5321" s="147">
        <v>6.0000000000000001E-3</v>
      </c>
      <c r="M5321" s="729"/>
      <c r="N5321" s="147">
        <v>6.0000000000000001E-3</v>
      </c>
      <c r="O5321" s="147">
        <v>0</v>
      </c>
      <c r="P5321" s="729"/>
      <c r="Q5321" s="147">
        <v>6.0000000000000001E-3</v>
      </c>
      <c r="R5321" s="147">
        <v>0</v>
      </c>
    </row>
    <row r="5322" spans="2:18" ht="15.75" hidden="1" thickBot="1" x14ac:dyDescent="0.3">
      <c r="B5322" s="724" t="s">
        <v>824</v>
      </c>
      <c r="C5322" s="722" t="s">
        <v>109</v>
      </c>
      <c r="D5322" t="s">
        <v>110</v>
      </c>
      <c r="E5322" s="148">
        <v>0.11183999999999999</v>
      </c>
      <c r="F5322" s="148">
        <v>0.122</v>
      </c>
      <c r="G5322" s="148">
        <v>-1.0160000000000001E-2</v>
      </c>
      <c r="H5322" s="148">
        <v>-8.3278688524590159</v>
      </c>
      <c r="I5322" s="728"/>
      <c r="J5322" s="148">
        <v>0.11183999999999999</v>
      </c>
      <c r="K5322" s="148">
        <v>0</v>
      </c>
      <c r="L5322" s="148">
        <v>0.85887999999999998</v>
      </c>
      <c r="M5322" s="148">
        <v>2.1520999999999999</v>
      </c>
      <c r="N5322" s="148">
        <v>-1.29322</v>
      </c>
      <c r="O5322" s="148">
        <v>-60.091073834858975</v>
      </c>
      <c r="P5322" s="148">
        <v>0.25805</v>
      </c>
      <c r="Q5322" s="148">
        <v>0.60082999999999998</v>
      </c>
      <c r="R5322" s="148">
        <v>232.83472195310986</v>
      </c>
    </row>
    <row r="5323" spans="2:18" ht="15.75" hidden="1" thickBot="1" x14ac:dyDescent="0.3">
      <c r="B5323" s="724" t="s">
        <v>824</v>
      </c>
      <c r="C5323" s="722" t="s">
        <v>73</v>
      </c>
      <c r="D5323" t="s">
        <v>74</v>
      </c>
      <c r="E5323" s="147">
        <v>0.57569999999999999</v>
      </c>
      <c r="F5323" s="147">
        <v>0.58333000000000002</v>
      </c>
      <c r="G5323" s="147">
        <v>-7.6299999999999996E-3</v>
      </c>
      <c r="H5323" s="147">
        <v>-1.3080074743284247</v>
      </c>
      <c r="I5323" s="729"/>
      <c r="J5323" s="147">
        <v>0.57569999999999999</v>
      </c>
      <c r="K5323" s="147">
        <v>0</v>
      </c>
      <c r="L5323" s="147">
        <v>3.4916100000000001</v>
      </c>
      <c r="M5323" s="147">
        <v>6.9999599999999997</v>
      </c>
      <c r="N5323" s="147">
        <v>-3.5083500000000001</v>
      </c>
      <c r="O5323" s="147">
        <v>-50.11957211184064</v>
      </c>
      <c r="P5323" s="147">
        <v>1.6027199999999999</v>
      </c>
      <c r="Q5323" s="147">
        <v>1.88889</v>
      </c>
      <c r="R5323" s="147">
        <v>117.8552710392333</v>
      </c>
    </row>
    <row r="5324" spans="2:18" ht="15.75" hidden="1" thickBot="1" x14ac:dyDescent="0.3">
      <c r="B5324" s="724" t="s">
        <v>824</v>
      </c>
      <c r="C5324" s="722" t="s">
        <v>141</v>
      </c>
      <c r="D5324" t="s">
        <v>142</v>
      </c>
      <c r="E5324" s="148">
        <v>3.5040100000000001</v>
      </c>
      <c r="F5324" s="148">
        <v>1.27342</v>
      </c>
      <c r="G5324" s="148">
        <v>2.2305899999999999</v>
      </c>
      <c r="H5324" s="148">
        <v>175.16530288514394</v>
      </c>
      <c r="I5324" s="728"/>
      <c r="J5324" s="148">
        <v>3.5040100000000001</v>
      </c>
      <c r="K5324" s="148">
        <v>0</v>
      </c>
      <c r="L5324" s="148">
        <v>16.265799999999999</v>
      </c>
      <c r="M5324" s="148">
        <v>15.281040000000001</v>
      </c>
      <c r="N5324" s="148">
        <v>0.98475999999999997</v>
      </c>
      <c r="O5324" s="148">
        <v>6.4443257788736892</v>
      </c>
      <c r="P5324" s="148">
        <v>5.7594900000000004</v>
      </c>
      <c r="Q5324" s="148">
        <v>10.506309999999999</v>
      </c>
      <c r="R5324" s="148">
        <v>182.41736681546456</v>
      </c>
    </row>
    <row r="5325" spans="2:18" ht="15.75" hidden="1" thickBot="1" x14ac:dyDescent="0.3">
      <c r="B5325" s="724" t="s">
        <v>824</v>
      </c>
      <c r="C5325" s="722" t="s">
        <v>113</v>
      </c>
      <c r="D5325" t="s">
        <v>114</v>
      </c>
      <c r="E5325" s="729"/>
      <c r="F5325" s="147">
        <v>3.7499999999999999E-2</v>
      </c>
      <c r="G5325" s="147">
        <v>-3.7499999999999999E-2</v>
      </c>
      <c r="H5325" s="147">
        <v>-100</v>
      </c>
      <c r="I5325" s="729"/>
      <c r="J5325" s="729"/>
      <c r="K5325" s="729"/>
      <c r="L5325" s="147">
        <v>6.0330000000000002E-2</v>
      </c>
      <c r="M5325" s="147">
        <v>0.45</v>
      </c>
      <c r="N5325" s="147">
        <v>-0.38967000000000002</v>
      </c>
      <c r="O5325" s="147">
        <v>-86.593333333333334</v>
      </c>
      <c r="P5325" s="147">
        <v>2.47E-2</v>
      </c>
      <c r="Q5325" s="147">
        <v>3.5630000000000002E-2</v>
      </c>
      <c r="R5325" s="147">
        <v>144.251012145749</v>
      </c>
    </row>
    <row r="5326" spans="2:18" ht="15.75" hidden="1" thickBot="1" x14ac:dyDescent="0.3">
      <c r="B5326" s="724" t="s">
        <v>824</v>
      </c>
      <c r="C5326" s="722" t="s">
        <v>145</v>
      </c>
      <c r="D5326" t="s">
        <v>146</v>
      </c>
      <c r="E5326" s="148">
        <v>4.0000000000000001E-3</v>
      </c>
      <c r="F5326" s="148">
        <v>0.16667000000000001</v>
      </c>
      <c r="G5326" s="148">
        <v>-0.16267000000000001</v>
      </c>
      <c r="H5326" s="148">
        <v>-97.600047999040015</v>
      </c>
      <c r="I5326" s="728"/>
      <c r="J5326" s="148">
        <v>4.0000000000000001E-3</v>
      </c>
      <c r="K5326" s="148">
        <v>0</v>
      </c>
      <c r="L5326" s="148">
        <v>0.10645</v>
      </c>
      <c r="M5326" s="148">
        <v>2.0000399999999998</v>
      </c>
      <c r="N5326" s="148">
        <v>-1.8935900000000001</v>
      </c>
      <c r="O5326" s="148">
        <v>-94.677606447871042</v>
      </c>
      <c r="P5326" s="148">
        <v>7.6950000000000005E-2</v>
      </c>
      <c r="Q5326" s="148">
        <v>2.9499999999999998E-2</v>
      </c>
      <c r="R5326" s="148">
        <v>38.336582196231319</v>
      </c>
    </row>
    <row r="5327" spans="2:18" ht="15.75" hidden="1" thickBot="1" x14ac:dyDescent="0.3">
      <c r="B5327" s="724" t="s">
        <v>824</v>
      </c>
      <c r="C5327" s="722" t="s">
        <v>147</v>
      </c>
      <c r="D5327" t="s">
        <v>148</v>
      </c>
      <c r="E5327" s="729"/>
      <c r="F5327" s="729"/>
      <c r="G5327" s="729"/>
      <c r="H5327" s="729"/>
      <c r="I5327" s="729"/>
      <c r="J5327" s="729"/>
      <c r="K5327" s="729"/>
      <c r="L5327" s="147">
        <v>0.1043</v>
      </c>
      <c r="M5327" s="729"/>
      <c r="N5327" s="147">
        <v>0.1043</v>
      </c>
      <c r="O5327" s="147">
        <v>0</v>
      </c>
      <c r="P5327" s="147">
        <v>3.5099999999999999E-2</v>
      </c>
      <c r="Q5327" s="147">
        <v>6.9199999999999998E-2</v>
      </c>
      <c r="R5327" s="147">
        <v>197.15099715099714</v>
      </c>
    </row>
    <row r="5328" spans="2:18" ht="15.75" hidden="1" thickBot="1" x14ac:dyDescent="0.3">
      <c r="B5328" s="724" t="s">
        <v>824</v>
      </c>
      <c r="C5328" s="722" t="s">
        <v>643</v>
      </c>
      <c r="D5328" t="s">
        <v>644</v>
      </c>
      <c r="E5328" s="148">
        <v>9.6652799999999992</v>
      </c>
      <c r="F5328" s="148">
        <v>12.96167</v>
      </c>
      <c r="G5328" s="148">
        <v>-3.2963900000000002</v>
      </c>
      <c r="H5328" s="148">
        <v>-25.431830929193538</v>
      </c>
      <c r="I5328" s="728"/>
      <c r="J5328" s="148">
        <v>9.6652799999999992</v>
      </c>
      <c r="K5328" s="148">
        <v>0</v>
      </c>
      <c r="L5328" s="148">
        <v>113.5749</v>
      </c>
      <c r="M5328" s="148">
        <v>155.54004</v>
      </c>
      <c r="N5328" s="148">
        <v>-41.965139999999998</v>
      </c>
      <c r="O5328" s="148">
        <v>-26.980281090322467</v>
      </c>
      <c r="P5328" s="148">
        <v>172.65042</v>
      </c>
      <c r="Q5328" s="148">
        <v>-59.075519999999997</v>
      </c>
      <c r="R5328" s="148">
        <v>-34.21684117536465</v>
      </c>
    </row>
    <row r="5329" spans="2:18" ht="15.75" hidden="1" thickBot="1" x14ac:dyDescent="0.3">
      <c r="B5329" s="724" t="s">
        <v>824</v>
      </c>
      <c r="C5329" s="722" t="s">
        <v>149</v>
      </c>
      <c r="D5329" t="s">
        <v>150</v>
      </c>
      <c r="E5329" s="729"/>
      <c r="F5329" s="729"/>
      <c r="G5329" s="729"/>
      <c r="H5329" s="729"/>
      <c r="I5329" s="729"/>
      <c r="J5329" s="729"/>
      <c r="K5329" s="729"/>
      <c r="L5329" s="147">
        <v>2.8590000000000001E-2</v>
      </c>
      <c r="M5329" s="147">
        <v>5.1999999999999998E-2</v>
      </c>
      <c r="N5329" s="147">
        <v>-2.341E-2</v>
      </c>
      <c r="O5329" s="147">
        <v>-45.019230769230766</v>
      </c>
      <c r="P5329" s="147">
        <v>8.6999999999999994E-3</v>
      </c>
      <c r="Q5329" s="147">
        <v>1.9890000000000001E-2</v>
      </c>
      <c r="R5329" s="147">
        <v>228.62068965517241</v>
      </c>
    </row>
    <row r="5330" spans="2:18" ht="15.75" hidden="1" thickBot="1" x14ac:dyDescent="0.3">
      <c r="B5330" s="724" t="s">
        <v>824</v>
      </c>
      <c r="C5330" s="722" t="s">
        <v>151</v>
      </c>
      <c r="D5330" t="s">
        <v>152</v>
      </c>
      <c r="E5330" s="728"/>
      <c r="F5330" s="728"/>
      <c r="G5330" s="728"/>
      <c r="H5330" s="728"/>
      <c r="I5330" s="728"/>
      <c r="J5330" s="728"/>
      <c r="K5330" s="728"/>
      <c r="L5330" s="728"/>
      <c r="M5330" s="148">
        <v>0.20399999999999999</v>
      </c>
      <c r="N5330" s="148">
        <v>-0.20399999999999999</v>
      </c>
      <c r="O5330" s="148">
        <v>-100</v>
      </c>
      <c r="P5330" s="728"/>
      <c r="Q5330" s="728"/>
      <c r="R5330" s="728"/>
    </row>
    <row r="5331" spans="2:18" ht="15.75" hidden="1" thickBot="1" x14ac:dyDescent="0.3">
      <c r="B5331" s="724" t="s">
        <v>824</v>
      </c>
      <c r="C5331" s="722" t="s">
        <v>75</v>
      </c>
      <c r="D5331" t="s">
        <v>76</v>
      </c>
      <c r="E5331" s="147">
        <v>5.561E-2</v>
      </c>
      <c r="F5331" s="147">
        <v>0.79242000000000001</v>
      </c>
      <c r="G5331" s="147">
        <v>-0.73680999999999996</v>
      </c>
      <c r="H5331" s="147">
        <v>-92.982256883975666</v>
      </c>
      <c r="I5331" s="729"/>
      <c r="J5331" s="147">
        <v>5.561E-2</v>
      </c>
      <c r="K5331" s="147">
        <v>0</v>
      </c>
      <c r="L5331" s="147">
        <v>3.5301200000000001</v>
      </c>
      <c r="M5331" s="147">
        <v>9.5090400000000006</v>
      </c>
      <c r="N5331" s="147">
        <v>-5.9789199999999996</v>
      </c>
      <c r="O5331" s="147">
        <v>-62.87616836189563</v>
      </c>
      <c r="P5331" s="147">
        <v>1.90171</v>
      </c>
      <c r="Q5331" s="147">
        <v>1.6284099999999999</v>
      </c>
      <c r="R5331" s="147">
        <v>85.628723622424033</v>
      </c>
    </row>
    <row r="5332" spans="2:18" ht="15.75" hidden="1" thickBot="1" x14ac:dyDescent="0.3">
      <c r="B5332" s="724" t="s">
        <v>824</v>
      </c>
      <c r="C5332" s="722" t="s">
        <v>121</v>
      </c>
      <c r="D5332" t="s">
        <v>122</v>
      </c>
      <c r="E5332" s="728"/>
      <c r="F5332" s="728"/>
      <c r="G5332" s="728"/>
      <c r="H5332" s="728"/>
      <c r="I5332" s="728"/>
      <c r="J5332" s="728"/>
      <c r="K5332" s="728"/>
      <c r="L5332" s="148">
        <v>0.20745</v>
      </c>
      <c r="M5332" s="728"/>
      <c r="N5332" s="148">
        <v>0.20745</v>
      </c>
      <c r="O5332" s="148">
        <v>0</v>
      </c>
      <c r="P5332" s="148">
        <v>0.12709000000000001</v>
      </c>
      <c r="Q5332" s="148">
        <v>8.0360000000000001E-2</v>
      </c>
      <c r="R5332" s="148">
        <v>63.230781336061057</v>
      </c>
    </row>
    <row r="5333" spans="2:18" ht="15.75" hidden="1" thickBot="1" x14ac:dyDescent="0.3">
      <c r="B5333" s="724" t="s">
        <v>824</v>
      </c>
      <c r="C5333" s="722" t="s">
        <v>77</v>
      </c>
      <c r="D5333" t="s">
        <v>78</v>
      </c>
      <c r="E5333" s="729"/>
      <c r="F5333" s="147">
        <v>0.97816999999999998</v>
      </c>
      <c r="G5333" s="147">
        <v>-0.97816999999999998</v>
      </c>
      <c r="H5333" s="147">
        <v>-100</v>
      </c>
      <c r="I5333" s="729"/>
      <c r="J5333" s="729"/>
      <c r="K5333" s="729"/>
      <c r="L5333" s="147">
        <v>7.3005800000000001</v>
      </c>
      <c r="M5333" s="147">
        <v>11.73804</v>
      </c>
      <c r="N5333" s="147">
        <v>-4.4374599999999997</v>
      </c>
      <c r="O5333" s="147">
        <v>-37.804096765729199</v>
      </c>
      <c r="P5333" s="147">
        <v>2.5091100000000002</v>
      </c>
      <c r="Q5333" s="147">
        <v>4.7914700000000003</v>
      </c>
      <c r="R5333" s="147">
        <v>190.96293107914758</v>
      </c>
    </row>
    <row r="5334" spans="2:18" ht="15.75" hidden="1" thickBot="1" x14ac:dyDescent="0.3">
      <c r="B5334" s="724" t="s">
        <v>824</v>
      </c>
      <c r="C5334" s="722" t="s">
        <v>79</v>
      </c>
      <c r="D5334" t="s">
        <v>80</v>
      </c>
      <c r="E5334" s="728"/>
      <c r="F5334" s="148">
        <v>0.71082999999999996</v>
      </c>
      <c r="G5334" s="148">
        <v>-0.71082999999999996</v>
      </c>
      <c r="H5334" s="148">
        <v>-100</v>
      </c>
      <c r="I5334" s="728"/>
      <c r="J5334" s="728"/>
      <c r="K5334" s="728"/>
      <c r="L5334" s="148">
        <v>1.1153500000000001</v>
      </c>
      <c r="M5334" s="148">
        <v>8.5299600000000009</v>
      </c>
      <c r="N5334" s="148">
        <v>-7.4146099999999997</v>
      </c>
      <c r="O5334" s="148">
        <v>-86.924323209018567</v>
      </c>
      <c r="P5334" s="148">
        <v>0.86138999999999999</v>
      </c>
      <c r="Q5334" s="148">
        <v>0.25396000000000002</v>
      </c>
      <c r="R5334" s="148">
        <v>29.482580480386353</v>
      </c>
    </row>
    <row r="5335" spans="2:18" ht="15.75" hidden="1" thickBot="1" x14ac:dyDescent="0.3">
      <c r="B5335" s="724" t="s">
        <v>824</v>
      </c>
      <c r="C5335" s="722" t="s">
        <v>81</v>
      </c>
      <c r="D5335" t="s">
        <v>82</v>
      </c>
      <c r="E5335" s="729"/>
      <c r="F5335" s="147">
        <v>0.03</v>
      </c>
      <c r="G5335" s="147">
        <v>-0.03</v>
      </c>
      <c r="H5335" s="147">
        <v>-100</v>
      </c>
      <c r="I5335" s="729"/>
      <c r="J5335" s="729"/>
      <c r="K5335" s="729"/>
      <c r="L5335" s="147">
        <v>6.6989999999999994E-2</v>
      </c>
      <c r="M5335" s="147">
        <v>0.62994000000000006</v>
      </c>
      <c r="N5335" s="147">
        <v>-0.56294999999999995</v>
      </c>
      <c r="O5335" s="147">
        <v>-89.365653871797321</v>
      </c>
      <c r="P5335" s="147">
        <v>6.6989999999999994E-2</v>
      </c>
      <c r="Q5335" s="147">
        <v>0</v>
      </c>
      <c r="R5335" s="147">
        <v>0</v>
      </c>
    </row>
    <row r="5336" spans="2:18" ht="15.75" hidden="1" thickBot="1" x14ac:dyDescent="0.3">
      <c r="B5336" s="724" t="s">
        <v>824</v>
      </c>
      <c r="C5336" s="722" t="s">
        <v>123</v>
      </c>
      <c r="D5336" t="s">
        <v>124</v>
      </c>
      <c r="E5336" s="728"/>
      <c r="F5336" s="148">
        <v>0.11</v>
      </c>
      <c r="G5336" s="148">
        <v>-0.11</v>
      </c>
      <c r="H5336" s="148">
        <v>-100</v>
      </c>
      <c r="I5336" s="728"/>
      <c r="J5336" s="728"/>
      <c r="K5336" s="728"/>
      <c r="L5336" s="728"/>
      <c r="M5336" s="148">
        <v>1.2210000000000001</v>
      </c>
      <c r="N5336" s="148">
        <v>-1.2210000000000001</v>
      </c>
      <c r="O5336" s="148">
        <v>-100</v>
      </c>
      <c r="P5336" s="728"/>
      <c r="Q5336" s="728"/>
      <c r="R5336" s="728"/>
    </row>
    <row r="5337" spans="2:18" ht="15.75" hidden="1" thickBot="1" x14ac:dyDescent="0.3">
      <c r="B5337" s="724" t="s">
        <v>824</v>
      </c>
      <c r="C5337" s="722" t="s">
        <v>125</v>
      </c>
      <c r="D5337" t="s">
        <v>126</v>
      </c>
      <c r="E5337" s="729"/>
      <c r="F5337" s="147">
        <v>1.0999999999999999E-2</v>
      </c>
      <c r="G5337" s="147">
        <v>-1.0999999999999999E-2</v>
      </c>
      <c r="H5337" s="147">
        <v>-100</v>
      </c>
      <c r="I5337" s="729"/>
      <c r="J5337" s="729"/>
      <c r="K5337" s="729"/>
      <c r="L5337" s="729"/>
      <c r="M5337" s="147">
        <v>0.1221</v>
      </c>
      <c r="N5337" s="147">
        <v>-0.1221</v>
      </c>
      <c r="O5337" s="147">
        <v>-100</v>
      </c>
      <c r="P5337" s="729"/>
      <c r="Q5337" s="729"/>
      <c r="R5337" s="729"/>
    </row>
    <row r="5338" spans="2:18" ht="15.75" hidden="1" thickBot="1" x14ac:dyDescent="0.3">
      <c r="B5338" s="724" t="s">
        <v>824</v>
      </c>
      <c r="C5338" s="722" t="s">
        <v>83</v>
      </c>
      <c r="D5338" t="s">
        <v>84</v>
      </c>
      <c r="E5338" s="728"/>
      <c r="F5338" s="728"/>
      <c r="G5338" s="728"/>
      <c r="H5338" s="728"/>
      <c r="I5338" s="728"/>
      <c r="J5338" s="728"/>
      <c r="K5338" s="728"/>
      <c r="L5338" s="728"/>
      <c r="M5338" s="148">
        <v>0</v>
      </c>
      <c r="N5338" s="148">
        <v>0</v>
      </c>
      <c r="O5338" s="148">
        <v>0</v>
      </c>
      <c r="P5338" s="728"/>
      <c r="Q5338" s="728"/>
      <c r="R5338" s="728"/>
    </row>
    <row r="5339" spans="2:18" ht="15.75" hidden="1" thickBot="1" x14ac:dyDescent="0.3">
      <c r="B5339" s="724" t="s">
        <v>824</v>
      </c>
      <c r="C5339" s="149" t="s">
        <v>85</v>
      </c>
      <c r="D5339" t="s">
        <v>86</v>
      </c>
      <c r="E5339" s="147">
        <v>18.036629999999999</v>
      </c>
      <c r="F5339" s="147">
        <v>20.933009999999999</v>
      </c>
      <c r="G5339" s="147">
        <v>-2.8963800000000002</v>
      </c>
      <c r="H5339" s="147">
        <v>-13.836423906547601</v>
      </c>
      <c r="I5339" s="729"/>
      <c r="J5339" s="147">
        <v>18.036629999999999</v>
      </c>
      <c r="K5339" s="147">
        <v>0</v>
      </c>
      <c r="L5339" s="147">
        <v>181.01256000000001</v>
      </c>
      <c r="M5339" s="147">
        <v>259.34046999999998</v>
      </c>
      <c r="N5339" s="147">
        <v>-78.327910000000003</v>
      </c>
      <c r="O5339" s="147">
        <v>-30.202733109876757</v>
      </c>
      <c r="P5339" s="147">
        <v>208.19110000000001</v>
      </c>
      <c r="Q5339" s="147">
        <v>-27.178540000000002</v>
      </c>
      <c r="R5339" s="147">
        <v>-13.054611844598544</v>
      </c>
    </row>
    <row r="5340" spans="2:18" ht="15.75" hidden="1" thickBot="1" x14ac:dyDescent="0.3">
      <c r="B5340" s="724" t="s">
        <v>824</v>
      </c>
      <c r="C5340" s="144" t="s">
        <v>87</v>
      </c>
      <c r="D5340" t="s">
        <v>87</v>
      </c>
      <c r="E5340" s="148">
        <v>124.31359999999999</v>
      </c>
      <c r="F5340" s="148">
        <v>151.07818</v>
      </c>
      <c r="G5340" s="148">
        <v>-26.764579999999999</v>
      </c>
      <c r="H5340" s="148">
        <v>-17.715715135038032</v>
      </c>
      <c r="I5340" s="728"/>
      <c r="J5340" s="148">
        <v>124.31359999999999</v>
      </c>
      <c r="K5340" s="148">
        <v>0</v>
      </c>
      <c r="L5340" s="148">
        <v>1510.45479</v>
      </c>
      <c r="M5340" s="148">
        <v>1812.8893499999999</v>
      </c>
      <c r="N5340" s="148">
        <v>-302.43455999999998</v>
      </c>
      <c r="O5340" s="148">
        <v>-16.682461066915089</v>
      </c>
      <c r="P5340" s="148">
        <v>885.99702000000002</v>
      </c>
      <c r="Q5340" s="148">
        <v>624.45776999999998</v>
      </c>
      <c r="R5340" s="148">
        <v>70.480798005392842</v>
      </c>
    </row>
    <row r="5341" spans="2:18" ht="15.75" hidden="1" thickBot="1" x14ac:dyDescent="0.3">
      <c r="B5341" s="724" t="s">
        <v>825</v>
      </c>
      <c r="C5341" s="722" t="s">
        <v>643</v>
      </c>
      <c r="D5341" t="s">
        <v>644</v>
      </c>
      <c r="E5341" s="147">
        <v>-0.4</v>
      </c>
      <c r="F5341" s="147">
        <v>12.625</v>
      </c>
      <c r="G5341" s="147">
        <v>-13.025</v>
      </c>
      <c r="H5341" s="147">
        <v>-103.16831683168317</v>
      </c>
      <c r="I5341" s="729"/>
      <c r="J5341" s="147">
        <v>-0.4</v>
      </c>
      <c r="K5341" s="147">
        <v>0</v>
      </c>
      <c r="L5341" s="147">
        <v>4.5410000000000004</v>
      </c>
      <c r="M5341" s="147">
        <v>151.5</v>
      </c>
      <c r="N5341" s="147">
        <v>-146.959</v>
      </c>
      <c r="O5341" s="147">
        <v>-97.002640264026397</v>
      </c>
      <c r="P5341" s="147">
        <v>0.61</v>
      </c>
      <c r="Q5341" s="147">
        <v>3.931</v>
      </c>
      <c r="R5341" s="147">
        <v>644.42622950819668</v>
      </c>
    </row>
    <row r="5342" spans="2:18" ht="15.75" hidden="1" thickBot="1" x14ac:dyDescent="0.3">
      <c r="B5342" s="724" t="s">
        <v>825</v>
      </c>
      <c r="C5342" s="722" t="s">
        <v>661</v>
      </c>
      <c r="D5342" t="s">
        <v>662</v>
      </c>
      <c r="E5342" s="728"/>
      <c r="F5342" s="728"/>
      <c r="G5342" s="728"/>
      <c r="H5342" s="728"/>
      <c r="I5342" s="728"/>
      <c r="J5342" s="728"/>
      <c r="K5342" s="728"/>
      <c r="L5342" s="148">
        <v>120.8</v>
      </c>
      <c r="M5342" s="728"/>
      <c r="N5342" s="148">
        <v>120.8</v>
      </c>
      <c r="O5342" s="148">
        <v>0</v>
      </c>
      <c r="P5342" s="728"/>
      <c r="Q5342" s="148">
        <v>120.8</v>
      </c>
      <c r="R5342" s="148">
        <v>0</v>
      </c>
    </row>
    <row r="5343" spans="2:18" ht="15.75" hidden="1" thickBot="1" x14ac:dyDescent="0.3">
      <c r="B5343" s="724" t="s">
        <v>825</v>
      </c>
      <c r="C5343" s="149" t="s">
        <v>85</v>
      </c>
      <c r="D5343" t="s">
        <v>86</v>
      </c>
      <c r="E5343" s="147">
        <v>-0.4</v>
      </c>
      <c r="F5343" s="147">
        <v>12.625</v>
      </c>
      <c r="G5343" s="147">
        <v>-13.025</v>
      </c>
      <c r="H5343" s="147">
        <v>-103.16831683168317</v>
      </c>
      <c r="I5343" s="729"/>
      <c r="J5343" s="147">
        <v>-0.4</v>
      </c>
      <c r="K5343" s="147">
        <v>0</v>
      </c>
      <c r="L5343" s="147">
        <v>125.34099999999999</v>
      </c>
      <c r="M5343" s="147">
        <v>151.5</v>
      </c>
      <c r="N5343" s="147">
        <v>-26.158999999999999</v>
      </c>
      <c r="O5343" s="147">
        <v>-17.266666666666666</v>
      </c>
      <c r="P5343" s="147">
        <v>0.61</v>
      </c>
      <c r="Q5343" s="147">
        <v>124.73099999999999</v>
      </c>
      <c r="R5343" s="147">
        <v>20447.704918032789</v>
      </c>
    </row>
    <row r="5344" spans="2:18" ht="15.75" hidden="1" thickBot="1" x14ac:dyDescent="0.3">
      <c r="B5344" s="724" t="s">
        <v>825</v>
      </c>
      <c r="C5344" s="144" t="s">
        <v>87</v>
      </c>
      <c r="D5344" t="s">
        <v>87</v>
      </c>
      <c r="E5344" s="148">
        <v>-0.4</v>
      </c>
      <c r="F5344" s="148">
        <v>12.625</v>
      </c>
      <c r="G5344" s="148">
        <v>-13.025</v>
      </c>
      <c r="H5344" s="148">
        <v>-103.16831683168317</v>
      </c>
      <c r="I5344" s="728"/>
      <c r="J5344" s="148">
        <v>-0.4</v>
      </c>
      <c r="K5344" s="148">
        <v>0</v>
      </c>
      <c r="L5344" s="148">
        <v>125.34099999999999</v>
      </c>
      <c r="M5344" s="148">
        <v>151.5</v>
      </c>
      <c r="N5344" s="148">
        <v>-26.158999999999999</v>
      </c>
      <c r="O5344" s="148">
        <v>-17.266666666666666</v>
      </c>
      <c r="P5344" s="148">
        <v>0.61</v>
      </c>
      <c r="Q5344" s="148">
        <v>124.73099999999999</v>
      </c>
      <c r="R5344" s="148">
        <v>20447.704918032789</v>
      </c>
    </row>
    <row r="5345" spans="2:18" ht="15.75" hidden="1" thickBot="1" x14ac:dyDescent="0.3">
      <c r="B5345" s="724" t="s">
        <v>826</v>
      </c>
      <c r="C5345" s="722" t="s">
        <v>643</v>
      </c>
      <c r="D5345" t="s">
        <v>644</v>
      </c>
      <c r="E5345" s="147">
        <v>15.052300000000001</v>
      </c>
      <c r="F5345" s="147">
        <v>12.8775</v>
      </c>
      <c r="G5345" s="147">
        <v>2.1747999999999998</v>
      </c>
      <c r="H5345" s="147">
        <v>16.888371190060184</v>
      </c>
      <c r="I5345" s="729"/>
      <c r="J5345" s="147">
        <v>15.052300000000001</v>
      </c>
      <c r="K5345" s="147">
        <v>0</v>
      </c>
      <c r="L5345" s="147">
        <v>122.52875</v>
      </c>
      <c r="M5345" s="147">
        <v>154.53</v>
      </c>
      <c r="N5345" s="147">
        <v>-32.001249999999999</v>
      </c>
      <c r="O5345" s="147">
        <v>-20.708762052675855</v>
      </c>
      <c r="P5345" s="147">
        <v>57.71895</v>
      </c>
      <c r="Q5345" s="147">
        <v>64.809799999999996</v>
      </c>
      <c r="R5345" s="147">
        <v>112.28513339206621</v>
      </c>
    </row>
    <row r="5346" spans="2:18" ht="15.75" hidden="1" thickBot="1" x14ac:dyDescent="0.3">
      <c r="B5346" s="724" t="s">
        <v>826</v>
      </c>
      <c r="C5346" s="722" t="s">
        <v>77</v>
      </c>
      <c r="D5346" t="s">
        <v>78</v>
      </c>
      <c r="E5346" s="148">
        <v>0.54676999999999998</v>
      </c>
      <c r="F5346" s="728"/>
      <c r="G5346" s="148">
        <v>0.54676999999999998</v>
      </c>
      <c r="H5346" s="148">
        <v>0</v>
      </c>
      <c r="I5346" s="728"/>
      <c r="J5346" s="148">
        <v>0.54676999999999998</v>
      </c>
      <c r="K5346" s="148">
        <v>0</v>
      </c>
      <c r="L5346" s="148">
        <v>0.54676999999999998</v>
      </c>
      <c r="M5346" s="728"/>
      <c r="N5346" s="148">
        <v>0.54676999999999998</v>
      </c>
      <c r="O5346" s="148">
        <v>0</v>
      </c>
      <c r="P5346" s="728"/>
      <c r="Q5346" s="148">
        <v>0.54676999999999998</v>
      </c>
      <c r="R5346" s="148">
        <v>0</v>
      </c>
    </row>
    <row r="5347" spans="2:18" ht="15.75" hidden="1" thickBot="1" x14ac:dyDescent="0.3">
      <c r="B5347" s="724" t="s">
        <v>826</v>
      </c>
      <c r="C5347" s="149" t="s">
        <v>85</v>
      </c>
      <c r="D5347" t="s">
        <v>86</v>
      </c>
      <c r="E5347" s="147">
        <v>15.599069999999999</v>
      </c>
      <c r="F5347" s="147">
        <v>12.8775</v>
      </c>
      <c r="G5347" s="147">
        <v>2.7215699999999998</v>
      </c>
      <c r="H5347" s="147">
        <v>21.13430401863716</v>
      </c>
      <c r="I5347" s="729"/>
      <c r="J5347" s="147">
        <v>15.599069999999999</v>
      </c>
      <c r="K5347" s="147">
        <v>0</v>
      </c>
      <c r="L5347" s="147">
        <v>123.07552</v>
      </c>
      <c r="M5347" s="147">
        <v>154.53</v>
      </c>
      <c r="N5347" s="147">
        <v>-31.45448</v>
      </c>
      <c r="O5347" s="147">
        <v>-20.354934316961106</v>
      </c>
      <c r="P5347" s="147">
        <v>57.71895</v>
      </c>
      <c r="Q5347" s="147">
        <v>65.356570000000005</v>
      </c>
      <c r="R5347" s="147">
        <v>113.23243059688369</v>
      </c>
    </row>
    <row r="5348" spans="2:18" ht="15.75" hidden="1" thickBot="1" x14ac:dyDescent="0.3">
      <c r="B5348" s="724" t="s">
        <v>826</v>
      </c>
      <c r="C5348" s="144" t="s">
        <v>87</v>
      </c>
      <c r="D5348" t="s">
        <v>87</v>
      </c>
      <c r="E5348" s="148">
        <v>15.599069999999999</v>
      </c>
      <c r="F5348" s="148">
        <v>12.8775</v>
      </c>
      <c r="G5348" s="148">
        <v>2.7215699999999998</v>
      </c>
      <c r="H5348" s="148">
        <v>21.13430401863716</v>
      </c>
      <c r="I5348" s="728"/>
      <c r="J5348" s="148">
        <v>15.599069999999999</v>
      </c>
      <c r="K5348" s="148">
        <v>0</v>
      </c>
      <c r="L5348" s="148">
        <v>123.07552</v>
      </c>
      <c r="M5348" s="148">
        <v>154.53</v>
      </c>
      <c r="N5348" s="148">
        <v>-31.45448</v>
      </c>
      <c r="O5348" s="148">
        <v>-20.354934316961106</v>
      </c>
      <c r="P5348" s="148">
        <v>57.71895</v>
      </c>
      <c r="Q5348" s="148">
        <v>65.356570000000005</v>
      </c>
      <c r="R5348" s="148">
        <v>113.23243059688369</v>
      </c>
    </row>
    <row r="5349" spans="2:18" ht="15.75" hidden="1" thickBot="1" x14ac:dyDescent="0.3">
      <c r="B5349" s="724" t="s">
        <v>827</v>
      </c>
      <c r="C5349" s="722" t="s">
        <v>111</v>
      </c>
      <c r="D5349" t="s">
        <v>112</v>
      </c>
      <c r="E5349" s="729"/>
      <c r="F5349" s="729"/>
      <c r="G5349" s="729"/>
      <c r="H5349" s="729"/>
      <c r="I5349" s="729"/>
      <c r="J5349" s="729"/>
      <c r="K5349" s="729"/>
      <c r="L5349" s="147">
        <v>0</v>
      </c>
      <c r="M5349" s="729"/>
      <c r="N5349" s="147">
        <v>0</v>
      </c>
      <c r="O5349" s="147">
        <v>0</v>
      </c>
      <c r="P5349" s="147">
        <v>0</v>
      </c>
      <c r="Q5349" s="147">
        <v>0</v>
      </c>
      <c r="R5349" s="147">
        <v>0</v>
      </c>
    </row>
    <row r="5350" spans="2:18" ht="15.75" hidden="1" thickBot="1" x14ac:dyDescent="0.3">
      <c r="B5350" s="724" t="s">
        <v>827</v>
      </c>
      <c r="C5350" s="722" t="s">
        <v>643</v>
      </c>
      <c r="D5350" t="s">
        <v>644</v>
      </c>
      <c r="E5350" s="148">
        <v>104.05641</v>
      </c>
      <c r="F5350" s="148">
        <v>44</v>
      </c>
      <c r="G5350" s="148">
        <v>60.05641</v>
      </c>
      <c r="H5350" s="148">
        <v>136.49184090909091</v>
      </c>
      <c r="I5350" s="728"/>
      <c r="J5350" s="148">
        <v>104.05641</v>
      </c>
      <c r="K5350" s="148">
        <v>0</v>
      </c>
      <c r="L5350" s="148">
        <v>552.78380000000004</v>
      </c>
      <c r="M5350" s="148">
        <v>444</v>
      </c>
      <c r="N5350" s="148">
        <v>108.7838</v>
      </c>
      <c r="O5350" s="148">
        <v>24.500855855855857</v>
      </c>
      <c r="P5350" s="148">
        <v>248.7782</v>
      </c>
      <c r="Q5350" s="148">
        <v>304.00560000000002</v>
      </c>
      <c r="R5350" s="148">
        <v>122.1994531675203</v>
      </c>
    </row>
    <row r="5351" spans="2:18" ht="15.75" hidden="1" thickBot="1" x14ac:dyDescent="0.3">
      <c r="B5351" s="724" t="s">
        <v>827</v>
      </c>
      <c r="C5351" s="722" t="s">
        <v>151</v>
      </c>
      <c r="D5351" t="s">
        <v>152</v>
      </c>
      <c r="E5351" s="729"/>
      <c r="F5351" s="729"/>
      <c r="G5351" s="729"/>
      <c r="H5351" s="729"/>
      <c r="I5351" s="729"/>
      <c r="J5351" s="729"/>
      <c r="K5351" s="729"/>
      <c r="L5351" s="147">
        <v>1.1151</v>
      </c>
      <c r="M5351" s="729"/>
      <c r="N5351" s="147">
        <v>1.1151</v>
      </c>
      <c r="O5351" s="147">
        <v>0</v>
      </c>
      <c r="P5351" s="729"/>
      <c r="Q5351" s="147">
        <v>1.1151</v>
      </c>
      <c r="R5351" s="147">
        <v>0</v>
      </c>
    </row>
    <row r="5352" spans="2:18" ht="15.75" hidden="1" thickBot="1" x14ac:dyDescent="0.3">
      <c r="B5352" s="724" t="s">
        <v>827</v>
      </c>
      <c r="C5352" s="149" t="s">
        <v>85</v>
      </c>
      <c r="D5352" t="s">
        <v>86</v>
      </c>
      <c r="E5352" s="148">
        <v>104.05641</v>
      </c>
      <c r="F5352" s="148">
        <v>44</v>
      </c>
      <c r="G5352" s="148">
        <v>60.05641</v>
      </c>
      <c r="H5352" s="148">
        <v>136.49184090909091</v>
      </c>
      <c r="I5352" s="728"/>
      <c r="J5352" s="148">
        <v>104.05641</v>
      </c>
      <c r="K5352" s="148">
        <v>0</v>
      </c>
      <c r="L5352" s="148">
        <v>553.89890000000003</v>
      </c>
      <c r="M5352" s="148">
        <v>444</v>
      </c>
      <c r="N5352" s="148">
        <v>109.8989</v>
      </c>
      <c r="O5352" s="148">
        <v>24.752004504504505</v>
      </c>
      <c r="P5352" s="148">
        <v>248.7782</v>
      </c>
      <c r="Q5352" s="148">
        <v>305.1207</v>
      </c>
      <c r="R5352" s="148">
        <v>122.64768376007223</v>
      </c>
    </row>
    <row r="5353" spans="2:18" ht="15.75" hidden="1" thickBot="1" x14ac:dyDescent="0.3">
      <c r="B5353" s="724" t="s">
        <v>827</v>
      </c>
      <c r="C5353" s="144" t="s">
        <v>87</v>
      </c>
      <c r="D5353" t="s">
        <v>87</v>
      </c>
      <c r="E5353" s="147">
        <v>104.05641</v>
      </c>
      <c r="F5353" s="147">
        <v>44</v>
      </c>
      <c r="G5353" s="147">
        <v>60.05641</v>
      </c>
      <c r="H5353" s="147">
        <v>136.49184090909091</v>
      </c>
      <c r="I5353" s="729"/>
      <c r="J5353" s="147">
        <v>104.05641</v>
      </c>
      <c r="K5353" s="147">
        <v>0</v>
      </c>
      <c r="L5353" s="147">
        <v>553.89890000000003</v>
      </c>
      <c r="M5353" s="147">
        <v>444</v>
      </c>
      <c r="N5353" s="147">
        <v>109.8989</v>
      </c>
      <c r="O5353" s="147">
        <v>24.752004504504505</v>
      </c>
      <c r="P5353" s="147">
        <v>248.7782</v>
      </c>
      <c r="Q5353" s="147">
        <v>305.1207</v>
      </c>
      <c r="R5353" s="147">
        <v>122.64768376007223</v>
      </c>
    </row>
    <row r="5354" spans="2:18" ht="15.75" hidden="1" thickBot="1" x14ac:dyDescent="0.3">
      <c r="B5354" s="724" t="s">
        <v>828</v>
      </c>
      <c r="C5354" s="722" t="s">
        <v>643</v>
      </c>
      <c r="D5354" t="s">
        <v>644</v>
      </c>
      <c r="E5354" s="148">
        <v>109.93641</v>
      </c>
      <c r="F5354" s="148">
        <v>19.75112</v>
      </c>
      <c r="G5354" s="148">
        <v>90.185289999999995</v>
      </c>
      <c r="H5354" s="148">
        <v>456.60848599978129</v>
      </c>
      <c r="I5354" s="728"/>
      <c r="J5354" s="148">
        <v>109.93641</v>
      </c>
      <c r="K5354" s="148">
        <v>0</v>
      </c>
      <c r="L5354" s="148">
        <v>381.12939999999998</v>
      </c>
      <c r="M5354" s="148">
        <v>345.42007999999998</v>
      </c>
      <c r="N5354" s="148">
        <v>35.709319999999998</v>
      </c>
      <c r="O5354" s="148">
        <v>10.337939820985508</v>
      </c>
      <c r="P5354" s="148">
        <v>124.36739</v>
      </c>
      <c r="Q5354" s="148">
        <v>256.76200999999998</v>
      </c>
      <c r="R5354" s="148">
        <v>206.45444919283102</v>
      </c>
    </row>
    <row r="5355" spans="2:18" ht="15.75" hidden="1" thickBot="1" x14ac:dyDescent="0.3">
      <c r="B5355" s="724" t="s">
        <v>828</v>
      </c>
      <c r="C5355" s="149" t="s">
        <v>85</v>
      </c>
      <c r="D5355" t="s">
        <v>86</v>
      </c>
      <c r="E5355" s="147">
        <v>109.93641</v>
      </c>
      <c r="F5355" s="147">
        <v>19.75112</v>
      </c>
      <c r="G5355" s="147">
        <v>90.185289999999995</v>
      </c>
      <c r="H5355" s="147">
        <v>456.60848599978129</v>
      </c>
      <c r="I5355" s="729"/>
      <c r="J5355" s="147">
        <v>109.93641</v>
      </c>
      <c r="K5355" s="147">
        <v>0</v>
      </c>
      <c r="L5355" s="147">
        <v>381.12939999999998</v>
      </c>
      <c r="M5355" s="147">
        <v>345.42007999999998</v>
      </c>
      <c r="N5355" s="147">
        <v>35.709319999999998</v>
      </c>
      <c r="O5355" s="147">
        <v>10.337939820985508</v>
      </c>
      <c r="P5355" s="147">
        <v>124.36739</v>
      </c>
      <c r="Q5355" s="147">
        <v>256.76200999999998</v>
      </c>
      <c r="R5355" s="147">
        <v>206.45444919283102</v>
      </c>
    </row>
    <row r="5356" spans="2:18" ht="15.75" hidden="1" thickBot="1" x14ac:dyDescent="0.3">
      <c r="B5356" s="724" t="s">
        <v>828</v>
      </c>
      <c r="C5356" s="144" t="s">
        <v>87</v>
      </c>
      <c r="D5356" t="s">
        <v>87</v>
      </c>
      <c r="E5356" s="148">
        <v>109.93641</v>
      </c>
      <c r="F5356" s="148">
        <v>19.75112</v>
      </c>
      <c r="G5356" s="148">
        <v>90.185289999999995</v>
      </c>
      <c r="H5356" s="148">
        <v>456.60848599978129</v>
      </c>
      <c r="I5356" s="728"/>
      <c r="J5356" s="148">
        <v>109.93641</v>
      </c>
      <c r="K5356" s="148">
        <v>0</v>
      </c>
      <c r="L5356" s="148">
        <v>381.12939999999998</v>
      </c>
      <c r="M5356" s="148">
        <v>345.42007999999998</v>
      </c>
      <c r="N5356" s="148">
        <v>35.709319999999998</v>
      </c>
      <c r="O5356" s="148">
        <v>10.337939820985508</v>
      </c>
      <c r="P5356" s="148">
        <v>124.36739</v>
      </c>
      <c r="Q5356" s="148">
        <v>256.76200999999998</v>
      </c>
      <c r="R5356" s="148">
        <v>206.45444919283102</v>
      </c>
    </row>
    <row r="5357" spans="2:18" ht="15.75" hidden="1" thickBot="1" x14ac:dyDescent="0.3">
      <c r="B5357" s="724" t="s">
        <v>829</v>
      </c>
      <c r="C5357" s="722" t="s">
        <v>643</v>
      </c>
      <c r="D5357" t="s">
        <v>644</v>
      </c>
      <c r="E5357" s="147">
        <v>45.627459999999999</v>
      </c>
      <c r="F5357" s="147">
        <v>14.72917</v>
      </c>
      <c r="G5357" s="147">
        <v>30.898289999999999</v>
      </c>
      <c r="H5357" s="147">
        <v>209.77617883424523</v>
      </c>
      <c r="I5357" s="729"/>
      <c r="J5357" s="147">
        <v>45.627459999999999</v>
      </c>
      <c r="K5357" s="147">
        <v>0</v>
      </c>
      <c r="L5357" s="147">
        <v>255.92786000000001</v>
      </c>
      <c r="M5357" s="147">
        <v>176.75004000000001</v>
      </c>
      <c r="N5357" s="147">
        <v>79.177819999999997</v>
      </c>
      <c r="O5357" s="147">
        <v>44.796493398247605</v>
      </c>
      <c r="P5357" s="147">
        <v>126.62222</v>
      </c>
      <c r="Q5357" s="147">
        <v>129.30564000000001</v>
      </c>
      <c r="R5357" s="147">
        <v>102.11923310142564</v>
      </c>
    </row>
    <row r="5358" spans="2:18" ht="15.75" hidden="1" thickBot="1" x14ac:dyDescent="0.3">
      <c r="B5358" s="724" t="s">
        <v>829</v>
      </c>
      <c r="C5358" s="149" t="s">
        <v>85</v>
      </c>
      <c r="D5358" t="s">
        <v>86</v>
      </c>
      <c r="E5358" s="148">
        <v>45.627459999999999</v>
      </c>
      <c r="F5358" s="148">
        <v>14.72917</v>
      </c>
      <c r="G5358" s="148">
        <v>30.898289999999999</v>
      </c>
      <c r="H5358" s="148">
        <v>209.77617883424523</v>
      </c>
      <c r="I5358" s="728"/>
      <c r="J5358" s="148">
        <v>45.627459999999999</v>
      </c>
      <c r="K5358" s="148">
        <v>0</v>
      </c>
      <c r="L5358" s="148">
        <v>255.92786000000001</v>
      </c>
      <c r="M5358" s="148">
        <v>176.75004000000001</v>
      </c>
      <c r="N5358" s="148">
        <v>79.177819999999997</v>
      </c>
      <c r="O5358" s="148">
        <v>44.796493398247605</v>
      </c>
      <c r="P5358" s="148">
        <v>126.62222</v>
      </c>
      <c r="Q5358" s="148">
        <v>129.30564000000001</v>
      </c>
      <c r="R5358" s="148">
        <v>102.11923310142564</v>
      </c>
    </row>
    <row r="5359" spans="2:18" ht="15.75" hidden="1" thickBot="1" x14ac:dyDescent="0.3">
      <c r="B5359" s="724" t="s">
        <v>829</v>
      </c>
      <c r="C5359" s="144" t="s">
        <v>87</v>
      </c>
      <c r="D5359" t="s">
        <v>87</v>
      </c>
      <c r="E5359" s="147">
        <v>45.627459999999999</v>
      </c>
      <c r="F5359" s="147">
        <v>14.72917</v>
      </c>
      <c r="G5359" s="147">
        <v>30.898289999999999</v>
      </c>
      <c r="H5359" s="147">
        <v>209.77617883424523</v>
      </c>
      <c r="I5359" s="729"/>
      <c r="J5359" s="147">
        <v>45.627459999999999</v>
      </c>
      <c r="K5359" s="147">
        <v>0</v>
      </c>
      <c r="L5359" s="147">
        <v>255.92786000000001</v>
      </c>
      <c r="M5359" s="147">
        <v>176.75004000000001</v>
      </c>
      <c r="N5359" s="147">
        <v>79.177819999999997</v>
      </c>
      <c r="O5359" s="147">
        <v>44.796493398247605</v>
      </c>
      <c r="P5359" s="147">
        <v>126.62222</v>
      </c>
      <c r="Q5359" s="147">
        <v>129.30564000000001</v>
      </c>
      <c r="R5359" s="147">
        <v>102.11923310142564</v>
      </c>
    </row>
    <row r="5360" spans="2:18" ht="15.75" hidden="1" thickBot="1" x14ac:dyDescent="0.3">
      <c r="B5360" s="724" t="s">
        <v>830</v>
      </c>
      <c r="C5360" s="722" t="s">
        <v>109</v>
      </c>
      <c r="D5360" t="s">
        <v>110</v>
      </c>
      <c r="E5360" s="728"/>
      <c r="F5360" s="148">
        <v>1.25</v>
      </c>
      <c r="G5360" s="148">
        <v>-1.25</v>
      </c>
      <c r="H5360" s="148">
        <v>-100</v>
      </c>
      <c r="I5360" s="728"/>
      <c r="J5360" s="728"/>
      <c r="K5360" s="728"/>
      <c r="L5360" s="728"/>
      <c r="M5360" s="148">
        <v>15</v>
      </c>
      <c r="N5360" s="148">
        <v>-15</v>
      </c>
      <c r="O5360" s="148">
        <v>-100</v>
      </c>
      <c r="P5360" s="728"/>
      <c r="Q5360" s="728"/>
      <c r="R5360" s="728"/>
    </row>
    <row r="5361" spans="2:18" ht="15.75" hidden="1" thickBot="1" x14ac:dyDescent="0.3">
      <c r="B5361" s="724" t="s">
        <v>830</v>
      </c>
      <c r="C5361" s="722" t="s">
        <v>111</v>
      </c>
      <c r="D5361" t="s">
        <v>112</v>
      </c>
      <c r="E5361" s="147">
        <v>6.68</v>
      </c>
      <c r="F5361" s="147">
        <v>0.58337000000000006</v>
      </c>
      <c r="G5361" s="147">
        <v>6.0966300000000002</v>
      </c>
      <c r="H5361" s="147">
        <v>1045.0708812588923</v>
      </c>
      <c r="I5361" s="729"/>
      <c r="J5361" s="147">
        <v>6.68</v>
      </c>
      <c r="K5361" s="147">
        <v>0</v>
      </c>
      <c r="L5361" s="147">
        <v>18.666</v>
      </c>
      <c r="M5361" s="147">
        <v>7</v>
      </c>
      <c r="N5361" s="147">
        <v>11.666</v>
      </c>
      <c r="O5361" s="147">
        <v>166.65714285714284</v>
      </c>
      <c r="P5361" s="147">
        <v>7.1989999999999998</v>
      </c>
      <c r="Q5361" s="147">
        <v>11.467000000000001</v>
      </c>
      <c r="R5361" s="147">
        <v>159.28601194610363</v>
      </c>
    </row>
    <row r="5362" spans="2:18" ht="15.75" hidden="1" thickBot="1" x14ac:dyDescent="0.3">
      <c r="B5362" s="724" t="s">
        <v>830</v>
      </c>
      <c r="C5362" s="722" t="s">
        <v>643</v>
      </c>
      <c r="D5362" t="s">
        <v>644</v>
      </c>
      <c r="E5362" s="148">
        <v>-12.519500000000001</v>
      </c>
      <c r="F5362" s="148">
        <v>4.1666299999999996</v>
      </c>
      <c r="G5362" s="148">
        <v>-16.686129999999999</v>
      </c>
      <c r="H5362" s="148">
        <v>-400.47064414166846</v>
      </c>
      <c r="I5362" s="728"/>
      <c r="J5362" s="148">
        <v>-12.519500000000001</v>
      </c>
      <c r="K5362" s="148">
        <v>0</v>
      </c>
      <c r="L5362" s="148">
        <v>412.60550999999998</v>
      </c>
      <c r="M5362" s="148">
        <v>50</v>
      </c>
      <c r="N5362" s="148">
        <v>362.60550999999998</v>
      </c>
      <c r="O5362" s="148">
        <v>725.21101999999996</v>
      </c>
      <c r="P5362" s="148">
        <v>135.62109000000001</v>
      </c>
      <c r="Q5362" s="148">
        <v>276.98442</v>
      </c>
      <c r="R5362" s="148">
        <v>204.23403174240821</v>
      </c>
    </row>
    <row r="5363" spans="2:18" ht="15.75" hidden="1" thickBot="1" x14ac:dyDescent="0.3">
      <c r="B5363" s="724" t="s">
        <v>830</v>
      </c>
      <c r="C5363" s="722" t="s">
        <v>149</v>
      </c>
      <c r="D5363" t="s">
        <v>150</v>
      </c>
      <c r="E5363" s="729"/>
      <c r="F5363" s="147">
        <v>2.3333699999999999</v>
      </c>
      <c r="G5363" s="147">
        <v>-2.3333699999999999</v>
      </c>
      <c r="H5363" s="147">
        <v>-100</v>
      </c>
      <c r="I5363" s="729"/>
      <c r="J5363" s="729"/>
      <c r="K5363" s="729"/>
      <c r="L5363" s="729"/>
      <c r="M5363" s="147">
        <v>28</v>
      </c>
      <c r="N5363" s="147">
        <v>-28</v>
      </c>
      <c r="O5363" s="147">
        <v>-100</v>
      </c>
      <c r="P5363" s="729"/>
      <c r="Q5363" s="729"/>
      <c r="R5363" s="729"/>
    </row>
    <row r="5364" spans="2:18" ht="15.75" hidden="1" thickBot="1" x14ac:dyDescent="0.3">
      <c r="B5364" s="724" t="s">
        <v>830</v>
      </c>
      <c r="C5364" s="149" t="s">
        <v>85</v>
      </c>
      <c r="D5364" t="s">
        <v>86</v>
      </c>
      <c r="E5364" s="148">
        <v>-5.8395000000000001</v>
      </c>
      <c r="F5364" s="148">
        <v>8.3333700000000004</v>
      </c>
      <c r="G5364" s="148">
        <v>-14.17287</v>
      </c>
      <c r="H5364" s="148">
        <v>-170.07369167575663</v>
      </c>
      <c r="I5364" s="728"/>
      <c r="J5364" s="148">
        <v>-5.8395000000000001</v>
      </c>
      <c r="K5364" s="148">
        <v>0</v>
      </c>
      <c r="L5364" s="148">
        <v>431.27150999999998</v>
      </c>
      <c r="M5364" s="148">
        <v>100</v>
      </c>
      <c r="N5364" s="148">
        <v>331.27150999999998</v>
      </c>
      <c r="O5364" s="148">
        <v>331.27150999999998</v>
      </c>
      <c r="P5364" s="148">
        <v>142.82008999999999</v>
      </c>
      <c r="Q5364" s="148">
        <v>288.45141999999998</v>
      </c>
      <c r="R5364" s="148">
        <v>201.96837853834148</v>
      </c>
    </row>
    <row r="5365" spans="2:18" ht="15.75" hidden="1" thickBot="1" x14ac:dyDescent="0.3">
      <c r="B5365" s="724" t="s">
        <v>830</v>
      </c>
      <c r="C5365" s="144" t="s">
        <v>87</v>
      </c>
      <c r="D5365" t="s">
        <v>87</v>
      </c>
      <c r="E5365" s="147">
        <v>-5.8395000000000001</v>
      </c>
      <c r="F5365" s="147">
        <v>8.3333700000000004</v>
      </c>
      <c r="G5365" s="147">
        <v>-14.17287</v>
      </c>
      <c r="H5365" s="147">
        <v>-170.07369167575663</v>
      </c>
      <c r="I5365" s="729"/>
      <c r="J5365" s="147">
        <v>-5.8395000000000001</v>
      </c>
      <c r="K5365" s="147">
        <v>0</v>
      </c>
      <c r="L5365" s="147">
        <v>431.27150999999998</v>
      </c>
      <c r="M5365" s="147">
        <v>100</v>
      </c>
      <c r="N5365" s="147">
        <v>331.27150999999998</v>
      </c>
      <c r="O5365" s="147">
        <v>331.27150999999998</v>
      </c>
      <c r="P5365" s="147">
        <v>142.82008999999999</v>
      </c>
      <c r="Q5365" s="147">
        <v>288.45141999999998</v>
      </c>
      <c r="R5365" s="147">
        <v>201.96837853834148</v>
      </c>
    </row>
    <row r="5366" spans="2:18" ht="15.75" hidden="1" thickBot="1" x14ac:dyDescent="0.3">
      <c r="B5366" s="724" t="s">
        <v>831</v>
      </c>
      <c r="C5366" s="722" t="s">
        <v>643</v>
      </c>
      <c r="D5366" t="s">
        <v>644</v>
      </c>
      <c r="E5366" s="148">
        <v>-132.60606000000001</v>
      </c>
      <c r="F5366" s="148">
        <v>4.1666299999999996</v>
      </c>
      <c r="G5366" s="148">
        <v>-136.77269000000001</v>
      </c>
      <c r="H5366" s="148">
        <v>-3282.5734466463305</v>
      </c>
      <c r="I5366" s="728"/>
      <c r="J5366" s="148">
        <v>-132.60606000000001</v>
      </c>
      <c r="K5366" s="148">
        <v>0</v>
      </c>
      <c r="L5366" s="148">
        <v>566.59965</v>
      </c>
      <c r="M5366" s="148">
        <v>50</v>
      </c>
      <c r="N5366" s="148">
        <v>516.59965</v>
      </c>
      <c r="O5366" s="148">
        <v>1033.1993</v>
      </c>
      <c r="P5366" s="148">
        <v>219.99946</v>
      </c>
      <c r="Q5366" s="148">
        <v>346.60019</v>
      </c>
      <c r="R5366" s="148">
        <v>157.54592761273142</v>
      </c>
    </row>
    <row r="5367" spans="2:18" ht="15.75" hidden="1" thickBot="1" x14ac:dyDescent="0.3">
      <c r="B5367" s="724" t="s">
        <v>831</v>
      </c>
      <c r="C5367" s="149" t="s">
        <v>85</v>
      </c>
      <c r="D5367" t="s">
        <v>86</v>
      </c>
      <c r="E5367" s="147">
        <v>-132.60606000000001</v>
      </c>
      <c r="F5367" s="147">
        <v>4.1666299999999996</v>
      </c>
      <c r="G5367" s="147">
        <v>-136.77269000000001</v>
      </c>
      <c r="H5367" s="147">
        <v>-3282.5734466463305</v>
      </c>
      <c r="I5367" s="729"/>
      <c r="J5367" s="147">
        <v>-132.60606000000001</v>
      </c>
      <c r="K5367" s="147">
        <v>0</v>
      </c>
      <c r="L5367" s="147">
        <v>566.59965</v>
      </c>
      <c r="M5367" s="147">
        <v>50</v>
      </c>
      <c r="N5367" s="147">
        <v>516.59965</v>
      </c>
      <c r="O5367" s="147">
        <v>1033.1993</v>
      </c>
      <c r="P5367" s="147">
        <v>219.99946</v>
      </c>
      <c r="Q5367" s="147">
        <v>346.60019</v>
      </c>
      <c r="R5367" s="147">
        <v>157.54592761273142</v>
      </c>
    </row>
    <row r="5368" spans="2:18" ht="15.75" hidden="1" thickBot="1" x14ac:dyDescent="0.3">
      <c r="B5368" s="724" t="s">
        <v>831</v>
      </c>
      <c r="C5368" s="144" t="s">
        <v>87</v>
      </c>
      <c r="D5368" t="s">
        <v>87</v>
      </c>
      <c r="E5368" s="148">
        <v>-132.60606000000001</v>
      </c>
      <c r="F5368" s="148">
        <v>4.1666299999999996</v>
      </c>
      <c r="G5368" s="148">
        <v>-136.77269000000001</v>
      </c>
      <c r="H5368" s="148">
        <v>-3282.5734466463305</v>
      </c>
      <c r="I5368" s="728"/>
      <c r="J5368" s="148">
        <v>-132.60606000000001</v>
      </c>
      <c r="K5368" s="148">
        <v>0</v>
      </c>
      <c r="L5368" s="148">
        <v>566.59965</v>
      </c>
      <c r="M5368" s="148">
        <v>50</v>
      </c>
      <c r="N5368" s="148">
        <v>516.59965</v>
      </c>
      <c r="O5368" s="148">
        <v>1033.1993</v>
      </c>
      <c r="P5368" s="148">
        <v>219.99946</v>
      </c>
      <c r="Q5368" s="148">
        <v>346.60019</v>
      </c>
      <c r="R5368" s="148">
        <v>157.54592761273142</v>
      </c>
    </row>
    <row r="5369" spans="2:18" ht="15.75" hidden="1" thickBot="1" x14ac:dyDescent="0.3">
      <c r="B5369" s="723" t="s">
        <v>832</v>
      </c>
      <c r="C5369" s="722" t="s">
        <v>59</v>
      </c>
      <c r="D5369" t="s">
        <v>60</v>
      </c>
      <c r="E5369" s="147">
        <v>14.15124</v>
      </c>
      <c r="F5369" s="147">
        <v>18.330670000000001</v>
      </c>
      <c r="G5369" s="147">
        <v>-4.17943</v>
      </c>
      <c r="H5369" s="147">
        <v>-22.800203156785866</v>
      </c>
      <c r="I5369" s="729"/>
      <c r="J5369" s="147">
        <v>14.15124</v>
      </c>
      <c r="K5369" s="147">
        <v>0</v>
      </c>
      <c r="L5369" s="147">
        <v>221.95132000000001</v>
      </c>
      <c r="M5369" s="147">
        <v>218.81406000000001</v>
      </c>
      <c r="N5369" s="147">
        <v>3.1372599999999999</v>
      </c>
      <c r="O5369" s="147">
        <v>1.4337561306618047</v>
      </c>
      <c r="P5369" s="147">
        <v>115.33232</v>
      </c>
      <c r="Q5369" s="147">
        <v>106.619</v>
      </c>
      <c r="R5369" s="147">
        <v>92.445031886985362</v>
      </c>
    </row>
    <row r="5370" spans="2:18" ht="15.75" hidden="1" thickBot="1" x14ac:dyDescent="0.3">
      <c r="B5370" s="723" t="s">
        <v>832</v>
      </c>
      <c r="C5370" s="722" t="s">
        <v>89</v>
      </c>
      <c r="D5370" t="s">
        <v>90</v>
      </c>
      <c r="E5370" s="728"/>
      <c r="F5370" s="728"/>
      <c r="G5370" s="728"/>
      <c r="H5370" s="728"/>
      <c r="I5370" s="728"/>
      <c r="J5370" s="728"/>
      <c r="K5370" s="728"/>
      <c r="L5370" s="148">
        <v>0.50234999999999996</v>
      </c>
      <c r="M5370" s="728"/>
      <c r="N5370" s="148">
        <v>0.50234999999999996</v>
      </c>
      <c r="O5370" s="148">
        <v>0</v>
      </c>
      <c r="P5370" s="148">
        <v>0.50234999999999996</v>
      </c>
      <c r="Q5370" s="148">
        <v>0</v>
      </c>
      <c r="R5370" s="148">
        <v>0</v>
      </c>
    </row>
    <row r="5371" spans="2:18" ht="15.75" hidden="1" thickBot="1" x14ac:dyDescent="0.3">
      <c r="B5371" s="723" t="s">
        <v>832</v>
      </c>
      <c r="C5371" s="722" t="s">
        <v>91</v>
      </c>
      <c r="D5371" t="s">
        <v>92</v>
      </c>
      <c r="E5371" s="147">
        <v>6.9707499999999998</v>
      </c>
      <c r="F5371" s="147">
        <v>14.905379999999999</v>
      </c>
      <c r="G5371" s="147">
        <v>-7.9346300000000003</v>
      </c>
      <c r="H5371" s="147">
        <v>-53.233329173761419</v>
      </c>
      <c r="I5371" s="729"/>
      <c r="J5371" s="147">
        <v>6.9707499999999998</v>
      </c>
      <c r="K5371" s="147">
        <v>0</v>
      </c>
      <c r="L5371" s="147">
        <v>104.29808</v>
      </c>
      <c r="M5371" s="147">
        <v>174.08902</v>
      </c>
      <c r="N5371" s="147">
        <v>-69.790940000000006</v>
      </c>
      <c r="O5371" s="147">
        <v>-40.089225615722349</v>
      </c>
      <c r="P5371" s="147">
        <v>48.767209999999999</v>
      </c>
      <c r="Q5371" s="147">
        <v>55.53087</v>
      </c>
      <c r="R5371" s="147">
        <v>113.86927814816553</v>
      </c>
    </row>
    <row r="5372" spans="2:18" ht="15.75" hidden="1" thickBot="1" x14ac:dyDescent="0.3">
      <c r="B5372" s="723" t="s">
        <v>832</v>
      </c>
      <c r="C5372" s="722" t="s">
        <v>93</v>
      </c>
      <c r="D5372" t="s">
        <v>94</v>
      </c>
      <c r="E5372" s="148">
        <v>0.21318999999999999</v>
      </c>
      <c r="F5372" s="148">
        <v>0.53044999999999998</v>
      </c>
      <c r="G5372" s="148">
        <v>-0.31725999999999999</v>
      </c>
      <c r="H5372" s="148">
        <v>-59.809595626354984</v>
      </c>
      <c r="I5372" s="728"/>
      <c r="J5372" s="148">
        <v>0.21318999999999999</v>
      </c>
      <c r="K5372" s="148">
        <v>0</v>
      </c>
      <c r="L5372" s="148">
        <v>4.7740900000000002</v>
      </c>
      <c r="M5372" s="148">
        <v>6.1954500000000001</v>
      </c>
      <c r="N5372" s="148">
        <v>-1.42136</v>
      </c>
      <c r="O5372" s="148">
        <v>-22.941997756418015</v>
      </c>
      <c r="P5372" s="148">
        <v>2.6259299999999999</v>
      </c>
      <c r="Q5372" s="148">
        <v>2.1481599999999998</v>
      </c>
      <c r="R5372" s="148">
        <v>81.805684081449243</v>
      </c>
    </row>
    <row r="5373" spans="2:18" ht="15.75" hidden="1" thickBot="1" x14ac:dyDescent="0.3">
      <c r="B5373" s="723" t="s">
        <v>832</v>
      </c>
      <c r="C5373" s="722" t="s">
        <v>61</v>
      </c>
      <c r="D5373" t="s">
        <v>62</v>
      </c>
      <c r="E5373" s="147">
        <v>4.2312000000000003</v>
      </c>
      <c r="F5373" s="147">
        <v>5.1515899999999997</v>
      </c>
      <c r="G5373" s="147">
        <v>-0.92039000000000004</v>
      </c>
      <c r="H5373" s="147">
        <v>-17.866134533221782</v>
      </c>
      <c r="I5373" s="729"/>
      <c r="J5373" s="147">
        <v>4.2312000000000003</v>
      </c>
      <c r="K5373" s="147">
        <v>0</v>
      </c>
      <c r="L5373" s="147">
        <v>49.89902</v>
      </c>
      <c r="M5373" s="147">
        <v>60.900010000000002</v>
      </c>
      <c r="N5373" s="147">
        <v>-11.00099</v>
      </c>
      <c r="O5373" s="147">
        <v>-18.064020022328403</v>
      </c>
      <c r="P5373" s="147">
        <v>24.391760000000001</v>
      </c>
      <c r="Q5373" s="147">
        <v>25.507259999999999</v>
      </c>
      <c r="R5373" s="147">
        <v>104.57326572580249</v>
      </c>
    </row>
    <row r="5374" spans="2:18" ht="15.75" hidden="1" thickBot="1" x14ac:dyDescent="0.3">
      <c r="B5374" s="723" t="s">
        <v>832</v>
      </c>
      <c r="C5374" s="722" t="s">
        <v>63</v>
      </c>
      <c r="D5374" t="s">
        <v>64</v>
      </c>
      <c r="E5374" s="148">
        <v>16.47296</v>
      </c>
      <c r="F5374" s="148">
        <v>20.041340000000002</v>
      </c>
      <c r="G5374" s="148">
        <v>-3.5683799999999999</v>
      </c>
      <c r="H5374" s="148">
        <v>-17.805096864780499</v>
      </c>
      <c r="I5374" s="728"/>
      <c r="J5374" s="148">
        <v>16.47296</v>
      </c>
      <c r="K5374" s="148">
        <v>0</v>
      </c>
      <c r="L5374" s="148">
        <v>194.87157999999999</v>
      </c>
      <c r="M5374" s="148">
        <v>236.92054999999999</v>
      </c>
      <c r="N5374" s="148">
        <v>-42.048969999999997</v>
      </c>
      <c r="O5374" s="148">
        <v>-17.748131177308174</v>
      </c>
      <c r="P5374" s="148">
        <v>95.423850000000002</v>
      </c>
      <c r="Q5374" s="148">
        <v>99.447730000000007</v>
      </c>
      <c r="R5374" s="148">
        <v>104.2168493516034</v>
      </c>
    </row>
    <row r="5375" spans="2:18" ht="15.75" hidden="1" thickBot="1" x14ac:dyDescent="0.3">
      <c r="B5375" s="723" t="s">
        <v>832</v>
      </c>
      <c r="C5375" s="722" t="s">
        <v>184</v>
      </c>
      <c r="D5375" t="s">
        <v>185</v>
      </c>
      <c r="E5375" s="729"/>
      <c r="F5375" s="729"/>
      <c r="G5375" s="729"/>
      <c r="H5375" s="729"/>
      <c r="I5375" s="729"/>
      <c r="J5375" s="729"/>
      <c r="K5375" s="729"/>
      <c r="L5375" s="147">
        <v>5.7779999999999998E-2</v>
      </c>
      <c r="M5375" s="729"/>
      <c r="N5375" s="147">
        <v>5.7779999999999998E-2</v>
      </c>
      <c r="O5375" s="147">
        <v>0</v>
      </c>
      <c r="P5375" s="729"/>
      <c r="Q5375" s="147">
        <v>5.7779999999999998E-2</v>
      </c>
      <c r="R5375" s="147">
        <v>0</v>
      </c>
    </row>
    <row r="5376" spans="2:18" ht="15.75" hidden="1" thickBot="1" x14ac:dyDescent="0.3">
      <c r="B5376" s="723" t="s">
        <v>832</v>
      </c>
      <c r="C5376" s="722" t="s">
        <v>65</v>
      </c>
      <c r="D5376" t="s">
        <v>66</v>
      </c>
      <c r="E5376" s="148">
        <v>0.62168000000000001</v>
      </c>
      <c r="F5376" s="148">
        <v>-16.01078</v>
      </c>
      <c r="G5376" s="148">
        <v>16.632459999999998</v>
      </c>
      <c r="H5376" s="148">
        <v>103.88288390696768</v>
      </c>
      <c r="I5376" s="728"/>
      <c r="J5376" s="148">
        <v>0.62168000000000001</v>
      </c>
      <c r="K5376" s="148">
        <v>0</v>
      </c>
      <c r="L5376" s="148">
        <v>-212.99735999999999</v>
      </c>
      <c r="M5376" s="148">
        <v>-191.12142</v>
      </c>
      <c r="N5376" s="148">
        <v>-21.87594</v>
      </c>
      <c r="O5376" s="148">
        <v>-11.446095367018517</v>
      </c>
      <c r="P5376" s="148">
        <v>-113.28864</v>
      </c>
      <c r="Q5376" s="148">
        <v>-99.70872</v>
      </c>
      <c r="R5376" s="148">
        <v>-88.012990534620243</v>
      </c>
    </row>
    <row r="5377" spans="2:18" ht="15.75" hidden="1" thickBot="1" x14ac:dyDescent="0.3">
      <c r="B5377" s="723" t="s">
        <v>832</v>
      </c>
      <c r="C5377" s="149" t="s">
        <v>67</v>
      </c>
      <c r="D5377" t="s">
        <v>68</v>
      </c>
      <c r="E5377" s="147">
        <v>42.661020000000001</v>
      </c>
      <c r="F5377" s="147">
        <v>42.948650000000001</v>
      </c>
      <c r="G5377" s="147">
        <v>-0.28763</v>
      </c>
      <c r="H5377" s="147">
        <v>-0.66970673117781354</v>
      </c>
      <c r="I5377" s="729"/>
      <c r="J5377" s="147">
        <v>42.661020000000001</v>
      </c>
      <c r="K5377" s="147">
        <v>0</v>
      </c>
      <c r="L5377" s="147">
        <v>363.35685999999998</v>
      </c>
      <c r="M5377" s="147">
        <v>505.79766999999998</v>
      </c>
      <c r="N5377" s="147">
        <v>-142.44081</v>
      </c>
      <c r="O5377" s="147">
        <v>-28.161618459017419</v>
      </c>
      <c r="P5377" s="147">
        <v>173.75478000000001</v>
      </c>
      <c r="Q5377" s="147">
        <v>189.60208</v>
      </c>
      <c r="R5377" s="147">
        <v>109.12049728934076</v>
      </c>
    </row>
    <row r="5378" spans="2:18" ht="15.75" hidden="1" thickBot="1" x14ac:dyDescent="0.3">
      <c r="B5378" s="723" t="s">
        <v>832</v>
      </c>
      <c r="C5378" s="722" t="s">
        <v>69</v>
      </c>
      <c r="D5378" t="s">
        <v>70</v>
      </c>
      <c r="E5378" s="728"/>
      <c r="F5378" s="148">
        <v>0.1</v>
      </c>
      <c r="G5378" s="148">
        <v>-0.1</v>
      </c>
      <c r="H5378" s="148">
        <v>-100</v>
      </c>
      <c r="I5378" s="728"/>
      <c r="J5378" s="728"/>
      <c r="K5378" s="728"/>
      <c r="L5378" s="148">
        <v>3.0350000000000001</v>
      </c>
      <c r="M5378" s="148">
        <v>1.2</v>
      </c>
      <c r="N5378" s="148">
        <v>1.835</v>
      </c>
      <c r="O5378" s="148">
        <v>152.91666666666666</v>
      </c>
      <c r="P5378" s="148">
        <v>3.0350000000000001</v>
      </c>
      <c r="Q5378" s="148">
        <v>0</v>
      </c>
      <c r="R5378" s="148">
        <v>0</v>
      </c>
    </row>
    <row r="5379" spans="2:18" ht="15.75" hidden="1" thickBot="1" x14ac:dyDescent="0.3">
      <c r="B5379" s="723" t="s">
        <v>832</v>
      </c>
      <c r="C5379" s="722" t="s">
        <v>582</v>
      </c>
      <c r="D5379" t="s">
        <v>583</v>
      </c>
      <c r="E5379" s="729"/>
      <c r="F5379" s="729"/>
      <c r="G5379" s="729"/>
      <c r="H5379" s="729"/>
      <c r="I5379" s="729"/>
      <c r="J5379" s="729"/>
      <c r="K5379" s="729"/>
      <c r="L5379" s="147">
        <v>0.35</v>
      </c>
      <c r="M5379" s="729"/>
      <c r="N5379" s="147">
        <v>0.35</v>
      </c>
      <c r="O5379" s="147">
        <v>0</v>
      </c>
      <c r="P5379" s="147">
        <v>0.35</v>
      </c>
      <c r="Q5379" s="147">
        <v>0</v>
      </c>
      <c r="R5379" s="147">
        <v>0</v>
      </c>
    </row>
    <row r="5380" spans="2:18" ht="15.75" hidden="1" thickBot="1" x14ac:dyDescent="0.3">
      <c r="B5380" s="723" t="s">
        <v>832</v>
      </c>
      <c r="C5380" s="722" t="s">
        <v>99</v>
      </c>
      <c r="D5380" t="s">
        <v>100</v>
      </c>
      <c r="E5380" s="148">
        <v>20.949660000000002</v>
      </c>
      <c r="F5380" s="148">
        <v>0.96140000000000003</v>
      </c>
      <c r="G5380" s="148">
        <v>19.98826</v>
      </c>
      <c r="H5380" s="148">
        <v>2079.0784272935302</v>
      </c>
      <c r="I5380" s="728"/>
      <c r="J5380" s="148">
        <v>20.949660000000002</v>
      </c>
      <c r="K5380" s="148">
        <v>0</v>
      </c>
      <c r="L5380" s="148">
        <v>61.843960000000003</v>
      </c>
      <c r="M5380" s="148">
        <v>10.710039999999999</v>
      </c>
      <c r="N5380" s="148">
        <v>51.133920000000003</v>
      </c>
      <c r="O5380" s="148">
        <v>477.43911320592639</v>
      </c>
      <c r="P5380" s="148">
        <v>22.329070000000002</v>
      </c>
      <c r="Q5380" s="148">
        <v>39.514890000000001</v>
      </c>
      <c r="R5380" s="148">
        <v>176.9661253245209</v>
      </c>
    </row>
    <row r="5381" spans="2:18" ht="15.75" hidden="1" thickBot="1" x14ac:dyDescent="0.3">
      <c r="B5381" s="723" t="s">
        <v>832</v>
      </c>
      <c r="C5381" s="722" t="s">
        <v>165</v>
      </c>
      <c r="D5381" t="s">
        <v>166</v>
      </c>
      <c r="E5381" s="147">
        <v>1.1633</v>
      </c>
      <c r="F5381" s="147">
        <v>1.3755599999999999</v>
      </c>
      <c r="G5381" s="147">
        <v>-0.21226</v>
      </c>
      <c r="H5381" s="147">
        <v>-15.430806362499636</v>
      </c>
      <c r="I5381" s="729"/>
      <c r="J5381" s="147">
        <v>1.1633</v>
      </c>
      <c r="K5381" s="147">
        <v>0</v>
      </c>
      <c r="L5381" s="147">
        <v>16.901209999999999</v>
      </c>
      <c r="M5381" s="147">
        <v>14.479200000000001</v>
      </c>
      <c r="N5381" s="147">
        <v>2.4220100000000002</v>
      </c>
      <c r="O5381" s="147">
        <v>16.727512569755234</v>
      </c>
      <c r="P5381" s="147">
        <v>7.8173300000000001</v>
      </c>
      <c r="Q5381" s="147">
        <v>9.0838800000000006</v>
      </c>
      <c r="R5381" s="147">
        <v>116.20182338471064</v>
      </c>
    </row>
    <row r="5382" spans="2:18" ht="15.75" hidden="1" thickBot="1" x14ac:dyDescent="0.3">
      <c r="B5382" s="723" t="s">
        <v>832</v>
      </c>
      <c r="C5382" s="722" t="s">
        <v>137</v>
      </c>
      <c r="D5382" t="s">
        <v>138</v>
      </c>
      <c r="E5382" s="148">
        <v>0.17657999999999999</v>
      </c>
      <c r="F5382" s="728"/>
      <c r="G5382" s="148">
        <v>0.17657999999999999</v>
      </c>
      <c r="H5382" s="148">
        <v>0</v>
      </c>
      <c r="I5382" s="728"/>
      <c r="J5382" s="148">
        <v>0.17657999999999999</v>
      </c>
      <c r="K5382" s="148">
        <v>0</v>
      </c>
      <c r="L5382" s="148">
        <v>0.8175</v>
      </c>
      <c r="M5382" s="728"/>
      <c r="N5382" s="148">
        <v>0.8175</v>
      </c>
      <c r="O5382" s="148">
        <v>0</v>
      </c>
      <c r="P5382" s="148">
        <v>0.51993</v>
      </c>
      <c r="Q5382" s="148">
        <v>0.29757</v>
      </c>
      <c r="R5382" s="148">
        <v>57.232704402515722</v>
      </c>
    </row>
    <row r="5383" spans="2:18" ht="15.75" hidden="1" thickBot="1" x14ac:dyDescent="0.3">
      <c r="B5383" s="723" t="s">
        <v>832</v>
      </c>
      <c r="C5383" s="722" t="s">
        <v>190</v>
      </c>
      <c r="D5383" t="s">
        <v>191</v>
      </c>
      <c r="E5383" s="147">
        <v>1.508</v>
      </c>
      <c r="F5383" s="147">
        <v>1.5149999999999999</v>
      </c>
      <c r="G5383" s="147">
        <v>-7.0000000000000001E-3</v>
      </c>
      <c r="H5383" s="147">
        <v>-0.46204620462046203</v>
      </c>
      <c r="I5383" s="729"/>
      <c r="J5383" s="147">
        <v>1.508</v>
      </c>
      <c r="K5383" s="147">
        <v>0</v>
      </c>
      <c r="L5383" s="147">
        <v>18.164000000000001</v>
      </c>
      <c r="M5383" s="147">
        <v>18.18</v>
      </c>
      <c r="N5383" s="147">
        <v>-1.6E-2</v>
      </c>
      <c r="O5383" s="147">
        <v>-8.8008800880088014E-2</v>
      </c>
      <c r="P5383" s="147">
        <v>9.048</v>
      </c>
      <c r="Q5383" s="147">
        <v>9.1159999999999997</v>
      </c>
      <c r="R5383" s="147">
        <v>100.75154730327144</v>
      </c>
    </row>
    <row r="5384" spans="2:18" ht="15.75" hidden="1" thickBot="1" x14ac:dyDescent="0.3">
      <c r="B5384" s="723" t="s">
        <v>832</v>
      </c>
      <c r="C5384" s="722" t="s">
        <v>36</v>
      </c>
      <c r="D5384" t="s">
        <v>192</v>
      </c>
      <c r="E5384" s="148">
        <v>1.06752</v>
      </c>
      <c r="F5384" s="148">
        <v>3.2992499999999998</v>
      </c>
      <c r="G5384" s="148">
        <v>-2.2317300000000002</v>
      </c>
      <c r="H5384" s="148">
        <v>-67.643555353489432</v>
      </c>
      <c r="I5384" s="728"/>
      <c r="J5384" s="148">
        <v>1.06752</v>
      </c>
      <c r="K5384" s="148">
        <v>0</v>
      </c>
      <c r="L5384" s="148">
        <v>25.875170000000001</v>
      </c>
      <c r="M5384" s="148">
        <v>25.600999999999999</v>
      </c>
      <c r="N5384" s="148">
        <v>0.27417000000000002</v>
      </c>
      <c r="O5384" s="148">
        <v>1.070934729112144</v>
      </c>
      <c r="P5384" s="148">
        <v>11.41677</v>
      </c>
      <c r="Q5384" s="148">
        <v>14.458399999999999</v>
      </c>
      <c r="R5384" s="148">
        <v>126.6417734613205</v>
      </c>
    </row>
    <row r="5385" spans="2:18" ht="15.75" hidden="1" thickBot="1" x14ac:dyDescent="0.3">
      <c r="B5385" s="723" t="s">
        <v>832</v>
      </c>
      <c r="C5385" s="722" t="s">
        <v>598</v>
      </c>
      <c r="D5385" t="s">
        <v>168</v>
      </c>
      <c r="E5385" s="729"/>
      <c r="F5385" s="147">
        <v>0.81123000000000001</v>
      </c>
      <c r="G5385" s="147">
        <v>-0.81123000000000001</v>
      </c>
      <c r="H5385" s="147">
        <v>-100</v>
      </c>
      <c r="I5385" s="729"/>
      <c r="J5385" s="729"/>
      <c r="K5385" s="729"/>
      <c r="L5385" s="147">
        <v>10.59271</v>
      </c>
      <c r="M5385" s="147">
        <v>7.8009199999999996</v>
      </c>
      <c r="N5385" s="147">
        <v>2.7917900000000002</v>
      </c>
      <c r="O5385" s="147">
        <v>35.787958343374882</v>
      </c>
      <c r="P5385" s="147">
        <v>9.3486600000000006</v>
      </c>
      <c r="Q5385" s="147">
        <v>1.2440500000000001</v>
      </c>
      <c r="R5385" s="147">
        <v>13.307254729554824</v>
      </c>
    </row>
    <row r="5386" spans="2:18" ht="15.75" hidden="1" thickBot="1" x14ac:dyDescent="0.3">
      <c r="B5386" s="723" t="s">
        <v>832</v>
      </c>
      <c r="C5386" s="722" t="s">
        <v>139</v>
      </c>
      <c r="D5386" t="s">
        <v>140</v>
      </c>
      <c r="E5386" s="148">
        <v>1.299E-2</v>
      </c>
      <c r="F5386" s="728"/>
      <c r="G5386" s="148">
        <v>1.299E-2</v>
      </c>
      <c r="H5386" s="148">
        <v>0</v>
      </c>
      <c r="I5386" s="728"/>
      <c r="J5386" s="148">
        <v>1.299E-2</v>
      </c>
      <c r="K5386" s="148">
        <v>0</v>
      </c>
      <c r="L5386" s="148">
        <v>0.22489999999999999</v>
      </c>
      <c r="M5386" s="728"/>
      <c r="N5386" s="148">
        <v>0.22489999999999999</v>
      </c>
      <c r="O5386" s="148">
        <v>0</v>
      </c>
      <c r="P5386" s="148">
        <v>0.17294000000000001</v>
      </c>
      <c r="Q5386" s="148">
        <v>5.1959999999999999E-2</v>
      </c>
      <c r="R5386" s="148">
        <v>30.045102347635019</v>
      </c>
    </row>
    <row r="5387" spans="2:18" ht="15.75" hidden="1" thickBot="1" x14ac:dyDescent="0.3">
      <c r="B5387" s="723" t="s">
        <v>832</v>
      </c>
      <c r="C5387" s="722" t="s">
        <v>101</v>
      </c>
      <c r="D5387" t="s">
        <v>102</v>
      </c>
      <c r="E5387" s="147">
        <v>58.104770000000002</v>
      </c>
      <c r="F5387" s="147">
        <v>37.774250000000002</v>
      </c>
      <c r="G5387" s="147">
        <v>20.33052</v>
      </c>
      <c r="H5387" s="147">
        <v>53.821108294671632</v>
      </c>
      <c r="I5387" s="729"/>
      <c r="J5387" s="147">
        <v>58.104770000000002</v>
      </c>
      <c r="K5387" s="147">
        <v>0</v>
      </c>
      <c r="L5387" s="147">
        <v>494.60404</v>
      </c>
      <c r="M5387" s="147">
        <v>452.47500000000002</v>
      </c>
      <c r="N5387" s="147">
        <v>42.129040000000003</v>
      </c>
      <c r="O5387" s="147">
        <v>9.3107994916846231</v>
      </c>
      <c r="P5387" s="147">
        <v>243.92304999999999</v>
      </c>
      <c r="Q5387" s="147">
        <v>250.68099000000001</v>
      </c>
      <c r="R5387" s="147">
        <v>102.77052127709948</v>
      </c>
    </row>
    <row r="5388" spans="2:18" ht="15.75" hidden="1" thickBot="1" x14ac:dyDescent="0.3">
      <c r="B5388" s="723" t="s">
        <v>832</v>
      </c>
      <c r="C5388" s="722" t="s">
        <v>195</v>
      </c>
      <c r="D5388" t="s">
        <v>196</v>
      </c>
      <c r="E5388" s="728"/>
      <c r="F5388" s="728"/>
      <c r="G5388" s="728"/>
      <c r="H5388" s="728"/>
      <c r="I5388" s="728"/>
      <c r="J5388" s="728"/>
      <c r="K5388" s="728"/>
      <c r="L5388" s="148">
        <v>0.624</v>
      </c>
      <c r="M5388" s="728"/>
      <c r="N5388" s="148">
        <v>0.624</v>
      </c>
      <c r="O5388" s="148">
        <v>0</v>
      </c>
      <c r="P5388" s="148">
        <v>0.41599999999999998</v>
      </c>
      <c r="Q5388" s="148">
        <v>0.20799999999999999</v>
      </c>
      <c r="R5388" s="148">
        <v>50</v>
      </c>
    </row>
    <row r="5389" spans="2:18" ht="15.75" hidden="1" thickBot="1" x14ac:dyDescent="0.3">
      <c r="B5389" s="723" t="s">
        <v>832</v>
      </c>
      <c r="C5389" s="722" t="s">
        <v>464</v>
      </c>
      <c r="D5389" t="s">
        <v>465</v>
      </c>
      <c r="E5389" s="147">
        <v>380.43128000000002</v>
      </c>
      <c r="F5389" s="147">
        <v>382.95310999999998</v>
      </c>
      <c r="G5389" s="147">
        <v>-2.52183</v>
      </c>
      <c r="H5389" s="147">
        <v>-0.65852187491048186</v>
      </c>
      <c r="I5389" s="729"/>
      <c r="J5389" s="147">
        <v>380.43128000000002</v>
      </c>
      <c r="K5389" s="147">
        <v>0</v>
      </c>
      <c r="L5389" s="147">
        <v>4518.3156799999997</v>
      </c>
      <c r="M5389" s="147">
        <v>4520.4423200000001</v>
      </c>
      <c r="N5389" s="147">
        <v>-2.1266400000000001</v>
      </c>
      <c r="O5389" s="147">
        <v>-4.7044953777886055E-2</v>
      </c>
      <c r="P5389" s="147">
        <v>2229.0565000000001</v>
      </c>
      <c r="Q5389" s="147">
        <v>2289.25918</v>
      </c>
      <c r="R5389" s="147">
        <v>102.7008144477271</v>
      </c>
    </row>
    <row r="5390" spans="2:18" ht="15.75" hidden="1" thickBot="1" x14ac:dyDescent="0.3">
      <c r="B5390" s="723" t="s">
        <v>832</v>
      </c>
      <c r="C5390" s="722" t="s">
        <v>103</v>
      </c>
      <c r="D5390" t="s">
        <v>104</v>
      </c>
      <c r="E5390" s="148">
        <v>1.4999999999999999E-2</v>
      </c>
      <c r="F5390" s="148">
        <v>0.1</v>
      </c>
      <c r="G5390" s="148">
        <v>-8.5000000000000006E-2</v>
      </c>
      <c r="H5390" s="148">
        <v>-85</v>
      </c>
      <c r="I5390" s="728"/>
      <c r="J5390" s="148">
        <v>1.4999999999999999E-2</v>
      </c>
      <c r="K5390" s="148">
        <v>0</v>
      </c>
      <c r="L5390" s="148">
        <v>4.2000000000000003E-2</v>
      </c>
      <c r="M5390" s="148">
        <v>1.2</v>
      </c>
      <c r="N5390" s="148">
        <v>-1.1579999999999999</v>
      </c>
      <c r="O5390" s="148">
        <v>-96.5</v>
      </c>
      <c r="P5390" s="728"/>
      <c r="Q5390" s="148">
        <v>4.2000000000000003E-2</v>
      </c>
      <c r="R5390" s="148">
        <v>0</v>
      </c>
    </row>
    <row r="5391" spans="2:18" ht="15.75" hidden="1" thickBot="1" x14ac:dyDescent="0.3">
      <c r="B5391" s="723" t="s">
        <v>832</v>
      </c>
      <c r="C5391" s="722" t="s">
        <v>71</v>
      </c>
      <c r="D5391" t="s">
        <v>72</v>
      </c>
      <c r="E5391" s="729"/>
      <c r="F5391" s="729"/>
      <c r="G5391" s="729"/>
      <c r="H5391" s="729"/>
      <c r="I5391" s="729"/>
      <c r="J5391" s="729"/>
      <c r="K5391" s="729"/>
      <c r="L5391" s="147">
        <v>0</v>
      </c>
      <c r="M5391" s="729"/>
      <c r="N5391" s="147">
        <v>0</v>
      </c>
      <c r="O5391" s="147">
        <v>0</v>
      </c>
      <c r="P5391" s="147">
        <v>0.56986999999999999</v>
      </c>
      <c r="Q5391" s="147">
        <v>-0.56986999999999999</v>
      </c>
      <c r="R5391" s="147">
        <v>-100</v>
      </c>
    </row>
    <row r="5392" spans="2:18" ht="15.75" hidden="1" thickBot="1" x14ac:dyDescent="0.3">
      <c r="B5392" s="723" t="s">
        <v>832</v>
      </c>
      <c r="C5392" s="722" t="s">
        <v>627</v>
      </c>
      <c r="D5392" t="s">
        <v>628</v>
      </c>
      <c r="E5392" s="148">
        <v>61.445459999999997</v>
      </c>
      <c r="F5392" s="148">
        <v>55.89743</v>
      </c>
      <c r="G5392" s="148">
        <v>5.5480299999999998</v>
      </c>
      <c r="H5392" s="148">
        <v>9.9253758178148797</v>
      </c>
      <c r="I5392" s="728"/>
      <c r="J5392" s="148">
        <v>61.445459999999997</v>
      </c>
      <c r="K5392" s="148">
        <v>0</v>
      </c>
      <c r="L5392" s="148">
        <v>710.79119000000003</v>
      </c>
      <c r="M5392" s="148">
        <v>670.76916000000006</v>
      </c>
      <c r="N5392" s="148">
        <v>40.022030000000001</v>
      </c>
      <c r="O5392" s="148">
        <v>5.9665876707867724</v>
      </c>
      <c r="P5392" s="148">
        <v>360.21600000000001</v>
      </c>
      <c r="Q5392" s="148">
        <v>350.57519000000002</v>
      </c>
      <c r="R5392" s="148">
        <v>97.323603060385992</v>
      </c>
    </row>
    <row r="5393" spans="2:18" ht="15.75" hidden="1" thickBot="1" x14ac:dyDescent="0.3">
      <c r="B5393" s="723" t="s">
        <v>832</v>
      </c>
      <c r="C5393" s="722" t="s">
        <v>107</v>
      </c>
      <c r="D5393" t="s">
        <v>108</v>
      </c>
      <c r="E5393" s="729"/>
      <c r="F5393" s="729"/>
      <c r="G5393" s="729"/>
      <c r="H5393" s="729"/>
      <c r="I5393" s="729"/>
      <c r="J5393" s="729"/>
      <c r="K5393" s="729"/>
      <c r="L5393" s="147">
        <v>0.24793999999999999</v>
      </c>
      <c r="M5393" s="729"/>
      <c r="N5393" s="147">
        <v>0.24793999999999999</v>
      </c>
      <c r="O5393" s="147">
        <v>0</v>
      </c>
      <c r="P5393" s="147">
        <v>0.24793999999999999</v>
      </c>
      <c r="Q5393" s="147">
        <v>0</v>
      </c>
      <c r="R5393" s="147">
        <v>0</v>
      </c>
    </row>
    <row r="5394" spans="2:18" ht="15.75" hidden="1" thickBot="1" x14ac:dyDescent="0.3">
      <c r="B5394" s="723" t="s">
        <v>832</v>
      </c>
      <c r="C5394" s="722" t="s">
        <v>109</v>
      </c>
      <c r="D5394" t="s">
        <v>110</v>
      </c>
      <c r="E5394" s="728"/>
      <c r="F5394" s="148">
        <v>8.4040000000000004E-2</v>
      </c>
      <c r="G5394" s="148">
        <v>-8.4040000000000004E-2</v>
      </c>
      <c r="H5394" s="148">
        <v>-100</v>
      </c>
      <c r="I5394" s="728"/>
      <c r="J5394" s="728"/>
      <c r="K5394" s="728"/>
      <c r="L5394" s="148">
        <v>0.10723000000000001</v>
      </c>
      <c r="M5394" s="148">
        <v>1.00848</v>
      </c>
      <c r="N5394" s="148">
        <v>-0.90125</v>
      </c>
      <c r="O5394" s="148">
        <v>-89.367166428684754</v>
      </c>
      <c r="P5394" s="148">
        <v>9.153E-2</v>
      </c>
      <c r="Q5394" s="148">
        <v>1.5699999999999999E-2</v>
      </c>
      <c r="R5394" s="148">
        <v>17.152846061400634</v>
      </c>
    </row>
    <row r="5395" spans="2:18" ht="15.75" hidden="1" thickBot="1" x14ac:dyDescent="0.3">
      <c r="B5395" s="723" t="s">
        <v>832</v>
      </c>
      <c r="C5395" s="722" t="s">
        <v>73</v>
      </c>
      <c r="D5395" t="s">
        <v>74</v>
      </c>
      <c r="E5395" s="147">
        <v>0.69399</v>
      </c>
      <c r="F5395" s="147">
        <v>0.92513999999999996</v>
      </c>
      <c r="G5395" s="147">
        <v>-0.23114999999999999</v>
      </c>
      <c r="H5395" s="147">
        <v>-24.985407613982748</v>
      </c>
      <c r="I5395" s="729"/>
      <c r="J5395" s="147">
        <v>0.69399</v>
      </c>
      <c r="K5395" s="147">
        <v>0</v>
      </c>
      <c r="L5395" s="147">
        <v>13.25211</v>
      </c>
      <c r="M5395" s="147">
        <v>9.3086800000000007</v>
      </c>
      <c r="N5395" s="147">
        <v>3.9434300000000002</v>
      </c>
      <c r="O5395" s="147">
        <v>42.362934379525349</v>
      </c>
      <c r="P5395" s="147">
        <v>6.2136300000000002</v>
      </c>
      <c r="Q5395" s="147">
        <v>7.0384799999999998</v>
      </c>
      <c r="R5395" s="147">
        <v>113.27484900130841</v>
      </c>
    </row>
    <row r="5396" spans="2:18" ht="15.75" hidden="1" thickBot="1" x14ac:dyDescent="0.3">
      <c r="B5396" s="723" t="s">
        <v>832</v>
      </c>
      <c r="C5396" s="722" t="s">
        <v>111</v>
      </c>
      <c r="D5396" t="s">
        <v>112</v>
      </c>
      <c r="E5396" s="728"/>
      <c r="F5396" s="728"/>
      <c r="G5396" s="728"/>
      <c r="H5396" s="728"/>
      <c r="I5396" s="728"/>
      <c r="J5396" s="728"/>
      <c r="K5396" s="728"/>
      <c r="L5396" s="148">
        <v>0.27009</v>
      </c>
      <c r="M5396" s="728"/>
      <c r="N5396" s="148">
        <v>0.27009</v>
      </c>
      <c r="O5396" s="148">
        <v>0</v>
      </c>
      <c r="P5396" s="148">
        <v>0.12559000000000001</v>
      </c>
      <c r="Q5396" s="148">
        <v>0.14449999999999999</v>
      </c>
      <c r="R5396" s="148">
        <v>115.05693128433792</v>
      </c>
    </row>
    <row r="5397" spans="2:18" ht="15.75" hidden="1" thickBot="1" x14ac:dyDescent="0.3">
      <c r="B5397" s="723" t="s">
        <v>832</v>
      </c>
      <c r="C5397" s="722" t="s">
        <v>141</v>
      </c>
      <c r="D5397" t="s">
        <v>142</v>
      </c>
      <c r="E5397" s="147">
        <v>3.184E-2</v>
      </c>
      <c r="F5397" s="147">
        <v>3.6999999999999998E-2</v>
      </c>
      <c r="G5397" s="147">
        <v>-5.1599999999999997E-3</v>
      </c>
      <c r="H5397" s="147">
        <v>-13.945945945945946</v>
      </c>
      <c r="I5397" s="729"/>
      <c r="J5397" s="147">
        <v>3.184E-2</v>
      </c>
      <c r="K5397" s="147">
        <v>0</v>
      </c>
      <c r="L5397" s="147">
        <v>0.46444000000000002</v>
      </c>
      <c r="M5397" s="147">
        <v>0.44400000000000001</v>
      </c>
      <c r="N5397" s="147">
        <v>2.044E-2</v>
      </c>
      <c r="O5397" s="147">
        <v>4.6036036036036032</v>
      </c>
      <c r="P5397" s="147">
        <v>0.13541</v>
      </c>
      <c r="Q5397" s="147">
        <v>0.32902999999999999</v>
      </c>
      <c r="R5397" s="147">
        <v>242.98796248430693</v>
      </c>
    </row>
    <row r="5398" spans="2:18" ht="15.75" hidden="1" thickBot="1" x14ac:dyDescent="0.3">
      <c r="B5398" s="723" t="s">
        <v>832</v>
      </c>
      <c r="C5398" s="722" t="s">
        <v>113</v>
      </c>
      <c r="D5398" t="s">
        <v>114</v>
      </c>
      <c r="E5398" s="148">
        <v>0.39119999999999999</v>
      </c>
      <c r="F5398" s="148">
        <v>3.9E-2</v>
      </c>
      <c r="G5398" s="148">
        <v>0.35220000000000001</v>
      </c>
      <c r="H5398" s="148">
        <v>903.07692307692309</v>
      </c>
      <c r="I5398" s="728"/>
      <c r="J5398" s="148">
        <v>0.39119999999999999</v>
      </c>
      <c r="K5398" s="148">
        <v>0</v>
      </c>
      <c r="L5398" s="148">
        <v>1.7133100000000001</v>
      </c>
      <c r="M5398" s="148">
        <v>0.46800000000000003</v>
      </c>
      <c r="N5398" s="148">
        <v>1.2453099999999999</v>
      </c>
      <c r="O5398" s="148">
        <v>266.09188034188037</v>
      </c>
      <c r="P5398" s="148">
        <v>0.37374000000000002</v>
      </c>
      <c r="Q5398" s="148">
        <v>1.3395699999999999</v>
      </c>
      <c r="R5398" s="148">
        <v>358.42296783860439</v>
      </c>
    </row>
    <row r="5399" spans="2:18" ht="15.75" hidden="1" thickBot="1" x14ac:dyDescent="0.3">
      <c r="B5399" s="723" t="s">
        <v>832</v>
      </c>
      <c r="C5399" s="722" t="s">
        <v>201</v>
      </c>
      <c r="D5399" t="s">
        <v>202</v>
      </c>
      <c r="E5399" s="729"/>
      <c r="F5399" s="147">
        <v>0.1</v>
      </c>
      <c r="G5399" s="147">
        <v>-0.1</v>
      </c>
      <c r="H5399" s="147">
        <v>-100</v>
      </c>
      <c r="I5399" s="729"/>
      <c r="J5399" s="729"/>
      <c r="K5399" s="729"/>
      <c r="L5399" s="147">
        <v>0.80520000000000003</v>
      </c>
      <c r="M5399" s="147">
        <v>1.2</v>
      </c>
      <c r="N5399" s="147">
        <v>-0.39479999999999998</v>
      </c>
      <c r="O5399" s="147">
        <v>-32.9</v>
      </c>
      <c r="P5399" s="729"/>
      <c r="Q5399" s="147">
        <v>0.80520000000000003</v>
      </c>
      <c r="R5399" s="147">
        <v>0</v>
      </c>
    </row>
    <row r="5400" spans="2:18" ht="15.75" hidden="1" thickBot="1" x14ac:dyDescent="0.3">
      <c r="B5400" s="723" t="s">
        <v>832</v>
      </c>
      <c r="C5400" s="722" t="s">
        <v>477</v>
      </c>
      <c r="D5400" t="s">
        <v>478</v>
      </c>
      <c r="E5400" s="728"/>
      <c r="F5400" s="728"/>
      <c r="G5400" s="728"/>
      <c r="H5400" s="728"/>
      <c r="I5400" s="728"/>
      <c r="J5400" s="728"/>
      <c r="K5400" s="728"/>
      <c r="L5400" s="148">
        <v>5.9499999999999997E-2</v>
      </c>
      <c r="M5400" s="728"/>
      <c r="N5400" s="148">
        <v>5.9499999999999997E-2</v>
      </c>
      <c r="O5400" s="148">
        <v>0</v>
      </c>
      <c r="P5400" s="148">
        <v>5.9499999999999997E-2</v>
      </c>
      <c r="Q5400" s="148">
        <v>0</v>
      </c>
      <c r="R5400" s="148">
        <v>0</v>
      </c>
    </row>
    <row r="5401" spans="2:18" ht="15.75" hidden="1" thickBot="1" x14ac:dyDescent="0.3">
      <c r="B5401" s="723" t="s">
        <v>832</v>
      </c>
      <c r="C5401" s="722" t="s">
        <v>117</v>
      </c>
      <c r="D5401" t="s">
        <v>118</v>
      </c>
      <c r="E5401" s="147">
        <v>-0.43125000000000002</v>
      </c>
      <c r="F5401" s="729"/>
      <c r="G5401" s="147">
        <v>-0.43125000000000002</v>
      </c>
      <c r="H5401" s="147">
        <v>0</v>
      </c>
      <c r="I5401" s="729"/>
      <c r="J5401" s="147">
        <v>-0.43125000000000002</v>
      </c>
      <c r="K5401" s="147">
        <v>0</v>
      </c>
      <c r="L5401" s="147">
        <v>-5.4554499999999999</v>
      </c>
      <c r="M5401" s="729"/>
      <c r="N5401" s="147">
        <v>-5.4554499999999999</v>
      </c>
      <c r="O5401" s="147">
        <v>0</v>
      </c>
      <c r="P5401" s="147">
        <v>-2.3592499999999998</v>
      </c>
      <c r="Q5401" s="147">
        <v>-3.0962000000000001</v>
      </c>
      <c r="R5401" s="147">
        <v>-131.23662180777791</v>
      </c>
    </row>
    <row r="5402" spans="2:18" ht="15.75" hidden="1" thickBot="1" x14ac:dyDescent="0.3">
      <c r="B5402" s="723" t="s">
        <v>832</v>
      </c>
      <c r="C5402" s="722" t="s">
        <v>637</v>
      </c>
      <c r="D5402" t="s">
        <v>638</v>
      </c>
      <c r="E5402" s="148">
        <v>3.6865299999999999</v>
      </c>
      <c r="F5402" s="148">
        <v>20.710999999999999</v>
      </c>
      <c r="G5402" s="148">
        <v>-17.024470000000001</v>
      </c>
      <c r="H5402" s="148">
        <v>-82.20013519385833</v>
      </c>
      <c r="I5402" s="728"/>
      <c r="J5402" s="148">
        <v>3.6865299999999999</v>
      </c>
      <c r="K5402" s="148">
        <v>0</v>
      </c>
      <c r="L5402" s="148">
        <v>238.52475999999999</v>
      </c>
      <c r="M5402" s="148">
        <v>248.53200000000001</v>
      </c>
      <c r="N5402" s="148">
        <v>-10.007239999999999</v>
      </c>
      <c r="O5402" s="148">
        <v>-4.0265398419519416</v>
      </c>
      <c r="P5402" s="148">
        <v>141.09809999999999</v>
      </c>
      <c r="Q5402" s="148">
        <v>97.426659999999998</v>
      </c>
      <c r="R5402" s="148">
        <v>69.048881593728055</v>
      </c>
    </row>
    <row r="5403" spans="2:18" ht="15.75" hidden="1" thickBot="1" x14ac:dyDescent="0.3">
      <c r="B5403" s="723" t="s">
        <v>832</v>
      </c>
      <c r="C5403" s="722" t="s">
        <v>145</v>
      </c>
      <c r="D5403" t="s">
        <v>146</v>
      </c>
      <c r="E5403" s="147">
        <v>3.4445999999999999</v>
      </c>
      <c r="F5403" s="147">
        <v>5.7410000000000003E-2</v>
      </c>
      <c r="G5403" s="147">
        <v>3.3871899999999999</v>
      </c>
      <c r="H5403" s="147">
        <v>5900</v>
      </c>
      <c r="I5403" s="729"/>
      <c r="J5403" s="147">
        <v>3.4445999999999999</v>
      </c>
      <c r="K5403" s="147">
        <v>0</v>
      </c>
      <c r="L5403" s="147">
        <v>52.428809999999999</v>
      </c>
      <c r="M5403" s="147">
        <v>0.68891999999999998</v>
      </c>
      <c r="N5403" s="147">
        <v>51.739890000000003</v>
      </c>
      <c r="O5403" s="147">
        <v>7510.2900191604249</v>
      </c>
      <c r="P5403" s="147">
        <v>18.691099999999999</v>
      </c>
      <c r="Q5403" s="147">
        <v>33.73771</v>
      </c>
      <c r="R5403" s="147">
        <v>180.50146861340423</v>
      </c>
    </row>
    <row r="5404" spans="2:18" ht="15.75" hidden="1" thickBot="1" x14ac:dyDescent="0.3">
      <c r="B5404" s="723" t="s">
        <v>832</v>
      </c>
      <c r="C5404" s="722" t="s">
        <v>147</v>
      </c>
      <c r="D5404" t="s">
        <v>148</v>
      </c>
      <c r="E5404" s="148">
        <v>8.3336799999999993</v>
      </c>
      <c r="F5404" s="148">
        <v>3.2792500000000002</v>
      </c>
      <c r="G5404" s="148">
        <v>5.05443</v>
      </c>
      <c r="H5404" s="148">
        <v>154.13371960051842</v>
      </c>
      <c r="I5404" s="728"/>
      <c r="J5404" s="148">
        <v>8.3336799999999993</v>
      </c>
      <c r="K5404" s="148">
        <v>0</v>
      </c>
      <c r="L5404" s="148">
        <v>53.065379999999998</v>
      </c>
      <c r="M5404" s="148">
        <v>41.165120000000002</v>
      </c>
      <c r="N5404" s="148">
        <v>11.900259999999999</v>
      </c>
      <c r="O5404" s="148">
        <v>28.90860029073157</v>
      </c>
      <c r="P5404" s="148">
        <v>25.710170000000002</v>
      </c>
      <c r="Q5404" s="148">
        <v>27.35521</v>
      </c>
      <c r="R5404" s="148">
        <v>106.39840187754496</v>
      </c>
    </row>
    <row r="5405" spans="2:18" ht="15.75" hidden="1" thickBot="1" x14ac:dyDescent="0.3">
      <c r="B5405" s="723" t="s">
        <v>832</v>
      </c>
      <c r="C5405" s="722" t="s">
        <v>149</v>
      </c>
      <c r="D5405" t="s">
        <v>150</v>
      </c>
      <c r="E5405" s="147">
        <v>9.4877699999999994</v>
      </c>
      <c r="F5405" s="729"/>
      <c r="G5405" s="147">
        <v>9.4877699999999994</v>
      </c>
      <c r="H5405" s="147">
        <v>0</v>
      </c>
      <c r="I5405" s="729"/>
      <c r="J5405" s="147">
        <v>9.4877699999999994</v>
      </c>
      <c r="K5405" s="147">
        <v>0</v>
      </c>
      <c r="L5405" s="147">
        <v>-131.68084999999999</v>
      </c>
      <c r="M5405" s="729"/>
      <c r="N5405" s="147">
        <v>-131.68084999999999</v>
      </c>
      <c r="O5405" s="147">
        <v>0</v>
      </c>
      <c r="P5405" s="147">
        <v>-143.36926</v>
      </c>
      <c r="Q5405" s="147">
        <v>11.688409999999999</v>
      </c>
      <c r="R5405" s="147">
        <v>8.1526611771588975</v>
      </c>
    </row>
    <row r="5406" spans="2:18" ht="15.75" hidden="1" thickBot="1" x14ac:dyDescent="0.3">
      <c r="B5406" s="723" t="s">
        <v>832</v>
      </c>
      <c r="C5406" s="722" t="s">
        <v>205</v>
      </c>
      <c r="D5406" t="s">
        <v>206</v>
      </c>
      <c r="E5406" s="148">
        <v>21.54598</v>
      </c>
      <c r="F5406" s="148">
        <v>25.182839999999999</v>
      </c>
      <c r="G5406" s="148">
        <v>-3.63686</v>
      </c>
      <c r="H5406" s="148">
        <v>-14.441818317552746</v>
      </c>
      <c r="I5406" s="728"/>
      <c r="J5406" s="148">
        <v>21.54598</v>
      </c>
      <c r="K5406" s="148">
        <v>0</v>
      </c>
      <c r="L5406" s="148">
        <v>172.23302000000001</v>
      </c>
      <c r="M5406" s="148">
        <v>301.65008</v>
      </c>
      <c r="N5406" s="148">
        <v>-129.41705999999999</v>
      </c>
      <c r="O5406" s="148">
        <v>-42.90304182912864</v>
      </c>
      <c r="P5406" s="148">
        <v>74.140780000000007</v>
      </c>
      <c r="Q5406" s="148">
        <v>98.092240000000004</v>
      </c>
      <c r="R5406" s="148">
        <v>132.3053790370158</v>
      </c>
    </row>
    <row r="5407" spans="2:18" ht="15.75" hidden="1" thickBot="1" x14ac:dyDescent="0.3">
      <c r="B5407" s="723" t="s">
        <v>832</v>
      </c>
      <c r="C5407" s="722" t="s">
        <v>649</v>
      </c>
      <c r="D5407" t="s">
        <v>650</v>
      </c>
      <c r="E5407" s="729"/>
      <c r="F5407" s="147">
        <v>1.25</v>
      </c>
      <c r="G5407" s="147">
        <v>-1.25</v>
      </c>
      <c r="H5407" s="147">
        <v>-100</v>
      </c>
      <c r="I5407" s="729"/>
      <c r="J5407" s="729"/>
      <c r="K5407" s="729"/>
      <c r="L5407" s="147">
        <v>1.7034499999999999</v>
      </c>
      <c r="M5407" s="147">
        <v>15</v>
      </c>
      <c r="N5407" s="147">
        <v>-13.29655</v>
      </c>
      <c r="O5407" s="147">
        <v>-88.643666666666661</v>
      </c>
      <c r="P5407" s="147">
        <v>1.7034499999999999</v>
      </c>
      <c r="Q5407" s="147">
        <v>0</v>
      </c>
      <c r="R5407" s="147">
        <v>0</v>
      </c>
    </row>
    <row r="5408" spans="2:18" ht="15.75" hidden="1" thickBot="1" x14ac:dyDescent="0.3">
      <c r="B5408" s="723" t="s">
        <v>832</v>
      </c>
      <c r="C5408" s="722" t="s">
        <v>173</v>
      </c>
      <c r="D5408" t="s">
        <v>174</v>
      </c>
      <c r="E5408" s="728"/>
      <c r="F5408" s="148">
        <v>0.32300000000000001</v>
      </c>
      <c r="G5408" s="148">
        <v>-0.32300000000000001</v>
      </c>
      <c r="H5408" s="148">
        <v>-100</v>
      </c>
      <c r="I5408" s="728"/>
      <c r="J5408" s="728"/>
      <c r="K5408" s="728"/>
      <c r="L5408" s="148">
        <v>1.82145</v>
      </c>
      <c r="M5408" s="148">
        <v>3.8759999999999999</v>
      </c>
      <c r="N5408" s="148">
        <v>-2.0545499999999999</v>
      </c>
      <c r="O5408" s="148">
        <v>-53.006965944272444</v>
      </c>
      <c r="P5408" s="148">
        <v>1.5385899999999999</v>
      </c>
      <c r="Q5408" s="148">
        <v>0.28286</v>
      </c>
      <c r="R5408" s="148">
        <v>18.38436490553039</v>
      </c>
    </row>
    <row r="5409" spans="2:18" ht="15.75" hidden="1" thickBot="1" x14ac:dyDescent="0.3">
      <c r="B5409" s="723" t="s">
        <v>832</v>
      </c>
      <c r="C5409" s="722" t="s">
        <v>653</v>
      </c>
      <c r="D5409" t="s">
        <v>654</v>
      </c>
      <c r="E5409" s="729"/>
      <c r="F5409" s="729"/>
      <c r="G5409" s="729"/>
      <c r="H5409" s="729"/>
      <c r="I5409" s="729"/>
      <c r="J5409" s="729"/>
      <c r="K5409" s="729"/>
      <c r="L5409" s="147">
        <v>5.1360400000000004</v>
      </c>
      <c r="M5409" s="729"/>
      <c r="N5409" s="147">
        <v>5.1360400000000004</v>
      </c>
      <c r="O5409" s="147">
        <v>0</v>
      </c>
      <c r="P5409" s="147">
        <v>1.0136000000000001</v>
      </c>
      <c r="Q5409" s="147">
        <v>4.1224400000000001</v>
      </c>
      <c r="R5409" s="147">
        <v>406.71270718232046</v>
      </c>
    </row>
    <row r="5410" spans="2:18" ht="15.75" hidden="1" thickBot="1" x14ac:dyDescent="0.3">
      <c r="B5410" s="723" t="s">
        <v>832</v>
      </c>
      <c r="C5410" s="722" t="s">
        <v>151</v>
      </c>
      <c r="D5410" t="s">
        <v>152</v>
      </c>
      <c r="E5410" s="148">
        <v>0.23</v>
      </c>
      <c r="F5410" s="148">
        <v>6.8750000000000006E-2</v>
      </c>
      <c r="G5410" s="148">
        <v>0.16125</v>
      </c>
      <c r="H5410" s="148">
        <v>234.54545454545453</v>
      </c>
      <c r="I5410" s="728"/>
      <c r="J5410" s="148">
        <v>0.23</v>
      </c>
      <c r="K5410" s="148">
        <v>0</v>
      </c>
      <c r="L5410" s="148">
        <v>8.9708699999999997</v>
      </c>
      <c r="M5410" s="148">
        <v>5.3250000000000002</v>
      </c>
      <c r="N5410" s="148">
        <v>3.6458699999999999</v>
      </c>
      <c r="O5410" s="148">
        <v>68.467042253521129</v>
      </c>
      <c r="P5410" s="148">
        <v>2.8711600000000002</v>
      </c>
      <c r="Q5410" s="148">
        <v>6.09971</v>
      </c>
      <c r="R5410" s="148">
        <v>212.44758216191366</v>
      </c>
    </row>
    <row r="5411" spans="2:18" ht="15.75" hidden="1" thickBot="1" x14ac:dyDescent="0.3">
      <c r="B5411" s="723" t="s">
        <v>832</v>
      </c>
      <c r="C5411" s="722" t="s">
        <v>481</v>
      </c>
      <c r="D5411" t="s">
        <v>482</v>
      </c>
      <c r="E5411" s="729"/>
      <c r="F5411" s="729"/>
      <c r="G5411" s="729"/>
      <c r="H5411" s="729"/>
      <c r="I5411" s="729"/>
      <c r="J5411" s="729"/>
      <c r="K5411" s="729"/>
      <c r="L5411" s="147">
        <v>1.3990000000000001E-2</v>
      </c>
      <c r="M5411" s="729"/>
      <c r="N5411" s="147">
        <v>1.3990000000000001E-2</v>
      </c>
      <c r="O5411" s="147">
        <v>0</v>
      </c>
      <c r="P5411" s="729"/>
      <c r="Q5411" s="147">
        <v>1.3990000000000001E-2</v>
      </c>
      <c r="R5411" s="147">
        <v>0</v>
      </c>
    </row>
    <row r="5412" spans="2:18" ht="15.75" hidden="1" thickBot="1" x14ac:dyDescent="0.3">
      <c r="B5412" s="723" t="s">
        <v>832</v>
      </c>
      <c r="C5412" s="722" t="s">
        <v>175</v>
      </c>
      <c r="D5412" t="s">
        <v>176</v>
      </c>
      <c r="E5412" s="728"/>
      <c r="F5412" s="728"/>
      <c r="G5412" s="728"/>
      <c r="H5412" s="728"/>
      <c r="I5412" s="728"/>
      <c r="J5412" s="728"/>
      <c r="K5412" s="728"/>
      <c r="L5412" s="148">
        <v>16.66</v>
      </c>
      <c r="M5412" s="728"/>
      <c r="N5412" s="148">
        <v>16.66</v>
      </c>
      <c r="O5412" s="148">
        <v>0</v>
      </c>
      <c r="P5412" s="148">
        <v>9.2349999999999994</v>
      </c>
      <c r="Q5412" s="148">
        <v>7.4249999999999998</v>
      </c>
      <c r="R5412" s="148">
        <v>80.400649702219809</v>
      </c>
    </row>
    <row r="5413" spans="2:18" ht="15.75" hidden="1" thickBot="1" x14ac:dyDescent="0.3">
      <c r="B5413" s="723" t="s">
        <v>832</v>
      </c>
      <c r="C5413" s="722" t="s">
        <v>661</v>
      </c>
      <c r="D5413" t="s">
        <v>662</v>
      </c>
      <c r="E5413" s="729"/>
      <c r="F5413" s="729"/>
      <c r="G5413" s="729"/>
      <c r="H5413" s="729"/>
      <c r="I5413" s="729"/>
      <c r="J5413" s="729"/>
      <c r="K5413" s="729"/>
      <c r="L5413" s="147">
        <v>-93.155249999999995</v>
      </c>
      <c r="M5413" s="729"/>
      <c r="N5413" s="147">
        <v>-93.155249999999995</v>
      </c>
      <c r="O5413" s="147">
        <v>0</v>
      </c>
      <c r="P5413" s="147">
        <v>-93.155249999999995</v>
      </c>
      <c r="Q5413" s="147">
        <v>0</v>
      </c>
      <c r="R5413" s="147">
        <v>0</v>
      </c>
    </row>
    <row r="5414" spans="2:18" ht="15.75" hidden="1" thickBot="1" x14ac:dyDescent="0.3">
      <c r="B5414" s="723" t="s">
        <v>832</v>
      </c>
      <c r="C5414" s="722" t="s">
        <v>663</v>
      </c>
      <c r="D5414" t="s">
        <v>664</v>
      </c>
      <c r="E5414" s="728"/>
      <c r="F5414" s="728"/>
      <c r="G5414" s="728"/>
      <c r="H5414" s="728"/>
      <c r="I5414" s="728"/>
      <c r="J5414" s="728"/>
      <c r="K5414" s="728"/>
      <c r="L5414" s="148">
        <v>148.28486000000001</v>
      </c>
      <c r="M5414" s="728"/>
      <c r="N5414" s="148">
        <v>148.28486000000001</v>
      </c>
      <c r="O5414" s="148">
        <v>0</v>
      </c>
      <c r="P5414" s="148">
        <v>148.28486000000001</v>
      </c>
      <c r="Q5414" s="148">
        <v>0</v>
      </c>
      <c r="R5414" s="148">
        <v>0</v>
      </c>
    </row>
    <row r="5415" spans="2:18" ht="15.75" hidden="1" thickBot="1" x14ac:dyDescent="0.3">
      <c r="B5415" s="723" t="s">
        <v>832</v>
      </c>
      <c r="C5415" s="722" t="s">
        <v>207</v>
      </c>
      <c r="D5415" t="s">
        <v>208</v>
      </c>
      <c r="E5415" s="729"/>
      <c r="F5415" s="147">
        <v>0.2</v>
      </c>
      <c r="G5415" s="147">
        <v>-0.2</v>
      </c>
      <c r="H5415" s="147">
        <v>-100</v>
      </c>
      <c r="I5415" s="729"/>
      <c r="J5415" s="729"/>
      <c r="K5415" s="729"/>
      <c r="L5415" s="147">
        <v>0.25901999999999997</v>
      </c>
      <c r="M5415" s="147">
        <v>2.4</v>
      </c>
      <c r="N5415" s="147">
        <v>-2.1409799999999999</v>
      </c>
      <c r="O5415" s="147">
        <v>-89.207499999999996</v>
      </c>
      <c r="P5415" s="147">
        <v>0.10732</v>
      </c>
      <c r="Q5415" s="147">
        <v>0.1517</v>
      </c>
      <c r="R5415" s="147">
        <v>141.35296310100634</v>
      </c>
    </row>
    <row r="5416" spans="2:18" ht="15.75" hidden="1" thickBot="1" x14ac:dyDescent="0.3">
      <c r="B5416" s="723" t="s">
        <v>832</v>
      </c>
      <c r="C5416" s="722" t="s">
        <v>75</v>
      </c>
      <c r="D5416" t="s">
        <v>76</v>
      </c>
      <c r="E5416" s="148">
        <v>1.0036099999999999</v>
      </c>
      <c r="F5416" s="148">
        <v>0.14899999999999999</v>
      </c>
      <c r="G5416" s="148">
        <v>0.85460999999999998</v>
      </c>
      <c r="H5416" s="148">
        <v>573.56375838926169</v>
      </c>
      <c r="I5416" s="728"/>
      <c r="J5416" s="148">
        <v>1.0036099999999999</v>
      </c>
      <c r="K5416" s="148">
        <v>0</v>
      </c>
      <c r="L5416" s="148">
        <v>5.4189800000000004</v>
      </c>
      <c r="M5416" s="148">
        <v>1.788</v>
      </c>
      <c r="N5416" s="148">
        <v>3.6309800000000001</v>
      </c>
      <c r="O5416" s="148">
        <v>203.07494407158836</v>
      </c>
      <c r="P5416" s="148">
        <v>2.6996899999999999</v>
      </c>
      <c r="Q5416" s="148">
        <v>2.71929</v>
      </c>
      <c r="R5416" s="148">
        <v>100.72600928254725</v>
      </c>
    </row>
    <row r="5417" spans="2:18" ht="15.75" hidden="1" thickBot="1" x14ac:dyDescent="0.3">
      <c r="B5417" s="723" t="s">
        <v>832</v>
      </c>
      <c r="C5417" s="722" t="s">
        <v>121</v>
      </c>
      <c r="D5417" t="s">
        <v>122</v>
      </c>
      <c r="E5417" s="729"/>
      <c r="F5417" s="147">
        <v>0.31670999999999999</v>
      </c>
      <c r="G5417" s="147">
        <v>-0.31670999999999999</v>
      </c>
      <c r="H5417" s="147">
        <v>-100</v>
      </c>
      <c r="I5417" s="729"/>
      <c r="J5417" s="729"/>
      <c r="K5417" s="729"/>
      <c r="L5417" s="147">
        <v>0.69423000000000001</v>
      </c>
      <c r="M5417" s="147">
        <v>3.8005200000000001</v>
      </c>
      <c r="N5417" s="147">
        <v>-3.10629</v>
      </c>
      <c r="O5417" s="147">
        <v>-81.733289128856057</v>
      </c>
      <c r="P5417" s="147">
        <v>0.33859</v>
      </c>
      <c r="Q5417" s="147">
        <v>0.35564000000000001</v>
      </c>
      <c r="R5417" s="147">
        <v>105.03558876517322</v>
      </c>
    </row>
    <row r="5418" spans="2:18" ht="15.75" hidden="1" thickBot="1" x14ac:dyDescent="0.3">
      <c r="B5418" s="723" t="s">
        <v>832</v>
      </c>
      <c r="C5418" s="722" t="s">
        <v>77</v>
      </c>
      <c r="D5418" t="s">
        <v>78</v>
      </c>
      <c r="E5418" s="728"/>
      <c r="F5418" s="148">
        <v>0.1</v>
      </c>
      <c r="G5418" s="148">
        <v>-0.1</v>
      </c>
      <c r="H5418" s="148">
        <v>-100</v>
      </c>
      <c r="I5418" s="728"/>
      <c r="J5418" s="728"/>
      <c r="K5418" s="728"/>
      <c r="L5418" s="728"/>
      <c r="M5418" s="148">
        <v>1.2</v>
      </c>
      <c r="N5418" s="148">
        <v>-1.2</v>
      </c>
      <c r="O5418" s="148">
        <v>-100</v>
      </c>
      <c r="P5418" s="728"/>
      <c r="Q5418" s="728"/>
      <c r="R5418" s="728"/>
    </row>
    <row r="5419" spans="2:18" ht="15.75" hidden="1" thickBot="1" x14ac:dyDescent="0.3">
      <c r="B5419" s="723" t="s">
        <v>832</v>
      </c>
      <c r="C5419" s="722" t="s">
        <v>79</v>
      </c>
      <c r="D5419" t="s">
        <v>80</v>
      </c>
      <c r="E5419" s="729"/>
      <c r="F5419" s="147">
        <v>0.1</v>
      </c>
      <c r="G5419" s="147">
        <v>-0.1</v>
      </c>
      <c r="H5419" s="147">
        <v>-100</v>
      </c>
      <c r="I5419" s="729"/>
      <c r="J5419" s="729"/>
      <c r="K5419" s="729"/>
      <c r="L5419" s="147">
        <v>4.2149799999999997</v>
      </c>
      <c r="M5419" s="147">
        <v>1.2</v>
      </c>
      <c r="N5419" s="147">
        <v>3.01498</v>
      </c>
      <c r="O5419" s="147">
        <v>251.24833333333333</v>
      </c>
      <c r="P5419" s="147">
        <v>3.5795400000000002</v>
      </c>
      <c r="Q5419" s="147">
        <v>0.63544</v>
      </c>
      <c r="R5419" s="147">
        <v>17.752001653843791</v>
      </c>
    </row>
    <row r="5420" spans="2:18" ht="15.75" hidden="1" thickBot="1" x14ac:dyDescent="0.3">
      <c r="B5420" s="723" t="s">
        <v>832</v>
      </c>
      <c r="C5420" s="722" t="s">
        <v>81</v>
      </c>
      <c r="D5420" t="s">
        <v>82</v>
      </c>
      <c r="E5420" s="728"/>
      <c r="F5420" s="148">
        <v>5.3999999999999999E-2</v>
      </c>
      <c r="G5420" s="148">
        <v>-5.3999999999999999E-2</v>
      </c>
      <c r="H5420" s="148">
        <v>-100</v>
      </c>
      <c r="I5420" s="728"/>
      <c r="J5420" s="728"/>
      <c r="K5420" s="728"/>
      <c r="L5420" s="148">
        <v>0.38179999999999997</v>
      </c>
      <c r="M5420" s="148">
        <v>0.64800000000000002</v>
      </c>
      <c r="N5420" s="148">
        <v>-0.26619999999999999</v>
      </c>
      <c r="O5420" s="148">
        <v>-41.080246913580247</v>
      </c>
      <c r="P5420" s="148">
        <v>0.20680000000000001</v>
      </c>
      <c r="Q5420" s="148">
        <v>0.17499999999999999</v>
      </c>
      <c r="R5420" s="148">
        <v>84.622823984526107</v>
      </c>
    </row>
    <row r="5421" spans="2:18" ht="15.75" hidden="1" thickBot="1" x14ac:dyDescent="0.3">
      <c r="B5421" s="723" t="s">
        <v>832</v>
      </c>
      <c r="C5421" s="722" t="s">
        <v>123</v>
      </c>
      <c r="D5421" t="s">
        <v>124</v>
      </c>
      <c r="E5421" s="147">
        <v>0.30911</v>
      </c>
      <c r="F5421" s="729"/>
      <c r="G5421" s="147">
        <v>0.30911</v>
      </c>
      <c r="H5421" s="147">
        <v>0</v>
      </c>
      <c r="I5421" s="729"/>
      <c r="J5421" s="147">
        <v>0.30911</v>
      </c>
      <c r="K5421" s="147">
        <v>0</v>
      </c>
      <c r="L5421" s="147">
        <v>0.63839000000000001</v>
      </c>
      <c r="M5421" s="729"/>
      <c r="N5421" s="147">
        <v>0.63839000000000001</v>
      </c>
      <c r="O5421" s="147">
        <v>0</v>
      </c>
      <c r="P5421" s="147">
        <v>0.06</v>
      </c>
      <c r="Q5421" s="147">
        <v>0.57838999999999996</v>
      </c>
      <c r="R5421" s="147">
        <v>963.98333333333335</v>
      </c>
    </row>
    <row r="5422" spans="2:18" ht="15.75" hidden="1" thickBot="1" x14ac:dyDescent="0.3">
      <c r="B5422" s="723" t="s">
        <v>832</v>
      </c>
      <c r="C5422" s="722" t="s">
        <v>125</v>
      </c>
      <c r="D5422" t="s">
        <v>126</v>
      </c>
      <c r="E5422" s="728"/>
      <c r="F5422" s="728"/>
      <c r="G5422" s="728"/>
      <c r="H5422" s="728"/>
      <c r="I5422" s="728"/>
      <c r="J5422" s="728"/>
      <c r="K5422" s="728"/>
      <c r="L5422" s="148">
        <v>5.9380000000000002E-2</v>
      </c>
      <c r="M5422" s="728"/>
      <c r="N5422" s="148">
        <v>5.9380000000000002E-2</v>
      </c>
      <c r="O5422" s="148">
        <v>0</v>
      </c>
      <c r="P5422" s="148">
        <v>5.9380000000000002E-2</v>
      </c>
      <c r="Q5422" s="148">
        <v>0</v>
      </c>
      <c r="R5422" s="148">
        <v>0</v>
      </c>
    </row>
    <row r="5423" spans="2:18" ht="15.75" hidden="1" thickBot="1" x14ac:dyDescent="0.3">
      <c r="B5423" s="723" t="s">
        <v>832</v>
      </c>
      <c r="C5423" s="149" t="s">
        <v>85</v>
      </c>
      <c r="D5423" t="s">
        <v>86</v>
      </c>
      <c r="E5423" s="147">
        <v>573.60162000000003</v>
      </c>
      <c r="F5423" s="147">
        <v>537.76436999999999</v>
      </c>
      <c r="G5423" s="147">
        <v>35.837249999999997</v>
      </c>
      <c r="H5423" s="147">
        <v>6.6641175948492091</v>
      </c>
      <c r="I5423" s="729"/>
      <c r="J5423" s="147">
        <v>573.60162000000003</v>
      </c>
      <c r="K5423" s="147">
        <v>0</v>
      </c>
      <c r="L5423" s="147">
        <v>6359.3190400000003</v>
      </c>
      <c r="M5423" s="147">
        <v>6362.5604400000002</v>
      </c>
      <c r="N5423" s="147">
        <v>-3.2414000000000001</v>
      </c>
      <c r="O5423" s="147">
        <v>-5.0944899157610204E-2</v>
      </c>
      <c r="P5423" s="147">
        <v>3097.92083</v>
      </c>
      <c r="Q5423" s="147">
        <v>3261.3982099999998</v>
      </c>
      <c r="R5423" s="147">
        <v>105.27700315698513</v>
      </c>
    </row>
    <row r="5424" spans="2:18" ht="15.75" hidden="1" thickBot="1" x14ac:dyDescent="0.3">
      <c r="B5424" s="723" t="s">
        <v>832</v>
      </c>
      <c r="C5424" s="144" t="s">
        <v>87</v>
      </c>
      <c r="D5424" t="s">
        <v>87</v>
      </c>
      <c r="E5424" s="148">
        <v>616.26264000000003</v>
      </c>
      <c r="F5424" s="148">
        <v>580.71302000000003</v>
      </c>
      <c r="G5424" s="148">
        <v>35.549619999999997</v>
      </c>
      <c r="H5424" s="148">
        <v>6.1217191238453719</v>
      </c>
      <c r="I5424" s="728"/>
      <c r="J5424" s="148">
        <v>616.26264000000003</v>
      </c>
      <c r="K5424" s="148">
        <v>0</v>
      </c>
      <c r="L5424" s="148">
        <v>6722.6759000000002</v>
      </c>
      <c r="M5424" s="148">
        <v>6868.3581100000001</v>
      </c>
      <c r="N5424" s="148">
        <v>-145.68221</v>
      </c>
      <c r="O5424" s="148">
        <v>-2.1210631080504334</v>
      </c>
      <c r="P5424" s="148">
        <v>3271.6756099999998</v>
      </c>
      <c r="Q5424" s="148">
        <v>3451.0002899999999</v>
      </c>
      <c r="R5424" s="148">
        <v>105.48112653503567</v>
      </c>
    </row>
    <row r="5425" spans="2:18" ht="15.75" hidden="1" thickBot="1" x14ac:dyDescent="0.3">
      <c r="B5425" s="724" t="s">
        <v>833</v>
      </c>
      <c r="C5425" s="722" t="s">
        <v>145</v>
      </c>
      <c r="D5425" t="s">
        <v>146</v>
      </c>
      <c r="E5425" s="147">
        <v>4</v>
      </c>
      <c r="F5425" s="729"/>
      <c r="G5425" s="147">
        <v>4</v>
      </c>
      <c r="H5425" s="147">
        <v>0</v>
      </c>
      <c r="I5425" s="729"/>
      <c r="J5425" s="147">
        <v>4</v>
      </c>
      <c r="K5425" s="147">
        <v>0</v>
      </c>
      <c r="L5425" s="147">
        <v>32</v>
      </c>
      <c r="M5425" s="729"/>
      <c r="N5425" s="147">
        <v>32</v>
      </c>
      <c r="O5425" s="147">
        <v>0</v>
      </c>
      <c r="P5425" s="147">
        <v>8</v>
      </c>
      <c r="Q5425" s="147">
        <v>24</v>
      </c>
      <c r="R5425" s="147">
        <v>300</v>
      </c>
    </row>
    <row r="5426" spans="2:18" ht="15.75" hidden="1" thickBot="1" x14ac:dyDescent="0.3">
      <c r="B5426" s="724" t="s">
        <v>833</v>
      </c>
      <c r="C5426" s="722" t="s">
        <v>149</v>
      </c>
      <c r="D5426" t="s">
        <v>150</v>
      </c>
      <c r="E5426" s="148">
        <v>1.3137700000000001</v>
      </c>
      <c r="F5426" s="728"/>
      <c r="G5426" s="148">
        <v>1.3137700000000001</v>
      </c>
      <c r="H5426" s="148">
        <v>0</v>
      </c>
      <c r="I5426" s="728"/>
      <c r="J5426" s="148">
        <v>1.3137700000000001</v>
      </c>
      <c r="K5426" s="148">
        <v>0</v>
      </c>
      <c r="L5426" s="148">
        <v>-87.061229999999995</v>
      </c>
      <c r="M5426" s="728"/>
      <c r="N5426" s="148">
        <v>-87.061229999999995</v>
      </c>
      <c r="O5426" s="148">
        <v>0</v>
      </c>
      <c r="P5426" s="148">
        <v>-88.375</v>
      </c>
      <c r="Q5426" s="148">
        <v>1.3137700000000001</v>
      </c>
      <c r="R5426" s="148">
        <v>1.4865855728429986</v>
      </c>
    </row>
    <row r="5427" spans="2:18" ht="15.75" hidden="1" thickBot="1" x14ac:dyDescent="0.3">
      <c r="B5427" s="724" t="s">
        <v>833</v>
      </c>
      <c r="C5427" s="149" t="s">
        <v>85</v>
      </c>
      <c r="D5427" t="s">
        <v>86</v>
      </c>
      <c r="E5427" s="147">
        <v>5.3137699999999999</v>
      </c>
      <c r="F5427" s="729"/>
      <c r="G5427" s="147">
        <v>5.3137699999999999</v>
      </c>
      <c r="H5427" s="147">
        <v>0</v>
      </c>
      <c r="I5427" s="729"/>
      <c r="J5427" s="147">
        <v>5.3137699999999999</v>
      </c>
      <c r="K5427" s="147">
        <v>0</v>
      </c>
      <c r="L5427" s="147">
        <v>-55.061230000000002</v>
      </c>
      <c r="M5427" s="729"/>
      <c r="N5427" s="147">
        <v>-55.061230000000002</v>
      </c>
      <c r="O5427" s="147">
        <v>0</v>
      </c>
      <c r="P5427" s="147">
        <v>-80.375</v>
      </c>
      <c r="Q5427" s="147">
        <v>25.313770000000002</v>
      </c>
      <c r="R5427" s="147">
        <v>31.494581648522551</v>
      </c>
    </row>
    <row r="5428" spans="2:18" ht="15.75" hidden="1" thickBot="1" x14ac:dyDescent="0.3">
      <c r="B5428" s="724" t="s">
        <v>833</v>
      </c>
      <c r="C5428" s="144" t="s">
        <v>87</v>
      </c>
      <c r="D5428" t="s">
        <v>87</v>
      </c>
      <c r="E5428" s="148">
        <v>5.3137699999999999</v>
      </c>
      <c r="F5428" s="728"/>
      <c r="G5428" s="148">
        <v>5.3137699999999999</v>
      </c>
      <c r="H5428" s="148">
        <v>0</v>
      </c>
      <c r="I5428" s="728"/>
      <c r="J5428" s="148">
        <v>5.3137699999999999</v>
      </c>
      <c r="K5428" s="148">
        <v>0</v>
      </c>
      <c r="L5428" s="148">
        <v>-55.061230000000002</v>
      </c>
      <c r="M5428" s="728"/>
      <c r="N5428" s="148">
        <v>-55.061230000000002</v>
      </c>
      <c r="O5428" s="148">
        <v>0</v>
      </c>
      <c r="P5428" s="148">
        <v>-80.375</v>
      </c>
      <c r="Q5428" s="148">
        <v>25.313770000000002</v>
      </c>
      <c r="R5428" s="148">
        <v>31.494581648522551</v>
      </c>
    </row>
    <row r="5429" spans="2:18" ht="15.75" hidden="1" thickBot="1" x14ac:dyDescent="0.3">
      <c r="B5429" s="724" t="s">
        <v>832</v>
      </c>
      <c r="C5429" s="722" t="s">
        <v>59</v>
      </c>
      <c r="D5429" t="s">
        <v>60</v>
      </c>
      <c r="E5429" s="147">
        <v>14.15124</v>
      </c>
      <c r="F5429" s="147">
        <v>18.330670000000001</v>
      </c>
      <c r="G5429" s="147">
        <v>-4.17943</v>
      </c>
      <c r="H5429" s="147">
        <v>-22.800203156785866</v>
      </c>
      <c r="I5429" s="729"/>
      <c r="J5429" s="147">
        <v>14.15124</v>
      </c>
      <c r="K5429" s="147">
        <v>0</v>
      </c>
      <c r="L5429" s="147">
        <v>221.95132000000001</v>
      </c>
      <c r="M5429" s="147">
        <v>218.81406000000001</v>
      </c>
      <c r="N5429" s="147">
        <v>3.1372599999999999</v>
      </c>
      <c r="O5429" s="147">
        <v>1.4337561306618047</v>
      </c>
      <c r="P5429" s="147">
        <v>115.33232</v>
      </c>
      <c r="Q5429" s="147">
        <v>106.619</v>
      </c>
      <c r="R5429" s="147">
        <v>92.445031886985362</v>
      </c>
    </row>
    <row r="5430" spans="2:18" ht="15.75" hidden="1" thickBot="1" x14ac:dyDescent="0.3">
      <c r="B5430" s="724" t="s">
        <v>832</v>
      </c>
      <c r="C5430" s="722" t="s">
        <v>89</v>
      </c>
      <c r="D5430" t="s">
        <v>90</v>
      </c>
      <c r="E5430" s="728"/>
      <c r="F5430" s="728"/>
      <c r="G5430" s="728"/>
      <c r="H5430" s="728"/>
      <c r="I5430" s="728"/>
      <c r="J5430" s="728"/>
      <c r="K5430" s="728"/>
      <c r="L5430" s="148">
        <v>0.50234999999999996</v>
      </c>
      <c r="M5430" s="728"/>
      <c r="N5430" s="148">
        <v>0.50234999999999996</v>
      </c>
      <c r="O5430" s="148">
        <v>0</v>
      </c>
      <c r="P5430" s="148">
        <v>0.50234999999999996</v>
      </c>
      <c r="Q5430" s="148">
        <v>0</v>
      </c>
      <c r="R5430" s="148">
        <v>0</v>
      </c>
    </row>
    <row r="5431" spans="2:18" ht="15.75" hidden="1" thickBot="1" x14ac:dyDescent="0.3">
      <c r="B5431" s="724" t="s">
        <v>832</v>
      </c>
      <c r="C5431" s="722" t="s">
        <v>91</v>
      </c>
      <c r="D5431" t="s">
        <v>92</v>
      </c>
      <c r="E5431" s="147">
        <v>6.9707499999999998</v>
      </c>
      <c r="F5431" s="147">
        <v>14.905379999999999</v>
      </c>
      <c r="G5431" s="147">
        <v>-7.9346300000000003</v>
      </c>
      <c r="H5431" s="147">
        <v>-53.233329173761419</v>
      </c>
      <c r="I5431" s="729"/>
      <c r="J5431" s="147">
        <v>6.9707499999999998</v>
      </c>
      <c r="K5431" s="147">
        <v>0</v>
      </c>
      <c r="L5431" s="147">
        <v>104.29808</v>
      </c>
      <c r="M5431" s="147">
        <v>174.08902</v>
      </c>
      <c r="N5431" s="147">
        <v>-69.790940000000006</v>
      </c>
      <c r="O5431" s="147">
        <v>-40.089225615722349</v>
      </c>
      <c r="P5431" s="147">
        <v>48.767209999999999</v>
      </c>
      <c r="Q5431" s="147">
        <v>55.53087</v>
      </c>
      <c r="R5431" s="147">
        <v>113.86927814816553</v>
      </c>
    </row>
    <row r="5432" spans="2:18" ht="15.75" hidden="1" thickBot="1" x14ac:dyDescent="0.3">
      <c r="B5432" s="724" t="s">
        <v>832</v>
      </c>
      <c r="C5432" s="722" t="s">
        <v>93</v>
      </c>
      <c r="D5432" t="s">
        <v>94</v>
      </c>
      <c r="E5432" s="148">
        <v>0.21318999999999999</v>
      </c>
      <c r="F5432" s="148">
        <v>0.53044999999999998</v>
      </c>
      <c r="G5432" s="148">
        <v>-0.31725999999999999</v>
      </c>
      <c r="H5432" s="148">
        <v>-59.809595626354984</v>
      </c>
      <c r="I5432" s="728"/>
      <c r="J5432" s="148">
        <v>0.21318999999999999</v>
      </c>
      <c r="K5432" s="148">
        <v>0</v>
      </c>
      <c r="L5432" s="148">
        <v>4.7740900000000002</v>
      </c>
      <c r="M5432" s="148">
        <v>6.1954500000000001</v>
      </c>
      <c r="N5432" s="148">
        <v>-1.42136</v>
      </c>
      <c r="O5432" s="148">
        <v>-22.941997756418015</v>
      </c>
      <c r="P5432" s="148">
        <v>2.6259299999999999</v>
      </c>
      <c r="Q5432" s="148">
        <v>2.1481599999999998</v>
      </c>
      <c r="R5432" s="148">
        <v>81.805684081449243</v>
      </c>
    </row>
    <row r="5433" spans="2:18" ht="15.75" hidden="1" thickBot="1" x14ac:dyDescent="0.3">
      <c r="B5433" s="724" t="s">
        <v>832</v>
      </c>
      <c r="C5433" s="722" t="s">
        <v>61</v>
      </c>
      <c r="D5433" t="s">
        <v>62</v>
      </c>
      <c r="E5433" s="147">
        <v>4.2312000000000003</v>
      </c>
      <c r="F5433" s="147">
        <v>5.1515899999999997</v>
      </c>
      <c r="G5433" s="147">
        <v>-0.92039000000000004</v>
      </c>
      <c r="H5433" s="147">
        <v>-17.866134533221782</v>
      </c>
      <c r="I5433" s="729"/>
      <c r="J5433" s="147">
        <v>4.2312000000000003</v>
      </c>
      <c r="K5433" s="147">
        <v>0</v>
      </c>
      <c r="L5433" s="147">
        <v>49.89902</v>
      </c>
      <c r="M5433" s="147">
        <v>60.900010000000002</v>
      </c>
      <c r="N5433" s="147">
        <v>-11.00099</v>
      </c>
      <c r="O5433" s="147">
        <v>-18.064020022328403</v>
      </c>
      <c r="P5433" s="147">
        <v>24.391760000000001</v>
      </c>
      <c r="Q5433" s="147">
        <v>25.507259999999999</v>
      </c>
      <c r="R5433" s="147">
        <v>104.57326572580249</v>
      </c>
    </row>
    <row r="5434" spans="2:18" ht="15.75" hidden="1" thickBot="1" x14ac:dyDescent="0.3">
      <c r="B5434" s="724" t="s">
        <v>832</v>
      </c>
      <c r="C5434" s="722" t="s">
        <v>63</v>
      </c>
      <c r="D5434" t="s">
        <v>64</v>
      </c>
      <c r="E5434" s="148">
        <v>16.47296</v>
      </c>
      <c r="F5434" s="148">
        <v>20.041340000000002</v>
      </c>
      <c r="G5434" s="148">
        <v>-3.5683799999999999</v>
      </c>
      <c r="H5434" s="148">
        <v>-17.805096864780499</v>
      </c>
      <c r="I5434" s="728"/>
      <c r="J5434" s="148">
        <v>16.47296</v>
      </c>
      <c r="K5434" s="148">
        <v>0</v>
      </c>
      <c r="L5434" s="148">
        <v>194.87157999999999</v>
      </c>
      <c r="M5434" s="148">
        <v>236.92054999999999</v>
      </c>
      <c r="N5434" s="148">
        <v>-42.048969999999997</v>
      </c>
      <c r="O5434" s="148">
        <v>-17.748131177308174</v>
      </c>
      <c r="P5434" s="148">
        <v>95.423850000000002</v>
      </c>
      <c r="Q5434" s="148">
        <v>99.447730000000007</v>
      </c>
      <c r="R5434" s="148">
        <v>104.2168493516034</v>
      </c>
    </row>
    <row r="5435" spans="2:18" ht="15.75" hidden="1" thickBot="1" x14ac:dyDescent="0.3">
      <c r="B5435" s="724" t="s">
        <v>832</v>
      </c>
      <c r="C5435" s="722" t="s">
        <v>184</v>
      </c>
      <c r="D5435" t="s">
        <v>185</v>
      </c>
      <c r="E5435" s="729"/>
      <c r="F5435" s="729"/>
      <c r="G5435" s="729"/>
      <c r="H5435" s="729"/>
      <c r="I5435" s="729"/>
      <c r="J5435" s="729"/>
      <c r="K5435" s="729"/>
      <c r="L5435" s="147">
        <v>5.7779999999999998E-2</v>
      </c>
      <c r="M5435" s="729"/>
      <c r="N5435" s="147">
        <v>5.7779999999999998E-2</v>
      </c>
      <c r="O5435" s="147">
        <v>0</v>
      </c>
      <c r="P5435" s="729"/>
      <c r="Q5435" s="147">
        <v>5.7779999999999998E-2</v>
      </c>
      <c r="R5435" s="147">
        <v>0</v>
      </c>
    </row>
    <row r="5436" spans="2:18" ht="15.75" hidden="1" thickBot="1" x14ac:dyDescent="0.3">
      <c r="B5436" s="724" t="s">
        <v>832</v>
      </c>
      <c r="C5436" s="722" t="s">
        <v>65</v>
      </c>
      <c r="D5436" t="s">
        <v>66</v>
      </c>
      <c r="E5436" s="148">
        <v>0.62168000000000001</v>
      </c>
      <c r="F5436" s="148">
        <v>-16.01078</v>
      </c>
      <c r="G5436" s="148">
        <v>16.632459999999998</v>
      </c>
      <c r="H5436" s="148">
        <v>103.88288390696768</v>
      </c>
      <c r="I5436" s="728"/>
      <c r="J5436" s="148">
        <v>0.62168000000000001</v>
      </c>
      <c r="K5436" s="148">
        <v>0</v>
      </c>
      <c r="L5436" s="148">
        <v>-212.99735999999999</v>
      </c>
      <c r="M5436" s="148">
        <v>-191.12142</v>
      </c>
      <c r="N5436" s="148">
        <v>-21.87594</v>
      </c>
      <c r="O5436" s="148">
        <v>-11.446095367018517</v>
      </c>
      <c r="P5436" s="148">
        <v>-113.28864</v>
      </c>
      <c r="Q5436" s="148">
        <v>-99.70872</v>
      </c>
      <c r="R5436" s="148">
        <v>-88.012990534620243</v>
      </c>
    </row>
    <row r="5437" spans="2:18" ht="15.75" hidden="1" thickBot="1" x14ac:dyDescent="0.3">
      <c r="B5437" s="724" t="s">
        <v>832</v>
      </c>
      <c r="C5437" s="149" t="s">
        <v>67</v>
      </c>
      <c r="D5437" t="s">
        <v>68</v>
      </c>
      <c r="E5437" s="147">
        <v>42.661020000000001</v>
      </c>
      <c r="F5437" s="147">
        <v>42.948650000000001</v>
      </c>
      <c r="G5437" s="147">
        <v>-0.28763</v>
      </c>
      <c r="H5437" s="147">
        <v>-0.66970673117781354</v>
      </c>
      <c r="I5437" s="729"/>
      <c r="J5437" s="147">
        <v>42.661020000000001</v>
      </c>
      <c r="K5437" s="147">
        <v>0</v>
      </c>
      <c r="L5437" s="147">
        <v>363.35685999999998</v>
      </c>
      <c r="M5437" s="147">
        <v>505.79766999999998</v>
      </c>
      <c r="N5437" s="147">
        <v>-142.44081</v>
      </c>
      <c r="O5437" s="147">
        <v>-28.161618459017419</v>
      </c>
      <c r="P5437" s="147">
        <v>173.75478000000001</v>
      </c>
      <c r="Q5437" s="147">
        <v>189.60208</v>
      </c>
      <c r="R5437" s="147">
        <v>109.12049728934076</v>
      </c>
    </row>
    <row r="5438" spans="2:18" ht="15.75" hidden="1" thickBot="1" x14ac:dyDescent="0.3">
      <c r="B5438" s="724" t="s">
        <v>832</v>
      </c>
      <c r="C5438" s="722" t="s">
        <v>69</v>
      </c>
      <c r="D5438" t="s">
        <v>70</v>
      </c>
      <c r="E5438" s="728"/>
      <c r="F5438" s="148">
        <v>0.1</v>
      </c>
      <c r="G5438" s="148">
        <v>-0.1</v>
      </c>
      <c r="H5438" s="148">
        <v>-100</v>
      </c>
      <c r="I5438" s="728"/>
      <c r="J5438" s="728"/>
      <c r="K5438" s="728"/>
      <c r="L5438" s="148">
        <v>3.0350000000000001</v>
      </c>
      <c r="M5438" s="148">
        <v>1.2</v>
      </c>
      <c r="N5438" s="148">
        <v>1.835</v>
      </c>
      <c r="O5438" s="148">
        <v>152.91666666666666</v>
      </c>
      <c r="P5438" s="148">
        <v>3.0350000000000001</v>
      </c>
      <c r="Q5438" s="148">
        <v>0</v>
      </c>
      <c r="R5438" s="148">
        <v>0</v>
      </c>
    </row>
    <row r="5439" spans="2:18" ht="15.75" hidden="1" thickBot="1" x14ac:dyDescent="0.3">
      <c r="B5439" s="724" t="s">
        <v>832</v>
      </c>
      <c r="C5439" s="722" t="s">
        <v>99</v>
      </c>
      <c r="D5439" t="s">
        <v>100</v>
      </c>
      <c r="E5439" s="147">
        <v>18.45016</v>
      </c>
      <c r="F5439" s="147">
        <v>0.47799999999999998</v>
      </c>
      <c r="G5439" s="147">
        <v>17.972159999999999</v>
      </c>
      <c r="H5439" s="147">
        <v>3759.8661087866108</v>
      </c>
      <c r="I5439" s="729"/>
      <c r="J5439" s="147">
        <v>18.45016</v>
      </c>
      <c r="K5439" s="147">
        <v>0</v>
      </c>
      <c r="L5439" s="147">
        <v>33.152230000000003</v>
      </c>
      <c r="M5439" s="147">
        <v>5.7359999999999998</v>
      </c>
      <c r="N5439" s="147">
        <v>27.416229999999999</v>
      </c>
      <c r="O5439" s="147">
        <v>477.96774755927476</v>
      </c>
      <c r="P5439" s="147">
        <v>5.8871900000000004</v>
      </c>
      <c r="Q5439" s="147">
        <v>27.265039999999999</v>
      </c>
      <c r="R5439" s="147">
        <v>463.12485243384367</v>
      </c>
    </row>
    <row r="5440" spans="2:18" ht="15.75" hidden="1" thickBot="1" x14ac:dyDescent="0.3">
      <c r="B5440" s="724" t="s">
        <v>832</v>
      </c>
      <c r="C5440" s="722" t="s">
        <v>165</v>
      </c>
      <c r="D5440" t="s">
        <v>166</v>
      </c>
      <c r="E5440" s="148">
        <v>0.83726999999999996</v>
      </c>
      <c r="F5440" s="148">
        <v>0.53924000000000005</v>
      </c>
      <c r="G5440" s="148">
        <v>0.29803000000000002</v>
      </c>
      <c r="H5440" s="148">
        <v>55.268526073733405</v>
      </c>
      <c r="I5440" s="728"/>
      <c r="J5440" s="148">
        <v>0.83726999999999996</v>
      </c>
      <c r="K5440" s="148">
        <v>0</v>
      </c>
      <c r="L5440" s="148">
        <v>9.3974299999999999</v>
      </c>
      <c r="M5440" s="148">
        <v>6.4708800000000002</v>
      </c>
      <c r="N5440" s="148">
        <v>2.9265500000000002</v>
      </c>
      <c r="O5440" s="148">
        <v>45.226460697772175</v>
      </c>
      <c r="P5440" s="148">
        <v>4.1502299999999996</v>
      </c>
      <c r="Q5440" s="148">
        <v>5.2472000000000003</v>
      </c>
      <c r="R5440" s="148">
        <v>126.43154716726544</v>
      </c>
    </row>
    <row r="5441" spans="2:18" ht="15.75" hidden="1" thickBot="1" x14ac:dyDescent="0.3">
      <c r="B5441" s="724" t="s">
        <v>832</v>
      </c>
      <c r="C5441" s="722" t="s">
        <v>137</v>
      </c>
      <c r="D5441" t="s">
        <v>138</v>
      </c>
      <c r="E5441" s="147">
        <v>0.17657999999999999</v>
      </c>
      <c r="F5441" s="729"/>
      <c r="G5441" s="147">
        <v>0.17657999999999999</v>
      </c>
      <c r="H5441" s="147">
        <v>0</v>
      </c>
      <c r="I5441" s="729"/>
      <c r="J5441" s="147">
        <v>0.17657999999999999</v>
      </c>
      <c r="K5441" s="147">
        <v>0</v>
      </c>
      <c r="L5441" s="147">
        <v>0.8175</v>
      </c>
      <c r="M5441" s="729"/>
      <c r="N5441" s="147">
        <v>0.8175</v>
      </c>
      <c r="O5441" s="147">
        <v>0</v>
      </c>
      <c r="P5441" s="147">
        <v>0.51993</v>
      </c>
      <c r="Q5441" s="147">
        <v>0.29757</v>
      </c>
      <c r="R5441" s="147">
        <v>57.232704402515722</v>
      </c>
    </row>
    <row r="5442" spans="2:18" ht="15.75" hidden="1" thickBot="1" x14ac:dyDescent="0.3">
      <c r="B5442" s="724" t="s">
        <v>832</v>
      </c>
      <c r="C5442" s="722" t="s">
        <v>190</v>
      </c>
      <c r="D5442" t="s">
        <v>191</v>
      </c>
      <c r="E5442" s="148">
        <v>1.508</v>
      </c>
      <c r="F5442" s="148">
        <v>1.5149999999999999</v>
      </c>
      <c r="G5442" s="148">
        <v>-7.0000000000000001E-3</v>
      </c>
      <c r="H5442" s="148">
        <v>-0.46204620462046203</v>
      </c>
      <c r="I5442" s="728"/>
      <c r="J5442" s="148">
        <v>1.508</v>
      </c>
      <c r="K5442" s="148">
        <v>0</v>
      </c>
      <c r="L5442" s="148">
        <v>18.164000000000001</v>
      </c>
      <c r="M5442" s="148">
        <v>18.18</v>
      </c>
      <c r="N5442" s="148">
        <v>-1.6E-2</v>
      </c>
      <c r="O5442" s="148">
        <v>-8.8008800880088014E-2</v>
      </c>
      <c r="P5442" s="148">
        <v>9.048</v>
      </c>
      <c r="Q5442" s="148">
        <v>9.1159999999999997</v>
      </c>
      <c r="R5442" s="148">
        <v>100.75154730327144</v>
      </c>
    </row>
    <row r="5443" spans="2:18" ht="15.75" hidden="1" thickBot="1" x14ac:dyDescent="0.3">
      <c r="B5443" s="724" t="s">
        <v>832</v>
      </c>
      <c r="C5443" s="722" t="s">
        <v>36</v>
      </c>
      <c r="D5443" t="s">
        <v>192</v>
      </c>
      <c r="E5443" s="147">
        <v>0.70306000000000002</v>
      </c>
      <c r="F5443" s="147">
        <v>1.61425</v>
      </c>
      <c r="G5443" s="147">
        <v>-0.91119000000000006</v>
      </c>
      <c r="H5443" s="147">
        <v>-56.446647049713491</v>
      </c>
      <c r="I5443" s="729"/>
      <c r="J5443" s="147">
        <v>0.70306000000000002</v>
      </c>
      <c r="K5443" s="147">
        <v>0</v>
      </c>
      <c r="L5443" s="147">
        <v>20.746300000000002</v>
      </c>
      <c r="M5443" s="147">
        <v>19.370999999999999</v>
      </c>
      <c r="N5443" s="147">
        <v>1.3753</v>
      </c>
      <c r="O5443" s="147">
        <v>7.0997883433999274</v>
      </c>
      <c r="P5443" s="147">
        <v>10.364850000000001</v>
      </c>
      <c r="Q5443" s="147">
        <v>10.381449999999999</v>
      </c>
      <c r="R5443" s="147">
        <v>100.16015668340593</v>
      </c>
    </row>
    <row r="5444" spans="2:18" ht="15.75" hidden="1" thickBot="1" x14ac:dyDescent="0.3">
      <c r="B5444" s="724" t="s">
        <v>832</v>
      </c>
      <c r="C5444" s="722" t="s">
        <v>598</v>
      </c>
      <c r="D5444" t="s">
        <v>168</v>
      </c>
      <c r="E5444" s="728"/>
      <c r="F5444" s="148">
        <v>0.43</v>
      </c>
      <c r="G5444" s="148">
        <v>-0.43</v>
      </c>
      <c r="H5444" s="148">
        <v>-100</v>
      </c>
      <c r="I5444" s="728"/>
      <c r="J5444" s="728"/>
      <c r="K5444" s="728"/>
      <c r="L5444" s="148">
        <v>5.9936699999999998</v>
      </c>
      <c r="M5444" s="148">
        <v>5.16</v>
      </c>
      <c r="N5444" s="148">
        <v>0.83367000000000002</v>
      </c>
      <c r="O5444" s="148">
        <v>16.156395348837208</v>
      </c>
      <c r="P5444" s="148">
        <v>4.7496200000000002</v>
      </c>
      <c r="Q5444" s="148">
        <v>1.2440500000000001</v>
      </c>
      <c r="R5444" s="148">
        <v>26.192621725527516</v>
      </c>
    </row>
    <row r="5445" spans="2:18" ht="15.75" hidden="1" thickBot="1" x14ac:dyDescent="0.3">
      <c r="B5445" s="724" t="s">
        <v>832</v>
      </c>
      <c r="C5445" s="722" t="s">
        <v>139</v>
      </c>
      <c r="D5445" t="s">
        <v>140</v>
      </c>
      <c r="E5445" s="147">
        <v>1.299E-2</v>
      </c>
      <c r="F5445" s="729"/>
      <c r="G5445" s="147">
        <v>1.299E-2</v>
      </c>
      <c r="H5445" s="147">
        <v>0</v>
      </c>
      <c r="I5445" s="729"/>
      <c r="J5445" s="147">
        <v>1.299E-2</v>
      </c>
      <c r="K5445" s="147">
        <v>0</v>
      </c>
      <c r="L5445" s="147">
        <v>0.22489999999999999</v>
      </c>
      <c r="M5445" s="729"/>
      <c r="N5445" s="147">
        <v>0.22489999999999999</v>
      </c>
      <c r="O5445" s="147">
        <v>0</v>
      </c>
      <c r="P5445" s="147">
        <v>0.17294000000000001</v>
      </c>
      <c r="Q5445" s="147">
        <v>5.1959999999999999E-2</v>
      </c>
      <c r="R5445" s="147">
        <v>30.045102347635019</v>
      </c>
    </row>
    <row r="5446" spans="2:18" ht="15.75" hidden="1" thickBot="1" x14ac:dyDescent="0.3">
      <c r="B5446" s="724" t="s">
        <v>832</v>
      </c>
      <c r="C5446" s="722" t="s">
        <v>101</v>
      </c>
      <c r="D5446" t="s">
        <v>102</v>
      </c>
      <c r="E5446" s="148">
        <v>6.9741099999999996</v>
      </c>
      <c r="F5446" s="148">
        <v>14.922000000000001</v>
      </c>
      <c r="G5446" s="148">
        <v>-7.9478900000000001</v>
      </c>
      <c r="H5446" s="148">
        <v>-53.262900415493903</v>
      </c>
      <c r="I5446" s="728"/>
      <c r="J5446" s="148">
        <v>6.9741099999999996</v>
      </c>
      <c r="K5446" s="148">
        <v>0</v>
      </c>
      <c r="L5446" s="148">
        <v>100.77954</v>
      </c>
      <c r="M5446" s="148">
        <v>179.06399999999999</v>
      </c>
      <c r="N5446" s="148">
        <v>-78.284459999999996</v>
      </c>
      <c r="O5446" s="148">
        <v>-43.718703927087525</v>
      </c>
      <c r="P5446" s="148">
        <v>58.841169999999998</v>
      </c>
      <c r="Q5446" s="148">
        <v>41.938369999999999</v>
      </c>
      <c r="R5446" s="148">
        <v>71.273854683718895</v>
      </c>
    </row>
    <row r="5447" spans="2:18" ht="15.75" hidden="1" thickBot="1" x14ac:dyDescent="0.3">
      <c r="B5447" s="724" t="s">
        <v>832</v>
      </c>
      <c r="C5447" s="722" t="s">
        <v>464</v>
      </c>
      <c r="D5447" t="s">
        <v>465</v>
      </c>
      <c r="E5447" s="147">
        <v>375.8954</v>
      </c>
      <c r="F5447" s="147">
        <v>376</v>
      </c>
      <c r="G5447" s="147">
        <v>-0.1046</v>
      </c>
      <c r="H5447" s="147">
        <v>-2.7819148936170213E-2</v>
      </c>
      <c r="I5447" s="729"/>
      <c r="J5447" s="147">
        <v>375.8954</v>
      </c>
      <c r="K5447" s="147">
        <v>0</v>
      </c>
      <c r="L5447" s="147">
        <v>4443.1084199999996</v>
      </c>
      <c r="M5447" s="147">
        <v>4437.0050000000001</v>
      </c>
      <c r="N5447" s="147">
        <v>6.1034199999999998</v>
      </c>
      <c r="O5447" s="147">
        <v>0.13755720356411588</v>
      </c>
      <c r="P5447" s="147">
        <v>2186.17344</v>
      </c>
      <c r="Q5447" s="147">
        <v>2256.93498</v>
      </c>
      <c r="R5447" s="147">
        <v>103.23677612696639</v>
      </c>
    </row>
    <row r="5448" spans="2:18" ht="15.75" hidden="1" thickBot="1" x14ac:dyDescent="0.3">
      <c r="B5448" s="724" t="s">
        <v>832</v>
      </c>
      <c r="C5448" s="722" t="s">
        <v>103</v>
      </c>
      <c r="D5448" t="s">
        <v>104</v>
      </c>
      <c r="E5448" s="148">
        <v>1.4999999999999999E-2</v>
      </c>
      <c r="F5448" s="148">
        <v>0.1</v>
      </c>
      <c r="G5448" s="148">
        <v>-8.5000000000000006E-2</v>
      </c>
      <c r="H5448" s="148">
        <v>-85</v>
      </c>
      <c r="I5448" s="728"/>
      <c r="J5448" s="148">
        <v>1.4999999999999999E-2</v>
      </c>
      <c r="K5448" s="148">
        <v>0</v>
      </c>
      <c r="L5448" s="148">
        <v>1.4999999999999999E-2</v>
      </c>
      <c r="M5448" s="148">
        <v>1.2</v>
      </c>
      <c r="N5448" s="148">
        <v>-1.1850000000000001</v>
      </c>
      <c r="O5448" s="148">
        <v>-98.75</v>
      </c>
      <c r="P5448" s="728"/>
      <c r="Q5448" s="148">
        <v>1.4999999999999999E-2</v>
      </c>
      <c r="R5448" s="148">
        <v>0</v>
      </c>
    </row>
    <row r="5449" spans="2:18" ht="15.75" hidden="1" thickBot="1" x14ac:dyDescent="0.3">
      <c r="B5449" s="724" t="s">
        <v>832</v>
      </c>
      <c r="C5449" s="722" t="s">
        <v>71</v>
      </c>
      <c r="D5449" t="s">
        <v>72</v>
      </c>
      <c r="E5449" s="729"/>
      <c r="F5449" s="729"/>
      <c r="G5449" s="729"/>
      <c r="H5449" s="729"/>
      <c r="I5449" s="729"/>
      <c r="J5449" s="729"/>
      <c r="K5449" s="729"/>
      <c r="L5449" s="147">
        <v>0</v>
      </c>
      <c r="M5449" s="729"/>
      <c r="N5449" s="147">
        <v>0</v>
      </c>
      <c r="O5449" s="147">
        <v>0</v>
      </c>
      <c r="P5449" s="147">
        <v>0.56986999999999999</v>
      </c>
      <c r="Q5449" s="147">
        <v>-0.56986999999999999</v>
      </c>
      <c r="R5449" s="147">
        <v>-100</v>
      </c>
    </row>
    <row r="5450" spans="2:18" ht="15.75" hidden="1" thickBot="1" x14ac:dyDescent="0.3">
      <c r="B5450" s="724" t="s">
        <v>832</v>
      </c>
      <c r="C5450" s="722" t="s">
        <v>627</v>
      </c>
      <c r="D5450" t="s">
        <v>628</v>
      </c>
      <c r="E5450" s="148">
        <v>21.122140000000002</v>
      </c>
      <c r="F5450" s="148">
        <v>19.009</v>
      </c>
      <c r="G5450" s="148">
        <v>2.11314</v>
      </c>
      <c r="H5450" s="148">
        <v>11.116523751906991</v>
      </c>
      <c r="I5450" s="728"/>
      <c r="J5450" s="148">
        <v>21.122140000000002</v>
      </c>
      <c r="K5450" s="148">
        <v>0</v>
      </c>
      <c r="L5450" s="148">
        <v>227.33476999999999</v>
      </c>
      <c r="M5450" s="148">
        <v>228.108</v>
      </c>
      <c r="N5450" s="148">
        <v>-0.77322999999999997</v>
      </c>
      <c r="O5450" s="148">
        <v>-0.33897539761867185</v>
      </c>
      <c r="P5450" s="148">
        <v>121.05857</v>
      </c>
      <c r="Q5450" s="148">
        <v>106.2762</v>
      </c>
      <c r="R5450" s="148">
        <v>87.789075981981284</v>
      </c>
    </row>
    <row r="5451" spans="2:18" ht="15.75" hidden="1" thickBot="1" x14ac:dyDescent="0.3">
      <c r="B5451" s="724" t="s">
        <v>832</v>
      </c>
      <c r="C5451" s="722" t="s">
        <v>107</v>
      </c>
      <c r="D5451" t="s">
        <v>108</v>
      </c>
      <c r="E5451" s="729"/>
      <c r="F5451" s="729"/>
      <c r="G5451" s="729"/>
      <c r="H5451" s="729"/>
      <c r="I5451" s="729"/>
      <c r="J5451" s="729"/>
      <c r="K5451" s="729"/>
      <c r="L5451" s="147">
        <v>0.24793999999999999</v>
      </c>
      <c r="M5451" s="729"/>
      <c r="N5451" s="147">
        <v>0.24793999999999999</v>
      </c>
      <c r="O5451" s="147">
        <v>0</v>
      </c>
      <c r="P5451" s="147">
        <v>0.24793999999999999</v>
      </c>
      <c r="Q5451" s="147">
        <v>0</v>
      </c>
      <c r="R5451" s="147">
        <v>0</v>
      </c>
    </row>
    <row r="5452" spans="2:18" ht="15.75" hidden="1" thickBot="1" x14ac:dyDescent="0.3">
      <c r="B5452" s="724" t="s">
        <v>832</v>
      </c>
      <c r="C5452" s="722" t="s">
        <v>109</v>
      </c>
      <c r="D5452" t="s">
        <v>110</v>
      </c>
      <c r="E5452" s="728"/>
      <c r="F5452" s="148">
        <v>8.4040000000000004E-2</v>
      </c>
      <c r="G5452" s="148">
        <v>-8.4040000000000004E-2</v>
      </c>
      <c r="H5452" s="148">
        <v>-100</v>
      </c>
      <c r="I5452" s="728"/>
      <c r="J5452" s="728"/>
      <c r="K5452" s="728"/>
      <c r="L5452" s="148">
        <v>9.4530000000000003E-2</v>
      </c>
      <c r="M5452" s="148">
        <v>1.00848</v>
      </c>
      <c r="N5452" s="148">
        <v>-0.91395000000000004</v>
      </c>
      <c r="O5452" s="148">
        <v>-90.626487386958587</v>
      </c>
      <c r="P5452" s="148">
        <v>7.8829999999999997E-2</v>
      </c>
      <c r="Q5452" s="148">
        <v>1.5699999999999999E-2</v>
      </c>
      <c r="R5452" s="148">
        <v>19.916275529620702</v>
      </c>
    </row>
    <row r="5453" spans="2:18" ht="15.75" hidden="1" thickBot="1" x14ac:dyDescent="0.3">
      <c r="B5453" s="724" t="s">
        <v>832</v>
      </c>
      <c r="C5453" s="722" t="s">
        <v>73</v>
      </c>
      <c r="D5453" t="s">
        <v>74</v>
      </c>
      <c r="E5453" s="147">
        <v>6.0359999999999997E-2</v>
      </c>
      <c r="F5453" s="147">
        <v>0.46200000000000002</v>
      </c>
      <c r="G5453" s="147">
        <v>-0.40164</v>
      </c>
      <c r="H5453" s="147">
        <v>-86.935064935064929</v>
      </c>
      <c r="I5453" s="729"/>
      <c r="J5453" s="147">
        <v>6.0359999999999997E-2</v>
      </c>
      <c r="K5453" s="147">
        <v>0</v>
      </c>
      <c r="L5453" s="147">
        <v>5.31182</v>
      </c>
      <c r="M5453" s="147">
        <v>5.5439999999999996</v>
      </c>
      <c r="N5453" s="147">
        <v>-0.23218</v>
      </c>
      <c r="O5453" s="147">
        <v>-4.1879509379509381</v>
      </c>
      <c r="P5453" s="147">
        <v>2.9963299999999999</v>
      </c>
      <c r="Q5453" s="147">
        <v>2.31549</v>
      </c>
      <c r="R5453" s="147">
        <v>77.277536185934125</v>
      </c>
    </row>
    <row r="5454" spans="2:18" ht="15.75" hidden="1" thickBot="1" x14ac:dyDescent="0.3">
      <c r="B5454" s="724" t="s">
        <v>832</v>
      </c>
      <c r="C5454" s="722" t="s">
        <v>111</v>
      </c>
      <c r="D5454" t="s">
        <v>112</v>
      </c>
      <c r="E5454" s="728"/>
      <c r="F5454" s="728"/>
      <c r="G5454" s="728"/>
      <c r="H5454" s="728"/>
      <c r="I5454" s="728"/>
      <c r="J5454" s="728"/>
      <c r="K5454" s="728"/>
      <c r="L5454" s="148">
        <v>0.27009</v>
      </c>
      <c r="M5454" s="728"/>
      <c r="N5454" s="148">
        <v>0.27009</v>
      </c>
      <c r="O5454" s="148">
        <v>0</v>
      </c>
      <c r="P5454" s="148">
        <v>0.12559000000000001</v>
      </c>
      <c r="Q5454" s="148">
        <v>0.14449999999999999</v>
      </c>
      <c r="R5454" s="148">
        <v>115.05693128433792</v>
      </c>
    </row>
    <row r="5455" spans="2:18" ht="15.75" hidden="1" thickBot="1" x14ac:dyDescent="0.3">
      <c r="B5455" s="724" t="s">
        <v>832</v>
      </c>
      <c r="C5455" s="722" t="s">
        <v>141</v>
      </c>
      <c r="D5455" t="s">
        <v>142</v>
      </c>
      <c r="E5455" s="147">
        <v>3.184E-2</v>
      </c>
      <c r="F5455" s="147">
        <v>3.6999999999999998E-2</v>
      </c>
      <c r="G5455" s="147">
        <v>-5.1599999999999997E-3</v>
      </c>
      <c r="H5455" s="147">
        <v>-13.945945945945946</v>
      </c>
      <c r="I5455" s="729"/>
      <c r="J5455" s="147">
        <v>3.184E-2</v>
      </c>
      <c r="K5455" s="147">
        <v>0</v>
      </c>
      <c r="L5455" s="147">
        <v>0.46444000000000002</v>
      </c>
      <c r="M5455" s="147">
        <v>0.44400000000000001</v>
      </c>
      <c r="N5455" s="147">
        <v>2.044E-2</v>
      </c>
      <c r="O5455" s="147">
        <v>4.6036036036036032</v>
      </c>
      <c r="P5455" s="147">
        <v>0.13541</v>
      </c>
      <c r="Q5455" s="147">
        <v>0.32902999999999999</v>
      </c>
      <c r="R5455" s="147">
        <v>242.98796248430693</v>
      </c>
    </row>
    <row r="5456" spans="2:18" ht="15.75" hidden="1" thickBot="1" x14ac:dyDescent="0.3">
      <c r="B5456" s="724" t="s">
        <v>832</v>
      </c>
      <c r="C5456" s="722" t="s">
        <v>113</v>
      </c>
      <c r="D5456" t="s">
        <v>114</v>
      </c>
      <c r="E5456" s="148">
        <v>0.39119999999999999</v>
      </c>
      <c r="F5456" s="148">
        <v>3.9E-2</v>
      </c>
      <c r="G5456" s="148">
        <v>0.35220000000000001</v>
      </c>
      <c r="H5456" s="148">
        <v>903.07692307692309</v>
      </c>
      <c r="I5456" s="728"/>
      <c r="J5456" s="148">
        <v>0.39119999999999999</v>
      </c>
      <c r="K5456" s="148">
        <v>0</v>
      </c>
      <c r="L5456" s="148">
        <v>1.3983699999999999</v>
      </c>
      <c r="M5456" s="148">
        <v>0.46800000000000003</v>
      </c>
      <c r="N5456" s="148">
        <v>0.93037000000000003</v>
      </c>
      <c r="O5456" s="148">
        <v>198.79700854700855</v>
      </c>
      <c r="P5456" s="148">
        <v>0.37374000000000002</v>
      </c>
      <c r="Q5456" s="148">
        <v>1.0246299999999999</v>
      </c>
      <c r="R5456" s="148">
        <v>274.15583025632793</v>
      </c>
    </row>
    <row r="5457" spans="2:18" ht="15.75" hidden="1" thickBot="1" x14ac:dyDescent="0.3">
      <c r="B5457" s="724" t="s">
        <v>832</v>
      </c>
      <c r="C5457" s="722" t="s">
        <v>201</v>
      </c>
      <c r="D5457" t="s">
        <v>202</v>
      </c>
      <c r="E5457" s="729"/>
      <c r="F5457" s="147">
        <v>0.1</v>
      </c>
      <c r="G5457" s="147">
        <v>-0.1</v>
      </c>
      <c r="H5457" s="147">
        <v>-100</v>
      </c>
      <c r="I5457" s="729"/>
      <c r="J5457" s="729"/>
      <c r="K5457" s="729"/>
      <c r="L5457" s="147">
        <v>0.80520000000000003</v>
      </c>
      <c r="M5457" s="147">
        <v>1.2</v>
      </c>
      <c r="N5457" s="147">
        <v>-0.39479999999999998</v>
      </c>
      <c r="O5457" s="147">
        <v>-32.9</v>
      </c>
      <c r="P5457" s="729"/>
      <c r="Q5457" s="147">
        <v>0.80520000000000003</v>
      </c>
      <c r="R5457" s="147">
        <v>0</v>
      </c>
    </row>
    <row r="5458" spans="2:18" ht="15.75" hidden="1" thickBot="1" x14ac:dyDescent="0.3">
      <c r="B5458" s="724" t="s">
        <v>832</v>
      </c>
      <c r="C5458" s="722" t="s">
        <v>117</v>
      </c>
      <c r="D5458" t="s">
        <v>118</v>
      </c>
      <c r="E5458" s="148">
        <v>-0.43125000000000002</v>
      </c>
      <c r="F5458" s="728"/>
      <c r="G5458" s="148">
        <v>-0.43125000000000002</v>
      </c>
      <c r="H5458" s="148">
        <v>0</v>
      </c>
      <c r="I5458" s="728"/>
      <c r="J5458" s="148">
        <v>-0.43125000000000002</v>
      </c>
      <c r="K5458" s="148">
        <v>0</v>
      </c>
      <c r="L5458" s="148">
        <v>-5.4554499999999999</v>
      </c>
      <c r="M5458" s="728"/>
      <c r="N5458" s="148">
        <v>-5.4554499999999999</v>
      </c>
      <c r="O5458" s="148">
        <v>0</v>
      </c>
      <c r="P5458" s="148">
        <v>-2.3592499999999998</v>
      </c>
      <c r="Q5458" s="148">
        <v>-3.0962000000000001</v>
      </c>
      <c r="R5458" s="148">
        <v>-131.23662180777791</v>
      </c>
    </row>
    <row r="5459" spans="2:18" ht="15.75" hidden="1" thickBot="1" x14ac:dyDescent="0.3">
      <c r="B5459" s="724" t="s">
        <v>832</v>
      </c>
      <c r="C5459" s="722" t="s">
        <v>637</v>
      </c>
      <c r="D5459" t="s">
        <v>638</v>
      </c>
      <c r="E5459" s="147">
        <v>3.6865299999999999</v>
      </c>
      <c r="F5459" s="147">
        <v>20.710999999999999</v>
      </c>
      <c r="G5459" s="147">
        <v>-17.024470000000001</v>
      </c>
      <c r="H5459" s="147">
        <v>-82.20013519385833</v>
      </c>
      <c r="I5459" s="729"/>
      <c r="J5459" s="147">
        <v>3.6865299999999999</v>
      </c>
      <c r="K5459" s="147">
        <v>0</v>
      </c>
      <c r="L5459" s="147">
        <v>238.52475999999999</v>
      </c>
      <c r="M5459" s="147">
        <v>248.53200000000001</v>
      </c>
      <c r="N5459" s="147">
        <v>-10.007239999999999</v>
      </c>
      <c r="O5459" s="147">
        <v>-4.0265398419519416</v>
      </c>
      <c r="P5459" s="147">
        <v>141.09809999999999</v>
      </c>
      <c r="Q5459" s="147">
        <v>97.426659999999998</v>
      </c>
      <c r="R5459" s="147">
        <v>69.048881593728055</v>
      </c>
    </row>
    <row r="5460" spans="2:18" ht="15.75" hidden="1" thickBot="1" x14ac:dyDescent="0.3">
      <c r="B5460" s="724" t="s">
        <v>832</v>
      </c>
      <c r="C5460" s="722" t="s">
        <v>145</v>
      </c>
      <c r="D5460" t="s">
        <v>146</v>
      </c>
      <c r="E5460" s="148">
        <v>-0.5554</v>
      </c>
      <c r="F5460" s="148">
        <v>2.5000000000000001E-2</v>
      </c>
      <c r="G5460" s="148">
        <v>-0.58040000000000003</v>
      </c>
      <c r="H5460" s="148">
        <v>-2321.6</v>
      </c>
      <c r="I5460" s="728"/>
      <c r="J5460" s="148">
        <v>-0.5554</v>
      </c>
      <c r="K5460" s="148">
        <v>0</v>
      </c>
      <c r="L5460" s="148">
        <v>20.428809999999999</v>
      </c>
      <c r="M5460" s="148">
        <v>0.3</v>
      </c>
      <c r="N5460" s="148">
        <v>20.128810000000001</v>
      </c>
      <c r="O5460" s="148">
        <v>6709.6033333333335</v>
      </c>
      <c r="P5460" s="148">
        <v>10.6911</v>
      </c>
      <c r="Q5460" s="148">
        <v>9.7377099999999999</v>
      </c>
      <c r="R5460" s="148">
        <v>91.082395637492866</v>
      </c>
    </row>
    <row r="5461" spans="2:18" ht="15.75" hidden="1" thickBot="1" x14ac:dyDescent="0.3">
      <c r="B5461" s="724" t="s">
        <v>832</v>
      </c>
      <c r="C5461" s="722" t="s">
        <v>147</v>
      </c>
      <c r="D5461" t="s">
        <v>148</v>
      </c>
      <c r="E5461" s="147">
        <v>1.4212800000000001</v>
      </c>
      <c r="F5461" s="147">
        <v>0.60950000000000004</v>
      </c>
      <c r="G5461" s="147">
        <v>0.81177999999999995</v>
      </c>
      <c r="H5461" s="147">
        <v>133.18785890073832</v>
      </c>
      <c r="I5461" s="729"/>
      <c r="J5461" s="147">
        <v>1.4212800000000001</v>
      </c>
      <c r="K5461" s="147">
        <v>0</v>
      </c>
      <c r="L5461" s="147">
        <v>12.293290000000001</v>
      </c>
      <c r="M5461" s="147">
        <v>7.3140000000000001</v>
      </c>
      <c r="N5461" s="147">
        <v>4.9792899999999998</v>
      </c>
      <c r="O5461" s="147">
        <v>68.078889800382825</v>
      </c>
      <c r="P5461" s="147">
        <v>6.2561900000000001</v>
      </c>
      <c r="Q5461" s="147">
        <v>6.0370999999999997</v>
      </c>
      <c r="R5461" s="147">
        <v>96.498028352719473</v>
      </c>
    </row>
    <row r="5462" spans="2:18" ht="15.75" hidden="1" thickBot="1" x14ac:dyDescent="0.3">
      <c r="B5462" s="724" t="s">
        <v>832</v>
      </c>
      <c r="C5462" s="722" t="s">
        <v>149</v>
      </c>
      <c r="D5462" t="s">
        <v>150</v>
      </c>
      <c r="E5462" s="148">
        <v>8.1739999999999995</v>
      </c>
      <c r="F5462" s="728"/>
      <c r="G5462" s="148">
        <v>8.1739999999999995</v>
      </c>
      <c r="H5462" s="148">
        <v>0</v>
      </c>
      <c r="I5462" s="728"/>
      <c r="J5462" s="148">
        <v>8.1739999999999995</v>
      </c>
      <c r="K5462" s="148">
        <v>0</v>
      </c>
      <c r="L5462" s="148">
        <v>-45.529260000000001</v>
      </c>
      <c r="M5462" s="728"/>
      <c r="N5462" s="148">
        <v>-45.529260000000001</v>
      </c>
      <c r="O5462" s="148">
        <v>0</v>
      </c>
      <c r="P5462" s="148">
        <v>-55.125259999999997</v>
      </c>
      <c r="Q5462" s="148">
        <v>9.5960000000000001</v>
      </c>
      <c r="R5462" s="148">
        <v>17.40762764656348</v>
      </c>
    </row>
    <row r="5463" spans="2:18" ht="15.75" hidden="1" thickBot="1" x14ac:dyDescent="0.3">
      <c r="B5463" s="724" t="s">
        <v>832</v>
      </c>
      <c r="C5463" s="722" t="s">
        <v>205</v>
      </c>
      <c r="D5463" t="s">
        <v>206</v>
      </c>
      <c r="E5463" s="147">
        <v>-1.3247800000000001</v>
      </c>
      <c r="F5463" s="147">
        <v>9.9480000000000004</v>
      </c>
      <c r="G5463" s="147">
        <v>-11.272779999999999</v>
      </c>
      <c r="H5463" s="147">
        <v>-113.31704865299558</v>
      </c>
      <c r="I5463" s="729"/>
      <c r="J5463" s="147">
        <v>-1.3247800000000001</v>
      </c>
      <c r="K5463" s="147">
        <v>0</v>
      </c>
      <c r="L5463" s="147">
        <v>21.630990000000001</v>
      </c>
      <c r="M5463" s="147">
        <v>119.376</v>
      </c>
      <c r="N5463" s="147">
        <v>-97.745009999999994</v>
      </c>
      <c r="O5463" s="147">
        <v>-81.879950743868108</v>
      </c>
      <c r="P5463" s="147">
        <v>11.4801</v>
      </c>
      <c r="Q5463" s="147">
        <v>10.15089</v>
      </c>
      <c r="R5463" s="147">
        <v>88.42161653644132</v>
      </c>
    </row>
    <row r="5464" spans="2:18" ht="15.75" hidden="1" thickBot="1" x14ac:dyDescent="0.3">
      <c r="B5464" s="724" t="s">
        <v>832</v>
      </c>
      <c r="C5464" s="722" t="s">
        <v>649</v>
      </c>
      <c r="D5464" t="s">
        <v>650</v>
      </c>
      <c r="E5464" s="728"/>
      <c r="F5464" s="148">
        <v>1.25</v>
      </c>
      <c r="G5464" s="148">
        <v>-1.25</v>
      </c>
      <c r="H5464" s="148">
        <v>-100</v>
      </c>
      <c r="I5464" s="728"/>
      <c r="J5464" s="728"/>
      <c r="K5464" s="728"/>
      <c r="L5464" s="148">
        <v>1.7034499999999999</v>
      </c>
      <c r="M5464" s="148">
        <v>15</v>
      </c>
      <c r="N5464" s="148">
        <v>-13.29655</v>
      </c>
      <c r="O5464" s="148">
        <v>-88.643666666666661</v>
      </c>
      <c r="P5464" s="148">
        <v>1.7034499999999999</v>
      </c>
      <c r="Q5464" s="148">
        <v>0</v>
      </c>
      <c r="R5464" s="148">
        <v>0</v>
      </c>
    </row>
    <row r="5465" spans="2:18" ht="15.75" hidden="1" thickBot="1" x14ac:dyDescent="0.3">
      <c r="B5465" s="724" t="s">
        <v>832</v>
      </c>
      <c r="C5465" s="722" t="s">
        <v>173</v>
      </c>
      <c r="D5465" t="s">
        <v>174</v>
      </c>
      <c r="E5465" s="729"/>
      <c r="F5465" s="147">
        <v>0.32300000000000001</v>
      </c>
      <c r="G5465" s="147">
        <v>-0.32300000000000001</v>
      </c>
      <c r="H5465" s="147">
        <v>-100</v>
      </c>
      <c r="I5465" s="729"/>
      <c r="J5465" s="729"/>
      <c r="K5465" s="729"/>
      <c r="L5465" s="147">
        <v>1.82145</v>
      </c>
      <c r="M5465" s="147">
        <v>3.8759999999999999</v>
      </c>
      <c r="N5465" s="147">
        <v>-2.0545499999999999</v>
      </c>
      <c r="O5465" s="147">
        <v>-53.006965944272444</v>
      </c>
      <c r="P5465" s="147">
        <v>1.5385899999999999</v>
      </c>
      <c r="Q5465" s="147">
        <v>0.28286</v>
      </c>
      <c r="R5465" s="147">
        <v>18.38436490553039</v>
      </c>
    </row>
    <row r="5466" spans="2:18" ht="15.75" hidden="1" thickBot="1" x14ac:dyDescent="0.3">
      <c r="B5466" s="724" t="s">
        <v>832</v>
      </c>
      <c r="C5466" s="722" t="s">
        <v>653</v>
      </c>
      <c r="D5466" t="s">
        <v>654</v>
      </c>
      <c r="E5466" s="728"/>
      <c r="F5466" s="728"/>
      <c r="G5466" s="728"/>
      <c r="H5466" s="728"/>
      <c r="I5466" s="728"/>
      <c r="J5466" s="728"/>
      <c r="K5466" s="728"/>
      <c r="L5466" s="148">
        <v>2.4310100000000001</v>
      </c>
      <c r="M5466" s="728"/>
      <c r="N5466" s="148">
        <v>2.4310100000000001</v>
      </c>
      <c r="O5466" s="148">
        <v>0</v>
      </c>
      <c r="P5466" s="148">
        <v>0.24859999999999999</v>
      </c>
      <c r="Q5466" s="148">
        <v>2.18241</v>
      </c>
      <c r="R5466" s="148">
        <v>877.88012872083664</v>
      </c>
    </row>
    <row r="5467" spans="2:18" ht="15.75" hidden="1" thickBot="1" x14ac:dyDescent="0.3">
      <c r="B5467" s="724" t="s">
        <v>832</v>
      </c>
      <c r="C5467" s="722" t="s">
        <v>151</v>
      </c>
      <c r="D5467" t="s">
        <v>152</v>
      </c>
      <c r="E5467" s="147">
        <v>0.23</v>
      </c>
      <c r="F5467" s="729"/>
      <c r="G5467" s="147">
        <v>0.23</v>
      </c>
      <c r="H5467" s="147">
        <v>0</v>
      </c>
      <c r="I5467" s="729"/>
      <c r="J5467" s="147">
        <v>0.23</v>
      </c>
      <c r="K5467" s="147">
        <v>0</v>
      </c>
      <c r="L5467" s="147">
        <v>4.8828699999999996</v>
      </c>
      <c r="M5467" s="147">
        <v>4.5</v>
      </c>
      <c r="N5467" s="147">
        <v>0.38286999999999999</v>
      </c>
      <c r="O5467" s="147">
        <v>8.5082222222222228</v>
      </c>
      <c r="P5467" s="147">
        <v>2.2460599999999999</v>
      </c>
      <c r="Q5467" s="147">
        <v>2.6368100000000001</v>
      </c>
      <c r="R5467" s="147">
        <v>117.39713097602024</v>
      </c>
    </row>
    <row r="5468" spans="2:18" ht="15.75" hidden="1" thickBot="1" x14ac:dyDescent="0.3">
      <c r="B5468" s="724" t="s">
        <v>832</v>
      </c>
      <c r="C5468" s="722" t="s">
        <v>481</v>
      </c>
      <c r="D5468" t="s">
        <v>482</v>
      </c>
      <c r="E5468" s="728"/>
      <c r="F5468" s="728"/>
      <c r="G5468" s="728"/>
      <c r="H5468" s="728"/>
      <c r="I5468" s="728"/>
      <c r="J5468" s="728"/>
      <c r="K5468" s="728"/>
      <c r="L5468" s="148">
        <v>1.3990000000000001E-2</v>
      </c>
      <c r="M5468" s="728"/>
      <c r="N5468" s="148">
        <v>1.3990000000000001E-2</v>
      </c>
      <c r="O5468" s="148">
        <v>0</v>
      </c>
      <c r="P5468" s="728"/>
      <c r="Q5468" s="148">
        <v>1.3990000000000001E-2</v>
      </c>
      <c r="R5468" s="148">
        <v>0</v>
      </c>
    </row>
    <row r="5469" spans="2:18" ht="15.75" hidden="1" thickBot="1" x14ac:dyDescent="0.3">
      <c r="B5469" s="724" t="s">
        <v>832</v>
      </c>
      <c r="C5469" s="722" t="s">
        <v>175</v>
      </c>
      <c r="D5469" t="s">
        <v>176</v>
      </c>
      <c r="E5469" s="729"/>
      <c r="F5469" s="729"/>
      <c r="G5469" s="729"/>
      <c r="H5469" s="729"/>
      <c r="I5469" s="729"/>
      <c r="J5469" s="729"/>
      <c r="K5469" s="729"/>
      <c r="L5469" s="147">
        <v>16.66</v>
      </c>
      <c r="M5469" s="729"/>
      <c r="N5469" s="147">
        <v>16.66</v>
      </c>
      <c r="O5469" s="147">
        <v>0</v>
      </c>
      <c r="P5469" s="147">
        <v>9.2349999999999994</v>
      </c>
      <c r="Q5469" s="147">
        <v>7.4249999999999998</v>
      </c>
      <c r="R5469" s="147">
        <v>80.400649702219809</v>
      </c>
    </row>
    <row r="5470" spans="2:18" ht="15.75" hidden="1" thickBot="1" x14ac:dyDescent="0.3">
      <c r="B5470" s="724" t="s">
        <v>832</v>
      </c>
      <c r="C5470" s="722" t="s">
        <v>661</v>
      </c>
      <c r="D5470" t="s">
        <v>662</v>
      </c>
      <c r="E5470" s="728"/>
      <c r="F5470" s="728"/>
      <c r="G5470" s="728"/>
      <c r="H5470" s="728"/>
      <c r="I5470" s="728"/>
      <c r="J5470" s="728"/>
      <c r="K5470" s="728"/>
      <c r="L5470" s="148">
        <v>-93.155249999999995</v>
      </c>
      <c r="M5470" s="728"/>
      <c r="N5470" s="148">
        <v>-93.155249999999995</v>
      </c>
      <c r="O5470" s="148">
        <v>0</v>
      </c>
      <c r="P5470" s="148">
        <v>-93.155249999999995</v>
      </c>
      <c r="Q5470" s="148">
        <v>0</v>
      </c>
      <c r="R5470" s="148">
        <v>0</v>
      </c>
    </row>
    <row r="5471" spans="2:18" ht="15.75" hidden="1" thickBot="1" x14ac:dyDescent="0.3">
      <c r="B5471" s="724" t="s">
        <v>832</v>
      </c>
      <c r="C5471" s="722" t="s">
        <v>663</v>
      </c>
      <c r="D5471" t="s">
        <v>664</v>
      </c>
      <c r="E5471" s="729"/>
      <c r="F5471" s="729"/>
      <c r="G5471" s="729"/>
      <c r="H5471" s="729"/>
      <c r="I5471" s="729"/>
      <c r="J5471" s="729"/>
      <c r="K5471" s="729"/>
      <c r="L5471" s="147">
        <v>148.28486000000001</v>
      </c>
      <c r="M5471" s="729"/>
      <c r="N5471" s="147">
        <v>148.28486000000001</v>
      </c>
      <c r="O5471" s="147">
        <v>0</v>
      </c>
      <c r="P5471" s="147">
        <v>148.28486000000001</v>
      </c>
      <c r="Q5471" s="147">
        <v>0</v>
      </c>
      <c r="R5471" s="147">
        <v>0</v>
      </c>
    </row>
    <row r="5472" spans="2:18" ht="15.75" hidden="1" thickBot="1" x14ac:dyDescent="0.3">
      <c r="B5472" s="724" t="s">
        <v>832</v>
      </c>
      <c r="C5472" s="722" t="s">
        <v>207</v>
      </c>
      <c r="D5472" t="s">
        <v>208</v>
      </c>
      <c r="E5472" s="728"/>
      <c r="F5472" s="148">
        <v>0.2</v>
      </c>
      <c r="G5472" s="148">
        <v>-0.2</v>
      </c>
      <c r="H5472" s="148">
        <v>-100</v>
      </c>
      <c r="I5472" s="728"/>
      <c r="J5472" s="728"/>
      <c r="K5472" s="728"/>
      <c r="L5472" s="148">
        <v>0.19203999999999999</v>
      </c>
      <c r="M5472" s="148">
        <v>2.4</v>
      </c>
      <c r="N5472" s="148">
        <v>-2.2079599999999999</v>
      </c>
      <c r="O5472" s="148">
        <v>-91.998333333333335</v>
      </c>
      <c r="P5472" s="148">
        <v>4.0340000000000001E-2</v>
      </c>
      <c r="Q5472" s="148">
        <v>0.1517</v>
      </c>
      <c r="R5472" s="148">
        <v>376.05354486861677</v>
      </c>
    </row>
    <row r="5473" spans="2:18" ht="15.75" hidden="1" thickBot="1" x14ac:dyDescent="0.3">
      <c r="B5473" s="724" t="s">
        <v>832</v>
      </c>
      <c r="C5473" s="722" t="s">
        <v>75</v>
      </c>
      <c r="D5473" t="s">
        <v>76</v>
      </c>
      <c r="E5473" s="147">
        <v>1.0036099999999999</v>
      </c>
      <c r="F5473" s="147">
        <v>0.14899999999999999</v>
      </c>
      <c r="G5473" s="147">
        <v>0.85460999999999998</v>
      </c>
      <c r="H5473" s="147">
        <v>573.56375838926169</v>
      </c>
      <c r="I5473" s="729"/>
      <c r="J5473" s="147">
        <v>1.0036099999999999</v>
      </c>
      <c r="K5473" s="147">
        <v>0</v>
      </c>
      <c r="L5473" s="147">
        <v>4.8271499999999996</v>
      </c>
      <c r="M5473" s="147">
        <v>1.788</v>
      </c>
      <c r="N5473" s="147">
        <v>3.0391499999999998</v>
      </c>
      <c r="O5473" s="147">
        <v>169.97483221476509</v>
      </c>
      <c r="P5473" s="147">
        <v>2.4959600000000002</v>
      </c>
      <c r="Q5473" s="147">
        <v>2.3311899999999999</v>
      </c>
      <c r="R5473" s="147">
        <v>93.398532027756858</v>
      </c>
    </row>
    <row r="5474" spans="2:18" ht="15.75" hidden="1" thickBot="1" x14ac:dyDescent="0.3">
      <c r="B5474" s="724" t="s">
        <v>832</v>
      </c>
      <c r="C5474" s="722" t="s">
        <v>121</v>
      </c>
      <c r="D5474" t="s">
        <v>122</v>
      </c>
      <c r="E5474" s="728"/>
      <c r="F5474" s="148">
        <v>0.31670999999999999</v>
      </c>
      <c r="G5474" s="148">
        <v>-0.31670999999999999</v>
      </c>
      <c r="H5474" s="148">
        <v>-100</v>
      </c>
      <c r="I5474" s="728"/>
      <c r="J5474" s="728"/>
      <c r="K5474" s="728"/>
      <c r="L5474" s="148">
        <v>0.45417999999999997</v>
      </c>
      <c r="M5474" s="148">
        <v>3.8005200000000001</v>
      </c>
      <c r="N5474" s="148">
        <v>-3.3463400000000001</v>
      </c>
      <c r="O5474" s="148">
        <v>-88.049530064306992</v>
      </c>
      <c r="P5474" s="148">
        <v>0.20258999999999999</v>
      </c>
      <c r="Q5474" s="148">
        <v>0.25158999999999998</v>
      </c>
      <c r="R5474" s="148">
        <v>124.18678118367146</v>
      </c>
    </row>
    <row r="5475" spans="2:18" ht="15.75" hidden="1" thickBot="1" x14ac:dyDescent="0.3">
      <c r="B5475" s="724" t="s">
        <v>832</v>
      </c>
      <c r="C5475" s="722" t="s">
        <v>77</v>
      </c>
      <c r="D5475" t="s">
        <v>78</v>
      </c>
      <c r="E5475" s="729"/>
      <c r="F5475" s="147">
        <v>0.1</v>
      </c>
      <c r="G5475" s="147">
        <v>-0.1</v>
      </c>
      <c r="H5475" s="147">
        <v>-100</v>
      </c>
      <c r="I5475" s="729"/>
      <c r="J5475" s="729"/>
      <c r="K5475" s="729"/>
      <c r="L5475" s="729"/>
      <c r="M5475" s="147">
        <v>1.2</v>
      </c>
      <c r="N5475" s="147">
        <v>-1.2</v>
      </c>
      <c r="O5475" s="147">
        <v>-100</v>
      </c>
      <c r="P5475" s="729"/>
      <c r="Q5475" s="729"/>
      <c r="R5475" s="729"/>
    </row>
    <row r="5476" spans="2:18" ht="15.75" hidden="1" thickBot="1" x14ac:dyDescent="0.3">
      <c r="B5476" s="724" t="s">
        <v>832</v>
      </c>
      <c r="C5476" s="722" t="s">
        <v>79</v>
      </c>
      <c r="D5476" t="s">
        <v>80</v>
      </c>
      <c r="E5476" s="728"/>
      <c r="F5476" s="148">
        <v>0.1</v>
      </c>
      <c r="G5476" s="148">
        <v>-0.1</v>
      </c>
      <c r="H5476" s="148">
        <v>-100</v>
      </c>
      <c r="I5476" s="728"/>
      <c r="J5476" s="728"/>
      <c r="K5476" s="728"/>
      <c r="L5476" s="148">
        <v>4.2149799999999997</v>
      </c>
      <c r="M5476" s="148">
        <v>1.2</v>
      </c>
      <c r="N5476" s="148">
        <v>3.01498</v>
      </c>
      <c r="O5476" s="148">
        <v>251.24833333333333</v>
      </c>
      <c r="P5476" s="148">
        <v>3.5795400000000002</v>
      </c>
      <c r="Q5476" s="148">
        <v>0.63544</v>
      </c>
      <c r="R5476" s="148">
        <v>17.752001653843791</v>
      </c>
    </row>
    <row r="5477" spans="2:18" ht="15.75" hidden="1" thickBot="1" x14ac:dyDescent="0.3">
      <c r="B5477" s="724" t="s">
        <v>832</v>
      </c>
      <c r="C5477" s="722" t="s">
        <v>81</v>
      </c>
      <c r="D5477" t="s">
        <v>82</v>
      </c>
      <c r="E5477" s="729"/>
      <c r="F5477" s="147">
        <v>5.3999999999999999E-2</v>
      </c>
      <c r="G5477" s="147">
        <v>-5.3999999999999999E-2</v>
      </c>
      <c r="H5477" s="147">
        <v>-100</v>
      </c>
      <c r="I5477" s="729"/>
      <c r="J5477" s="729"/>
      <c r="K5477" s="729"/>
      <c r="L5477" s="147">
        <v>0.35680000000000001</v>
      </c>
      <c r="M5477" s="147">
        <v>0.64800000000000002</v>
      </c>
      <c r="N5477" s="147">
        <v>-0.29120000000000001</v>
      </c>
      <c r="O5477" s="147">
        <v>-44.938271604938272</v>
      </c>
      <c r="P5477" s="147">
        <v>0.20680000000000001</v>
      </c>
      <c r="Q5477" s="147">
        <v>0.15</v>
      </c>
      <c r="R5477" s="147">
        <v>72.533849129593804</v>
      </c>
    </row>
    <row r="5478" spans="2:18" ht="15.75" hidden="1" thickBot="1" x14ac:dyDescent="0.3">
      <c r="B5478" s="724" t="s">
        <v>832</v>
      </c>
      <c r="C5478" s="722" t="s">
        <v>123</v>
      </c>
      <c r="D5478" t="s">
        <v>124</v>
      </c>
      <c r="E5478" s="148">
        <v>0.30911</v>
      </c>
      <c r="F5478" s="728"/>
      <c r="G5478" s="148">
        <v>0.30911</v>
      </c>
      <c r="H5478" s="148">
        <v>0</v>
      </c>
      <c r="I5478" s="728"/>
      <c r="J5478" s="148">
        <v>0.30911</v>
      </c>
      <c r="K5478" s="148">
        <v>0</v>
      </c>
      <c r="L5478" s="148">
        <v>0.63839000000000001</v>
      </c>
      <c r="M5478" s="728"/>
      <c r="N5478" s="148">
        <v>0.63839000000000001</v>
      </c>
      <c r="O5478" s="148">
        <v>0</v>
      </c>
      <c r="P5478" s="148">
        <v>0.06</v>
      </c>
      <c r="Q5478" s="148">
        <v>0.57838999999999996</v>
      </c>
      <c r="R5478" s="148">
        <v>963.98333333333335</v>
      </c>
    </row>
    <row r="5479" spans="2:18" ht="15.75" hidden="1" thickBot="1" x14ac:dyDescent="0.3">
      <c r="B5479" s="724" t="s">
        <v>832</v>
      </c>
      <c r="C5479" s="722" t="s">
        <v>125</v>
      </c>
      <c r="D5479" t="s">
        <v>126</v>
      </c>
      <c r="E5479" s="729"/>
      <c r="F5479" s="729"/>
      <c r="G5479" s="729"/>
      <c r="H5479" s="729"/>
      <c r="I5479" s="729"/>
      <c r="J5479" s="729"/>
      <c r="K5479" s="729"/>
      <c r="L5479" s="147">
        <v>5.9380000000000002E-2</v>
      </c>
      <c r="M5479" s="729"/>
      <c r="N5479" s="147">
        <v>5.9380000000000002E-2</v>
      </c>
      <c r="O5479" s="147">
        <v>0</v>
      </c>
      <c r="P5479" s="147">
        <v>5.9380000000000002E-2</v>
      </c>
      <c r="Q5479" s="147">
        <v>0</v>
      </c>
      <c r="R5479" s="147">
        <v>0</v>
      </c>
    </row>
    <row r="5480" spans="2:18" ht="15.75" hidden="1" thickBot="1" x14ac:dyDescent="0.3">
      <c r="B5480" s="724" t="s">
        <v>832</v>
      </c>
      <c r="C5480" s="149" t="s">
        <v>85</v>
      </c>
      <c r="D5480" t="s">
        <v>86</v>
      </c>
      <c r="E5480" s="148">
        <v>438.69121000000001</v>
      </c>
      <c r="F5480" s="148">
        <v>449.21573999999998</v>
      </c>
      <c r="G5480" s="148">
        <v>-10.52453</v>
      </c>
      <c r="H5480" s="148">
        <v>-2.3428675940874202</v>
      </c>
      <c r="I5480" s="728"/>
      <c r="J5480" s="148">
        <v>438.69121000000001</v>
      </c>
      <c r="K5480" s="148">
        <v>0</v>
      </c>
      <c r="L5480" s="148">
        <v>5206.6395899999998</v>
      </c>
      <c r="M5480" s="148">
        <v>5320.0938800000004</v>
      </c>
      <c r="N5480" s="148">
        <v>-113.45429</v>
      </c>
      <c r="O5480" s="148">
        <v>-2.1325618035898271</v>
      </c>
      <c r="P5480" s="148">
        <v>2597.3155499999998</v>
      </c>
      <c r="Q5480" s="148">
        <v>2609.32404</v>
      </c>
      <c r="R5480" s="148">
        <v>100.46234235959508</v>
      </c>
    </row>
    <row r="5481" spans="2:18" ht="15.75" hidden="1" thickBot="1" x14ac:dyDescent="0.3">
      <c r="B5481" s="724" t="s">
        <v>832</v>
      </c>
      <c r="C5481" s="144" t="s">
        <v>87</v>
      </c>
      <c r="D5481" t="s">
        <v>87</v>
      </c>
      <c r="E5481" s="147">
        <v>481.35223000000002</v>
      </c>
      <c r="F5481" s="147">
        <v>492.16439000000003</v>
      </c>
      <c r="G5481" s="147">
        <v>-10.81216</v>
      </c>
      <c r="H5481" s="147">
        <v>-2.1968594680326223</v>
      </c>
      <c r="I5481" s="729"/>
      <c r="J5481" s="147">
        <v>481.35223000000002</v>
      </c>
      <c r="K5481" s="147">
        <v>0</v>
      </c>
      <c r="L5481" s="147">
        <v>5569.9964499999996</v>
      </c>
      <c r="M5481" s="147">
        <v>5825.8915500000003</v>
      </c>
      <c r="N5481" s="147">
        <v>-255.89510000000001</v>
      </c>
      <c r="O5481" s="147">
        <v>-4.3923766483432054</v>
      </c>
      <c r="P5481" s="147">
        <v>2771.07033</v>
      </c>
      <c r="Q5481" s="147">
        <v>2798.9261200000001</v>
      </c>
      <c r="R5481" s="147">
        <v>101.00523576390066</v>
      </c>
    </row>
    <row r="5482" spans="2:18" ht="15.75" hidden="1" thickBot="1" x14ac:dyDescent="0.3">
      <c r="B5482" s="724" t="s">
        <v>834</v>
      </c>
      <c r="C5482" s="722" t="s">
        <v>99</v>
      </c>
      <c r="D5482" t="s">
        <v>100</v>
      </c>
      <c r="E5482" s="728"/>
      <c r="F5482" s="148">
        <v>1.6330000000000001E-2</v>
      </c>
      <c r="G5482" s="148">
        <v>-1.6330000000000001E-2</v>
      </c>
      <c r="H5482" s="148">
        <v>-100</v>
      </c>
      <c r="I5482" s="728"/>
      <c r="J5482" s="728"/>
      <c r="K5482" s="728"/>
      <c r="L5482" s="148">
        <v>1.9990000000000001E-2</v>
      </c>
      <c r="M5482" s="148">
        <v>0.19596</v>
      </c>
      <c r="N5482" s="148">
        <v>-0.17596999999999999</v>
      </c>
      <c r="O5482" s="148">
        <v>-89.798938558889574</v>
      </c>
      <c r="P5482" s="728"/>
      <c r="Q5482" s="148">
        <v>1.9990000000000001E-2</v>
      </c>
      <c r="R5482" s="148">
        <v>0</v>
      </c>
    </row>
    <row r="5483" spans="2:18" ht="15.75" hidden="1" thickBot="1" x14ac:dyDescent="0.3">
      <c r="B5483" s="724" t="s">
        <v>834</v>
      </c>
      <c r="C5483" s="722" t="s">
        <v>101</v>
      </c>
      <c r="D5483" t="s">
        <v>102</v>
      </c>
      <c r="E5483" s="147">
        <v>1.56257</v>
      </c>
      <c r="F5483" s="147">
        <v>1.3118799999999999</v>
      </c>
      <c r="G5483" s="147">
        <v>0.25069000000000002</v>
      </c>
      <c r="H5483" s="147">
        <v>19.109217306460955</v>
      </c>
      <c r="I5483" s="729"/>
      <c r="J5483" s="147">
        <v>1.56257</v>
      </c>
      <c r="K5483" s="147">
        <v>0</v>
      </c>
      <c r="L5483" s="147">
        <v>16.423269999999999</v>
      </c>
      <c r="M5483" s="147">
        <v>15.742559999999999</v>
      </c>
      <c r="N5483" s="147">
        <v>0.68071000000000004</v>
      </c>
      <c r="O5483" s="147">
        <v>4.3240108343242776</v>
      </c>
      <c r="P5483" s="147">
        <v>8.4614200000000004</v>
      </c>
      <c r="Q5483" s="147">
        <v>7.9618500000000001</v>
      </c>
      <c r="R5483" s="147">
        <v>94.095908251806435</v>
      </c>
    </row>
    <row r="5484" spans="2:18" ht="15.75" hidden="1" thickBot="1" x14ac:dyDescent="0.3">
      <c r="B5484" s="724" t="s">
        <v>834</v>
      </c>
      <c r="C5484" s="722" t="s">
        <v>627</v>
      </c>
      <c r="D5484" t="s">
        <v>628</v>
      </c>
      <c r="E5484" s="148">
        <v>2.7195999999999998</v>
      </c>
      <c r="F5484" s="148">
        <v>2.12744</v>
      </c>
      <c r="G5484" s="148">
        <v>0.59216000000000002</v>
      </c>
      <c r="H5484" s="148">
        <v>27.834392509306962</v>
      </c>
      <c r="I5484" s="728"/>
      <c r="J5484" s="148">
        <v>2.7195999999999998</v>
      </c>
      <c r="K5484" s="148">
        <v>0</v>
      </c>
      <c r="L5484" s="148">
        <v>28.010110000000001</v>
      </c>
      <c r="M5484" s="148">
        <v>25.52928</v>
      </c>
      <c r="N5484" s="148">
        <v>2.4808300000000001</v>
      </c>
      <c r="O5484" s="148">
        <v>9.7175870216473008</v>
      </c>
      <c r="P5484" s="148">
        <v>12.626239999999999</v>
      </c>
      <c r="Q5484" s="148">
        <v>15.38387</v>
      </c>
      <c r="R5484" s="148">
        <v>121.84046873811998</v>
      </c>
    </row>
    <row r="5485" spans="2:18" ht="15.75" hidden="1" thickBot="1" x14ac:dyDescent="0.3">
      <c r="B5485" s="724" t="s">
        <v>834</v>
      </c>
      <c r="C5485" s="722" t="s">
        <v>147</v>
      </c>
      <c r="D5485" t="s">
        <v>148</v>
      </c>
      <c r="E5485" s="147">
        <v>8.0759999999999998E-2</v>
      </c>
      <c r="F5485" s="147">
        <v>6.3229999999999995E-2</v>
      </c>
      <c r="G5485" s="147">
        <v>1.753E-2</v>
      </c>
      <c r="H5485" s="147">
        <v>27.724181559386366</v>
      </c>
      <c r="I5485" s="729"/>
      <c r="J5485" s="147">
        <v>8.0759999999999998E-2</v>
      </c>
      <c r="K5485" s="147">
        <v>0</v>
      </c>
      <c r="L5485" s="147">
        <v>0.92884999999999995</v>
      </c>
      <c r="M5485" s="147">
        <v>0.75875999999999999</v>
      </c>
      <c r="N5485" s="147">
        <v>0.17008999999999999</v>
      </c>
      <c r="O5485" s="147">
        <v>22.416837998840212</v>
      </c>
      <c r="P5485" s="147">
        <v>0.50480000000000003</v>
      </c>
      <c r="Q5485" s="147">
        <v>0.42404999999999998</v>
      </c>
      <c r="R5485" s="147">
        <v>84.003565768621243</v>
      </c>
    </row>
    <row r="5486" spans="2:18" ht="15.75" hidden="1" thickBot="1" x14ac:dyDescent="0.3">
      <c r="B5486" s="724" t="s">
        <v>834</v>
      </c>
      <c r="C5486" s="722" t="s">
        <v>205</v>
      </c>
      <c r="D5486" t="s">
        <v>206</v>
      </c>
      <c r="E5486" s="148">
        <v>4.5727900000000004</v>
      </c>
      <c r="F5486" s="148">
        <v>0.87458999999999998</v>
      </c>
      <c r="G5486" s="148">
        <v>3.6981999999999999</v>
      </c>
      <c r="H5486" s="148">
        <v>422.84956379560708</v>
      </c>
      <c r="I5486" s="728"/>
      <c r="J5486" s="148">
        <v>4.5727900000000004</v>
      </c>
      <c r="K5486" s="148">
        <v>0</v>
      </c>
      <c r="L5486" s="148">
        <v>20.43843</v>
      </c>
      <c r="M5486" s="148">
        <v>10.49508</v>
      </c>
      <c r="N5486" s="148">
        <v>9.9433500000000006</v>
      </c>
      <c r="O5486" s="148">
        <v>94.742965275157502</v>
      </c>
      <c r="P5486" s="148">
        <v>9.1693099999999994</v>
      </c>
      <c r="Q5486" s="148">
        <v>11.269119999999999</v>
      </c>
      <c r="R5486" s="148">
        <v>122.90041453500864</v>
      </c>
    </row>
    <row r="5487" spans="2:18" ht="15.75" hidden="1" thickBot="1" x14ac:dyDescent="0.3">
      <c r="B5487" s="724" t="s">
        <v>834</v>
      </c>
      <c r="C5487" s="722" t="s">
        <v>653</v>
      </c>
      <c r="D5487" t="s">
        <v>654</v>
      </c>
      <c r="E5487" s="729"/>
      <c r="F5487" s="729"/>
      <c r="G5487" s="729"/>
      <c r="H5487" s="729"/>
      <c r="I5487" s="729"/>
      <c r="J5487" s="729"/>
      <c r="K5487" s="729"/>
      <c r="L5487" s="147">
        <v>0.22500000000000001</v>
      </c>
      <c r="M5487" s="729"/>
      <c r="N5487" s="147">
        <v>0.22500000000000001</v>
      </c>
      <c r="O5487" s="147">
        <v>0</v>
      </c>
      <c r="P5487" s="729"/>
      <c r="Q5487" s="147">
        <v>0.22500000000000001</v>
      </c>
      <c r="R5487" s="147">
        <v>0</v>
      </c>
    </row>
    <row r="5488" spans="2:18" ht="15.75" hidden="1" thickBot="1" x14ac:dyDescent="0.3">
      <c r="B5488" s="724" t="s">
        <v>834</v>
      </c>
      <c r="C5488" s="722" t="s">
        <v>151</v>
      </c>
      <c r="D5488" t="s">
        <v>152</v>
      </c>
      <c r="E5488" s="728"/>
      <c r="F5488" s="728"/>
      <c r="G5488" s="728"/>
      <c r="H5488" s="728"/>
      <c r="I5488" s="728"/>
      <c r="J5488" s="728"/>
      <c r="K5488" s="728"/>
      <c r="L5488" s="148">
        <v>0.21609999999999999</v>
      </c>
      <c r="M5488" s="728"/>
      <c r="N5488" s="148">
        <v>0.21609999999999999</v>
      </c>
      <c r="O5488" s="148">
        <v>0</v>
      </c>
      <c r="P5488" s="148">
        <v>9.11E-2</v>
      </c>
      <c r="Q5488" s="148">
        <v>0.125</v>
      </c>
      <c r="R5488" s="148">
        <v>137.211855104281</v>
      </c>
    </row>
    <row r="5489" spans="2:18" ht="15.75" hidden="1" thickBot="1" x14ac:dyDescent="0.3">
      <c r="B5489" s="724" t="s">
        <v>834</v>
      </c>
      <c r="C5489" s="149" t="s">
        <v>85</v>
      </c>
      <c r="D5489" t="s">
        <v>86</v>
      </c>
      <c r="E5489" s="147">
        <v>8.9357199999999999</v>
      </c>
      <c r="F5489" s="147">
        <v>4.3934699999999998</v>
      </c>
      <c r="G5489" s="147">
        <v>4.5422500000000001</v>
      </c>
      <c r="H5489" s="147">
        <v>103.38638934600668</v>
      </c>
      <c r="I5489" s="729"/>
      <c r="J5489" s="147">
        <v>8.9357199999999999</v>
      </c>
      <c r="K5489" s="147">
        <v>0</v>
      </c>
      <c r="L5489" s="147">
        <v>66.261750000000006</v>
      </c>
      <c r="M5489" s="147">
        <v>52.721640000000001</v>
      </c>
      <c r="N5489" s="147">
        <v>13.54011</v>
      </c>
      <c r="O5489" s="147">
        <v>25.682262539632681</v>
      </c>
      <c r="P5489" s="147">
        <v>30.852869999999999</v>
      </c>
      <c r="Q5489" s="147">
        <v>35.408880000000003</v>
      </c>
      <c r="R5489" s="147">
        <v>114.76689202657646</v>
      </c>
    </row>
    <row r="5490" spans="2:18" ht="15.75" hidden="1" thickBot="1" x14ac:dyDescent="0.3">
      <c r="B5490" s="724" t="s">
        <v>834</v>
      </c>
      <c r="C5490" s="144" t="s">
        <v>87</v>
      </c>
      <c r="D5490" t="s">
        <v>87</v>
      </c>
      <c r="E5490" s="148">
        <v>8.9357199999999999</v>
      </c>
      <c r="F5490" s="148">
        <v>4.3934699999999998</v>
      </c>
      <c r="G5490" s="148">
        <v>4.5422500000000001</v>
      </c>
      <c r="H5490" s="148">
        <v>103.38638934600668</v>
      </c>
      <c r="I5490" s="728"/>
      <c r="J5490" s="148">
        <v>8.9357199999999999</v>
      </c>
      <c r="K5490" s="148">
        <v>0</v>
      </c>
      <c r="L5490" s="148">
        <v>66.261750000000006</v>
      </c>
      <c r="M5490" s="148">
        <v>52.721640000000001</v>
      </c>
      <c r="N5490" s="148">
        <v>13.54011</v>
      </c>
      <c r="O5490" s="148">
        <v>25.682262539632681</v>
      </c>
      <c r="P5490" s="148">
        <v>30.852869999999999</v>
      </c>
      <c r="Q5490" s="148">
        <v>35.408880000000003</v>
      </c>
      <c r="R5490" s="148">
        <v>114.76689202657646</v>
      </c>
    </row>
    <row r="5491" spans="2:18" ht="15.75" hidden="1" thickBot="1" x14ac:dyDescent="0.3">
      <c r="B5491" s="724" t="s">
        <v>835</v>
      </c>
      <c r="C5491" s="722" t="s">
        <v>101</v>
      </c>
      <c r="D5491" t="s">
        <v>102</v>
      </c>
      <c r="E5491" s="147">
        <v>2.1803300000000001</v>
      </c>
      <c r="F5491" s="147">
        <v>0.9294</v>
      </c>
      <c r="G5491" s="147">
        <v>1.2509300000000001</v>
      </c>
      <c r="H5491" s="147">
        <v>134.59543791693565</v>
      </c>
      <c r="I5491" s="729"/>
      <c r="J5491" s="147">
        <v>2.1803300000000001</v>
      </c>
      <c r="K5491" s="147">
        <v>0</v>
      </c>
      <c r="L5491" s="147">
        <v>13.336270000000001</v>
      </c>
      <c r="M5491" s="147">
        <v>11.152799999999999</v>
      </c>
      <c r="N5491" s="147">
        <v>2.1834699999999998</v>
      </c>
      <c r="O5491" s="147">
        <v>19.577774191234489</v>
      </c>
      <c r="P5491" s="147">
        <v>7.4156199999999997</v>
      </c>
      <c r="Q5491" s="147">
        <v>5.9206500000000002</v>
      </c>
      <c r="R5491" s="147">
        <v>79.840256108052998</v>
      </c>
    </row>
    <row r="5492" spans="2:18" ht="15.75" hidden="1" thickBot="1" x14ac:dyDescent="0.3">
      <c r="B5492" s="724" t="s">
        <v>835</v>
      </c>
      <c r="C5492" s="722" t="s">
        <v>195</v>
      </c>
      <c r="D5492" t="s">
        <v>196</v>
      </c>
      <c r="E5492" s="728"/>
      <c r="F5492" s="728"/>
      <c r="G5492" s="728"/>
      <c r="H5492" s="728"/>
      <c r="I5492" s="728"/>
      <c r="J5492" s="728"/>
      <c r="K5492" s="728"/>
      <c r="L5492" s="148">
        <v>0.624</v>
      </c>
      <c r="M5492" s="728"/>
      <c r="N5492" s="148">
        <v>0.624</v>
      </c>
      <c r="O5492" s="148">
        <v>0</v>
      </c>
      <c r="P5492" s="148">
        <v>0.41599999999999998</v>
      </c>
      <c r="Q5492" s="148">
        <v>0.20799999999999999</v>
      </c>
      <c r="R5492" s="148">
        <v>50</v>
      </c>
    </row>
    <row r="5493" spans="2:18" ht="15.75" hidden="1" thickBot="1" x14ac:dyDescent="0.3">
      <c r="B5493" s="724" t="s">
        <v>835</v>
      </c>
      <c r="C5493" s="722" t="s">
        <v>464</v>
      </c>
      <c r="D5493" t="s">
        <v>465</v>
      </c>
      <c r="E5493" s="147">
        <v>0.12361</v>
      </c>
      <c r="F5493" s="729"/>
      <c r="G5493" s="147">
        <v>0.12361</v>
      </c>
      <c r="H5493" s="147">
        <v>0</v>
      </c>
      <c r="I5493" s="729"/>
      <c r="J5493" s="147">
        <v>0.12361</v>
      </c>
      <c r="K5493" s="147">
        <v>0</v>
      </c>
      <c r="L5493" s="147">
        <v>0.23322000000000001</v>
      </c>
      <c r="M5493" s="729"/>
      <c r="N5493" s="147">
        <v>0.23322000000000001</v>
      </c>
      <c r="O5493" s="147">
        <v>0</v>
      </c>
      <c r="P5493" s="729"/>
      <c r="Q5493" s="147">
        <v>0.23322000000000001</v>
      </c>
      <c r="R5493" s="147">
        <v>0</v>
      </c>
    </row>
    <row r="5494" spans="2:18" ht="15.75" hidden="1" thickBot="1" x14ac:dyDescent="0.3">
      <c r="B5494" s="724" t="s">
        <v>835</v>
      </c>
      <c r="C5494" s="722" t="s">
        <v>627</v>
      </c>
      <c r="D5494" t="s">
        <v>628</v>
      </c>
      <c r="E5494" s="148">
        <v>0.58555000000000001</v>
      </c>
      <c r="F5494" s="148">
        <v>0.2</v>
      </c>
      <c r="G5494" s="148">
        <v>0.38555</v>
      </c>
      <c r="H5494" s="148">
        <v>192.77500000000001</v>
      </c>
      <c r="I5494" s="728"/>
      <c r="J5494" s="148">
        <v>0.58555000000000001</v>
      </c>
      <c r="K5494" s="148">
        <v>0</v>
      </c>
      <c r="L5494" s="148">
        <v>3.67503</v>
      </c>
      <c r="M5494" s="148">
        <v>2.4</v>
      </c>
      <c r="N5494" s="148">
        <v>1.2750300000000001</v>
      </c>
      <c r="O5494" s="148">
        <v>53.126249999999999</v>
      </c>
      <c r="P5494" s="148">
        <v>1.37992</v>
      </c>
      <c r="Q5494" s="148">
        <v>2.2951100000000002</v>
      </c>
      <c r="R5494" s="148">
        <v>166.32196069337354</v>
      </c>
    </row>
    <row r="5495" spans="2:18" ht="15.75" hidden="1" thickBot="1" x14ac:dyDescent="0.3">
      <c r="B5495" s="724" t="s">
        <v>835</v>
      </c>
      <c r="C5495" s="722" t="s">
        <v>73</v>
      </c>
      <c r="D5495" t="s">
        <v>74</v>
      </c>
      <c r="E5495" s="147">
        <v>1.353E-2</v>
      </c>
      <c r="F5495" s="729"/>
      <c r="G5495" s="147">
        <v>1.353E-2</v>
      </c>
      <c r="H5495" s="147">
        <v>0</v>
      </c>
      <c r="I5495" s="729"/>
      <c r="J5495" s="147">
        <v>1.353E-2</v>
      </c>
      <c r="K5495" s="147">
        <v>0</v>
      </c>
      <c r="L5495" s="147">
        <v>1.353E-2</v>
      </c>
      <c r="M5495" s="729"/>
      <c r="N5495" s="147">
        <v>1.353E-2</v>
      </c>
      <c r="O5495" s="147">
        <v>0</v>
      </c>
      <c r="P5495" s="729"/>
      <c r="Q5495" s="147">
        <v>1.353E-2</v>
      </c>
      <c r="R5495" s="147">
        <v>0</v>
      </c>
    </row>
    <row r="5496" spans="2:18" ht="15.75" hidden="1" thickBot="1" x14ac:dyDescent="0.3">
      <c r="B5496" s="724" t="s">
        <v>835</v>
      </c>
      <c r="C5496" s="722" t="s">
        <v>147</v>
      </c>
      <c r="D5496" t="s">
        <v>148</v>
      </c>
      <c r="E5496" s="148">
        <v>0.49308999999999997</v>
      </c>
      <c r="F5496" s="148">
        <v>0.105</v>
      </c>
      <c r="G5496" s="148">
        <v>0.38808999999999999</v>
      </c>
      <c r="H5496" s="148">
        <v>369.60952380952381</v>
      </c>
      <c r="I5496" s="728"/>
      <c r="J5496" s="148">
        <v>0.49308999999999997</v>
      </c>
      <c r="K5496" s="148">
        <v>0</v>
      </c>
      <c r="L5496" s="148">
        <v>2.08426</v>
      </c>
      <c r="M5496" s="148">
        <v>1.26</v>
      </c>
      <c r="N5496" s="148">
        <v>0.82425999999999999</v>
      </c>
      <c r="O5496" s="148">
        <v>65.417460317460311</v>
      </c>
      <c r="P5496" s="148">
        <v>0.94635999999999998</v>
      </c>
      <c r="Q5496" s="148">
        <v>1.1378999999999999</v>
      </c>
      <c r="R5496" s="148">
        <v>120.23965509953929</v>
      </c>
    </row>
    <row r="5497" spans="2:18" ht="15.75" hidden="1" thickBot="1" x14ac:dyDescent="0.3">
      <c r="B5497" s="724" t="s">
        <v>835</v>
      </c>
      <c r="C5497" s="722" t="s">
        <v>205</v>
      </c>
      <c r="D5497" t="s">
        <v>206</v>
      </c>
      <c r="E5497" s="729"/>
      <c r="F5497" s="147">
        <v>0.61960000000000004</v>
      </c>
      <c r="G5497" s="147">
        <v>-0.61960000000000004</v>
      </c>
      <c r="H5497" s="147">
        <v>-100</v>
      </c>
      <c r="I5497" s="729"/>
      <c r="J5497" s="729"/>
      <c r="K5497" s="729"/>
      <c r="L5497" s="147">
        <v>5.5588199999999999</v>
      </c>
      <c r="M5497" s="147">
        <v>7.4352</v>
      </c>
      <c r="N5497" s="147">
        <v>-1.8763799999999999</v>
      </c>
      <c r="O5497" s="147">
        <v>-25.236442866365397</v>
      </c>
      <c r="P5497" s="147">
        <v>1.1200000000000001</v>
      </c>
      <c r="Q5497" s="147">
        <v>4.4388199999999998</v>
      </c>
      <c r="R5497" s="147">
        <v>396.3232142857143</v>
      </c>
    </row>
    <row r="5498" spans="2:18" ht="15.75" hidden="1" thickBot="1" x14ac:dyDescent="0.3">
      <c r="B5498" s="724" t="s">
        <v>835</v>
      </c>
      <c r="C5498" s="149" t="s">
        <v>85</v>
      </c>
      <c r="D5498" t="s">
        <v>86</v>
      </c>
      <c r="E5498" s="148">
        <v>3.3961100000000002</v>
      </c>
      <c r="F5498" s="148">
        <v>1.8540000000000001</v>
      </c>
      <c r="G5498" s="148">
        <v>1.5421100000000001</v>
      </c>
      <c r="H5498" s="148">
        <v>83.17745415318231</v>
      </c>
      <c r="I5498" s="728"/>
      <c r="J5498" s="148">
        <v>3.3961100000000002</v>
      </c>
      <c r="K5498" s="148">
        <v>0</v>
      </c>
      <c r="L5498" s="148">
        <v>25.525130000000001</v>
      </c>
      <c r="M5498" s="148">
        <v>22.248000000000001</v>
      </c>
      <c r="N5498" s="148">
        <v>3.2771300000000001</v>
      </c>
      <c r="O5498" s="148">
        <v>14.72999820208558</v>
      </c>
      <c r="P5498" s="148">
        <v>11.277900000000001</v>
      </c>
      <c r="Q5498" s="148">
        <v>14.24723</v>
      </c>
      <c r="R5498" s="148">
        <v>126.32874914656097</v>
      </c>
    </row>
    <row r="5499" spans="2:18" ht="15.75" hidden="1" thickBot="1" x14ac:dyDescent="0.3">
      <c r="B5499" s="724" t="s">
        <v>835</v>
      </c>
      <c r="C5499" s="144" t="s">
        <v>87</v>
      </c>
      <c r="D5499" t="s">
        <v>87</v>
      </c>
      <c r="E5499" s="147">
        <v>3.3961100000000002</v>
      </c>
      <c r="F5499" s="147">
        <v>1.8540000000000001</v>
      </c>
      <c r="G5499" s="147">
        <v>1.5421100000000001</v>
      </c>
      <c r="H5499" s="147">
        <v>83.17745415318231</v>
      </c>
      <c r="I5499" s="729"/>
      <c r="J5499" s="147">
        <v>3.3961100000000002</v>
      </c>
      <c r="K5499" s="147">
        <v>0</v>
      </c>
      <c r="L5499" s="147">
        <v>25.525130000000001</v>
      </c>
      <c r="M5499" s="147">
        <v>22.248000000000001</v>
      </c>
      <c r="N5499" s="147">
        <v>3.2771300000000001</v>
      </c>
      <c r="O5499" s="147">
        <v>14.72999820208558</v>
      </c>
      <c r="P5499" s="147">
        <v>11.277900000000001</v>
      </c>
      <c r="Q5499" s="147">
        <v>14.24723</v>
      </c>
      <c r="R5499" s="147">
        <v>126.32874914656097</v>
      </c>
    </row>
    <row r="5500" spans="2:18" ht="15.75" hidden="1" thickBot="1" x14ac:dyDescent="0.3">
      <c r="B5500" s="724" t="s">
        <v>836</v>
      </c>
      <c r="C5500" s="722" t="s">
        <v>582</v>
      </c>
      <c r="D5500" t="s">
        <v>583</v>
      </c>
      <c r="E5500" s="728"/>
      <c r="F5500" s="728"/>
      <c r="G5500" s="728"/>
      <c r="H5500" s="728"/>
      <c r="I5500" s="728"/>
      <c r="J5500" s="728"/>
      <c r="K5500" s="728"/>
      <c r="L5500" s="148">
        <v>0.35</v>
      </c>
      <c r="M5500" s="728"/>
      <c r="N5500" s="148">
        <v>0.35</v>
      </c>
      <c r="O5500" s="148">
        <v>0</v>
      </c>
      <c r="P5500" s="148">
        <v>0.35</v>
      </c>
      <c r="Q5500" s="148">
        <v>0</v>
      </c>
      <c r="R5500" s="148">
        <v>0</v>
      </c>
    </row>
    <row r="5501" spans="2:18" ht="15.75" hidden="1" thickBot="1" x14ac:dyDescent="0.3">
      <c r="B5501" s="724" t="s">
        <v>836</v>
      </c>
      <c r="C5501" s="722" t="s">
        <v>165</v>
      </c>
      <c r="D5501" t="s">
        <v>166</v>
      </c>
      <c r="E5501" s="147">
        <v>0.13550999999999999</v>
      </c>
      <c r="F5501" s="729"/>
      <c r="G5501" s="147">
        <v>0.13550999999999999</v>
      </c>
      <c r="H5501" s="147">
        <v>0</v>
      </c>
      <c r="I5501" s="729"/>
      <c r="J5501" s="147">
        <v>0.13550999999999999</v>
      </c>
      <c r="K5501" s="147">
        <v>0</v>
      </c>
      <c r="L5501" s="147">
        <v>0.85819000000000001</v>
      </c>
      <c r="M5501" s="729"/>
      <c r="N5501" s="147">
        <v>0.85819000000000001</v>
      </c>
      <c r="O5501" s="147">
        <v>0</v>
      </c>
      <c r="P5501" s="147">
        <v>0.45401999999999998</v>
      </c>
      <c r="Q5501" s="147">
        <v>0.40416999999999997</v>
      </c>
      <c r="R5501" s="147">
        <v>89.020307475441612</v>
      </c>
    </row>
    <row r="5502" spans="2:18" ht="15.75" hidden="1" thickBot="1" x14ac:dyDescent="0.3">
      <c r="B5502" s="724" t="s">
        <v>836</v>
      </c>
      <c r="C5502" s="722" t="s">
        <v>101</v>
      </c>
      <c r="D5502" t="s">
        <v>102</v>
      </c>
      <c r="E5502" s="148">
        <v>2.1503899999999998</v>
      </c>
      <c r="F5502" s="148">
        <v>1.0158</v>
      </c>
      <c r="G5502" s="148">
        <v>1.13459</v>
      </c>
      <c r="H5502" s="148">
        <v>111.69423114786375</v>
      </c>
      <c r="I5502" s="728"/>
      <c r="J5502" s="148">
        <v>2.1503899999999998</v>
      </c>
      <c r="K5502" s="148">
        <v>0</v>
      </c>
      <c r="L5502" s="148">
        <v>16.233689999999999</v>
      </c>
      <c r="M5502" s="148">
        <v>12.1896</v>
      </c>
      <c r="N5502" s="148">
        <v>4.0440899999999997</v>
      </c>
      <c r="O5502" s="148">
        <v>33.176560346524909</v>
      </c>
      <c r="P5502" s="148">
        <v>8.41174</v>
      </c>
      <c r="Q5502" s="148">
        <v>7.8219500000000002</v>
      </c>
      <c r="R5502" s="148">
        <v>92.988489896264028</v>
      </c>
    </row>
    <row r="5503" spans="2:18" ht="15.75" hidden="1" thickBot="1" x14ac:dyDescent="0.3">
      <c r="B5503" s="724" t="s">
        <v>836</v>
      </c>
      <c r="C5503" s="722" t="s">
        <v>627</v>
      </c>
      <c r="D5503" t="s">
        <v>628</v>
      </c>
      <c r="E5503" s="147">
        <v>0.3</v>
      </c>
      <c r="F5503" s="729"/>
      <c r="G5503" s="147">
        <v>0.3</v>
      </c>
      <c r="H5503" s="147">
        <v>0</v>
      </c>
      <c r="I5503" s="729"/>
      <c r="J5503" s="147">
        <v>0.3</v>
      </c>
      <c r="K5503" s="147">
        <v>0</v>
      </c>
      <c r="L5503" s="147">
        <v>1.35276</v>
      </c>
      <c r="M5503" s="729"/>
      <c r="N5503" s="147">
        <v>1.35276</v>
      </c>
      <c r="O5503" s="147">
        <v>0</v>
      </c>
      <c r="P5503" s="729"/>
      <c r="Q5503" s="147">
        <v>1.35276</v>
      </c>
      <c r="R5503" s="147">
        <v>0</v>
      </c>
    </row>
    <row r="5504" spans="2:18" ht="15.75" hidden="1" thickBot="1" x14ac:dyDescent="0.3">
      <c r="B5504" s="724" t="s">
        <v>836</v>
      </c>
      <c r="C5504" s="722" t="s">
        <v>147</v>
      </c>
      <c r="D5504" t="s">
        <v>148</v>
      </c>
      <c r="E5504" s="148">
        <v>0.1206</v>
      </c>
      <c r="F5504" s="148">
        <v>0.10532999999999999</v>
      </c>
      <c r="G5504" s="148">
        <v>1.5270000000000001E-2</v>
      </c>
      <c r="H5504" s="148">
        <v>14.497294218171461</v>
      </c>
      <c r="I5504" s="728"/>
      <c r="J5504" s="148">
        <v>0.1206</v>
      </c>
      <c r="K5504" s="148">
        <v>0</v>
      </c>
      <c r="L5504" s="148">
        <v>1.13361</v>
      </c>
      <c r="M5504" s="148">
        <v>1.26396</v>
      </c>
      <c r="N5504" s="148">
        <v>-0.13034999999999999</v>
      </c>
      <c r="O5504" s="148">
        <v>-10.312826355264407</v>
      </c>
      <c r="P5504" s="148">
        <v>0.60297000000000001</v>
      </c>
      <c r="Q5504" s="148">
        <v>0.53064</v>
      </c>
      <c r="R5504" s="148">
        <v>88.004378327279966</v>
      </c>
    </row>
    <row r="5505" spans="2:18" ht="15.75" hidden="1" thickBot="1" x14ac:dyDescent="0.3">
      <c r="B5505" s="724" t="s">
        <v>836</v>
      </c>
      <c r="C5505" s="722" t="s">
        <v>205</v>
      </c>
      <c r="D5505" t="s">
        <v>206</v>
      </c>
      <c r="E5505" s="147">
        <v>0.2039</v>
      </c>
      <c r="F5505" s="147">
        <v>0.67720000000000002</v>
      </c>
      <c r="G5505" s="147">
        <v>-0.4733</v>
      </c>
      <c r="H5505" s="147">
        <v>-69.890726520968698</v>
      </c>
      <c r="I5505" s="729"/>
      <c r="J5505" s="147">
        <v>0.2039</v>
      </c>
      <c r="K5505" s="147">
        <v>0</v>
      </c>
      <c r="L5505" s="147">
        <v>6.3071299999999999</v>
      </c>
      <c r="M5505" s="147">
        <v>8.1264000000000003</v>
      </c>
      <c r="N5505" s="147">
        <v>-1.8192699999999999</v>
      </c>
      <c r="O5505" s="147">
        <v>-22.387157905099428</v>
      </c>
      <c r="P5505" s="147">
        <v>5.3190799999999996</v>
      </c>
      <c r="Q5505" s="147">
        <v>0.98804999999999998</v>
      </c>
      <c r="R5505" s="147">
        <v>18.575580739526384</v>
      </c>
    </row>
    <row r="5506" spans="2:18" ht="15.75" hidden="1" thickBot="1" x14ac:dyDescent="0.3">
      <c r="B5506" s="724" t="s">
        <v>836</v>
      </c>
      <c r="C5506" s="722" t="s">
        <v>151</v>
      </c>
      <c r="D5506" t="s">
        <v>152</v>
      </c>
      <c r="E5506" s="728"/>
      <c r="F5506" s="728"/>
      <c r="G5506" s="728"/>
      <c r="H5506" s="728"/>
      <c r="I5506" s="728"/>
      <c r="J5506" s="728"/>
      <c r="K5506" s="728"/>
      <c r="L5506" s="148">
        <v>0.53400000000000003</v>
      </c>
      <c r="M5506" s="728"/>
      <c r="N5506" s="148">
        <v>0.53400000000000003</v>
      </c>
      <c r="O5506" s="148">
        <v>0</v>
      </c>
      <c r="P5506" s="148">
        <v>0.53400000000000003</v>
      </c>
      <c r="Q5506" s="148">
        <v>0</v>
      </c>
      <c r="R5506" s="148">
        <v>0</v>
      </c>
    </row>
    <row r="5507" spans="2:18" ht="15.75" hidden="1" thickBot="1" x14ac:dyDescent="0.3">
      <c r="B5507" s="724" t="s">
        <v>836</v>
      </c>
      <c r="C5507" s="149" t="s">
        <v>85</v>
      </c>
      <c r="D5507" t="s">
        <v>86</v>
      </c>
      <c r="E5507" s="147">
        <v>2.9104000000000001</v>
      </c>
      <c r="F5507" s="147">
        <v>1.79833</v>
      </c>
      <c r="G5507" s="147">
        <v>1.1120699999999999</v>
      </c>
      <c r="H5507" s="147">
        <v>61.839039553363399</v>
      </c>
      <c r="I5507" s="729"/>
      <c r="J5507" s="147">
        <v>2.9104000000000001</v>
      </c>
      <c r="K5507" s="147">
        <v>0</v>
      </c>
      <c r="L5507" s="147">
        <v>26.769380000000002</v>
      </c>
      <c r="M5507" s="147">
        <v>21.57996</v>
      </c>
      <c r="N5507" s="147">
        <v>5.1894200000000001</v>
      </c>
      <c r="O5507" s="147">
        <v>24.047403238930933</v>
      </c>
      <c r="P5507" s="147">
        <v>15.671810000000001</v>
      </c>
      <c r="Q5507" s="147">
        <v>11.097569999999999</v>
      </c>
      <c r="R5507" s="147">
        <v>70.812305662204935</v>
      </c>
    </row>
    <row r="5508" spans="2:18" ht="15.75" hidden="1" thickBot="1" x14ac:dyDescent="0.3">
      <c r="B5508" s="724" t="s">
        <v>836</v>
      </c>
      <c r="C5508" s="144" t="s">
        <v>87</v>
      </c>
      <c r="D5508" t="s">
        <v>87</v>
      </c>
      <c r="E5508" s="148">
        <v>2.9104000000000001</v>
      </c>
      <c r="F5508" s="148">
        <v>1.79833</v>
      </c>
      <c r="G5508" s="148">
        <v>1.1120699999999999</v>
      </c>
      <c r="H5508" s="148">
        <v>61.839039553363399</v>
      </c>
      <c r="I5508" s="728"/>
      <c r="J5508" s="148">
        <v>2.9104000000000001</v>
      </c>
      <c r="K5508" s="148">
        <v>0</v>
      </c>
      <c r="L5508" s="148">
        <v>26.769380000000002</v>
      </c>
      <c r="M5508" s="148">
        <v>21.57996</v>
      </c>
      <c r="N5508" s="148">
        <v>5.1894200000000001</v>
      </c>
      <c r="O5508" s="148">
        <v>24.047403238930933</v>
      </c>
      <c r="P5508" s="148">
        <v>15.671810000000001</v>
      </c>
      <c r="Q5508" s="148">
        <v>11.097569999999999</v>
      </c>
      <c r="R5508" s="148">
        <v>70.812305662204935</v>
      </c>
    </row>
    <row r="5509" spans="2:18" ht="15.75" hidden="1" thickBot="1" x14ac:dyDescent="0.3">
      <c r="B5509" s="724" t="s">
        <v>837</v>
      </c>
      <c r="C5509" s="722" t="s">
        <v>99</v>
      </c>
      <c r="D5509" t="s">
        <v>100</v>
      </c>
      <c r="E5509" s="729"/>
      <c r="F5509" s="729"/>
      <c r="G5509" s="729"/>
      <c r="H5509" s="729"/>
      <c r="I5509" s="729"/>
      <c r="J5509" s="729"/>
      <c r="K5509" s="729"/>
      <c r="L5509" s="147">
        <v>4.1549999999999997E-2</v>
      </c>
      <c r="M5509" s="729"/>
      <c r="N5509" s="147">
        <v>4.1549999999999997E-2</v>
      </c>
      <c r="O5509" s="147">
        <v>0</v>
      </c>
      <c r="P5509" s="729"/>
      <c r="Q5509" s="147">
        <v>4.1549999999999997E-2</v>
      </c>
      <c r="R5509" s="147">
        <v>0</v>
      </c>
    </row>
    <row r="5510" spans="2:18" ht="15.75" hidden="1" thickBot="1" x14ac:dyDescent="0.3">
      <c r="B5510" s="724" t="s">
        <v>837</v>
      </c>
      <c r="C5510" s="722" t="s">
        <v>101</v>
      </c>
      <c r="D5510" t="s">
        <v>102</v>
      </c>
      <c r="E5510" s="148">
        <v>1.5399499999999999</v>
      </c>
      <c r="F5510" s="148">
        <v>0.65759999999999996</v>
      </c>
      <c r="G5510" s="148">
        <v>0.88234999999999997</v>
      </c>
      <c r="H5510" s="148">
        <v>134.17731143552311</v>
      </c>
      <c r="I5510" s="728"/>
      <c r="J5510" s="148">
        <v>1.5399499999999999</v>
      </c>
      <c r="K5510" s="148">
        <v>0</v>
      </c>
      <c r="L5510" s="148">
        <v>7.8549499999999997</v>
      </c>
      <c r="M5510" s="148">
        <v>7.8912000000000004</v>
      </c>
      <c r="N5510" s="148">
        <v>-3.6249999999999998E-2</v>
      </c>
      <c r="O5510" s="148">
        <v>-0.45937246553122468</v>
      </c>
      <c r="P5510" s="148">
        <v>3.7250000000000001</v>
      </c>
      <c r="Q5510" s="148">
        <v>4.12995</v>
      </c>
      <c r="R5510" s="148">
        <v>110.87114093959731</v>
      </c>
    </row>
    <row r="5511" spans="2:18" ht="15.75" hidden="1" thickBot="1" x14ac:dyDescent="0.3">
      <c r="B5511" s="724" t="s">
        <v>837</v>
      </c>
      <c r="C5511" s="722" t="s">
        <v>627</v>
      </c>
      <c r="D5511" t="s">
        <v>628</v>
      </c>
      <c r="E5511" s="147">
        <v>1.53172</v>
      </c>
      <c r="F5511" s="147">
        <v>1.4</v>
      </c>
      <c r="G5511" s="147">
        <v>0.13172</v>
      </c>
      <c r="H5511" s="147">
        <v>9.4085714285714293</v>
      </c>
      <c r="I5511" s="729"/>
      <c r="J5511" s="147">
        <v>1.53172</v>
      </c>
      <c r="K5511" s="147">
        <v>0</v>
      </c>
      <c r="L5511" s="147">
        <v>18.308</v>
      </c>
      <c r="M5511" s="147">
        <v>16.8</v>
      </c>
      <c r="N5511" s="147">
        <v>1.508</v>
      </c>
      <c r="O5511" s="147">
        <v>8.9761904761904763</v>
      </c>
      <c r="P5511" s="147">
        <v>10.129099999999999</v>
      </c>
      <c r="Q5511" s="147">
        <v>8.1789000000000005</v>
      </c>
      <c r="R5511" s="147">
        <v>80.746561886051083</v>
      </c>
    </row>
    <row r="5512" spans="2:18" ht="15.75" hidden="1" thickBot="1" x14ac:dyDescent="0.3">
      <c r="B5512" s="724" t="s">
        <v>837</v>
      </c>
      <c r="C5512" s="722" t="s">
        <v>73</v>
      </c>
      <c r="D5512" t="s">
        <v>74</v>
      </c>
      <c r="E5512" s="148">
        <v>7.4999999999999997E-2</v>
      </c>
      <c r="F5512" s="728"/>
      <c r="G5512" s="148">
        <v>7.4999999999999997E-2</v>
      </c>
      <c r="H5512" s="148">
        <v>0</v>
      </c>
      <c r="I5512" s="728"/>
      <c r="J5512" s="148">
        <v>7.4999999999999997E-2</v>
      </c>
      <c r="K5512" s="148">
        <v>0</v>
      </c>
      <c r="L5512" s="148">
        <v>0.56381999999999999</v>
      </c>
      <c r="M5512" s="728"/>
      <c r="N5512" s="148">
        <v>0.56381999999999999</v>
      </c>
      <c r="O5512" s="148">
        <v>0</v>
      </c>
      <c r="P5512" s="148">
        <v>0.16481999999999999</v>
      </c>
      <c r="Q5512" s="148">
        <v>0.39900000000000002</v>
      </c>
      <c r="R5512" s="148">
        <v>242.08227156898434</v>
      </c>
    </row>
    <row r="5513" spans="2:18" ht="15.75" hidden="1" thickBot="1" x14ac:dyDescent="0.3">
      <c r="B5513" s="724" t="s">
        <v>837</v>
      </c>
      <c r="C5513" s="722" t="s">
        <v>113</v>
      </c>
      <c r="D5513" t="s">
        <v>114</v>
      </c>
      <c r="E5513" s="729"/>
      <c r="F5513" s="729"/>
      <c r="G5513" s="729"/>
      <c r="H5513" s="729"/>
      <c r="I5513" s="729"/>
      <c r="J5513" s="729"/>
      <c r="K5513" s="729"/>
      <c r="L5513" s="147">
        <v>6.5339999999999995E-2</v>
      </c>
      <c r="M5513" s="729"/>
      <c r="N5513" s="147">
        <v>6.5339999999999995E-2</v>
      </c>
      <c r="O5513" s="147">
        <v>0</v>
      </c>
      <c r="P5513" s="729"/>
      <c r="Q5513" s="147">
        <v>6.5339999999999995E-2</v>
      </c>
      <c r="R5513" s="147">
        <v>0</v>
      </c>
    </row>
    <row r="5514" spans="2:18" ht="15.75" hidden="1" thickBot="1" x14ac:dyDescent="0.3">
      <c r="B5514" s="724" t="s">
        <v>837</v>
      </c>
      <c r="C5514" s="722" t="s">
        <v>477</v>
      </c>
      <c r="D5514" t="s">
        <v>478</v>
      </c>
      <c r="E5514" s="728"/>
      <c r="F5514" s="728"/>
      <c r="G5514" s="728"/>
      <c r="H5514" s="728"/>
      <c r="I5514" s="728"/>
      <c r="J5514" s="728"/>
      <c r="K5514" s="728"/>
      <c r="L5514" s="148">
        <v>5.9499999999999997E-2</v>
      </c>
      <c r="M5514" s="728"/>
      <c r="N5514" s="148">
        <v>5.9499999999999997E-2</v>
      </c>
      <c r="O5514" s="148">
        <v>0</v>
      </c>
      <c r="P5514" s="148">
        <v>5.9499999999999997E-2</v>
      </c>
      <c r="Q5514" s="148">
        <v>0</v>
      </c>
      <c r="R5514" s="148">
        <v>0</v>
      </c>
    </row>
    <row r="5515" spans="2:18" ht="15.75" hidden="1" thickBot="1" x14ac:dyDescent="0.3">
      <c r="B5515" s="724" t="s">
        <v>837</v>
      </c>
      <c r="C5515" s="722" t="s">
        <v>147</v>
      </c>
      <c r="D5515" t="s">
        <v>148</v>
      </c>
      <c r="E5515" s="147">
        <v>0.25233</v>
      </c>
      <c r="F5515" s="147">
        <v>0.128</v>
      </c>
      <c r="G5515" s="147">
        <v>0.12433</v>
      </c>
      <c r="H5515" s="147">
        <v>97.1328125</v>
      </c>
      <c r="I5515" s="729"/>
      <c r="J5515" s="147">
        <v>0.25233</v>
      </c>
      <c r="K5515" s="147">
        <v>0</v>
      </c>
      <c r="L5515" s="147">
        <v>3.10555</v>
      </c>
      <c r="M5515" s="147">
        <v>1.536</v>
      </c>
      <c r="N5515" s="147">
        <v>1.56955</v>
      </c>
      <c r="O5515" s="147">
        <v>102.18424479166667</v>
      </c>
      <c r="P5515" s="147">
        <v>1.6375299999999999</v>
      </c>
      <c r="Q5515" s="147">
        <v>1.4680200000000001</v>
      </c>
      <c r="R5515" s="147">
        <v>89.64843392182128</v>
      </c>
    </row>
    <row r="5516" spans="2:18" ht="15.75" hidden="1" thickBot="1" x14ac:dyDescent="0.3">
      <c r="B5516" s="724" t="s">
        <v>837</v>
      </c>
      <c r="C5516" s="722" t="s">
        <v>205</v>
      </c>
      <c r="D5516" t="s">
        <v>206</v>
      </c>
      <c r="E5516" s="148">
        <v>3.79759</v>
      </c>
      <c r="F5516" s="148">
        <v>0.43840000000000001</v>
      </c>
      <c r="G5516" s="148">
        <v>3.3591899999999999</v>
      </c>
      <c r="H5516" s="148">
        <v>766.23859489051097</v>
      </c>
      <c r="I5516" s="728"/>
      <c r="J5516" s="148">
        <v>3.79759</v>
      </c>
      <c r="K5516" s="148">
        <v>0</v>
      </c>
      <c r="L5516" s="148">
        <v>4.1531099999999999</v>
      </c>
      <c r="M5516" s="148">
        <v>5.2607999999999997</v>
      </c>
      <c r="N5516" s="148">
        <v>-1.1076900000000001</v>
      </c>
      <c r="O5516" s="148">
        <v>-21.055542883211679</v>
      </c>
      <c r="P5516" s="728"/>
      <c r="Q5516" s="148">
        <v>4.1531099999999999</v>
      </c>
      <c r="R5516" s="148">
        <v>0</v>
      </c>
    </row>
    <row r="5517" spans="2:18" ht="15.75" hidden="1" thickBot="1" x14ac:dyDescent="0.3">
      <c r="B5517" s="724" t="s">
        <v>837</v>
      </c>
      <c r="C5517" s="722" t="s">
        <v>75</v>
      </c>
      <c r="D5517" t="s">
        <v>76</v>
      </c>
      <c r="E5517" s="729"/>
      <c r="F5517" s="729"/>
      <c r="G5517" s="729"/>
      <c r="H5517" s="729"/>
      <c r="I5517" s="729"/>
      <c r="J5517" s="729"/>
      <c r="K5517" s="729"/>
      <c r="L5517" s="147">
        <v>4.1000000000000002E-2</v>
      </c>
      <c r="M5517" s="729"/>
      <c r="N5517" s="147">
        <v>4.1000000000000002E-2</v>
      </c>
      <c r="O5517" s="147">
        <v>0</v>
      </c>
      <c r="P5517" s="147">
        <v>4.1000000000000002E-2</v>
      </c>
      <c r="Q5517" s="147">
        <v>0</v>
      </c>
      <c r="R5517" s="147">
        <v>0</v>
      </c>
    </row>
    <row r="5518" spans="2:18" ht="15.75" hidden="1" thickBot="1" x14ac:dyDescent="0.3">
      <c r="B5518" s="724" t="s">
        <v>837</v>
      </c>
      <c r="C5518" s="149" t="s">
        <v>85</v>
      </c>
      <c r="D5518" t="s">
        <v>86</v>
      </c>
      <c r="E5518" s="148">
        <v>7.1965899999999996</v>
      </c>
      <c r="F5518" s="148">
        <v>2.6240000000000001</v>
      </c>
      <c r="G5518" s="148">
        <v>4.5725899999999999</v>
      </c>
      <c r="H5518" s="148">
        <v>174.26028963414635</v>
      </c>
      <c r="I5518" s="728"/>
      <c r="J5518" s="148">
        <v>7.1965899999999996</v>
      </c>
      <c r="K5518" s="148">
        <v>0</v>
      </c>
      <c r="L5518" s="148">
        <v>34.192819999999998</v>
      </c>
      <c r="M5518" s="148">
        <v>31.488</v>
      </c>
      <c r="N5518" s="148">
        <v>2.7048199999999998</v>
      </c>
      <c r="O5518" s="148">
        <v>8.5900025406504064</v>
      </c>
      <c r="P5518" s="148">
        <v>15.75695</v>
      </c>
      <c r="Q5518" s="148">
        <v>18.435870000000001</v>
      </c>
      <c r="R5518" s="148">
        <v>117.0015136178004</v>
      </c>
    </row>
    <row r="5519" spans="2:18" ht="15.75" hidden="1" thickBot="1" x14ac:dyDescent="0.3">
      <c r="B5519" s="724" t="s">
        <v>837</v>
      </c>
      <c r="C5519" s="144" t="s">
        <v>87</v>
      </c>
      <c r="D5519" t="s">
        <v>87</v>
      </c>
      <c r="E5519" s="147">
        <v>7.1965899999999996</v>
      </c>
      <c r="F5519" s="147">
        <v>2.6240000000000001</v>
      </c>
      <c r="G5519" s="147">
        <v>4.5725899999999999</v>
      </c>
      <c r="H5519" s="147">
        <v>174.26028963414635</v>
      </c>
      <c r="I5519" s="729"/>
      <c r="J5519" s="147">
        <v>7.1965899999999996</v>
      </c>
      <c r="K5519" s="147">
        <v>0</v>
      </c>
      <c r="L5519" s="147">
        <v>34.192819999999998</v>
      </c>
      <c r="M5519" s="147">
        <v>31.488</v>
      </c>
      <c r="N5519" s="147">
        <v>2.7048199999999998</v>
      </c>
      <c r="O5519" s="147">
        <v>8.5900025406504064</v>
      </c>
      <c r="P5519" s="147">
        <v>15.75695</v>
      </c>
      <c r="Q5519" s="147">
        <v>18.435870000000001</v>
      </c>
      <c r="R5519" s="147">
        <v>117.0015136178004</v>
      </c>
    </row>
    <row r="5520" spans="2:18" ht="15.75" hidden="1" thickBot="1" x14ac:dyDescent="0.3">
      <c r="B5520" s="724" t="s">
        <v>838</v>
      </c>
      <c r="C5520" s="722" t="s">
        <v>165</v>
      </c>
      <c r="D5520" t="s">
        <v>166</v>
      </c>
      <c r="E5520" s="728"/>
      <c r="F5520" s="728"/>
      <c r="G5520" s="728"/>
      <c r="H5520" s="728"/>
      <c r="I5520" s="728"/>
      <c r="J5520" s="728"/>
      <c r="K5520" s="728"/>
      <c r="L5520" s="148">
        <v>1.125E-2</v>
      </c>
      <c r="M5520" s="728"/>
      <c r="N5520" s="148">
        <v>1.125E-2</v>
      </c>
      <c r="O5520" s="148">
        <v>0</v>
      </c>
      <c r="P5520" s="148">
        <v>1.125E-2</v>
      </c>
      <c r="Q5520" s="148">
        <v>0</v>
      </c>
      <c r="R5520" s="148">
        <v>0</v>
      </c>
    </row>
    <row r="5521" spans="2:18" ht="15.75" hidden="1" thickBot="1" x14ac:dyDescent="0.3">
      <c r="B5521" s="724" t="s">
        <v>838</v>
      </c>
      <c r="C5521" s="149" t="s">
        <v>85</v>
      </c>
      <c r="D5521" t="s">
        <v>86</v>
      </c>
      <c r="E5521" s="729"/>
      <c r="F5521" s="729"/>
      <c r="G5521" s="729"/>
      <c r="H5521" s="729"/>
      <c r="I5521" s="729"/>
      <c r="J5521" s="729"/>
      <c r="K5521" s="729"/>
      <c r="L5521" s="147">
        <v>1.125E-2</v>
      </c>
      <c r="M5521" s="729"/>
      <c r="N5521" s="147">
        <v>1.125E-2</v>
      </c>
      <c r="O5521" s="147">
        <v>0</v>
      </c>
      <c r="P5521" s="147">
        <v>1.125E-2</v>
      </c>
      <c r="Q5521" s="147">
        <v>0</v>
      </c>
      <c r="R5521" s="147">
        <v>0</v>
      </c>
    </row>
    <row r="5522" spans="2:18" ht="15.75" hidden="1" thickBot="1" x14ac:dyDescent="0.3">
      <c r="B5522" s="724" t="s">
        <v>838</v>
      </c>
      <c r="C5522" s="144" t="s">
        <v>87</v>
      </c>
      <c r="D5522" t="s">
        <v>87</v>
      </c>
      <c r="E5522" s="728"/>
      <c r="F5522" s="728"/>
      <c r="G5522" s="728"/>
      <c r="H5522" s="728"/>
      <c r="I5522" s="728"/>
      <c r="J5522" s="728"/>
      <c r="K5522" s="728"/>
      <c r="L5522" s="148">
        <v>1.125E-2</v>
      </c>
      <c r="M5522" s="728"/>
      <c r="N5522" s="148">
        <v>1.125E-2</v>
      </c>
      <c r="O5522" s="148">
        <v>0</v>
      </c>
      <c r="P5522" s="148">
        <v>1.125E-2</v>
      </c>
      <c r="Q5522" s="148">
        <v>0</v>
      </c>
      <c r="R5522" s="148">
        <v>0</v>
      </c>
    </row>
    <row r="5523" spans="2:18" ht="15.75" hidden="1" thickBot="1" x14ac:dyDescent="0.3">
      <c r="B5523" s="724" t="s">
        <v>839</v>
      </c>
      <c r="C5523" s="722" t="s">
        <v>99</v>
      </c>
      <c r="D5523" t="s">
        <v>100</v>
      </c>
      <c r="E5523" s="147">
        <v>1.927</v>
      </c>
      <c r="F5523" s="147">
        <v>2.8250000000000001E-2</v>
      </c>
      <c r="G5523" s="147">
        <v>1.8987499999999999</v>
      </c>
      <c r="H5523" s="147">
        <v>6721.2389380530976</v>
      </c>
      <c r="I5523" s="729"/>
      <c r="J5523" s="147">
        <v>1.927</v>
      </c>
      <c r="K5523" s="147">
        <v>0</v>
      </c>
      <c r="L5523" s="147">
        <v>20.911899999999999</v>
      </c>
      <c r="M5523" s="147">
        <v>0.33900000000000002</v>
      </c>
      <c r="N5523" s="147">
        <v>20.572900000000001</v>
      </c>
      <c r="O5523" s="147">
        <v>6068.7020648967555</v>
      </c>
      <c r="P5523" s="147">
        <v>12.9824</v>
      </c>
      <c r="Q5523" s="147">
        <v>7.9295</v>
      </c>
      <c r="R5523" s="147">
        <v>61.078845205817103</v>
      </c>
    </row>
    <row r="5524" spans="2:18" ht="15.75" hidden="1" thickBot="1" x14ac:dyDescent="0.3">
      <c r="B5524" s="724" t="s">
        <v>839</v>
      </c>
      <c r="C5524" s="722" t="s">
        <v>165</v>
      </c>
      <c r="D5524" t="s">
        <v>166</v>
      </c>
      <c r="E5524" s="148">
        <v>0.15584000000000001</v>
      </c>
      <c r="F5524" s="148">
        <v>0.65200000000000002</v>
      </c>
      <c r="G5524" s="148">
        <v>-0.49615999999999999</v>
      </c>
      <c r="H5524" s="148">
        <v>-76.098159509202461</v>
      </c>
      <c r="I5524" s="728"/>
      <c r="J5524" s="148">
        <v>0.15584000000000001</v>
      </c>
      <c r="K5524" s="148">
        <v>0</v>
      </c>
      <c r="L5524" s="148">
        <v>6.5612000000000004</v>
      </c>
      <c r="M5524" s="148">
        <v>7.8239999999999998</v>
      </c>
      <c r="N5524" s="148">
        <v>-1.2627999999999999</v>
      </c>
      <c r="O5524" s="148">
        <v>-16.140081799591002</v>
      </c>
      <c r="P5524" s="148">
        <v>3.16337</v>
      </c>
      <c r="Q5524" s="148">
        <v>3.3978299999999999</v>
      </c>
      <c r="R5524" s="148">
        <v>107.41171598643218</v>
      </c>
    </row>
    <row r="5525" spans="2:18" ht="15.75" hidden="1" thickBot="1" x14ac:dyDescent="0.3">
      <c r="B5525" s="724" t="s">
        <v>839</v>
      </c>
      <c r="C5525" s="722" t="s">
        <v>36</v>
      </c>
      <c r="D5525" t="s">
        <v>192</v>
      </c>
      <c r="E5525" s="147">
        <v>0.36446000000000001</v>
      </c>
      <c r="F5525" s="147">
        <v>0.38600000000000001</v>
      </c>
      <c r="G5525" s="147">
        <v>-2.154E-2</v>
      </c>
      <c r="H5525" s="147">
        <v>-5.5803108808290158</v>
      </c>
      <c r="I5525" s="729"/>
      <c r="J5525" s="147">
        <v>0.36446000000000001</v>
      </c>
      <c r="K5525" s="147">
        <v>0</v>
      </c>
      <c r="L5525" s="147">
        <v>1.41638</v>
      </c>
      <c r="M5525" s="147">
        <v>4.6319999999999997</v>
      </c>
      <c r="N5525" s="147">
        <v>-3.2156199999999999</v>
      </c>
      <c r="O5525" s="147">
        <v>-69.421848013816927</v>
      </c>
      <c r="P5525" s="147">
        <v>1.05192</v>
      </c>
      <c r="Q5525" s="147">
        <v>0.36446000000000001</v>
      </c>
      <c r="R5525" s="147">
        <v>34.647121454102972</v>
      </c>
    </row>
    <row r="5526" spans="2:18" ht="15.75" hidden="1" thickBot="1" x14ac:dyDescent="0.3">
      <c r="B5526" s="724" t="s">
        <v>839</v>
      </c>
      <c r="C5526" s="722" t="s">
        <v>598</v>
      </c>
      <c r="D5526" t="s">
        <v>168</v>
      </c>
      <c r="E5526" s="728"/>
      <c r="F5526" s="148">
        <v>0.19825000000000001</v>
      </c>
      <c r="G5526" s="148">
        <v>-0.19825000000000001</v>
      </c>
      <c r="H5526" s="148">
        <v>-100</v>
      </c>
      <c r="I5526" s="728"/>
      <c r="J5526" s="728"/>
      <c r="K5526" s="728"/>
      <c r="L5526" s="148">
        <v>3.7176399999999998</v>
      </c>
      <c r="M5526" s="148">
        <v>2.379</v>
      </c>
      <c r="N5526" s="148">
        <v>1.3386400000000001</v>
      </c>
      <c r="O5526" s="148">
        <v>56.269020596889447</v>
      </c>
      <c r="P5526" s="148">
        <v>3.7176399999999998</v>
      </c>
      <c r="Q5526" s="148">
        <v>0</v>
      </c>
      <c r="R5526" s="148">
        <v>0</v>
      </c>
    </row>
    <row r="5527" spans="2:18" ht="15.75" hidden="1" thickBot="1" x14ac:dyDescent="0.3">
      <c r="B5527" s="724" t="s">
        <v>839</v>
      </c>
      <c r="C5527" s="722" t="s">
        <v>101</v>
      </c>
      <c r="D5527" t="s">
        <v>102</v>
      </c>
      <c r="E5527" s="147">
        <v>4.8367199999999997</v>
      </c>
      <c r="F5527" s="147">
        <v>6.2172000000000001</v>
      </c>
      <c r="G5527" s="147">
        <v>-1.3804799999999999</v>
      </c>
      <c r="H5527" s="147">
        <v>-22.204207681914689</v>
      </c>
      <c r="I5527" s="729"/>
      <c r="J5527" s="147">
        <v>4.8367199999999997</v>
      </c>
      <c r="K5527" s="147">
        <v>0</v>
      </c>
      <c r="L5527" s="147">
        <v>117.97569</v>
      </c>
      <c r="M5527" s="147">
        <v>74.606399999999994</v>
      </c>
      <c r="N5527" s="147">
        <v>43.369289999999999</v>
      </c>
      <c r="O5527" s="147">
        <v>58.13079038795599</v>
      </c>
      <c r="P5527" s="147">
        <v>54.225839999999998</v>
      </c>
      <c r="Q5527" s="147">
        <v>63.749850000000002</v>
      </c>
      <c r="R5527" s="147">
        <v>117.56360067451237</v>
      </c>
    </row>
    <row r="5528" spans="2:18" ht="15.75" hidden="1" thickBot="1" x14ac:dyDescent="0.3">
      <c r="B5528" s="724" t="s">
        <v>839</v>
      </c>
      <c r="C5528" s="722" t="s">
        <v>627</v>
      </c>
      <c r="D5528" t="s">
        <v>628</v>
      </c>
      <c r="E5528" s="148">
        <v>24.77684</v>
      </c>
      <c r="F5528" s="148">
        <v>22.91</v>
      </c>
      <c r="G5528" s="148">
        <v>1.8668400000000001</v>
      </c>
      <c r="H5528" s="148">
        <v>8.1485814054997814</v>
      </c>
      <c r="I5528" s="728"/>
      <c r="J5528" s="148">
        <v>24.77684</v>
      </c>
      <c r="K5528" s="148">
        <v>0</v>
      </c>
      <c r="L5528" s="148">
        <v>295.87311999999997</v>
      </c>
      <c r="M5528" s="148">
        <v>274.92</v>
      </c>
      <c r="N5528" s="148">
        <v>20.953119999999998</v>
      </c>
      <c r="O5528" s="148">
        <v>7.6215335370289541</v>
      </c>
      <c r="P5528" s="148">
        <v>142.12224000000001</v>
      </c>
      <c r="Q5528" s="148">
        <v>153.75088</v>
      </c>
      <c r="R5528" s="148">
        <v>108.1821395440995</v>
      </c>
    </row>
    <row r="5529" spans="2:18" ht="15.75" hidden="1" thickBot="1" x14ac:dyDescent="0.3">
      <c r="B5529" s="724" t="s">
        <v>839</v>
      </c>
      <c r="C5529" s="722" t="s">
        <v>73</v>
      </c>
      <c r="D5529" t="s">
        <v>74</v>
      </c>
      <c r="E5529" s="729"/>
      <c r="F5529" s="147">
        <v>0.26100000000000001</v>
      </c>
      <c r="G5529" s="147">
        <v>-0.26100000000000001</v>
      </c>
      <c r="H5529" s="147">
        <v>-100</v>
      </c>
      <c r="I5529" s="729"/>
      <c r="J5529" s="729"/>
      <c r="K5529" s="729"/>
      <c r="L5529" s="147">
        <v>0.22678000000000001</v>
      </c>
      <c r="M5529" s="147">
        <v>0.26100000000000001</v>
      </c>
      <c r="N5529" s="147">
        <v>-3.422E-2</v>
      </c>
      <c r="O5529" s="147">
        <v>-13.111111111111111</v>
      </c>
      <c r="P5529" s="729"/>
      <c r="Q5529" s="147">
        <v>0.22678000000000001</v>
      </c>
      <c r="R5529" s="147">
        <v>0</v>
      </c>
    </row>
    <row r="5530" spans="2:18" ht="15.75" hidden="1" thickBot="1" x14ac:dyDescent="0.3">
      <c r="B5530" s="724" t="s">
        <v>839</v>
      </c>
      <c r="C5530" s="722" t="s">
        <v>113</v>
      </c>
      <c r="D5530" t="s">
        <v>114</v>
      </c>
      <c r="E5530" s="728"/>
      <c r="F5530" s="728"/>
      <c r="G5530" s="728"/>
      <c r="H5530" s="728"/>
      <c r="I5530" s="728"/>
      <c r="J5530" s="728"/>
      <c r="K5530" s="728"/>
      <c r="L5530" s="148">
        <v>3.5970000000000002E-2</v>
      </c>
      <c r="M5530" s="728"/>
      <c r="N5530" s="148">
        <v>3.5970000000000002E-2</v>
      </c>
      <c r="O5530" s="148">
        <v>0</v>
      </c>
      <c r="P5530" s="728"/>
      <c r="Q5530" s="148">
        <v>3.5970000000000002E-2</v>
      </c>
      <c r="R5530" s="148">
        <v>0</v>
      </c>
    </row>
    <row r="5531" spans="2:18" ht="15.75" hidden="1" thickBot="1" x14ac:dyDescent="0.3">
      <c r="B5531" s="724" t="s">
        <v>839</v>
      </c>
      <c r="C5531" s="722" t="s">
        <v>145</v>
      </c>
      <c r="D5531" t="s">
        <v>146</v>
      </c>
      <c r="E5531" s="729"/>
      <c r="F5531" s="147">
        <v>3.2410000000000001E-2</v>
      </c>
      <c r="G5531" s="147">
        <v>-3.2410000000000001E-2</v>
      </c>
      <c r="H5531" s="147">
        <v>-100</v>
      </c>
      <c r="I5531" s="729"/>
      <c r="J5531" s="729"/>
      <c r="K5531" s="729"/>
      <c r="L5531" s="729"/>
      <c r="M5531" s="147">
        <v>0.38891999999999999</v>
      </c>
      <c r="N5531" s="147">
        <v>-0.38891999999999999</v>
      </c>
      <c r="O5531" s="147">
        <v>-100</v>
      </c>
      <c r="P5531" s="729"/>
      <c r="Q5531" s="729"/>
      <c r="R5531" s="729"/>
    </row>
    <row r="5532" spans="2:18" ht="15.75" hidden="1" thickBot="1" x14ac:dyDescent="0.3">
      <c r="B5532" s="724" t="s">
        <v>839</v>
      </c>
      <c r="C5532" s="722" t="s">
        <v>147</v>
      </c>
      <c r="D5532" t="s">
        <v>148</v>
      </c>
      <c r="E5532" s="148">
        <v>2.8240099999999999</v>
      </c>
      <c r="F5532" s="148">
        <v>0.67566000000000004</v>
      </c>
      <c r="G5532" s="148">
        <v>2.1483500000000002</v>
      </c>
      <c r="H5532" s="148">
        <v>317.96317674570048</v>
      </c>
      <c r="I5532" s="728"/>
      <c r="J5532" s="148">
        <v>2.8240099999999999</v>
      </c>
      <c r="K5532" s="148">
        <v>0</v>
      </c>
      <c r="L5532" s="148">
        <v>10.68266</v>
      </c>
      <c r="M5532" s="148">
        <v>8.10792</v>
      </c>
      <c r="N5532" s="148">
        <v>2.5747399999999998</v>
      </c>
      <c r="O5532" s="148">
        <v>31.75586340269761</v>
      </c>
      <c r="P5532" s="148">
        <v>4.6920799999999998</v>
      </c>
      <c r="Q5532" s="148">
        <v>5.9905799999999996</v>
      </c>
      <c r="R5532" s="148">
        <v>127.67429370343217</v>
      </c>
    </row>
    <row r="5533" spans="2:18" ht="15.75" hidden="1" thickBot="1" x14ac:dyDescent="0.3">
      <c r="B5533" s="724" t="s">
        <v>839</v>
      </c>
      <c r="C5533" s="722" t="s">
        <v>149</v>
      </c>
      <c r="D5533" t="s">
        <v>150</v>
      </c>
      <c r="E5533" s="729"/>
      <c r="F5533" s="729"/>
      <c r="G5533" s="729"/>
      <c r="H5533" s="729"/>
      <c r="I5533" s="729"/>
      <c r="J5533" s="729"/>
      <c r="K5533" s="729"/>
      <c r="L5533" s="147">
        <v>0.15964</v>
      </c>
      <c r="M5533" s="729"/>
      <c r="N5533" s="147">
        <v>0.15964</v>
      </c>
      <c r="O5533" s="147">
        <v>0</v>
      </c>
      <c r="P5533" s="147">
        <v>0.13100000000000001</v>
      </c>
      <c r="Q5533" s="147">
        <v>2.8639999999999999E-2</v>
      </c>
      <c r="R5533" s="147">
        <v>21.862595419847327</v>
      </c>
    </row>
    <row r="5534" spans="2:18" ht="15.75" hidden="1" thickBot="1" x14ac:dyDescent="0.3">
      <c r="B5534" s="724" t="s">
        <v>839</v>
      </c>
      <c r="C5534" s="722" t="s">
        <v>205</v>
      </c>
      <c r="D5534" t="s">
        <v>206</v>
      </c>
      <c r="E5534" s="148">
        <v>7.18893</v>
      </c>
      <c r="F5534" s="148">
        <v>4.1448</v>
      </c>
      <c r="G5534" s="148">
        <v>3.04413</v>
      </c>
      <c r="H5534" s="148">
        <v>73.444557035321367</v>
      </c>
      <c r="I5534" s="728"/>
      <c r="J5534" s="148">
        <v>7.18893</v>
      </c>
      <c r="K5534" s="148">
        <v>0</v>
      </c>
      <c r="L5534" s="148">
        <v>65.366550000000004</v>
      </c>
      <c r="M5534" s="148">
        <v>49.7376</v>
      </c>
      <c r="N5534" s="148">
        <v>15.62895</v>
      </c>
      <c r="O5534" s="148">
        <v>31.422806890561667</v>
      </c>
      <c r="P5534" s="148">
        <v>24.964849999999998</v>
      </c>
      <c r="Q5534" s="148">
        <v>40.401699999999998</v>
      </c>
      <c r="R5534" s="148">
        <v>161.83433908074753</v>
      </c>
    </row>
    <row r="5535" spans="2:18" ht="15.75" hidden="1" thickBot="1" x14ac:dyDescent="0.3">
      <c r="B5535" s="724" t="s">
        <v>839</v>
      </c>
      <c r="C5535" s="722" t="s">
        <v>653</v>
      </c>
      <c r="D5535" t="s">
        <v>654</v>
      </c>
      <c r="E5535" s="729"/>
      <c r="F5535" s="729"/>
      <c r="G5535" s="729"/>
      <c r="H5535" s="729"/>
      <c r="I5535" s="729"/>
      <c r="J5535" s="729"/>
      <c r="K5535" s="729"/>
      <c r="L5535" s="147">
        <v>2.0125299999999999</v>
      </c>
      <c r="M5535" s="729"/>
      <c r="N5535" s="147">
        <v>2.0125299999999999</v>
      </c>
      <c r="O5535" s="147">
        <v>0</v>
      </c>
      <c r="P5535" s="147">
        <v>0.67500000000000004</v>
      </c>
      <c r="Q5535" s="147">
        <v>1.3375300000000001</v>
      </c>
      <c r="R5535" s="147">
        <v>198.15259259259258</v>
      </c>
    </row>
    <row r="5536" spans="2:18" ht="15.75" hidden="1" thickBot="1" x14ac:dyDescent="0.3">
      <c r="B5536" s="724" t="s">
        <v>839</v>
      </c>
      <c r="C5536" s="722" t="s">
        <v>151</v>
      </c>
      <c r="D5536" t="s">
        <v>152</v>
      </c>
      <c r="E5536" s="728"/>
      <c r="F5536" s="148">
        <v>6.8750000000000006E-2</v>
      </c>
      <c r="G5536" s="148">
        <v>-6.8750000000000006E-2</v>
      </c>
      <c r="H5536" s="148">
        <v>-100</v>
      </c>
      <c r="I5536" s="728"/>
      <c r="J5536" s="728"/>
      <c r="K5536" s="728"/>
      <c r="L5536" s="148">
        <v>0.43509999999999999</v>
      </c>
      <c r="M5536" s="148">
        <v>0.82499999999999996</v>
      </c>
      <c r="N5536" s="148">
        <v>-0.38990000000000002</v>
      </c>
      <c r="O5536" s="148">
        <v>-47.260606060606058</v>
      </c>
      <c r="P5536" s="728"/>
      <c r="Q5536" s="148">
        <v>0.43509999999999999</v>
      </c>
      <c r="R5536" s="148">
        <v>0</v>
      </c>
    </row>
    <row r="5537" spans="2:18" ht="15.75" hidden="1" thickBot="1" x14ac:dyDescent="0.3">
      <c r="B5537" s="724" t="s">
        <v>839</v>
      </c>
      <c r="C5537" s="722" t="s">
        <v>75</v>
      </c>
      <c r="D5537" t="s">
        <v>76</v>
      </c>
      <c r="E5537" s="729"/>
      <c r="F5537" s="729"/>
      <c r="G5537" s="729"/>
      <c r="H5537" s="729"/>
      <c r="I5537" s="729"/>
      <c r="J5537" s="729"/>
      <c r="K5537" s="729"/>
      <c r="L5537" s="147">
        <v>0.41315000000000002</v>
      </c>
      <c r="M5537" s="729"/>
      <c r="N5537" s="147">
        <v>0.41315000000000002</v>
      </c>
      <c r="O5537" s="147">
        <v>0</v>
      </c>
      <c r="P5537" s="147">
        <v>3.3000000000000002E-2</v>
      </c>
      <c r="Q5537" s="147">
        <v>0.38014999999999999</v>
      </c>
      <c r="R5537" s="147">
        <v>1151.969696969697</v>
      </c>
    </row>
    <row r="5538" spans="2:18" ht="15.75" hidden="1" thickBot="1" x14ac:dyDescent="0.3">
      <c r="B5538" s="724" t="s">
        <v>839</v>
      </c>
      <c r="C5538" s="722" t="s">
        <v>121</v>
      </c>
      <c r="D5538" t="s">
        <v>122</v>
      </c>
      <c r="E5538" s="728"/>
      <c r="F5538" s="728"/>
      <c r="G5538" s="728"/>
      <c r="H5538" s="728"/>
      <c r="I5538" s="728"/>
      <c r="J5538" s="728"/>
      <c r="K5538" s="728"/>
      <c r="L5538" s="148">
        <v>0.10405</v>
      </c>
      <c r="M5538" s="728"/>
      <c r="N5538" s="148">
        <v>0.10405</v>
      </c>
      <c r="O5538" s="148">
        <v>0</v>
      </c>
      <c r="P5538" s="728"/>
      <c r="Q5538" s="148">
        <v>0.10405</v>
      </c>
      <c r="R5538" s="148">
        <v>0</v>
      </c>
    </row>
    <row r="5539" spans="2:18" ht="15.75" hidden="1" thickBot="1" x14ac:dyDescent="0.3">
      <c r="B5539" s="724" t="s">
        <v>839</v>
      </c>
      <c r="C5539" s="722" t="s">
        <v>81</v>
      </c>
      <c r="D5539" t="s">
        <v>82</v>
      </c>
      <c r="E5539" s="729"/>
      <c r="F5539" s="729"/>
      <c r="G5539" s="729"/>
      <c r="H5539" s="729"/>
      <c r="I5539" s="729"/>
      <c r="J5539" s="729"/>
      <c r="K5539" s="729"/>
      <c r="L5539" s="147">
        <v>2.5000000000000001E-2</v>
      </c>
      <c r="M5539" s="729"/>
      <c r="N5539" s="147">
        <v>2.5000000000000001E-2</v>
      </c>
      <c r="O5539" s="147">
        <v>0</v>
      </c>
      <c r="P5539" s="729"/>
      <c r="Q5539" s="147">
        <v>2.5000000000000001E-2</v>
      </c>
      <c r="R5539" s="147">
        <v>0</v>
      </c>
    </row>
    <row r="5540" spans="2:18" ht="15.75" hidden="1" thickBot="1" x14ac:dyDescent="0.3">
      <c r="B5540" s="724" t="s">
        <v>839</v>
      </c>
      <c r="C5540" s="149" t="s">
        <v>85</v>
      </c>
      <c r="D5540" t="s">
        <v>86</v>
      </c>
      <c r="E5540" s="148">
        <v>42.073799999999999</v>
      </c>
      <c r="F5540" s="148">
        <v>35.57432</v>
      </c>
      <c r="G5540" s="148">
        <v>6.4994800000000001</v>
      </c>
      <c r="H5540" s="148">
        <v>18.270145430748922</v>
      </c>
      <c r="I5540" s="728"/>
      <c r="J5540" s="148">
        <v>42.073799999999999</v>
      </c>
      <c r="K5540" s="148">
        <v>0</v>
      </c>
      <c r="L5540" s="148">
        <v>525.91736000000003</v>
      </c>
      <c r="M5540" s="148">
        <v>424.02084000000002</v>
      </c>
      <c r="N5540" s="148">
        <v>101.89652</v>
      </c>
      <c r="O5540" s="148">
        <v>24.031016966052896</v>
      </c>
      <c r="P5540" s="148">
        <v>247.75934000000001</v>
      </c>
      <c r="Q5540" s="148">
        <v>278.15802000000002</v>
      </c>
      <c r="R5540" s="148">
        <v>112.26943856082278</v>
      </c>
    </row>
    <row r="5541" spans="2:18" ht="15.75" hidden="1" thickBot="1" x14ac:dyDescent="0.3">
      <c r="B5541" s="724" t="s">
        <v>839</v>
      </c>
      <c r="C5541" s="144" t="s">
        <v>87</v>
      </c>
      <c r="D5541" t="s">
        <v>87</v>
      </c>
      <c r="E5541" s="147">
        <v>42.073799999999999</v>
      </c>
      <c r="F5541" s="147">
        <v>35.57432</v>
      </c>
      <c r="G5541" s="147">
        <v>6.4994800000000001</v>
      </c>
      <c r="H5541" s="147">
        <v>18.270145430748922</v>
      </c>
      <c r="I5541" s="729"/>
      <c r="J5541" s="147">
        <v>42.073799999999999</v>
      </c>
      <c r="K5541" s="147">
        <v>0</v>
      </c>
      <c r="L5541" s="147">
        <v>525.91736000000003</v>
      </c>
      <c r="M5541" s="147">
        <v>424.02084000000002</v>
      </c>
      <c r="N5541" s="147">
        <v>101.89652</v>
      </c>
      <c r="O5541" s="147">
        <v>24.031016966052896</v>
      </c>
      <c r="P5541" s="147">
        <v>247.75934000000001</v>
      </c>
      <c r="Q5541" s="147">
        <v>278.15802000000002</v>
      </c>
      <c r="R5541" s="147">
        <v>112.26943856082278</v>
      </c>
    </row>
    <row r="5542" spans="2:18" ht="15.75" hidden="1" thickBot="1" x14ac:dyDescent="0.3">
      <c r="B5542" s="724" t="s">
        <v>840</v>
      </c>
      <c r="C5542" s="722" t="s">
        <v>99</v>
      </c>
      <c r="D5542" t="s">
        <v>100</v>
      </c>
      <c r="E5542" s="728"/>
      <c r="F5542" s="728"/>
      <c r="G5542" s="728"/>
      <c r="H5542" s="728"/>
      <c r="I5542" s="728"/>
      <c r="J5542" s="728"/>
      <c r="K5542" s="728"/>
      <c r="L5542" s="148">
        <v>2.5989999999999999E-2</v>
      </c>
      <c r="M5542" s="728"/>
      <c r="N5542" s="148">
        <v>2.5989999999999999E-2</v>
      </c>
      <c r="O5542" s="148">
        <v>0</v>
      </c>
      <c r="P5542" s="728"/>
      <c r="Q5542" s="148">
        <v>2.5989999999999999E-2</v>
      </c>
      <c r="R5542" s="148">
        <v>0</v>
      </c>
    </row>
    <row r="5543" spans="2:18" ht="15.75" hidden="1" thickBot="1" x14ac:dyDescent="0.3">
      <c r="B5543" s="724" t="s">
        <v>840</v>
      </c>
      <c r="C5543" s="722" t="s">
        <v>101</v>
      </c>
      <c r="D5543" t="s">
        <v>102</v>
      </c>
      <c r="E5543" s="147">
        <v>1.89486</v>
      </c>
      <c r="F5543" s="147">
        <v>1.1153999999999999</v>
      </c>
      <c r="G5543" s="147">
        <v>0.77946000000000004</v>
      </c>
      <c r="H5543" s="147">
        <v>69.881656804733723</v>
      </c>
      <c r="I5543" s="729"/>
      <c r="J5543" s="147">
        <v>1.89486</v>
      </c>
      <c r="K5543" s="147">
        <v>0</v>
      </c>
      <c r="L5543" s="147">
        <v>22.948979999999999</v>
      </c>
      <c r="M5543" s="147">
        <v>13.3848</v>
      </c>
      <c r="N5543" s="147">
        <v>9.5641800000000003</v>
      </c>
      <c r="O5543" s="147">
        <v>71.455531647839337</v>
      </c>
      <c r="P5543" s="147">
        <v>12.54954</v>
      </c>
      <c r="Q5543" s="147">
        <v>10.39944</v>
      </c>
      <c r="R5543" s="147">
        <v>82.867101104901053</v>
      </c>
    </row>
    <row r="5544" spans="2:18" ht="15.75" hidden="1" thickBot="1" x14ac:dyDescent="0.3">
      <c r="B5544" s="724" t="s">
        <v>840</v>
      </c>
      <c r="C5544" s="722" t="s">
        <v>464</v>
      </c>
      <c r="D5544" t="s">
        <v>465</v>
      </c>
      <c r="E5544" s="148">
        <v>0.45551999999999998</v>
      </c>
      <c r="F5544" s="728"/>
      <c r="G5544" s="148">
        <v>0.45551999999999998</v>
      </c>
      <c r="H5544" s="148">
        <v>0</v>
      </c>
      <c r="I5544" s="728"/>
      <c r="J5544" s="148">
        <v>0.45551999999999998</v>
      </c>
      <c r="K5544" s="148">
        <v>0</v>
      </c>
      <c r="L5544" s="148">
        <v>5.0731200000000003</v>
      </c>
      <c r="M5544" s="728"/>
      <c r="N5544" s="148">
        <v>5.0731200000000003</v>
      </c>
      <c r="O5544" s="148">
        <v>0</v>
      </c>
      <c r="P5544" s="148">
        <v>2.5365600000000001</v>
      </c>
      <c r="Q5544" s="148">
        <v>2.5365600000000001</v>
      </c>
      <c r="R5544" s="148">
        <v>100</v>
      </c>
    </row>
    <row r="5545" spans="2:18" ht="15.75" hidden="1" thickBot="1" x14ac:dyDescent="0.3">
      <c r="B5545" s="724" t="s">
        <v>840</v>
      </c>
      <c r="C5545" s="722" t="s">
        <v>627</v>
      </c>
      <c r="D5545" t="s">
        <v>628</v>
      </c>
      <c r="E5545" s="147">
        <v>1.6640600000000001</v>
      </c>
      <c r="F5545" s="147">
        <v>1.6040000000000001</v>
      </c>
      <c r="G5545" s="147">
        <v>6.0060000000000002E-2</v>
      </c>
      <c r="H5545" s="147">
        <v>3.7443890274314215</v>
      </c>
      <c r="I5545" s="729"/>
      <c r="J5545" s="147">
        <v>1.6640600000000001</v>
      </c>
      <c r="K5545" s="147">
        <v>0</v>
      </c>
      <c r="L5545" s="147">
        <v>21.22447</v>
      </c>
      <c r="M5545" s="147">
        <v>19.248000000000001</v>
      </c>
      <c r="N5545" s="147">
        <v>1.9764699999999999</v>
      </c>
      <c r="O5545" s="147">
        <v>10.268443474646716</v>
      </c>
      <c r="P5545" s="147">
        <v>10.39716</v>
      </c>
      <c r="Q5545" s="147">
        <v>10.827310000000001</v>
      </c>
      <c r="R5545" s="147">
        <v>104.13718746273021</v>
      </c>
    </row>
    <row r="5546" spans="2:18" ht="15.75" hidden="1" thickBot="1" x14ac:dyDescent="0.3">
      <c r="B5546" s="724" t="s">
        <v>840</v>
      </c>
      <c r="C5546" s="722" t="s">
        <v>73</v>
      </c>
      <c r="D5546" t="s">
        <v>74</v>
      </c>
      <c r="E5546" s="148">
        <v>4.5400000000000003E-2</v>
      </c>
      <c r="F5546" s="728"/>
      <c r="G5546" s="148">
        <v>4.5400000000000003E-2</v>
      </c>
      <c r="H5546" s="148">
        <v>0</v>
      </c>
      <c r="I5546" s="728"/>
      <c r="J5546" s="148">
        <v>4.5400000000000003E-2</v>
      </c>
      <c r="K5546" s="148">
        <v>0</v>
      </c>
      <c r="L5546" s="148">
        <v>2.2588900000000001</v>
      </c>
      <c r="M5546" s="148">
        <v>1.0780000000000001</v>
      </c>
      <c r="N5546" s="148">
        <v>1.18089</v>
      </c>
      <c r="O5546" s="148">
        <v>109.54452690166976</v>
      </c>
      <c r="P5546" s="148">
        <v>0.92825999999999997</v>
      </c>
      <c r="Q5546" s="148">
        <v>1.33063</v>
      </c>
      <c r="R5546" s="148">
        <v>143.34669165966432</v>
      </c>
    </row>
    <row r="5547" spans="2:18" ht="15.75" hidden="1" thickBot="1" x14ac:dyDescent="0.3">
      <c r="B5547" s="724" t="s">
        <v>840</v>
      </c>
      <c r="C5547" s="722" t="s">
        <v>147</v>
      </c>
      <c r="D5547" t="s">
        <v>148</v>
      </c>
      <c r="E5547" s="147">
        <v>0.61963000000000001</v>
      </c>
      <c r="F5547" s="729"/>
      <c r="G5547" s="147">
        <v>0.61963000000000001</v>
      </c>
      <c r="H5547" s="147">
        <v>0</v>
      </c>
      <c r="I5547" s="729"/>
      <c r="J5547" s="147">
        <v>0.61963000000000001</v>
      </c>
      <c r="K5547" s="147">
        <v>0</v>
      </c>
      <c r="L5547" s="147">
        <v>2.3525800000000001</v>
      </c>
      <c r="M5547" s="147">
        <v>1.81412</v>
      </c>
      <c r="N5547" s="147">
        <v>0.53846000000000005</v>
      </c>
      <c r="O5547" s="147">
        <v>29.68160871386678</v>
      </c>
      <c r="P5547" s="147">
        <v>0.98655999999999999</v>
      </c>
      <c r="Q5547" s="147">
        <v>1.36602</v>
      </c>
      <c r="R5547" s="147">
        <v>138.46294193966915</v>
      </c>
    </row>
    <row r="5548" spans="2:18" ht="15.75" hidden="1" thickBot="1" x14ac:dyDescent="0.3">
      <c r="B5548" s="724" t="s">
        <v>840</v>
      </c>
      <c r="C5548" s="722" t="s">
        <v>205</v>
      </c>
      <c r="D5548" t="s">
        <v>206</v>
      </c>
      <c r="E5548" s="148">
        <v>1.15656</v>
      </c>
      <c r="F5548" s="148">
        <v>0.74360000000000004</v>
      </c>
      <c r="G5548" s="148">
        <v>0.41295999999999999</v>
      </c>
      <c r="H5548" s="148">
        <v>55.535233996772462</v>
      </c>
      <c r="I5548" s="728"/>
      <c r="J5548" s="148">
        <v>1.15656</v>
      </c>
      <c r="K5548" s="148">
        <v>0</v>
      </c>
      <c r="L5548" s="148">
        <v>6.1905599999999996</v>
      </c>
      <c r="M5548" s="148">
        <v>8.9231999999999996</v>
      </c>
      <c r="N5548" s="148">
        <v>-2.73264</v>
      </c>
      <c r="O5548" s="148">
        <v>-30.623991393222163</v>
      </c>
      <c r="P5548" s="148">
        <v>3.1069</v>
      </c>
      <c r="Q5548" s="148">
        <v>3.0836600000000001</v>
      </c>
      <c r="R5548" s="148">
        <v>99.251987511667579</v>
      </c>
    </row>
    <row r="5549" spans="2:18" ht="15.75" hidden="1" thickBot="1" x14ac:dyDescent="0.3">
      <c r="B5549" s="724" t="s">
        <v>840</v>
      </c>
      <c r="C5549" s="722" t="s">
        <v>653</v>
      </c>
      <c r="D5549" t="s">
        <v>654</v>
      </c>
      <c r="E5549" s="729"/>
      <c r="F5549" s="729"/>
      <c r="G5549" s="729"/>
      <c r="H5549" s="729"/>
      <c r="I5549" s="729"/>
      <c r="J5549" s="729"/>
      <c r="K5549" s="729"/>
      <c r="L5549" s="147">
        <v>0.33250000000000002</v>
      </c>
      <c r="M5549" s="729"/>
      <c r="N5549" s="147">
        <v>0.33250000000000002</v>
      </c>
      <c r="O5549" s="147">
        <v>0</v>
      </c>
      <c r="P5549" s="147">
        <v>0.09</v>
      </c>
      <c r="Q5549" s="147">
        <v>0.24249999999999999</v>
      </c>
      <c r="R5549" s="147">
        <v>269.44444444444446</v>
      </c>
    </row>
    <row r="5550" spans="2:18" ht="15.75" hidden="1" thickBot="1" x14ac:dyDescent="0.3">
      <c r="B5550" s="724" t="s">
        <v>840</v>
      </c>
      <c r="C5550" s="722" t="s">
        <v>151</v>
      </c>
      <c r="D5550" t="s">
        <v>152</v>
      </c>
      <c r="E5550" s="728"/>
      <c r="F5550" s="728"/>
      <c r="G5550" s="728"/>
      <c r="H5550" s="728"/>
      <c r="I5550" s="728"/>
      <c r="J5550" s="728"/>
      <c r="K5550" s="728"/>
      <c r="L5550" s="148">
        <v>0.4</v>
      </c>
      <c r="M5550" s="728"/>
      <c r="N5550" s="148">
        <v>0.4</v>
      </c>
      <c r="O5550" s="148">
        <v>0</v>
      </c>
      <c r="P5550" s="728"/>
      <c r="Q5550" s="148">
        <v>0.4</v>
      </c>
      <c r="R5550" s="148">
        <v>0</v>
      </c>
    </row>
    <row r="5551" spans="2:18" ht="15.75" hidden="1" thickBot="1" x14ac:dyDescent="0.3">
      <c r="B5551" s="724" t="s">
        <v>840</v>
      </c>
      <c r="C5551" s="149" t="s">
        <v>85</v>
      </c>
      <c r="D5551" t="s">
        <v>86</v>
      </c>
      <c r="E5551" s="147">
        <v>5.8360300000000001</v>
      </c>
      <c r="F5551" s="147">
        <v>3.4630000000000001</v>
      </c>
      <c r="G5551" s="147">
        <v>2.37303</v>
      </c>
      <c r="H5551" s="147">
        <v>68.52526710944268</v>
      </c>
      <c r="I5551" s="729"/>
      <c r="J5551" s="147">
        <v>5.8360300000000001</v>
      </c>
      <c r="K5551" s="147">
        <v>0</v>
      </c>
      <c r="L5551" s="147">
        <v>60.807090000000002</v>
      </c>
      <c r="M5551" s="147">
        <v>44.448120000000003</v>
      </c>
      <c r="N5551" s="147">
        <v>16.358969999999999</v>
      </c>
      <c r="O5551" s="147">
        <v>36.80463875637485</v>
      </c>
      <c r="P5551" s="147">
        <v>30.59498</v>
      </c>
      <c r="Q5551" s="147">
        <v>30.212109999999999</v>
      </c>
      <c r="R5551" s="147">
        <v>98.748585552270342</v>
      </c>
    </row>
    <row r="5552" spans="2:18" ht="15.75" hidden="1" thickBot="1" x14ac:dyDescent="0.3">
      <c r="B5552" s="724" t="s">
        <v>840</v>
      </c>
      <c r="C5552" s="144" t="s">
        <v>87</v>
      </c>
      <c r="D5552" t="s">
        <v>87</v>
      </c>
      <c r="E5552" s="148">
        <v>5.8360300000000001</v>
      </c>
      <c r="F5552" s="148">
        <v>3.4630000000000001</v>
      </c>
      <c r="G5552" s="148">
        <v>2.37303</v>
      </c>
      <c r="H5552" s="148">
        <v>68.52526710944268</v>
      </c>
      <c r="I5552" s="728"/>
      <c r="J5552" s="148">
        <v>5.8360300000000001</v>
      </c>
      <c r="K5552" s="148">
        <v>0</v>
      </c>
      <c r="L5552" s="148">
        <v>60.807090000000002</v>
      </c>
      <c r="M5552" s="148">
        <v>44.448120000000003</v>
      </c>
      <c r="N5552" s="148">
        <v>16.358969999999999</v>
      </c>
      <c r="O5552" s="148">
        <v>36.80463875637485</v>
      </c>
      <c r="P5552" s="148">
        <v>30.59498</v>
      </c>
      <c r="Q5552" s="148">
        <v>30.212109999999999</v>
      </c>
      <c r="R5552" s="148">
        <v>98.748585552270342</v>
      </c>
    </row>
    <row r="5553" spans="2:18" ht="15.75" hidden="1" thickBot="1" x14ac:dyDescent="0.3">
      <c r="B5553" s="724" t="s">
        <v>841</v>
      </c>
      <c r="C5553" s="722" t="s">
        <v>99</v>
      </c>
      <c r="D5553" t="s">
        <v>100</v>
      </c>
      <c r="E5553" s="147">
        <v>0.11748</v>
      </c>
      <c r="F5553" s="729"/>
      <c r="G5553" s="147">
        <v>0.11748</v>
      </c>
      <c r="H5553" s="147">
        <v>0</v>
      </c>
      <c r="I5553" s="729"/>
      <c r="J5553" s="147">
        <v>0.11748</v>
      </c>
      <c r="K5553" s="147">
        <v>0</v>
      </c>
      <c r="L5553" s="147">
        <v>1.0073399999999999</v>
      </c>
      <c r="M5553" s="729"/>
      <c r="N5553" s="147">
        <v>1.0073399999999999</v>
      </c>
      <c r="O5553" s="147">
        <v>0</v>
      </c>
      <c r="P5553" s="147">
        <v>0.29721999999999998</v>
      </c>
      <c r="Q5553" s="147">
        <v>0.71011999999999997</v>
      </c>
      <c r="R5553" s="147">
        <v>238.92066482740057</v>
      </c>
    </row>
    <row r="5554" spans="2:18" ht="15.75" hidden="1" thickBot="1" x14ac:dyDescent="0.3">
      <c r="B5554" s="724" t="s">
        <v>841</v>
      </c>
      <c r="C5554" s="722" t="s">
        <v>101</v>
      </c>
      <c r="D5554" t="s">
        <v>102</v>
      </c>
      <c r="E5554" s="148">
        <v>4.899</v>
      </c>
      <c r="F5554" s="148">
        <v>2.9651999999999998</v>
      </c>
      <c r="G5554" s="148">
        <v>1.9338</v>
      </c>
      <c r="H5554" s="148">
        <v>65.216511533791987</v>
      </c>
      <c r="I5554" s="728"/>
      <c r="J5554" s="148">
        <v>4.899</v>
      </c>
      <c r="K5554" s="148">
        <v>0</v>
      </c>
      <c r="L5554" s="148">
        <v>49.005629999999996</v>
      </c>
      <c r="M5554" s="148">
        <v>35.5824</v>
      </c>
      <c r="N5554" s="148">
        <v>13.42323</v>
      </c>
      <c r="O5554" s="148">
        <v>37.724352488870899</v>
      </c>
      <c r="P5554" s="148">
        <v>24.104430000000001</v>
      </c>
      <c r="Q5554" s="148">
        <v>24.901199999999999</v>
      </c>
      <c r="R5554" s="148">
        <v>103.30549197803059</v>
      </c>
    </row>
    <row r="5555" spans="2:18" ht="15.75" hidden="1" thickBot="1" x14ac:dyDescent="0.3">
      <c r="B5555" s="724" t="s">
        <v>841</v>
      </c>
      <c r="C5555" s="722" t="s">
        <v>627</v>
      </c>
      <c r="D5555" t="s">
        <v>628</v>
      </c>
      <c r="E5555" s="147">
        <v>4.1648500000000004</v>
      </c>
      <c r="F5555" s="147">
        <v>4.3499999999999996</v>
      </c>
      <c r="G5555" s="147">
        <v>-0.18515000000000001</v>
      </c>
      <c r="H5555" s="147">
        <v>-4.25632183908046</v>
      </c>
      <c r="I5555" s="729"/>
      <c r="J5555" s="147">
        <v>4.1648500000000004</v>
      </c>
      <c r="K5555" s="147">
        <v>0</v>
      </c>
      <c r="L5555" s="147">
        <v>58.622140000000002</v>
      </c>
      <c r="M5555" s="147">
        <v>52.2</v>
      </c>
      <c r="N5555" s="147">
        <v>6.4221399999999997</v>
      </c>
      <c r="O5555" s="147">
        <v>12.302950191570881</v>
      </c>
      <c r="P5555" s="147">
        <v>32.921030000000002</v>
      </c>
      <c r="Q5555" s="147">
        <v>25.70111</v>
      </c>
      <c r="R5555" s="147">
        <v>78.068972933106892</v>
      </c>
    </row>
    <row r="5556" spans="2:18" ht="15.75" hidden="1" thickBot="1" x14ac:dyDescent="0.3">
      <c r="B5556" s="724" t="s">
        <v>841</v>
      </c>
      <c r="C5556" s="722" t="s">
        <v>73</v>
      </c>
      <c r="D5556" t="s">
        <v>74</v>
      </c>
      <c r="E5556" s="728"/>
      <c r="F5556" s="728"/>
      <c r="G5556" s="728"/>
      <c r="H5556" s="728"/>
      <c r="I5556" s="728"/>
      <c r="J5556" s="728"/>
      <c r="K5556" s="728"/>
      <c r="L5556" s="148">
        <v>0.39301999999999998</v>
      </c>
      <c r="M5556" s="728"/>
      <c r="N5556" s="148">
        <v>0.39301999999999998</v>
      </c>
      <c r="O5556" s="148">
        <v>0</v>
      </c>
      <c r="P5556" s="148">
        <v>0.39301999999999998</v>
      </c>
      <c r="Q5556" s="148">
        <v>0</v>
      </c>
      <c r="R5556" s="148">
        <v>0</v>
      </c>
    </row>
    <row r="5557" spans="2:18" ht="15.75" hidden="1" thickBot="1" x14ac:dyDescent="0.3">
      <c r="B5557" s="724" t="s">
        <v>841</v>
      </c>
      <c r="C5557" s="722" t="s">
        <v>113</v>
      </c>
      <c r="D5557" t="s">
        <v>114</v>
      </c>
      <c r="E5557" s="729"/>
      <c r="F5557" s="729"/>
      <c r="G5557" s="729"/>
      <c r="H5557" s="729"/>
      <c r="I5557" s="729"/>
      <c r="J5557" s="729"/>
      <c r="K5557" s="729"/>
      <c r="L5557" s="147">
        <v>0.21362999999999999</v>
      </c>
      <c r="M5557" s="729"/>
      <c r="N5557" s="147">
        <v>0.21362999999999999</v>
      </c>
      <c r="O5557" s="147">
        <v>0</v>
      </c>
      <c r="P5557" s="729"/>
      <c r="Q5557" s="147">
        <v>0.21362999999999999</v>
      </c>
      <c r="R5557" s="147">
        <v>0</v>
      </c>
    </row>
    <row r="5558" spans="2:18" ht="15.75" hidden="1" thickBot="1" x14ac:dyDescent="0.3">
      <c r="B5558" s="724" t="s">
        <v>841</v>
      </c>
      <c r="C5558" s="722" t="s">
        <v>147</v>
      </c>
      <c r="D5558" t="s">
        <v>148</v>
      </c>
      <c r="E5558" s="148">
        <v>1.0859799999999999</v>
      </c>
      <c r="F5558" s="148">
        <v>1.0269999999999999</v>
      </c>
      <c r="G5558" s="148">
        <v>5.8979999999999998E-2</v>
      </c>
      <c r="H5558" s="148">
        <v>5.742940603700097</v>
      </c>
      <c r="I5558" s="728"/>
      <c r="J5558" s="148">
        <v>1.0859799999999999</v>
      </c>
      <c r="K5558" s="148">
        <v>0</v>
      </c>
      <c r="L5558" s="148">
        <v>13.503399999999999</v>
      </c>
      <c r="M5558" s="148">
        <v>12.324</v>
      </c>
      <c r="N5558" s="148">
        <v>1.1794</v>
      </c>
      <c r="O5558" s="148">
        <v>9.5699448231093793</v>
      </c>
      <c r="P5558" s="148">
        <v>6.0057600000000004</v>
      </c>
      <c r="Q5558" s="148">
        <v>7.4976399999999996</v>
      </c>
      <c r="R5558" s="148">
        <v>124.8408194799659</v>
      </c>
    </row>
    <row r="5559" spans="2:18" ht="15.75" hidden="1" thickBot="1" x14ac:dyDescent="0.3">
      <c r="B5559" s="724" t="s">
        <v>841</v>
      </c>
      <c r="C5559" s="722" t="s">
        <v>205</v>
      </c>
      <c r="D5559" t="s">
        <v>206</v>
      </c>
      <c r="E5559" s="147">
        <v>1.7629999999999999</v>
      </c>
      <c r="F5559" s="147">
        <v>1.9767999999999999</v>
      </c>
      <c r="G5559" s="147">
        <v>-0.21379999999999999</v>
      </c>
      <c r="H5559" s="147">
        <v>-10.815459328207204</v>
      </c>
      <c r="I5559" s="729"/>
      <c r="J5559" s="147">
        <v>1.7629999999999999</v>
      </c>
      <c r="K5559" s="147">
        <v>0</v>
      </c>
      <c r="L5559" s="147">
        <v>7.5017800000000001</v>
      </c>
      <c r="M5559" s="147">
        <v>23.721599999999999</v>
      </c>
      <c r="N5559" s="147">
        <v>-16.219819999999999</v>
      </c>
      <c r="O5559" s="147">
        <v>-68.375741939835422</v>
      </c>
      <c r="P5559" s="147">
        <v>1.3560700000000001</v>
      </c>
      <c r="Q5559" s="147">
        <v>6.1457100000000002</v>
      </c>
      <c r="R5559" s="147">
        <v>453.20005604430452</v>
      </c>
    </row>
    <row r="5560" spans="2:18" ht="15.75" hidden="1" thickBot="1" x14ac:dyDescent="0.3">
      <c r="B5560" s="724" t="s">
        <v>841</v>
      </c>
      <c r="C5560" s="722" t="s">
        <v>75</v>
      </c>
      <c r="D5560" t="s">
        <v>76</v>
      </c>
      <c r="E5560" s="728"/>
      <c r="F5560" s="728"/>
      <c r="G5560" s="728"/>
      <c r="H5560" s="728"/>
      <c r="I5560" s="728"/>
      <c r="J5560" s="728"/>
      <c r="K5560" s="728"/>
      <c r="L5560" s="148">
        <v>7.9500000000000005E-3</v>
      </c>
      <c r="M5560" s="728"/>
      <c r="N5560" s="148">
        <v>7.9500000000000005E-3</v>
      </c>
      <c r="O5560" s="148">
        <v>0</v>
      </c>
      <c r="P5560" s="728"/>
      <c r="Q5560" s="148">
        <v>7.9500000000000005E-3</v>
      </c>
      <c r="R5560" s="148">
        <v>0</v>
      </c>
    </row>
    <row r="5561" spans="2:18" ht="15.75" hidden="1" thickBot="1" x14ac:dyDescent="0.3">
      <c r="B5561" s="724" t="s">
        <v>841</v>
      </c>
      <c r="C5561" s="149" t="s">
        <v>85</v>
      </c>
      <c r="D5561" t="s">
        <v>86</v>
      </c>
      <c r="E5561" s="147">
        <v>12.03031</v>
      </c>
      <c r="F5561" s="147">
        <v>10.319000000000001</v>
      </c>
      <c r="G5561" s="147">
        <v>1.7113100000000001</v>
      </c>
      <c r="H5561" s="147">
        <v>16.584068223665085</v>
      </c>
      <c r="I5561" s="729"/>
      <c r="J5561" s="147">
        <v>12.03031</v>
      </c>
      <c r="K5561" s="147">
        <v>0</v>
      </c>
      <c r="L5561" s="147">
        <v>130.25488999999999</v>
      </c>
      <c r="M5561" s="147">
        <v>123.828</v>
      </c>
      <c r="N5561" s="147">
        <v>6.4268900000000002</v>
      </c>
      <c r="O5561" s="147">
        <v>5.1901750815647514</v>
      </c>
      <c r="P5561" s="147">
        <v>65.077529999999996</v>
      </c>
      <c r="Q5561" s="147">
        <v>65.177359999999993</v>
      </c>
      <c r="R5561" s="147">
        <v>100.15340164262534</v>
      </c>
    </row>
    <row r="5562" spans="2:18" ht="15.75" hidden="1" thickBot="1" x14ac:dyDescent="0.3">
      <c r="B5562" s="724" t="s">
        <v>841</v>
      </c>
      <c r="C5562" s="144" t="s">
        <v>87</v>
      </c>
      <c r="D5562" t="s">
        <v>87</v>
      </c>
      <c r="E5562" s="148">
        <v>12.03031</v>
      </c>
      <c r="F5562" s="148">
        <v>10.319000000000001</v>
      </c>
      <c r="G5562" s="148">
        <v>1.7113100000000001</v>
      </c>
      <c r="H5562" s="148">
        <v>16.584068223665085</v>
      </c>
      <c r="I5562" s="728"/>
      <c r="J5562" s="148">
        <v>12.03031</v>
      </c>
      <c r="K5562" s="148">
        <v>0</v>
      </c>
      <c r="L5562" s="148">
        <v>130.25488999999999</v>
      </c>
      <c r="M5562" s="148">
        <v>123.828</v>
      </c>
      <c r="N5562" s="148">
        <v>6.4268900000000002</v>
      </c>
      <c r="O5562" s="148">
        <v>5.1901750815647514</v>
      </c>
      <c r="P5562" s="148">
        <v>65.077529999999996</v>
      </c>
      <c r="Q5562" s="148">
        <v>65.177359999999993</v>
      </c>
      <c r="R5562" s="148">
        <v>100.15340164262534</v>
      </c>
    </row>
    <row r="5563" spans="2:18" ht="15.75" hidden="1" thickBot="1" x14ac:dyDescent="0.3">
      <c r="B5563" s="724" t="s">
        <v>842</v>
      </c>
      <c r="C5563" s="722" t="s">
        <v>99</v>
      </c>
      <c r="D5563" t="s">
        <v>100</v>
      </c>
      <c r="E5563" s="147">
        <v>0.10236000000000001</v>
      </c>
      <c r="F5563" s="147">
        <v>0.158</v>
      </c>
      <c r="G5563" s="147">
        <v>-5.5640000000000002E-2</v>
      </c>
      <c r="H5563" s="147">
        <v>-35.215189873417721</v>
      </c>
      <c r="I5563" s="729"/>
      <c r="J5563" s="147">
        <v>0.10236000000000001</v>
      </c>
      <c r="K5563" s="147">
        <v>0</v>
      </c>
      <c r="L5563" s="147">
        <v>1.00187</v>
      </c>
      <c r="M5563" s="147">
        <v>1.8959999999999999</v>
      </c>
      <c r="N5563" s="147">
        <v>-0.89412999999999998</v>
      </c>
      <c r="O5563" s="147">
        <v>-47.158755274261601</v>
      </c>
      <c r="P5563" s="147">
        <v>0.49597999999999998</v>
      </c>
      <c r="Q5563" s="147">
        <v>0.50588999999999995</v>
      </c>
      <c r="R5563" s="147">
        <v>101.99806443808218</v>
      </c>
    </row>
    <row r="5564" spans="2:18" ht="15.75" hidden="1" thickBot="1" x14ac:dyDescent="0.3">
      <c r="B5564" s="724" t="s">
        <v>842</v>
      </c>
      <c r="C5564" s="722" t="s">
        <v>598</v>
      </c>
      <c r="D5564" t="s">
        <v>168</v>
      </c>
      <c r="E5564" s="728"/>
      <c r="F5564" s="728"/>
      <c r="G5564" s="728"/>
      <c r="H5564" s="728"/>
      <c r="I5564" s="728"/>
      <c r="J5564" s="728"/>
      <c r="K5564" s="728"/>
      <c r="L5564" s="148">
        <v>1.6E-2</v>
      </c>
      <c r="M5564" s="728"/>
      <c r="N5564" s="148">
        <v>1.6E-2</v>
      </c>
      <c r="O5564" s="148">
        <v>0</v>
      </c>
      <c r="P5564" s="148">
        <v>1.6E-2</v>
      </c>
      <c r="Q5564" s="148">
        <v>0</v>
      </c>
      <c r="R5564" s="148">
        <v>0</v>
      </c>
    </row>
    <row r="5565" spans="2:18" ht="15.75" hidden="1" thickBot="1" x14ac:dyDescent="0.3">
      <c r="B5565" s="724" t="s">
        <v>842</v>
      </c>
      <c r="C5565" s="722" t="s">
        <v>101</v>
      </c>
      <c r="D5565" t="s">
        <v>102</v>
      </c>
      <c r="E5565" s="147">
        <v>2.43628</v>
      </c>
      <c r="F5565" s="147">
        <v>1.89384</v>
      </c>
      <c r="G5565" s="147">
        <v>0.54244000000000003</v>
      </c>
      <c r="H5565" s="147">
        <v>28.642335149748657</v>
      </c>
      <c r="I5565" s="729"/>
      <c r="J5565" s="147">
        <v>2.43628</v>
      </c>
      <c r="K5565" s="147">
        <v>0</v>
      </c>
      <c r="L5565" s="147">
        <v>20.183579999999999</v>
      </c>
      <c r="M5565" s="147">
        <v>22.72608</v>
      </c>
      <c r="N5565" s="147">
        <v>-2.5425</v>
      </c>
      <c r="O5565" s="147">
        <v>-11.187587124572298</v>
      </c>
      <c r="P5565" s="147">
        <v>10.319179999999999</v>
      </c>
      <c r="Q5565" s="147">
        <v>9.8643999999999998</v>
      </c>
      <c r="R5565" s="147">
        <v>95.592866875081157</v>
      </c>
    </row>
    <row r="5566" spans="2:18" ht="15.75" hidden="1" thickBot="1" x14ac:dyDescent="0.3">
      <c r="B5566" s="724" t="s">
        <v>842</v>
      </c>
      <c r="C5566" s="722" t="s">
        <v>627</v>
      </c>
      <c r="D5566" t="s">
        <v>628</v>
      </c>
      <c r="E5566" s="148">
        <v>0.92398000000000002</v>
      </c>
      <c r="F5566" s="148">
        <v>0.89537999999999995</v>
      </c>
      <c r="G5566" s="148">
        <v>2.86E-2</v>
      </c>
      <c r="H5566" s="148">
        <v>3.1941745404185933</v>
      </c>
      <c r="I5566" s="728"/>
      <c r="J5566" s="148">
        <v>0.92398000000000002</v>
      </c>
      <c r="K5566" s="148">
        <v>0</v>
      </c>
      <c r="L5566" s="148">
        <v>10.672739999999999</v>
      </c>
      <c r="M5566" s="148">
        <v>10.74456</v>
      </c>
      <c r="N5566" s="148">
        <v>-7.1819999999999995E-2</v>
      </c>
      <c r="O5566" s="148">
        <v>-0.66843128057361123</v>
      </c>
      <c r="P5566" s="148">
        <v>5.6912000000000003</v>
      </c>
      <c r="Q5566" s="148">
        <v>4.9815399999999999</v>
      </c>
      <c r="R5566" s="148">
        <v>87.530573517008719</v>
      </c>
    </row>
    <row r="5567" spans="2:18" ht="15.75" hidden="1" thickBot="1" x14ac:dyDescent="0.3">
      <c r="B5567" s="724" t="s">
        <v>842</v>
      </c>
      <c r="C5567" s="722" t="s">
        <v>109</v>
      </c>
      <c r="D5567" t="s">
        <v>110</v>
      </c>
      <c r="E5567" s="729"/>
      <c r="F5567" s="729"/>
      <c r="G5567" s="729"/>
      <c r="H5567" s="729"/>
      <c r="I5567" s="729"/>
      <c r="J5567" s="729"/>
      <c r="K5567" s="729"/>
      <c r="L5567" s="147">
        <v>1.2699999999999999E-2</v>
      </c>
      <c r="M5567" s="729"/>
      <c r="N5567" s="147">
        <v>1.2699999999999999E-2</v>
      </c>
      <c r="O5567" s="147">
        <v>0</v>
      </c>
      <c r="P5567" s="147">
        <v>1.2699999999999999E-2</v>
      </c>
      <c r="Q5567" s="147">
        <v>0</v>
      </c>
      <c r="R5567" s="147">
        <v>0</v>
      </c>
    </row>
    <row r="5568" spans="2:18" ht="15.75" hidden="1" thickBot="1" x14ac:dyDescent="0.3">
      <c r="B5568" s="724" t="s">
        <v>842</v>
      </c>
      <c r="C5568" s="722" t="s">
        <v>147</v>
      </c>
      <c r="D5568" t="s">
        <v>148</v>
      </c>
      <c r="E5568" s="148">
        <v>6.1800000000000001E-2</v>
      </c>
      <c r="F5568" s="148">
        <v>9.3219999999999997E-2</v>
      </c>
      <c r="G5568" s="148">
        <v>-3.1419999999999997E-2</v>
      </c>
      <c r="H5568" s="148">
        <v>-33.705213473503541</v>
      </c>
      <c r="I5568" s="728"/>
      <c r="J5568" s="148">
        <v>6.1800000000000001E-2</v>
      </c>
      <c r="K5568" s="148">
        <v>0</v>
      </c>
      <c r="L5568" s="148">
        <v>1.01109</v>
      </c>
      <c r="M5568" s="148">
        <v>1.1186400000000001</v>
      </c>
      <c r="N5568" s="148">
        <v>-0.10755000000000001</v>
      </c>
      <c r="O5568" s="148">
        <v>-9.6143531431023384</v>
      </c>
      <c r="P5568" s="148">
        <v>0.61399000000000004</v>
      </c>
      <c r="Q5568" s="148">
        <v>0.39710000000000001</v>
      </c>
      <c r="R5568" s="148">
        <v>64.675320444958388</v>
      </c>
    </row>
    <row r="5569" spans="2:18" ht="15.75" hidden="1" thickBot="1" x14ac:dyDescent="0.3">
      <c r="B5569" s="724" t="s">
        <v>842</v>
      </c>
      <c r="C5569" s="722" t="s">
        <v>149</v>
      </c>
      <c r="D5569" t="s">
        <v>150</v>
      </c>
      <c r="E5569" s="729"/>
      <c r="F5569" s="729"/>
      <c r="G5569" s="729"/>
      <c r="H5569" s="729"/>
      <c r="I5569" s="729"/>
      <c r="J5569" s="729"/>
      <c r="K5569" s="729"/>
      <c r="L5569" s="147">
        <v>0.75</v>
      </c>
      <c r="M5569" s="729"/>
      <c r="N5569" s="147">
        <v>0.75</v>
      </c>
      <c r="O5569" s="147">
        <v>0</v>
      </c>
      <c r="P5569" s="729"/>
      <c r="Q5569" s="147">
        <v>0.75</v>
      </c>
      <c r="R5569" s="147">
        <v>0</v>
      </c>
    </row>
    <row r="5570" spans="2:18" ht="15.75" hidden="1" thickBot="1" x14ac:dyDescent="0.3">
      <c r="B5570" s="724" t="s">
        <v>842</v>
      </c>
      <c r="C5570" s="722" t="s">
        <v>205</v>
      </c>
      <c r="D5570" t="s">
        <v>206</v>
      </c>
      <c r="E5570" s="148">
        <v>0.77200000000000002</v>
      </c>
      <c r="F5570" s="148">
        <v>1.2625599999999999</v>
      </c>
      <c r="G5570" s="148">
        <v>-0.49056</v>
      </c>
      <c r="H5570" s="148">
        <v>-38.854391078443797</v>
      </c>
      <c r="I5570" s="728"/>
      <c r="J5570" s="148">
        <v>0.77200000000000002</v>
      </c>
      <c r="K5570" s="148">
        <v>0</v>
      </c>
      <c r="L5570" s="148">
        <v>9.3098100000000006</v>
      </c>
      <c r="M5570" s="148">
        <v>15.15072</v>
      </c>
      <c r="N5570" s="148">
        <v>-5.84091</v>
      </c>
      <c r="O5570" s="148">
        <v>-38.552029210492968</v>
      </c>
      <c r="P5570" s="148">
        <v>4.7082600000000001</v>
      </c>
      <c r="Q5570" s="148">
        <v>4.6015499999999996</v>
      </c>
      <c r="R5570" s="148">
        <v>97.73355762001249</v>
      </c>
    </row>
    <row r="5571" spans="2:18" ht="15.75" hidden="1" thickBot="1" x14ac:dyDescent="0.3">
      <c r="B5571" s="724" t="s">
        <v>842</v>
      </c>
      <c r="C5571" s="722" t="s">
        <v>151</v>
      </c>
      <c r="D5571" t="s">
        <v>152</v>
      </c>
      <c r="E5571" s="729"/>
      <c r="F5571" s="729"/>
      <c r="G5571" s="729"/>
      <c r="H5571" s="729"/>
      <c r="I5571" s="729"/>
      <c r="J5571" s="729"/>
      <c r="K5571" s="729"/>
      <c r="L5571" s="147">
        <v>1.84</v>
      </c>
      <c r="M5571" s="729"/>
      <c r="N5571" s="147">
        <v>1.84</v>
      </c>
      <c r="O5571" s="147">
        <v>0</v>
      </c>
      <c r="P5571" s="729"/>
      <c r="Q5571" s="147">
        <v>1.84</v>
      </c>
      <c r="R5571" s="147">
        <v>0</v>
      </c>
    </row>
    <row r="5572" spans="2:18" ht="15.75" hidden="1" thickBot="1" x14ac:dyDescent="0.3">
      <c r="B5572" s="724" t="s">
        <v>842</v>
      </c>
      <c r="C5572" s="149" t="s">
        <v>85</v>
      </c>
      <c r="D5572" t="s">
        <v>86</v>
      </c>
      <c r="E5572" s="148">
        <v>4.2964200000000003</v>
      </c>
      <c r="F5572" s="148">
        <v>4.3029999999999999</v>
      </c>
      <c r="G5572" s="148">
        <v>-6.5799999999999999E-3</v>
      </c>
      <c r="H5572" s="148">
        <v>-0.15291656983499885</v>
      </c>
      <c r="I5572" s="728"/>
      <c r="J5572" s="148">
        <v>4.2964200000000003</v>
      </c>
      <c r="K5572" s="148">
        <v>0</v>
      </c>
      <c r="L5572" s="148">
        <v>44.797789999999999</v>
      </c>
      <c r="M5572" s="148">
        <v>51.636000000000003</v>
      </c>
      <c r="N5572" s="148">
        <v>-6.8382100000000001</v>
      </c>
      <c r="O5572" s="148">
        <v>-13.2431055852506</v>
      </c>
      <c r="P5572" s="148">
        <v>21.857309999999998</v>
      </c>
      <c r="Q5572" s="148">
        <v>22.940480000000001</v>
      </c>
      <c r="R5572" s="148">
        <v>104.95564184247742</v>
      </c>
    </row>
    <row r="5573" spans="2:18" ht="15.75" hidden="1" thickBot="1" x14ac:dyDescent="0.3">
      <c r="B5573" s="724" t="s">
        <v>842</v>
      </c>
      <c r="C5573" s="144" t="s">
        <v>87</v>
      </c>
      <c r="D5573" t="s">
        <v>87</v>
      </c>
      <c r="E5573" s="147">
        <v>4.2964200000000003</v>
      </c>
      <c r="F5573" s="147">
        <v>4.3029999999999999</v>
      </c>
      <c r="G5573" s="147">
        <v>-6.5799999999999999E-3</v>
      </c>
      <c r="H5573" s="147">
        <v>-0.15291656983499885</v>
      </c>
      <c r="I5573" s="729"/>
      <c r="J5573" s="147">
        <v>4.2964200000000003</v>
      </c>
      <c r="K5573" s="147">
        <v>0</v>
      </c>
      <c r="L5573" s="147">
        <v>44.797789999999999</v>
      </c>
      <c r="M5573" s="147">
        <v>51.636000000000003</v>
      </c>
      <c r="N5573" s="147">
        <v>-6.8382100000000001</v>
      </c>
      <c r="O5573" s="147">
        <v>-13.2431055852506</v>
      </c>
      <c r="P5573" s="147">
        <v>21.857309999999998</v>
      </c>
      <c r="Q5573" s="147">
        <v>22.940480000000001</v>
      </c>
      <c r="R5573" s="147">
        <v>104.95564184247742</v>
      </c>
    </row>
    <row r="5574" spans="2:18" ht="15.75" hidden="1" thickBot="1" x14ac:dyDescent="0.3">
      <c r="B5574" s="724" t="s">
        <v>843</v>
      </c>
      <c r="C5574" s="722" t="s">
        <v>99</v>
      </c>
      <c r="D5574" t="s">
        <v>100</v>
      </c>
      <c r="E5574" s="728"/>
      <c r="F5574" s="148">
        <v>7.5160000000000005E-2</v>
      </c>
      <c r="G5574" s="148">
        <v>-7.5160000000000005E-2</v>
      </c>
      <c r="H5574" s="148">
        <v>-100</v>
      </c>
      <c r="I5574" s="728"/>
      <c r="J5574" s="728"/>
      <c r="K5574" s="728"/>
      <c r="L5574" s="148">
        <v>0.29742000000000002</v>
      </c>
      <c r="M5574" s="148">
        <v>7.5160000000000005E-2</v>
      </c>
      <c r="N5574" s="148">
        <v>0.22226000000000001</v>
      </c>
      <c r="O5574" s="148">
        <v>295.71580627993615</v>
      </c>
      <c r="P5574" s="728"/>
      <c r="Q5574" s="148">
        <v>0.29742000000000002</v>
      </c>
      <c r="R5574" s="148">
        <v>0</v>
      </c>
    </row>
    <row r="5575" spans="2:18" ht="15.75" hidden="1" thickBot="1" x14ac:dyDescent="0.3">
      <c r="B5575" s="724" t="s">
        <v>843</v>
      </c>
      <c r="C5575" s="722" t="s">
        <v>165</v>
      </c>
      <c r="D5575" t="s">
        <v>166</v>
      </c>
      <c r="E5575" s="729"/>
      <c r="F5575" s="147">
        <v>0.18432000000000001</v>
      </c>
      <c r="G5575" s="147">
        <v>-0.18432000000000001</v>
      </c>
      <c r="H5575" s="147">
        <v>-100</v>
      </c>
      <c r="I5575" s="729"/>
      <c r="J5575" s="729"/>
      <c r="K5575" s="729"/>
      <c r="L5575" s="147">
        <v>3.8460000000000001E-2</v>
      </c>
      <c r="M5575" s="147">
        <v>0.18432000000000001</v>
      </c>
      <c r="N5575" s="147">
        <v>-0.14585999999999999</v>
      </c>
      <c r="O5575" s="147">
        <v>-79.134114583333329</v>
      </c>
      <c r="P5575" s="147">
        <v>3.8460000000000001E-2</v>
      </c>
      <c r="Q5575" s="147">
        <v>0</v>
      </c>
      <c r="R5575" s="147">
        <v>0</v>
      </c>
    </row>
    <row r="5576" spans="2:18" ht="15.75" hidden="1" thickBot="1" x14ac:dyDescent="0.3">
      <c r="B5576" s="724" t="s">
        <v>843</v>
      </c>
      <c r="C5576" s="722" t="s">
        <v>36</v>
      </c>
      <c r="D5576" t="s">
        <v>192</v>
      </c>
      <c r="E5576" s="728"/>
      <c r="F5576" s="728"/>
      <c r="G5576" s="728"/>
      <c r="H5576" s="728"/>
      <c r="I5576" s="728"/>
      <c r="J5576" s="728"/>
      <c r="K5576" s="728"/>
      <c r="L5576" s="148">
        <v>3.3279999999999998</v>
      </c>
      <c r="M5576" s="728"/>
      <c r="N5576" s="148">
        <v>3.3279999999999998</v>
      </c>
      <c r="O5576" s="148">
        <v>0</v>
      </c>
      <c r="P5576" s="728"/>
      <c r="Q5576" s="148">
        <v>3.3279999999999998</v>
      </c>
      <c r="R5576" s="148">
        <v>0</v>
      </c>
    </row>
    <row r="5577" spans="2:18" ht="15.75" hidden="1" thickBot="1" x14ac:dyDescent="0.3">
      <c r="B5577" s="724" t="s">
        <v>843</v>
      </c>
      <c r="C5577" s="722" t="s">
        <v>101</v>
      </c>
      <c r="D5577" t="s">
        <v>102</v>
      </c>
      <c r="E5577" s="147">
        <v>3.4950000000000001</v>
      </c>
      <c r="F5577" s="147">
        <v>1.3268</v>
      </c>
      <c r="G5577" s="147">
        <v>2.1682000000000001</v>
      </c>
      <c r="H5577" s="147">
        <v>163.41573711184805</v>
      </c>
      <c r="I5577" s="729"/>
      <c r="J5577" s="147">
        <v>3.4950000000000001</v>
      </c>
      <c r="K5577" s="147">
        <v>0</v>
      </c>
      <c r="L5577" s="147">
        <v>24.37</v>
      </c>
      <c r="M5577" s="147">
        <v>15.9216</v>
      </c>
      <c r="N5577" s="147">
        <v>8.4483999999999995</v>
      </c>
      <c r="O5577" s="147">
        <v>53.0625062807758</v>
      </c>
      <c r="P5577" s="147">
        <v>12.282</v>
      </c>
      <c r="Q5577" s="147">
        <v>12.087999999999999</v>
      </c>
      <c r="R5577" s="147">
        <v>98.420452695000819</v>
      </c>
    </row>
    <row r="5578" spans="2:18" ht="15.75" hidden="1" thickBot="1" x14ac:dyDescent="0.3">
      <c r="B5578" s="724" t="s">
        <v>843</v>
      </c>
      <c r="C5578" s="722" t="s">
        <v>464</v>
      </c>
      <c r="D5578" t="s">
        <v>465</v>
      </c>
      <c r="E5578" s="728"/>
      <c r="F5578" s="148">
        <v>3.9889999999999999</v>
      </c>
      <c r="G5578" s="148">
        <v>-3.9889999999999999</v>
      </c>
      <c r="H5578" s="148">
        <v>-100</v>
      </c>
      <c r="I5578" s="728"/>
      <c r="J5578" s="728"/>
      <c r="K5578" s="728"/>
      <c r="L5578" s="148">
        <v>35.503700000000002</v>
      </c>
      <c r="M5578" s="148">
        <v>47.868000000000002</v>
      </c>
      <c r="N5578" s="148">
        <v>-12.3643</v>
      </c>
      <c r="O5578" s="148">
        <v>-25.829990808055484</v>
      </c>
      <c r="P5578" s="148">
        <v>23.935079999999999</v>
      </c>
      <c r="Q5578" s="148">
        <v>11.568619999999999</v>
      </c>
      <c r="R5578" s="148">
        <v>48.33332497739719</v>
      </c>
    </row>
    <row r="5579" spans="2:18" ht="15.75" hidden="1" thickBot="1" x14ac:dyDescent="0.3">
      <c r="B5579" s="724" t="s">
        <v>843</v>
      </c>
      <c r="C5579" s="722" t="s">
        <v>627</v>
      </c>
      <c r="D5579" t="s">
        <v>628</v>
      </c>
      <c r="E5579" s="147">
        <v>0.60650000000000004</v>
      </c>
      <c r="F5579" s="147">
        <v>0.63668999999999998</v>
      </c>
      <c r="G5579" s="147">
        <v>-3.0190000000000002E-2</v>
      </c>
      <c r="H5579" s="147">
        <v>-4.7417110367682858</v>
      </c>
      <c r="I5579" s="729"/>
      <c r="J5579" s="147">
        <v>0.60650000000000004</v>
      </c>
      <c r="K5579" s="147">
        <v>0</v>
      </c>
      <c r="L5579" s="147">
        <v>10.413130000000001</v>
      </c>
      <c r="M5579" s="147">
        <v>7.6402799999999997</v>
      </c>
      <c r="N5579" s="147">
        <v>2.77285</v>
      </c>
      <c r="O5579" s="147">
        <v>36.292518075253788</v>
      </c>
      <c r="P5579" s="147">
        <v>4.9963800000000003</v>
      </c>
      <c r="Q5579" s="147">
        <v>5.4167500000000004</v>
      </c>
      <c r="R5579" s="147">
        <v>108.41349136775025</v>
      </c>
    </row>
    <row r="5580" spans="2:18" ht="15.75" hidden="1" thickBot="1" x14ac:dyDescent="0.3">
      <c r="B5580" s="724" t="s">
        <v>843</v>
      </c>
      <c r="C5580" s="722" t="s">
        <v>73</v>
      </c>
      <c r="D5580" t="s">
        <v>74</v>
      </c>
      <c r="E5580" s="728"/>
      <c r="F5580" s="148">
        <v>1.6039999999999999E-2</v>
      </c>
      <c r="G5580" s="148">
        <v>-1.6039999999999999E-2</v>
      </c>
      <c r="H5580" s="148">
        <v>-100</v>
      </c>
      <c r="I5580" s="728"/>
      <c r="J5580" s="728"/>
      <c r="K5580" s="728"/>
      <c r="L5580" s="728"/>
      <c r="M5580" s="148">
        <v>0.19248000000000001</v>
      </c>
      <c r="N5580" s="148">
        <v>-0.19248000000000001</v>
      </c>
      <c r="O5580" s="148">
        <v>-100</v>
      </c>
      <c r="P5580" s="728"/>
      <c r="Q5580" s="728"/>
      <c r="R5580" s="728"/>
    </row>
    <row r="5581" spans="2:18" ht="15.75" hidden="1" thickBot="1" x14ac:dyDescent="0.3">
      <c r="B5581" s="724" t="s">
        <v>843</v>
      </c>
      <c r="C5581" s="722" t="s">
        <v>147</v>
      </c>
      <c r="D5581" t="s">
        <v>148</v>
      </c>
      <c r="E5581" s="147">
        <v>1.04097</v>
      </c>
      <c r="F5581" s="147">
        <v>0.21883</v>
      </c>
      <c r="G5581" s="147">
        <v>0.82213999999999998</v>
      </c>
      <c r="H5581" s="147">
        <v>375.69803043458393</v>
      </c>
      <c r="I5581" s="729"/>
      <c r="J5581" s="147">
        <v>1.04097</v>
      </c>
      <c r="K5581" s="147">
        <v>0</v>
      </c>
      <c r="L5581" s="147">
        <v>3.3477600000000001</v>
      </c>
      <c r="M5581" s="147">
        <v>2.6259600000000001</v>
      </c>
      <c r="N5581" s="147">
        <v>0.7218</v>
      </c>
      <c r="O5581" s="147">
        <v>27.487090435497876</v>
      </c>
      <c r="P5581" s="147">
        <v>1.41462</v>
      </c>
      <c r="Q5581" s="147">
        <v>1.9331400000000001</v>
      </c>
      <c r="R5581" s="147">
        <v>136.65436654366545</v>
      </c>
    </row>
    <row r="5582" spans="2:18" ht="15.75" hidden="1" thickBot="1" x14ac:dyDescent="0.3">
      <c r="B5582" s="724" t="s">
        <v>843</v>
      </c>
      <c r="C5582" s="722" t="s">
        <v>205</v>
      </c>
      <c r="D5582" t="s">
        <v>206</v>
      </c>
      <c r="E5582" s="728"/>
      <c r="F5582" s="148">
        <v>0.88453999999999999</v>
      </c>
      <c r="G5582" s="148">
        <v>-0.88453999999999999</v>
      </c>
      <c r="H5582" s="148">
        <v>-100</v>
      </c>
      <c r="I5582" s="728"/>
      <c r="J5582" s="728"/>
      <c r="K5582" s="728"/>
      <c r="L5582" s="148">
        <v>4.3456799999999998</v>
      </c>
      <c r="M5582" s="148">
        <v>10.61448</v>
      </c>
      <c r="N5582" s="148">
        <v>-6.2687999999999997</v>
      </c>
      <c r="O5582" s="148">
        <v>-59.058945892780429</v>
      </c>
      <c r="P5582" s="148">
        <v>2.8666800000000001</v>
      </c>
      <c r="Q5582" s="148">
        <v>1.4790000000000001</v>
      </c>
      <c r="R5582" s="148">
        <v>51.592783289380051</v>
      </c>
    </row>
    <row r="5583" spans="2:18" ht="15.75" hidden="1" thickBot="1" x14ac:dyDescent="0.3">
      <c r="B5583" s="724" t="s">
        <v>843</v>
      </c>
      <c r="C5583" s="149" t="s">
        <v>85</v>
      </c>
      <c r="D5583" t="s">
        <v>86</v>
      </c>
      <c r="E5583" s="147">
        <v>5.1424700000000003</v>
      </c>
      <c r="F5583" s="147">
        <v>7.3313800000000002</v>
      </c>
      <c r="G5583" s="147">
        <v>-2.1889099999999999</v>
      </c>
      <c r="H5583" s="147">
        <v>-29.856725473239692</v>
      </c>
      <c r="I5583" s="729"/>
      <c r="J5583" s="147">
        <v>5.1424700000000003</v>
      </c>
      <c r="K5583" s="147">
        <v>0</v>
      </c>
      <c r="L5583" s="147">
        <v>81.644149999999996</v>
      </c>
      <c r="M5583" s="147">
        <v>85.122280000000003</v>
      </c>
      <c r="N5583" s="147">
        <v>-3.4781300000000002</v>
      </c>
      <c r="O5583" s="147">
        <v>-4.0860395186783061</v>
      </c>
      <c r="P5583" s="147">
        <v>45.53322</v>
      </c>
      <c r="Q5583" s="147">
        <v>36.110930000000003</v>
      </c>
      <c r="R5583" s="147">
        <v>79.306778655232378</v>
      </c>
    </row>
    <row r="5584" spans="2:18" ht="15.75" hidden="1" thickBot="1" x14ac:dyDescent="0.3">
      <c r="B5584" s="724" t="s">
        <v>843</v>
      </c>
      <c r="C5584" s="144" t="s">
        <v>87</v>
      </c>
      <c r="D5584" t="s">
        <v>87</v>
      </c>
      <c r="E5584" s="148">
        <v>5.1424700000000003</v>
      </c>
      <c r="F5584" s="148">
        <v>7.3313800000000002</v>
      </c>
      <c r="G5584" s="148">
        <v>-2.1889099999999999</v>
      </c>
      <c r="H5584" s="148">
        <v>-29.856725473239692</v>
      </c>
      <c r="I5584" s="728"/>
      <c r="J5584" s="148">
        <v>5.1424700000000003</v>
      </c>
      <c r="K5584" s="148">
        <v>0</v>
      </c>
      <c r="L5584" s="148">
        <v>81.644149999999996</v>
      </c>
      <c r="M5584" s="148">
        <v>85.122280000000003</v>
      </c>
      <c r="N5584" s="148">
        <v>-3.4781300000000002</v>
      </c>
      <c r="O5584" s="148">
        <v>-4.0860395186783061</v>
      </c>
      <c r="P5584" s="148">
        <v>45.53322</v>
      </c>
      <c r="Q5584" s="148">
        <v>36.110930000000003</v>
      </c>
      <c r="R5584" s="148">
        <v>79.306778655232378</v>
      </c>
    </row>
    <row r="5585" spans="2:18" ht="15.75" hidden="1" thickBot="1" x14ac:dyDescent="0.3">
      <c r="B5585" s="724" t="s">
        <v>844</v>
      </c>
      <c r="C5585" s="722" t="s">
        <v>99</v>
      </c>
      <c r="D5585" t="s">
        <v>100</v>
      </c>
      <c r="E5585" s="729"/>
      <c r="F5585" s="729"/>
      <c r="G5585" s="729"/>
      <c r="H5585" s="729"/>
      <c r="I5585" s="729"/>
      <c r="J5585" s="729"/>
      <c r="K5585" s="729"/>
      <c r="L5585" s="147">
        <v>0.49169000000000002</v>
      </c>
      <c r="M5585" s="729"/>
      <c r="N5585" s="147">
        <v>0.49169000000000002</v>
      </c>
      <c r="O5585" s="147">
        <v>0</v>
      </c>
      <c r="P5585" s="147">
        <v>0.19170999999999999</v>
      </c>
      <c r="Q5585" s="147">
        <v>0.29998000000000002</v>
      </c>
      <c r="R5585" s="147">
        <v>156.47592718168067</v>
      </c>
    </row>
    <row r="5586" spans="2:18" ht="15.75" hidden="1" thickBot="1" x14ac:dyDescent="0.3">
      <c r="B5586" s="724" t="s">
        <v>844</v>
      </c>
      <c r="C5586" s="722" t="s">
        <v>36</v>
      </c>
      <c r="D5586" t="s">
        <v>192</v>
      </c>
      <c r="E5586" s="728"/>
      <c r="F5586" s="148">
        <v>0.29899999999999999</v>
      </c>
      <c r="G5586" s="148">
        <v>-0.29899999999999999</v>
      </c>
      <c r="H5586" s="148">
        <v>-100</v>
      </c>
      <c r="I5586" s="728"/>
      <c r="J5586" s="728"/>
      <c r="K5586" s="728"/>
      <c r="L5586" s="728"/>
      <c r="M5586" s="148">
        <v>0.59799999999999998</v>
      </c>
      <c r="N5586" s="148">
        <v>-0.59799999999999998</v>
      </c>
      <c r="O5586" s="148">
        <v>-100</v>
      </c>
      <c r="P5586" s="728"/>
      <c r="Q5586" s="728"/>
      <c r="R5586" s="728"/>
    </row>
    <row r="5587" spans="2:18" ht="15.75" hidden="1" thickBot="1" x14ac:dyDescent="0.3">
      <c r="B5587" s="724" t="s">
        <v>844</v>
      </c>
      <c r="C5587" s="722" t="s">
        <v>101</v>
      </c>
      <c r="D5587" t="s">
        <v>102</v>
      </c>
      <c r="E5587" s="147">
        <v>0.88066</v>
      </c>
      <c r="F5587" s="147">
        <v>1.038</v>
      </c>
      <c r="G5587" s="147">
        <v>-0.15734000000000001</v>
      </c>
      <c r="H5587" s="147">
        <v>-15.157996146435453</v>
      </c>
      <c r="I5587" s="729"/>
      <c r="J5587" s="147">
        <v>0.88066</v>
      </c>
      <c r="K5587" s="147">
        <v>0</v>
      </c>
      <c r="L5587" s="147">
        <v>10.06884</v>
      </c>
      <c r="M5587" s="147">
        <v>12.456</v>
      </c>
      <c r="N5587" s="147">
        <v>-2.3871600000000002</v>
      </c>
      <c r="O5587" s="147">
        <v>-19.164739884393065</v>
      </c>
      <c r="P5587" s="147">
        <v>6.1405399999999997</v>
      </c>
      <c r="Q5587" s="147">
        <v>3.9283000000000001</v>
      </c>
      <c r="R5587" s="147">
        <v>63.973201053978968</v>
      </c>
    </row>
    <row r="5588" spans="2:18" ht="15.75" hidden="1" thickBot="1" x14ac:dyDescent="0.3">
      <c r="B5588" s="724" t="s">
        <v>844</v>
      </c>
      <c r="C5588" s="722" t="s">
        <v>464</v>
      </c>
      <c r="D5588" t="s">
        <v>465</v>
      </c>
      <c r="E5588" s="148">
        <v>0.42</v>
      </c>
      <c r="F5588" s="728"/>
      <c r="G5588" s="148">
        <v>0.42</v>
      </c>
      <c r="H5588" s="148">
        <v>0</v>
      </c>
      <c r="I5588" s="728"/>
      <c r="J5588" s="148">
        <v>0.42</v>
      </c>
      <c r="K5588" s="148">
        <v>0</v>
      </c>
      <c r="L5588" s="148">
        <v>2.31</v>
      </c>
      <c r="M5588" s="728"/>
      <c r="N5588" s="148">
        <v>2.31</v>
      </c>
      <c r="O5588" s="148">
        <v>0</v>
      </c>
      <c r="P5588" s="148">
        <v>1.05</v>
      </c>
      <c r="Q5588" s="148">
        <v>1.26</v>
      </c>
      <c r="R5588" s="148">
        <v>120</v>
      </c>
    </row>
    <row r="5589" spans="2:18" ht="15.75" hidden="1" thickBot="1" x14ac:dyDescent="0.3">
      <c r="B5589" s="724" t="s">
        <v>844</v>
      </c>
      <c r="C5589" s="722" t="s">
        <v>149</v>
      </c>
      <c r="D5589" t="s">
        <v>150</v>
      </c>
      <c r="E5589" s="729"/>
      <c r="F5589" s="729"/>
      <c r="G5589" s="729"/>
      <c r="H5589" s="729"/>
      <c r="I5589" s="729"/>
      <c r="J5589" s="729"/>
      <c r="K5589" s="729"/>
      <c r="L5589" s="147">
        <v>0</v>
      </c>
      <c r="M5589" s="729"/>
      <c r="N5589" s="147">
        <v>0</v>
      </c>
      <c r="O5589" s="147">
        <v>0</v>
      </c>
      <c r="P5589" s="147">
        <v>0</v>
      </c>
      <c r="Q5589" s="147">
        <v>0</v>
      </c>
      <c r="R5589" s="147">
        <v>0</v>
      </c>
    </row>
    <row r="5590" spans="2:18" ht="15.75" hidden="1" thickBot="1" x14ac:dyDescent="0.3">
      <c r="B5590" s="724" t="s">
        <v>844</v>
      </c>
      <c r="C5590" s="722" t="s">
        <v>205</v>
      </c>
      <c r="D5590" t="s">
        <v>206</v>
      </c>
      <c r="E5590" s="148">
        <v>0.189</v>
      </c>
      <c r="F5590" s="148">
        <v>0.69199999999999995</v>
      </c>
      <c r="G5590" s="148">
        <v>-0.503</v>
      </c>
      <c r="H5590" s="148">
        <v>-72.687861271676297</v>
      </c>
      <c r="I5590" s="728"/>
      <c r="J5590" s="148">
        <v>0.189</v>
      </c>
      <c r="K5590" s="148">
        <v>0</v>
      </c>
      <c r="L5590" s="148">
        <v>6.0480999999999998</v>
      </c>
      <c r="M5590" s="148">
        <v>8.3040000000000003</v>
      </c>
      <c r="N5590" s="148">
        <v>-2.2559</v>
      </c>
      <c r="O5590" s="148">
        <v>-27.166425818882466</v>
      </c>
      <c r="P5590" s="148">
        <v>3.9255800000000001</v>
      </c>
      <c r="Q5590" s="148">
        <v>2.1225200000000002</v>
      </c>
      <c r="R5590" s="148">
        <v>54.068952868111211</v>
      </c>
    </row>
    <row r="5591" spans="2:18" ht="15.75" hidden="1" thickBot="1" x14ac:dyDescent="0.3">
      <c r="B5591" s="724" t="s">
        <v>844</v>
      </c>
      <c r="C5591" s="722" t="s">
        <v>151</v>
      </c>
      <c r="D5591" t="s">
        <v>152</v>
      </c>
      <c r="E5591" s="729"/>
      <c r="F5591" s="729"/>
      <c r="G5591" s="729"/>
      <c r="H5591" s="729"/>
      <c r="I5591" s="729"/>
      <c r="J5591" s="729"/>
      <c r="K5591" s="729"/>
      <c r="L5591" s="147">
        <v>0.30280000000000001</v>
      </c>
      <c r="M5591" s="729"/>
      <c r="N5591" s="147">
        <v>0.30280000000000001</v>
      </c>
      <c r="O5591" s="147">
        <v>0</v>
      </c>
      <c r="P5591" s="729"/>
      <c r="Q5591" s="147">
        <v>0.30280000000000001</v>
      </c>
      <c r="R5591" s="147">
        <v>0</v>
      </c>
    </row>
    <row r="5592" spans="2:18" ht="15.75" hidden="1" thickBot="1" x14ac:dyDescent="0.3">
      <c r="B5592" s="724" t="s">
        <v>844</v>
      </c>
      <c r="C5592" s="149" t="s">
        <v>85</v>
      </c>
      <c r="D5592" t="s">
        <v>86</v>
      </c>
      <c r="E5592" s="148">
        <v>1.48966</v>
      </c>
      <c r="F5592" s="148">
        <v>2.0289999999999999</v>
      </c>
      <c r="G5592" s="148">
        <v>-0.53934000000000004</v>
      </c>
      <c r="H5592" s="148">
        <v>-26.581567274519468</v>
      </c>
      <c r="I5592" s="728"/>
      <c r="J5592" s="148">
        <v>1.48966</v>
      </c>
      <c r="K5592" s="148">
        <v>0</v>
      </c>
      <c r="L5592" s="148">
        <v>19.221430000000002</v>
      </c>
      <c r="M5592" s="148">
        <v>21.358000000000001</v>
      </c>
      <c r="N5592" s="148">
        <v>-2.1365699999999999</v>
      </c>
      <c r="O5592" s="148">
        <v>-10.003605206480007</v>
      </c>
      <c r="P5592" s="148">
        <v>11.307829999999999</v>
      </c>
      <c r="Q5592" s="148">
        <v>7.9135999999999997</v>
      </c>
      <c r="R5592" s="148">
        <v>69.983365508678503</v>
      </c>
    </row>
    <row r="5593" spans="2:18" ht="15.75" hidden="1" thickBot="1" x14ac:dyDescent="0.3">
      <c r="B5593" s="724" t="s">
        <v>844</v>
      </c>
      <c r="C5593" s="144" t="s">
        <v>87</v>
      </c>
      <c r="D5593" t="s">
        <v>87</v>
      </c>
      <c r="E5593" s="147">
        <v>1.48966</v>
      </c>
      <c r="F5593" s="147">
        <v>2.0289999999999999</v>
      </c>
      <c r="G5593" s="147">
        <v>-0.53934000000000004</v>
      </c>
      <c r="H5593" s="147">
        <v>-26.581567274519468</v>
      </c>
      <c r="I5593" s="729"/>
      <c r="J5593" s="147">
        <v>1.48966</v>
      </c>
      <c r="K5593" s="147">
        <v>0</v>
      </c>
      <c r="L5593" s="147">
        <v>19.221430000000002</v>
      </c>
      <c r="M5593" s="147">
        <v>21.358000000000001</v>
      </c>
      <c r="N5593" s="147">
        <v>-2.1365699999999999</v>
      </c>
      <c r="O5593" s="147">
        <v>-10.003605206480007</v>
      </c>
      <c r="P5593" s="147">
        <v>11.307829999999999</v>
      </c>
      <c r="Q5593" s="147">
        <v>7.9135999999999997</v>
      </c>
      <c r="R5593" s="147">
        <v>69.983365508678503</v>
      </c>
    </row>
    <row r="5594" spans="2:18" ht="15.75" hidden="1" thickBot="1" x14ac:dyDescent="0.3">
      <c r="B5594" s="724" t="s">
        <v>845</v>
      </c>
      <c r="C5594" s="722" t="s">
        <v>99</v>
      </c>
      <c r="D5594" t="s">
        <v>100</v>
      </c>
      <c r="E5594" s="728"/>
      <c r="F5594" s="148">
        <v>0.11133999999999999</v>
      </c>
      <c r="G5594" s="148">
        <v>-0.11133999999999999</v>
      </c>
      <c r="H5594" s="148">
        <v>-100</v>
      </c>
      <c r="I5594" s="728"/>
      <c r="J5594" s="728"/>
      <c r="K5594" s="728"/>
      <c r="L5594" s="148">
        <v>1.7502</v>
      </c>
      <c r="M5594" s="148">
        <v>1.3360799999999999</v>
      </c>
      <c r="N5594" s="148">
        <v>0.41411999999999999</v>
      </c>
      <c r="O5594" s="148">
        <v>30.995149991018501</v>
      </c>
      <c r="P5594" s="148">
        <v>0.71591000000000005</v>
      </c>
      <c r="Q5594" s="148">
        <v>1.0342899999999999</v>
      </c>
      <c r="R5594" s="148">
        <v>144.47207051165648</v>
      </c>
    </row>
    <row r="5595" spans="2:18" ht="15.75" hidden="1" thickBot="1" x14ac:dyDescent="0.3">
      <c r="B5595" s="724" t="s">
        <v>845</v>
      </c>
      <c r="C5595" s="722" t="s">
        <v>165</v>
      </c>
      <c r="D5595" t="s">
        <v>166</v>
      </c>
      <c r="E5595" s="147">
        <v>3.4680000000000002E-2</v>
      </c>
      <c r="F5595" s="729"/>
      <c r="G5595" s="147">
        <v>3.4680000000000002E-2</v>
      </c>
      <c r="H5595" s="147">
        <v>0</v>
      </c>
      <c r="I5595" s="729"/>
      <c r="J5595" s="147">
        <v>3.4680000000000002E-2</v>
      </c>
      <c r="K5595" s="147">
        <v>0</v>
      </c>
      <c r="L5595" s="147">
        <v>3.4680000000000002E-2</v>
      </c>
      <c r="M5595" s="729"/>
      <c r="N5595" s="147">
        <v>3.4680000000000002E-2</v>
      </c>
      <c r="O5595" s="147">
        <v>0</v>
      </c>
      <c r="P5595" s="729"/>
      <c r="Q5595" s="147">
        <v>3.4680000000000002E-2</v>
      </c>
      <c r="R5595" s="147">
        <v>0</v>
      </c>
    </row>
    <row r="5596" spans="2:18" ht="15.75" hidden="1" thickBot="1" x14ac:dyDescent="0.3">
      <c r="B5596" s="724" t="s">
        <v>845</v>
      </c>
      <c r="C5596" s="722" t="s">
        <v>598</v>
      </c>
      <c r="D5596" t="s">
        <v>168</v>
      </c>
      <c r="E5596" s="728"/>
      <c r="F5596" s="728"/>
      <c r="G5596" s="728"/>
      <c r="H5596" s="728"/>
      <c r="I5596" s="728"/>
      <c r="J5596" s="728"/>
      <c r="K5596" s="728"/>
      <c r="L5596" s="148">
        <v>0.22494</v>
      </c>
      <c r="M5596" s="728"/>
      <c r="N5596" s="148">
        <v>0.22494</v>
      </c>
      <c r="O5596" s="148">
        <v>0</v>
      </c>
      <c r="P5596" s="148">
        <v>0.22494</v>
      </c>
      <c r="Q5596" s="148">
        <v>0</v>
      </c>
      <c r="R5596" s="148">
        <v>0</v>
      </c>
    </row>
    <row r="5597" spans="2:18" ht="15.75" hidden="1" thickBot="1" x14ac:dyDescent="0.3">
      <c r="B5597" s="724" t="s">
        <v>845</v>
      </c>
      <c r="C5597" s="722" t="s">
        <v>101</v>
      </c>
      <c r="D5597" t="s">
        <v>102</v>
      </c>
      <c r="E5597" s="147">
        <v>2.9895800000000001</v>
      </c>
      <c r="F5597" s="147">
        <v>2.2530000000000001</v>
      </c>
      <c r="G5597" s="147">
        <v>0.73658000000000001</v>
      </c>
      <c r="H5597" s="147">
        <v>32.693297825122059</v>
      </c>
      <c r="I5597" s="729"/>
      <c r="J5597" s="147">
        <v>2.9895800000000001</v>
      </c>
      <c r="K5597" s="147">
        <v>0</v>
      </c>
      <c r="L5597" s="147">
        <v>14.50272</v>
      </c>
      <c r="M5597" s="147">
        <v>27.036000000000001</v>
      </c>
      <c r="N5597" s="147">
        <v>-12.53328</v>
      </c>
      <c r="O5597" s="147">
        <v>-46.357745228584108</v>
      </c>
      <c r="P5597" s="147">
        <v>7.9607700000000001</v>
      </c>
      <c r="Q5597" s="147">
        <v>6.5419499999999999</v>
      </c>
      <c r="R5597" s="147">
        <v>82.177352190805664</v>
      </c>
    </row>
    <row r="5598" spans="2:18" ht="15.75" hidden="1" thickBot="1" x14ac:dyDescent="0.3">
      <c r="B5598" s="724" t="s">
        <v>845</v>
      </c>
      <c r="C5598" s="722" t="s">
        <v>103</v>
      </c>
      <c r="D5598" t="s">
        <v>104</v>
      </c>
      <c r="E5598" s="728"/>
      <c r="F5598" s="728"/>
      <c r="G5598" s="728"/>
      <c r="H5598" s="728"/>
      <c r="I5598" s="728"/>
      <c r="J5598" s="728"/>
      <c r="K5598" s="728"/>
      <c r="L5598" s="148">
        <v>2.7E-2</v>
      </c>
      <c r="M5598" s="728"/>
      <c r="N5598" s="148">
        <v>2.7E-2</v>
      </c>
      <c r="O5598" s="148">
        <v>0</v>
      </c>
      <c r="P5598" s="728"/>
      <c r="Q5598" s="148">
        <v>2.7E-2</v>
      </c>
      <c r="R5598" s="148">
        <v>0</v>
      </c>
    </row>
    <row r="5599" spans="2:18" ht="15.75" hidden="1" thickBot="1" x14ac:dyDescent="0.3">
      <c r="B5599" s="724" t="s">
        <v>845</v>
      </c>
      <c r="C5599" s="722" t="s">
        <v>627</v>
      </c>
      <c r="D5599" t="s">
        <v>628</v>
      </c>
      <c r="E5599" s="147">
        <v>2.39697</v>
      </c>
      <c r="F5599" s="147">
        <v>2.335</v>
      </c>
      <c r="G5599" s="147">
        <v>6.1969999999999997E-2</v>
      </c>
      <c r="H5599" s="147">
        <v>2.6539614561027838</v>
      </c>
      <c r="I5599" s="729"/>
      <c r="J5599" s="147">
        <v>2.39697</v>
      </c>
      <c r="K5599" s="147">
        <v>0</v>
      </c>
      <c r="L5599" s="147">
        <v>24.514530000000001</v>
      </c>
      <c r="M5599" s="147">
        <v>28.02</v>
      </c>
      <c r="N5599" s="147">
        <v>-3.5054699999999999</v>
      </c>
      <c r="O5599" s="147">
        <v>-12.510599571734476</v>
      </c>
      <c r="P5599" s="147">
        <v>13.50935</v>
      </c>
      <c r="Q5599" s="147">
        <v>11.005179999999999</v>
      </c>
      <c r="R5599" s="147">
        <v>81.463430883055068</v>
      </c>
    </row>
    <row r="5600" spans="2:18" ht="15.75" hidden="1" thickBot="1" x14ac:dyDescent="0.3">
      <c r="B5600" s="724" t="s">
        <v>845</v>
      </c>
      <c r="C5600" s="722" t="s">
        <v>73</v>
      </c>
      <c r="D5600" t="s">
        <v>74</v>
      </c>
      <c r="E5600" s="728"/>
      <c r="F5600" s="728"/>
      <c r="G5600" s="728"/>
      <c r="H5600" s="728"/>
      <c r="I5600" s="728"/>
      <c r="J5600" s="728"/>
      <c r="K5600" s="728"/>
      <c r="L5600" s="148">
        <v>0.32990999999999998</v>
      </c>
      <c r="M5600" s="728"/>
      <c r="N5600" s="148">
        <v>0.32990999999999998</v>
      </c>
      <c r="O5600" s="148">
        <v>0</v>
      </c>
      <c r="P5600" s="148">
        <v>0.32102000000000003</v>
      </c>
      <c r="Q5600" s="148">
        <v>8.8900000000000003E-3</v>
      </c>
      <c r="R5600" s="148">
        <v>2.7692978630614915</v>
      </c>
    </row>
    <row r="5601" spans="2:18" ht="15.75" hidden="1" thickBot="1" x14ac:dyDescent="0.3">
      <c r="B5601" s="724" t="s">
        <v>845</v>
      </c>
      <c r="C5601" s="722" t="s">
        <v>147</v>
      </c>
      <c r="D5601" t="s">
        <v>148</v>
      </c>
      <c r="E5601" s="147">
        <v>0.12343999999999999</v>
      </c>
      <c r="F5601" s="147">
        <v>0.183</v>
      </c>
      <c r="G5601" s="147">
        <v>-5.9560000000000002E-2</v>
      </c>
      <c r="H5601" s="147">
        <v>-32.546448087431692</v>
      </c>
      <c r="I5601" s="729"/>
      <c r="J5601" s="147">
        <v>0.12343999999999999</v>
      </c>
      <c r="K5601" s="147">
        <v>0</v>
      </c>
      <c r="L5601" s="147">
        <v>1.55802</v>
      </c>
      <c r="M5601" s="147">
        <v>2.1960000000000002</v>
      </c>
      <c r="N5601" s="147">
        <v>-0.63797999999999999</v>
      </c>
      <c r="O5601" s="147">
        <v>-29.051912568306012</v>
      </c>
      <c r="P5601" s="147">
        <v>1.43458</v>
      </c>
      <c r="Q5601" s="147">
        <v>0.12343999999999999</v>
      </c>
      <c r="R5601" s="147">
        <v>8.6046090144850762</v>
      </c>
    </row>
    <row r="5602" spans="2:18" ht="15.75" hidden="1" thickBot="1" x14ac:dyDescent="0.3">
      <c r="B5602" s="724" t="s">
        <v>845</v>
      </c>
      <c r="C5602" s="722" t="s">
        <v>205</v>
      </c>
      <c r="D5602" t="s">
        <v>206</v>
      </c>
      <c r="E5602" s="728"/>
      <c r="F5602" s="148">
        <v>1.502</v>
      </c>
      <c r="G5602" s="148">
        <v>-1.502</v>
      </c>
      <c r="H5602" s="148">
        <v>-100</v>
      </c>
      <c r="I5602" s="728"/>
      <c r="J5602" s="728"/>
      <c r="K5602" s="728"/>
      <c r="L5602" s="148">
        <v>2.4820700000000002</v>
      </c>
      <c r="M5602" s="148">
        <v>18.024000000000001</v>
      </c>
      <c r="N5602" s="148">
        <v>-15.541930000000001</v>
      </c>
      <c r="O5602" s="148">
        <v>-86.229083444296492</v>
      </c>
      <c r="P5602" s="148">
        <v>0.8095</v>
      </c>
      <c r="Q5602" s="148">
        <v>1.6725699999999999</v>
      </c>
      <c r="R5602" s="148">
        <v>206.61766522544781</v>
      </c>
    </row>
    <row r="5603" spans="2:18" ht="15.75" hidden="1" thickBot="1" x14ac:dyDescent="0.3">
      <c r="B5603" s="724" t="s">
        <v>845</v>
      </c>
      <c r="C5603" s="149" t="s">
        <v>85</v>
      </c>
      <c r="D5603" t="s">
        <v>86</v>
      </c>
      <c r="E5603" s="147">
        <v>5.54467</v>
      </c>
      <c r="F5603" s="147">
        <v>6.3843399999999999</v>
      </c>
      <c r="G5603" s="147">
        <v>-0.83967000000000003</v>
      </c>
      <c r="H5603" s="147">
        <v>-13.152025111444566</v>
      </c>
      <c r="I5603" s="729"/>
      <c r="J5603" s="147">
        <v>5.54467</v>
      </c>
      <c r="K5603" s="147">
        <v>0</v>
      </c>
      <c r="L5603" s="147">
        <v>45.42407</v>
      </c>
      <c r="M5603" s="147">
        <v>76.612080000000006</v>
      </c>
      <c r="N5603" s="147">
        <v>-31.188009999999998</v>
      </c>
      <c r="O5603" s="147">
        <v>-40.708997849947423</v>
      </c>
      <c r="P5603" s="147">
        <v>24.97607</v>
      </c>
      <c r="Q5603" s="147">
        <v>20.448</v>
      </c>
      <c r="R5603" s="147">
        <v>81.870366314636371</v>
      </c>
    </row>
    <row r="5604" spans="2:18" ht="15.75" hidden="1" thickBot="1" x14ac:dyDescent="0.3">
      <c r="B5604" s="724" t="s">
        <v>845</v>
      </c>
      <c r="C5604" s="144" t="s">
        <v>87</v>
      </c>
      <c r="D5604" t="s">
        <v>87</v>
      </c>
      <c r="E5604" s="148">
        <v>5.54467</v>
      </c>
      <c r="F5604" s="148">
        <v>6.3843399999999999</v>
      </c>
      <c r="G5604" s="148">
        <v>-0.83967000000000003</v>
      </c>
      <c r="H5604" s="148">
        <v>-13.152025111444566</v>
      </c>
      <c r="I5604" s="728"/>
      <c r="J5604" s="148">
        <v>5.54467</v>
      </c>
      <c r="K5604" s="148">
        <v>0</v>
      </c>
      <c r="L5604" s="148">
        <v>45.42407</v>
      </c>
      <c r="M5604" s="148">
        <v>76.612080000000006</v>
      </c>
      <c r="N5604" s="148">
        <v>-31.188009999999998</v>
      </c>
      <c r="O5604" s="148">
        <v>-40.708997849947423</v>
      </c>
      <c r="P5604" s="148">
        <v>24.97607</v>
      </c>
      <c r="Q5604" s="148">
        <v>20.448</v>
      </c>
      <c r="R5604" s="148">
        <v>81.870366314636371</v>
      </c>
    </row>
    <row r="5605" spans="2:18" ht="15.75" hidden="1" thickBot="1" x14ac:dyDescent="0.3">
      <c r="B5605" s="724" t="s">
        <v>846</v>
      </c>
      <c r="C5605" s="722" t="s">
        <v>101</v>
      </c>
      <c r="D5605" t="s">
        <v>102</v>
      </c>
      <c r="E5605" s="147">
        <v>4.008</v>
      </c>
      <c r="F5605" s="147">
        <v>0.10199999999999999</v>
      </c>
      <c r="G5605" s="147">
        <v>3.9060000000000001</v>
      </c>
      <c r="H5605" s="147">
        <v>3829.4117647058824</v>
      </c>
      <c r="I5605" s="729"/>
      <c r="J5605" s="147">
        <v>4.008</v>
      </c>
      <c r="K5605" s="147">
        <v>0</v>
      </c>
      <c r="L5605" s="147">
        <v>4.6580000000000004</v>
      </c>
      <c r="M5605" s="147">
        <v>0.40799999999999997</v>
      </c>
      <c r="N5605" s="147">
        <v>4.25</v>
      </c>
      <c r="O5605" s="147">
        <v>1041.6666666666667</v>
      </c>
      <c r="P5605" s="147">
        <v>0.65</v>
      </c>
      <c r="Q5605" s="147">
        <v>4.008</v>
      </c>
      <c r="R5605" s="147">
        <v>616.61538461538464</v>
      </c>
    </row>
    <row r="5606" spans="2:18" ht="15.75" hidden="1" thickBot="1" x14ac:dyDescent="0.3">
      <c r="B5606" s="724" t="s">
        <v>846</v>
      </c>
      <c r="C5606" s="722" t="s">
        <v>205</v>
      </c>
      <c r="D5606" t="s">
        <v>206</v>
      </c>
      <c r="E5606" s="728"/>
      <c r="F5606" s="148">
        <v>6.8000000000000005E-2</v>
      </c>
      <c r="G5606" s="148">
        <v>-6.8000000000000005E-2</v>
      </c>
      <c r="H5606" s="148">
        <v>-100</v>
      </c>
      <c r="I5606" s="728"/>
      <c r="J5606" s="728"/>
      <c r="K5606" s="728"/>
      <c r="L5606" s="148">
        <v>2.3703799999999999</v>
      </c>
      <c r="M5606" s="148">
        <v>0.27200000000000002</v>
      </c>
      <c r="N5606" s="148">
        <v>2.0983800000000001</v>
      </c>
      <c r="O5606" s="148">
        <v>771.46323529411768</v>
      </c>
      <c r="P5606" s="148">
        <v>1.3243799999999999</v>
      </c>
      <c r="Q5606" s="148">
        <v>1.046</v>
      </c>
      <c r="R5606" s="148">
        <v>78.980353070870905</v>
      </c>
    </row>
    <row r="5607" spans="2:18" ht="15.75" hidden="1" thickBot="1" x14ac:dyDescent="0.3">
      <c r="B5607" s="724" t="s">
        <v>846</v>
      </c>
      <c r="C5607" s="149" t="s">
        <v>85</v>
      </c>
      <c r="D5607" t="s">
        <v>86</v>
      </c>
      <c r="E5607" s="147">
        <v>4.008</v>
      </c>
      <c r="F5607" s="147">
        <v>0.17</v>
      </c>
      <c r="G5607" s="147">
        <v>3.8380000000000001</v>
      </c>
      <c r="H5607" s="147">
        <v>2257.6470588235293</v>
      </c>
      <c r="I5607" s="729"/>
      <c r="J5607" s="147">
        <v>4.008</v>
      </c>
      <c r="K5607" s="147">
        <v>0</v>
      </c>
      <c r="L5607" s="147">
        <v>7.0283800000000003</v>
      </c>
      <c r="M5607" s="147">
        <v>0.68</v>
      </c>
      <c r="N5607" s="147">
        <v>6.3483799999999997</v>
      </c>
      <c r="O5607" s="147">
        <v>933.58529411764709</v>
      </c>
      <c r="P5607" s="147">
        <v>1.97438</v>
      </c>
      <c r="Q5607" s="147">
        <v>5.0540000000000003</v>
      </c>
      <c r="R5607" s="147">
        <v>255.97909217070676</v>
      </c>
    </row>
    <row r="5608" spans="2:18" ht="15.75" hidden="1" thickBot="1" x14ac:dyDescent="0.3">
      <c r="B5608" s="724" t="s">
        <v>846</v>
      </c>
      <c r="C5608" s="144" t="s">
        <v>87</v>
      </c>
      <c r="D5608" t="s">
        <v>87</v>
      </c>
      <c r="E5608" s="148">
        <v>4.008</v>
      </c>
      <c r="F5608" s="148">
        <v>0.17</v>
      </c>
      <c r="G5608" s="148">
        <v>3.8380000000000001</v>
      </c>
      <c r="H5608" s="148">
        <v>2257.6470588235293</v>
      </c>
      <c r="I5608" s="728"/>
      <c r="J5608" s="148">
        <v>4.008</v>
      </c>
      <c r="K5608" s="148">
        <v>0</v>
      </c>
      <c r="L5608" s="148">
        <v>7.0283800000000003</v>
      </c>
      <c r="M5608" s="148">
        <v>0.68</v>
      </c>
      <c r="N5608" s="148">
        <v>6.3483799999999997</v>
      </c>
      <c r="O5608" s="148">
        <v>933.58529411764709</v>
      </c>
      <c r="P5608" s="148">
        <v>1.97438</v>
      </c>
      <c r="Q5608" s="148">
        <v>5.0540000000000003</v>
      </c>
      <c r="R5608" s="148">
        <v>255.97909217070676</v>
      </c>
    </row>
    <row r="5609" spans="2:18" ht="15.75" hidden="1" thickBot="1" x14ac:dyDescent="0.3">
      <c r="B5609" s="724" t="s">
        <v>847</v>
      </c>
      <c r="C5609" s="722" t="s">
        <v>99</v>
      </c>
      <c r="D5609" t="s">
        <v>100</v>
      </c>
      <c r="E5609" s="147">
        <v>0.29910999999999999</v>
      </c>
      <c r="F5609" s="147">
        <v>9.4320000000000001E-2</v>
      </c>
      <c r="G5609" s="147">
        <v>0.20479</v>
      </c>
      <c r="H5609" s="147">
        <v>217.12256149279051</v>
      </c>
      <c r="I5609" s="729"/>
      <c r="J5609" s="147">
        <v>0.29910999999999999</v>
      </c>
      <c r="K5609" s="147">
        <v>0</v>
      </c>
      <c r="L5609" s="147">
        <v>1.0857000000000001</v>
      </c>
      <c r="M5609" s="147">
        <v>1.13184</v>
      </c>
      <c r="N5609" s="147">
        <v>-4.614E-2</v>
      </c>
      <c r="O5609" s="147">
        <v>-4.0765479219677694</v>
      </c>
      <c r="P5609" s="147">
        <v>0.44478000000000001</v>
      </c>
      <c r="Q5609" s="147">
        <v>0.64092000000000005</v>
      </c>
      <c r="R5609" s="147">
        <v>144.09820585457979</v>
      </c>
    </row>
    <row r="5610" spans="2:18" ht="15.75" hidden="1" thickBot="1" x14ac:dyDescent="0.3">
      <c r="B5610" s="724" t="s">
        <v>847</v>
      </c>
      <c r="C5610" s="722" t="s">
        <v>36</v>
      </c>
      <c r="D5610" t="s">
        <v>192</v>
      </c>
      <c r="E5610" s="728"/>
      <c r="F5610" s="728"/>
      <c r="G5610" s="728"/>
      <c r="H5610" s="728"/>
      <c r="I5610" s="728"/>
      <c r="J5610" s="728"/>
      <c r="K5610" s="728"/>
      <c r="L5610" s="148">
        <v>0.38449</v>
      </c>
      <c r="M5610" s="728"/>
      <c r="N5610" s="148">
        <v>0.38449</v>
      </c>
      <c r="O5610" s="148">
        <v>0</v>
      </c>
      <c r="P5610" s="728"/>
      <c r="Q5610" s="148">
        <v>0.38449</v>
      </c>
      <c r="R5610" s="148">
        <v>0</v>
      </c>
    </row>
    <row r="5611" spans="2:18" ht="15.75" hidden="1" thickBot="1" x14ac:dyDescent="0.3">
      <c r="B5611" s="724" t="s">
        <v>847</v>
      </c>
      <c r="C5611" s="722" t="s">
        <v>598</v>
      </c>
      <c r="D5611" t="s">
        <v>168</v>
      </c>
      <c r="E5611" s="729"/>
      <c r="F5611" s="147">
        <v>7.8939999999999996E-2</v>
      </c>
      <c r="G5611" s="147">
        <v>-7.8939999999999996E-2</v>
      </c>
      <c r="H5611" s="147">
        <v>-100</v>
      </c>
      <c r="I5611" s="729"/>
      <c r="J5611" s="729"/>
      <c r="K5611" s="729"/>
      <c r="L5611" s="729"/>
      <c r="M5611" s="147">
        <v>0.15787999999999999</v>
      </c>
      <c r="N5611" s="147">
        <v>-0.15787999999999999</v>
      </c>
      <c r="O5611" s="147">
        <v>-100</v>
      </c>
      <c r="P5611" s="729"/>
      <c r="Q5611" s="729"/>
      <c r="R5611" s="729"/>
    </row>
    <row r="5612" spans="2:18" ht="15.75" hidden="1" thickBot="1" x14ac:dyDescent="0.3">
      <c r="B5612" s="724" t="s">
        <v>847</v>
      </c>
      <c r="C5612" s="722" t="s">
        <v>101</v>
      </c>
      <c r="D5612" t="s">
        <v>102</v>
      </c>
      <c r="E5612" s="148">
        <v>0.77349999999999997</v>
      </c>
      <c r="F5612" s="148">
        <v>0.70103000000000004</v>
      </c>
      <c r="G5612" s="148">
        <v>7.2470000000000007E-2</v>
      </c>
      <c r="H5612" s="148">
        <v>10.337646035119752</v>
      </c>
      <c r="I5612" s="728"/>
      <c r="J5612" s="148">
        <v>0.77349999999999997</v>
      </c>
      <c r="K5612" s="148">
        <v>0</v>
      </c>
      <c r="L5612" s="148">
        <v>5.3808800000000003</v>
      </c>
      <c r="M5612" s="148">
        <v>8.4123599999999996</v>
      </c>
      <c r="N5612" s="148">
        <v>-3.0314800000000002</v>
      </c>
      <c r="O5612" s="148">
        <v>-36.036023184932645</v>
      </c>
      <c r="P5612" s="148">
        <v>3.5443799999999999</v>
      </c>
      <c r="Q5612" s="148">
        <v>1.8365</v>
      </c>
      <c r="R5612" s="148">
        <v>51.814421704219072</v>
      </c>
    </row>
    <row r="5613" spans="2:18" ht="15.75" hidden="1" thickBot="1" x14ac:dyDescent="0.3">
      <c r="B5613" s="724" t="s">
        <v>847</v>
      </c>
      <c r="C5613" s="722" t="s">
        <v>464</v>
      </c>
      <c r="D5613" t="s">
        <v>465</v>
      </c>
      <c r="E5613" s="147">
        <v>3.41093</v>
      </c>
      <c r="F5613" s="147">
        <v>2.9169999999999998</v>
      </c>
      <c r="G5613" s="147">
        <v>0.49392999999999998</v>
      </c>
      <c r="H5613" s="147">
        <v>16.932807679122387</v>
      </c>
      <c r="I5613" s="729"/>
      <c r="J5613" s="147">
        <v>3.41093</v>
      </c>
      <c r="K5613" s="147">
        <v>0</v>
      </c>
      <c r="L5613" s="147">
        <v>30.37182</v>
      </c>
      <c r="M5613" s="147">
        <v>35.003999999999998</v>
      </c>
      <c r="N5613" s="147">
        <v>-4.63218</v>
      </c>
      <c r="O5613" s="147">
        <v>-13.233287624271512</v>
      </c>
      <c r="P5613" s="147">
        <v>14.70594</v>
      </c>
      <c r="Q5613" s="147">
        <v>15.66588</v>
      </c>
      <c r="R5613" s="147">
        <v>106.52756641193966</v>
      </c>
    </row>
    <row r="5614" spans="2:18" ht="15.75" hidden="1" thickBot="1" x14ac:dyDescent="0.3">
      <c r="B5614" s="724" t="s">
        <v>847</v>
      </c>
      <c r="C5614" s="722" t="s">
        <v>627</v>
      </c>
      <c r="D5614" t="s">
        <v>628</v>
      </c>
      <c r="E5614" s="148">
        <v>0.49947999999999998</v>
      </c>
      <c r="F5614" s="148">
        <v>0.28127000000000002</v>
      </c>
      <c r="G5614" s="148">
        <v>0.21820999999999999</v>
      </c>
      <c r="H5614" s="148">
        <v>77.580260959220681</v>
      </c>
      <c r="I5614" s="728"/>
      <c r="J5614" s="148">
        <v>0.49947999999999998</v>
      </c>
      <c r="K5614" s="148">
        <v>0</v>
      </c>
      <c r="L5614" s="148">
        <v>4.2600699999999998</v>
      </c>
      <c r="M5614" s="148">
        <v>3.3752399999999998</v>
      </c>
      <c r="N5614" s="148">
        <v>0.88483000000000001</v>
      </c>
      <c r="O5614" s="148">
        <v>26.215320984581837</v>
      </c>
      <c r="P5614" s="148">
        <v>2.62236</v>
      </c>
      <c r="Q5614" s="148">
        <v>1.63771</v>
      </c>
      <c r="R5614" s="148">
        <v>62.451761009167313</v>
      </c>
    </row>
    <row r="5615" spans="2:18" ht="15.75" hidden="1" thickBot="1" x14ac:dyDescent="0.3">
      <c r="B5615" s="724" t="s">
        <v>847</v>
      </c>
      <c r="C5615" s="722" t="s">
        <v>73</v>
      </c>
      <c r="D5615" t="s">
        <v>74</v>
      </c>
      <c r="E5615" s="729"/>
      <c r="F5615" s="729"/>
      <c r="G5615" s="729"/>
      <c r="H5615" s="729"/>
      <c r="I5615" s="729"/>
      <c r="J5615" s="729"/>
      <c r="K5615" s="729"/>
      <c r="L5615" s="147">
        <v>1.393E-2</v>
      </c>
      <c r="M5615" s="729"/>
      <c r="N5615" s="147">
        <v>1.393E-2</v>
      </c>
      <c r="O5615" s="147">
        <v>0</v>
      </c>
      <c r="P5615" s="729"/>
      <c r="Q5615" s="147">
        <v>1.393E-2</v>
      </c>
      <c r="R5615" s="147">
        <v>0</v>
      </c>
    </row>
    <row r="5616" spans="2:18" ht="15.75" hidden="1" thickBot="1" x14ac:dyDescent="0.3">
      <c r="B5616" s="724" t="s">
        <v>847</v>
      </c>
      <c r="C5616" s="722" t="s">
        <v>147</v>
      </c>
      <c r="D5616" t="s">
        <v>148</v>
      </c>
      <c r="E5616" s="148">
        <v>0.20979</v>
      </c>
      <c r="F5616" s="148">
        <v>7.0480000000000001E-2</v>
      </c>
      <c r="G5616" s="148">
        <v>0.13930999999999999</v>
      </c>
      <c r="H5616" s="148">
        <v>197.65891032917139</v>
      </c>
      <c r="I5616" s="728"/>
      <c r="J5616" s="148">
        <v>0.20979</v>
      </c>
      <c r="K5616" s="148">
        <v>0</v>
      </c>
      <c r="L5616" s="148">
        <v>1.0643100000000001</v>
      </c>
      <c r="M5616" s="148">
        <v>0.84575999999999996</v>
      </c>
      <c r="N5616" s="148">
        <v>0.21854999999999999</v>
      </c>
      <c r="O5616" s="148">
        <v>25.840664018161181</v>
      </c>
      <c r="P5616" s="148">
        <v>0.61473</v>
      </c>
      <c r="Q5616" s="148">
        <v>0.44957999999999998</v>
      </c>
      <c r="R5616" s="148">
        <v>73.134546874237472</v>
      </c>
    </row>
    <row r="5617" spans="2:18" ht="15.75" hidden="1" thickBot="1" x14ac:dyDescent="0.3">
      <c r="B5617" s="724" t="s">
        <v>847</v>
      </c>
      <c r="C5617" s="722" t="s">
        <v>205</v>
      </c>
      <c r="D5617" t="s">
        <v>206</v>
      </c>
      <c r="E5617" s="147">
        <v>0.53232999999999997</v>
      </c>
      <c r="F5617" s="147">
        <v>0.46734999999999999</v>
      </c>
      <c r="G5617" s="147">
        <v>6.4979999999999996E-2</v>
      </c>
      <c r="H5617" s="147">
        <v>13.903926393495238</v>
      </c>
      <c r="I5617" s="729"/>
      <c r="J5617" s="147">
        <v>0.53232999999999997</v>
      </c>
      <c r="K5617" s="147">
        <v>0</v>
      </c>
      <c r="L5617" s="147">
        <v>3.6530800000000001</v>
      </c>
      <c r="M5617" s="147">
        <v>5.6082000000000001</v>
      </c>
      <c r="N5617" s="147">
        <v>-1.95512</v>
      </c>
      <c r="O5617" s="147">
        <v>-34.861809493242042</v>
      </c>
      <c r="P5617" s="147">
        <v>0.85919999999999996</v>
      </c>
      <c r="Q5617" s="147">
        <v>2.7938800000000001</v>
      </c>
      <c r="R5617" s="147">
        <v>325.17225325884544</v>
      </c>
    </row>
    <row r="5618" spans="2:18" ht="15.75" hidden="1" thickBot="1" x14ac:dyDescent="0.3">
      <c r="B5618" s="724" t="s">
        <v>847</v>
      </c>
      <c r="C5618" s="149" t="s">
        <v>85</v>
      </c>
      <c r="D5618" t="s">
        <v>86</v>
      </c>
      <c r="E5618" s="148">
        <v>5.7251399999999997</v>
      </c>
      <c r="F5618" s="148">
        <v>4.6103899999999998</v>
      </c>
      <c r="G5618" s="148">
        <v>1.1147499999999999</v>
      </c>
      <c r="H5618" s="148">
        <v>24.179082463739512</v>
      </c>
      <c r="I5618" s="728"/>
      <c r="J5618" s="148">
        <v>5.7251399999999997</v>
      </c>
      <c r="K5618" s="148">
        <v>0</v>
      </c>
      <c r="L5618" s="148">
        <v>46.214280000000002</v>
      </c>
      <c r="M5618" s="148">
        <v>54.53528</v>
      </c>
      <c r="N5618" s="148">
        <v>-8.3209999999999997</v>
      </c>
      <c r="O5618" s="148">
        <v>-15.258012794653297</v>
      </c>
      <c r="P5618" s="148">
        <v>22.79139</v>
      </c>
      <c r="Q5618" s="148">
        <v>23.422889999999999</v>
      </c>
      <c r="R5618" s="148">
        <v>102.77078317733144</v>
      </c>
    </row>
    <row r="5619" spans="2:18" ht="15.75" hidden="1" thickBot="1" x14ac:dyDescent="0.3">
      <c r="B5619" s="724" t="s">
        <v>847</v>
      </c>
      <c r="C5619" s="144" t="s">
        <v>87</v>
      </c>
      <c r="D5619" t="s">
        <v>87</v>
      </c>
      <c r="E5619" s="147">
        <v>5.7251399999999997</v>
      </c>
      <c r="F5619" s="147">
        <v>4.6103899999999998</v>
      </c>
      <c r="G5619" s="147">
        <v>1.1147499999999999</v>
      </c>
      <c r="H5619" s="147">
        <v>24.179082463739512</v>
      </c>
      <c r="I5619" s="729"/>
      <c r="J5619" s="147">
        <v>5.7251399999999997</v>
      </c>
      <c r="K5619" s="147">
        <v>0</v>
      </c>
      <c r="L5619" s="147">
        <v>46.214280000000002</v>
      </c>
      <c r="M5619" s="147">
        <v>54.53528</v>
      </c>
      <c r="N5619" s="147">
        <v>-8.3209999999999997</v>
      </c>
      <c r="O5619" s="147">
        <v>-15.258012794653297</v>
      </c>
      <c r="P5619" s="147">
        <v>22.79139</v>
      </c>
      <c r="Q5619" s="147">
        <v>23.422889999999999</v>
      </c>
      <c r="R5619" s="147">
        <v>102.77078317733144</v>
      </c>
    </row>
    <row r="5620" spans="2:18" ht="15.75" hidden="1" thickBot="1" x14ac:dyDescent="0.3">
      <c r="B5620" s="724" t="s">
        <v>848</v>
      </c>
      <c r="C5620" s="722" t="s">
        <v>598</v>
      </c>
      <c r="D5620" t="s">
        <v>168</v>
      </c>
      <c r="E5620" s="728"/>
      <c r="F5620" s="148">
        <v>0.10403999999999999</v>
      </c>
      <c r="G5620" s="148">
        <v>-0.10403999999999999</v>
      </c>
      <c r="H5620" s="148">
        <v>-100</v>
      </c>
      <c r="I5620" s="728"/>
      <c r="J5620" s="728"/>
      <c r="K5620" s="728"/>
      <c r="L5620" s="728"/>
      <c r="M5620" s="148">
        <v>0.10403999999999999</v>
      </c>
      <c r="N5620" s="148">
        <v>-0.10403999999999999</v>
      </c>
      <c r="O5620" s="148">
        <v>-100</v>
      </c>
      <c r="P5620" s="728"/>
      <c r="Q5620" s="728"/>
      <c r="R5620" s="728"/>
    </row>
    <row r="5621" spans="2:18" ht="15.75" hidden="1" thickBot="1" x14ac:dyDescent="0.3">
      <c r="B5621" s="724" t="s">
        <v>848</v>
      </c>
      <c r="C5621" s="722" t="s">
        <v>101</v>
      </c>
      <c r="D5621" t="s">
        <v>102</v>
      </c>
      <c r="E5621" s="147">
        <v>8.9728200000000005</v>
      </c>
      <c r="F5621" s="147">
        <v>0.65485000000000004</v>
      </c>
      <c r="G5621" s="147">
        <v>8.3179700000000008</v>
      </c>
      <c r="H5621" s="147">
        <v>1270.2099717492556</v>
      </c>
      <c r="I5621" s="729"/>
      <c r="J5621" s="147">
        <v>8.9728200000000005</v>
      </c>
      <c r="K5621" s="147">
        <v>0</v>
      </c>
      <c r="L5621" s="147">
        <v>41.389020000000002</v>
      </c>
      <c r="M5621" s="147">
        <v>7.8582000000000001</v>
      </c>
      <c r="N5621" s="147">
        <v>33.530819999999999</v>
      </c>
      <c r="O5621" s="147">
        <v>426.69848056806904</v>
      </c>
      <c r="P5621" s="147">
        <v>11.568</v>
      </c>
      <c r="Q5621" s="147">
        <v>29.821020000000001</v>
      </c>
      <c r="R5621" s="147">
        <v>257.78890041493776</v>
      </c>
    </row>
    <row r="5622" spans="2:18" ht="15.75" hidden="1" thickBot="1" x14ac:dyDescent="0.3">
      <c r="B5622" s="724" t="s">
        <v>848</v>
      </c>
      <c r="C5622" s="722" t="s">
        <v>464</v>
      </c>
      <c r="D5622" t="s">
        <v>465</v>
      </c>
      <c r="E5622" s="728"/>
      <c r="F5622" s="148">
        <v>4.7109999999999999E-2</v>
      </c>
      <c r="G5622" s="148">
        <v>-4.7109999999999999E-2</v>
      </c>
      <c r="H5622" s="148">
        <v>-100</v>
      </c>
      <c r="I5622" s="728"/>
      <c r="J5622" s="728"/>
      <c r="K5622" s="728"/>
      <c r="L5622" s="728"/>
      <c r="M5622" s="148">
        <v>0.56532000000000004</v>
      </c>
      <c r="N5622" s="148">
        <v>-0.56532000000000004</v>
      </c>
      <c r="O5622" s="148">
        <v>-100</v>
      </c>
      <c r="P5622" s="728"/>
      <c r="Q5622" s="728"/>
      <c r="R5622" s="728"/>
    </row>
    <row r="5623" spans="2:18" ht="15.75" hidden="1" thickBot="1" x14ac:dyDescent="0.3">
      <c r="B5623" s="724" t="s">
        <v>848</v>
      </c>
      <c r="C5623" s="722" t="s">
        <v>205</v>
      </c>
      <c r="D5623" t="s">
        <v>206</v>
      </c>
      <c r="E5623" s="729"/>
      <c r="F5623" s="147">
        <v>0.43657000000000001</v>
      </c>
      <c r="G5623" s="147">
        <v>-0.43657000000000001</v>
      </c>
      <c r="H5623" s="147">
        <v>-100</v>
      </c>
      <c r="I5623" s="729"/>
      <c r="J5623" s="729"/>
      <c r="K5623" s="729"/>
      <c r="L5623" s="147">
        <v>2.9095</v>
      </c>
      <c r="M5623" s="147">
        <v>5.2388399999999997</v>
      </c>
      <c r="N5623" s="147">
        <v>-2.3293400000000002</v>
      </c>
      <c r="O5623" s="147">
        <v>-44.462896366371183</v>
      </c>
      <c r="P5623" s="147">
        <v>1.8585</v>
      </c>
      <c r="Q5623" s="147">
        <v>1.0509999999999999</v>
      </c>
      <c r="R5623" s="147">
        <v>56.550981974710787</v>
      </c>
    </row>
    <row r="5624" spans="2:18" ht="15.75" hidden="1" thickBot="1" x14ac:dyDescent="0.3">
      <c r="B5624" s="724" t="s">
        <v>848</v>
      </c>
      <c r="C5624" s="722" t="s">
        <v>653</v>
      </c>
      <c r="D5624" t="s">
        <v>654</v>
      </c>
      <c r="E5624" s="728"/>
      <c r="F5624" s="728"/>
      <c r="G5624" s="728"/>
      <c r="H5624" s="728"/>
      <c r="I5624" s="728"/>
      <c r="J5624" s="728"/>
      <c r="K5624" s="728"/>
      <c r="L5624" s="148">
        <v>0</v>
      </c>
      <c r="M5624" s="728"/>
      <c r="N5624" s="148">
        <v>0</v>
      </c>
      <c r="O5624" s="148">
        <v>0</v>
      </c>
      <c r="P5624" s="728"/>
      <c r="Q5624" s="148">
        <v>0</v>
      </c>
      <c r="R5624" s="148">
        <v>0</v>
      </c>
    </row>
    <row r="5625" spans="2:18" ht="15.75" hidden="1" thickBot="1" x14ac:dyDescent="0.3">
      <c r="B5625" s="724" t="s">
        <v>848</v>
      </c>
      <c r="C5625" s="149" t="s">
        <v>85</v>
      </c>
      <c r="D5625" t="s">
        <v>86</v>
      </c>
      <c r="E5625" s="147">
        <v>8.9728200000000005</v>
      </c>
      <c r="F5625" s="147">
        <v>1.24257</v>
      </c>
      <c r="G5625" s="147">
        <v>7.7302499999999998</v>
      </c>
      <c r="H5625" s="147">
        <v>622.11786861102394</v>
      </c>
      <c r="I5625" s="729"/>
      <c r="J5625" s="147">
        <v>8.9728200000000005</v>
      </c>
      <c r="K5625" s="147">
        <v>0</v>
      </c>
      <c r="L5625" s="147">
        <v>44.298520000000003</v>
      </c>
      <c r="M5625" s="147">
        <v>13.766400000000001</v>
      </c>
      <c r="N5625" s="147">
        <v>30.532119999999999</v>
      </c>
      <c r="O5625" s="147">
        <v>221.78725011622501</v>
      </c>
      <c r="P5625" s="147">
        <v>13.426500000000001</v>
      </c>
      <c r="Q5625" s="147">
        <v>30.872019999999999</v>
      </c>
      <c r="R5625" s="147">
        <v>229.93348974043869</v>
      </c>
    </row>
    <row r="5626" spans="2:18" ht="15.75" hidden="1" thickBot="1" x14ac:dyDescent="0.3">
      <c r="B5626" s="724" t="s">
        <v>848</v>
      </c>
      <c r="C5626" s="144" t="s">
        <v>87</v>
      </c>
      <c r="D5626" t="s">
        <v>87</v>
      </c>
      <c r="E5626" s="148">
        <v>8.9728200000000005</v>
      </c>
      <c r="F5626" s="148">
        <v>1.24257</v>
      </c>
      <c r="G5626" s="148">
        <v>7.7302499999999998</v>
      </c>
      <c r="H5626" s="148">
        <v>622.11786861102394</v>
      </c>
      <c r="I5626" s="728"/>
      <c r="J5626" s="148">
        <v>8.9728200000000005</v>
      </c>
      <c r="K5626" s="148">
        <v>0</v>
      </c>
      <c r="L5626" s="148">
        <v>44.298520000000003</v>
      </c>
      <c r="M5626" s="148">
        <v>13.766400000000001</v>
      </c>
      <c r="N5626" s="148">
        <v>30.532119999999999</v>
      </c>
      <c r="O5626" s="148">
        <v>221.78725011622501</v>
      </c>
      <c r="P5626" s="148">
        <v>13.426500000000001</v>
      </c>
      <c r="Q5626" s="148">
        <v>30.872019999999999</v>
      </c>
      <c r="R5626" s="148">
        <v>229.93348974043869</v>
      </c>
    </row>
    <row r="5627" spans="2:18" ht="15.75" hidden="1" thickBot="1" x14ac:dyDescent="0.3">
      <c r="B5627" s="724" t="s">
        <v>849</v>
      </c>
      <c r="C5627" s="722" t="s">
        <v>101</v>
      </c>
      <c r="D5627" t="s">
        <v>102</v>
      </c>
      <c r="E5627" s="147">
        <v>7.7610000000000001</v>
      </c>
      <c r="F5627" s="729"/>
      <c r="G5627" s="147">
        <v>7.7610000000000001</v>
      </c>
      <c r="H5627" s="147">
        <v>0</v>
      </c>
      <c r="I5627" s="729"/>
      <c r="J5627" s="147">
        <v>7.7610000000000001</v>
      </c>
      <c r="K5627" s="147">
        <v>0</v>
      </c>
      <c r="L5627" s="147">
        <v>24.104500000000002</v>
      </c>
      <c r="M5627" s="729"/>
      <c r="N5627" s="147">
        <v>24.104500000000002</v>
      </c>
      <c r="O5627" s="147">
        <v>0</v>
      </c>
      <c r="P5627" s="147">
        <v>11.6335</v>
      </c>
      <c r="Q5627" s="147">
        <v>12.471</v>
      </c>
      <c r="R5627" s="147">
        <v>107.19903726307646</v>
      </c>
    </row>
    <row r="5628" spans="2:18" ht="15.75" hidden="1" thickBot="1" x14ac:dyDescent="0.3">
      <c r="B5628" s="724" t="s">
        <v>849</v>
      </c>
      <c r="C5628" s="722" t="s">
        <v>464</v>
      </c>
      <c r="D5628" t="s">
        <v>465</v>
      </c>
      <c r="E5628" s="148">
        <v>0.12581999999999999</v>
      </c>
      <c r="F5628" s="728"/>
      <c r="G5628" s="148">
        <v>0.12581999999999999</v>
      </c>
      <c r="H5628" s="148">
        <v>0</v>
      </c>
      <c r="I5628" s="728"/>
      <c r="J5628" s="148">
        <v>0.12581999999999999</v>
      </c>
      <c r="K5628" s="148">
        <v>0</v>
      </c>
      <c r="L5628" s="148">
        <v>1.7154</v>
      </c>
      <c r="M5628" s="728"/>
      <c r="N5628" s="148">
        <v>1.7154</v>
      </c>
      <c r="O5628" s="148">
        <v>0</v>
      </c>
      <c r="P5628" s="148">
        <v>0.65547999999999995</v>
      </c>
      <c r="Q5628" s="148">
        <v>1.05992</v>
      </c>
      <c r="R5628" s="148">
        <v>161.70134863001161</v>
      </c>
    </row>
    <row r="5629" spans="2:18" ht="15.75" hidden="1" thickBot="1" x14ac:dyDescent="0.3">
      <c r="B5629" s="724" t="s">
        <v>849</v>
      </c>
      <c r="C5629" s="722" t="s">
        <v>205</v>
      </c>
      <c r="D5629" t="s">
        <v>206</v>
      </c>
      <c r="E5629" s="147">
        <v>0.59430000000000005</v>
      </c>
      <c r="F5629" s="729"/>
      <c r="G5629" s="147">
        <v>0.59430000000000005</v>
      </c>
      <c r="H5629" s="147">
        <v>0</v>
      </c>
      <c r="I5629" s="729"/>
      <c r="J5629" s="147">
        <v>0.59430000000000005</v>
      </c>
      <c r="K5629" s="147">
        <v>0</v>
      </c>
      <c r="L5629" s="147">
        <v>0.59430000000000005</v>
      </c>
      <c r="M5629" s="729"/>
      <c r="N5629" s="147">
        <v>0.59430000000000005</v>
      </c>
      <c r="O5629" s="147">
        <v>0</v>
      </c>
      <c r="P5629" s="729"/>
      <c r="Q5629" s="147">
        <v>0.59430000000000005</v>
      </c>
      <c r="R5629" s="147">
        <v>0</v>
      </c>
    </row>
    <row r="5630" spans="2:18" ht="15.75" hidden="1" thickBot="1" x14ac:dyDescent="0.3">
      <c r="B5630" s="724" t="s">
        <v>849</v>
      </c>
      <c r="C5630" s="722" t="s">
        <v>151</v>
      </c>
      <c r="D5630" t="s">
        <v>152</v>
      </c>
      <c r="E5630" s="728"/>
      <c r="F5630" s="728"/>
      <c r="G5630" s="728"/>
      <c r="H5630" s="728"/>
      <c r="I5630" s="728"/>
      <c r="J5630" s="728"/>
      <c r="K5630" s="728"/>
      <c r="L5630" s="148">
        <v>0.36</v>
      </c>
      <c r="M5630" s="728"/>
      <c r="N5630" s="148">
        <v>0.36</v>
      </c>
      <c r="O5630" s="148">
        <v>0</v>
      </c>
      <c r="P5630" s="728"/>
      <c r="Q5630" s="148">
        <v>0.36</v>
      </c>
      <c r="R5630" s="148">
        <v>0</v>
      </c>
    </row>
    <row r="5631" spans="2:18" ht="15.75" hidden="1" thickBot="1" x14ac:dyDescent="0.3">
      <c r="B5631" s="724" t="s">
        <v>849</v>
      </c>
      <c r="C5631" s="149" t="s">
        <v>85</v>
      </c>
      <c r="D5631" t="s">
        <v>86</v>
      </c>
      <c r="E5631" s="147">
        <v>8.4811200000000007</v>
      </c>
      <c r="F5631" s="729"/>
      <c r="G5631" s="147">
        <v>8.4811200000000007</v>
      </c>
      <c r="H5631" s="147">
        <v>0</v>
      </c>
      <c r="I5631" s="729"/>
      <c r="J5631" s="147">
        <v>8.4811200000000007</v>
      </c>
      <c r="K5631" s="147">
        <v>0</v>
      </c>
      <c r="L5631" s="147">
        <v>26.7742</v>
      </c>
      <c r="M5631" s="729"/>
      <c r="N5631" s="147">
        <v>26.7742</v>
      </c>
      <c r="O5631" s="147">
        <v>0</v>
      </c>
      <c r="P5631" s="147">
        <v>12.28898</v>
      </c>
      <c r="Q5631" s="147">
        <v>14.48522</v>
      </c>
      <c r="R5631" s="147">
        <v>117.87162156663938</v>
      </c>
    </row>
    <row r="5632" spans="2:18" ht="15.75" hidden="1" thickBot="1" x14ac:dyDescent="0.3">
      <c r="B5632" s="724" t="s">
        <v>849</v>
      </c>
      <c r="C5632" s="144" t="s">
        <v>87</v>
      </c>
      <c r="D5632" t="s">
        <v>87</v>
      </c>
      <c r="E5632" s="148">
        <v>8.4811200000000007</v>
      </c>
      <c r="F5632" s="728"/>
      <c r="G5632" s="148">
        <v>8.4811200000000007</v>
      </c>
      <c r="H5632" s="148">
        <v>0</v>
      </c>
      <c r="I5632" s="728"/>
      <c r="J5632" s="148">
        <v>8.4811200000000007</v>
      </c>
      <c r="K5632" s="148">
        <v>0</v>
      </c>
      <c r="L5632" s="148">
        <v>26.7742</v>
      </c>
      <c r="M5632" s="728"/>
      <c r="N5632" s="148">
        <v>26.7742</v>
      </c>
      <c r="O5632" s="148">
        <v>0</v>
      </c>
      <c r="P5632" s="148">
        <v>12.28898</v>
      </c>
      <c r="Q5632" s="148">
        <v>14.48522</v>
      </c>
      <c r="R5632" s="148">
        <v>117.87162156663938</v>
      </c>
    </row>
    <row r="5633" spans="2:18" ht="15.75" hidden="1" thickBot="1" x14ac:dyDescent="0.3">
      <c r="B5633" s="724" t="s">
        <v>850</v>
      </c>
      <c r="C5633" s="722" t="s">
        <v>99</v>
      </c>
      <c r="D5633" t="s">
        <v>100</v>
      </c>
      <c r="E5633" s="147">
        <v>5.355E-2</v>
      </c>
      <c r="F5633" s="729"/>
      <c r="G5633" s="147">
        <v>5.355E-2</v>
      </c>
      <c r="H5633" s="147">
        <v>0</v>
      </c>
      <c r="I5633" s="729"/>
      <c r="J5633" s="147">
        <v>5.355E-2</v>
      </c>
      <c r="K5633" s="147">
        <v>0</v>
      </c>
      <c r="L5633" s="147">
        <v>2.0580799999999999</v>
      </c>
      <c r="M5633" s="729"/>
      <c r="N5633" s="147">
        <v>2.0580799999999999</v>
      </c>
      <c r="O5633" s="147">
        <v>0</v>
      </c>
      <c r="P5633" s="147">
        <v>1.3138799999999999</v>
      </c>
      <c r="Q5633" s="147">
        <v>0.74419999999999997</v>
      </c>
      <c r="R5633" s="147">
        <v>56.641397996772916</v>
      </c>
    </row>
    <row r="5634" spans="2:18" ht="15.75" hidden="1" thickBot="1" x14ac:dyDescent="0.3">
      <c r="B5634" s="724" t="s">
        <v>850</v>
      </c>
      <c r="C5634" s="722" t="s">
        <v>36</v>
      </c>
      <c r="D5634" t="s">
        <v>192</v>
      </c>
      <c r="E5634" s="728"/>
      <c r="F5634" s="148">
        <v>1</v>
      </c>
      <c r="G5634" s="148">
        <v>-1</v>
      </c>
      <c r="H5634" s="148">
        <v>-100</v>
      </c>
      <c r="I5634" s="728"/>
      <c r="J5634" s="728"/>
      <c r="K5634" s="728"/>
      <c r="L5634" s="728"/>
      <c r="M5634" s="148">
        <v>1</v>
      </c>
      <c r="N5634" s="148">
        <v>-1</v>
      </c>
      <c r="O5634" s="148">
        <v>-100</v>
      </c>
      <c r="P5634" s="728"/>
      <c r="Q5634" s="728"/>
      <c r="R5634" s="728"/>
    </row>
    <row r="5635" spans="2:18" ht="15.75" hidden="1" thickBot="1" x14ac:dyDescent="0.3">
      <c r="B5635" s="724" t="s">
        <v>850</v>
      </c>
      <c r="C5635" s="722" t="s">
        <v>598</v>
      </c>
      <c r="D5635" t="s">
        <v>168</v>
      </c>
      <c r="E5635" s="729"/>
      <c r="F5635" s="729"/>
      <c r="G5635" s="729"/>
      <c r="H5635" s="729"/>
      <c r="I5635" s="729"/>
      <c r="J5635" s="729"/>
      <c r="K5635" s="729"/>
      <c r="L5635" s="147">
        <v>0.64046000000000003</v>
      </c>
      <c r="M5635" s="729"/>
      <c r="N5635" s="147">
        <v>0.64046000000000003</v>
      </c>
      <c r="O5635" s="147">
        <v>0</v>
      </c>
      <c r="P5635" s="147">
        <v>0.64046000000000003</v>
      </c>
      <c r="Q5635" s="147">
        <v>0</v>
      </c>
      <c r="R5635" s="147">
        <v>0</v>
      </c>
    </row>
    <row r="5636" spans="2:18" ht="15.75" hidden="1" thickBot="1" x14ac:dyDescent="0.3">
      <c r="B5636" s="724" t="s">
        <v>850</v>
      </c>
      <c r="C5636" s="722" t="s">
        <v>101</v>
      </c>
      <c r="D5636" t="s">
        <v>102</v>
      </c>
      <c r="E5636" s="148">
        <v>0.75</v>
      </c>
      <c r="F5636" s="148">
        <v>0.67025000000000001</v>
      </c>
      <c r="G5636" s="148">
        <v>7.9750000000000001E-2</v>
      </c>
      <c r="H5636" s="148">
        <v>11.898545318910854</v>
      </c>
      <c r="I5636" s="728"/>
      <c r="J5636" s="148">
        <v>0.75</v>
      </c>
      <c r="K5636" s="148">
        <v>0</v>
      </c>
      <c r="L5636" s="148">
        <v>5.3884800000000004</v>
      </c>
      <c r="M5636" s="148">
        <v>8.0429999999999993</v>
      </c>
      <c r="N5636" s="148">
        <v>-2.6545200000000002</v>
      </c>
      <c r="O5636" s="148">
        <v>-33.004102946661696</v>
      </c>
      <c r="P5636" s="148">
        <v>2.0899200000000002</v>
      </c>
      <c r="Q5636" s="148">
        <v>3.2985600000000002</v>
      </c>
      <c r="R5636" s="148">
        <v>157.83187873220027</v>
      </c>
    </row>
    <row r="5637" spans="2:18" ht="15.75" hidden="1" thickBot="1" x14ac:dyDescent="0.3">
      <c r="B5637" s="724" t="s">
        <v>850</v>
      </c>
      <c r="C5637" s="722" t="s">
        <v>627</v>
      </c>
      <c r="D5637" t="s">
        <v>628</v>
      </c>
      <c r="E5637" s="147">
        <v>0.15376999999999999</v>
      </c>
      <c r="F5637" s="147">
        <v>0.14865</v>
      </c>
      <c r="G5637" s="147">
        <v>5.1200000000000004E-3</v>
      </c>
      <c r="H5637" s="147">
        <v>3.4443323242515977</v>
      </c>
      <c r="I5637" s="729"/>
      <c r="J5637" s="147">
        <v>0.15376999999999999</v>
      </c>
      <c r="K5637" s="147">
        <v>0</v>
      </c>
      <c r="L5637" s="147">
        <v>6.5303199999999997</v>
      </c>
      <c r="M5637" s="147">
        <v>1.7838000000000001</v>
      </c>
      <c r="N5637" s="147">
        <v>4.7465200000000003</v>
      </c>
      <c r="O5637" s="147">
        <v>266.09036887543448</v>
      </c>
      <c r="P5637" s="147">
        <v>2.7624499999999999</v>
      </c>
      <c r="Q5637" s="147">
        <v>3.7678699999999998</v>
      </c>
      <c r="R5637" s="147">
        <v>136.39595286792522</v>
      </c>
    </row>
    <row r="5638" spans="2:18" ht="15.75" hidden="1" thickBot="1" x14ac:dyDescent="0.3">
      <c r="B5638" s="724" t="s">
        <v>850</v>
      </c>
      <c r="C5638" s="722" t="s">
        <v>73</v>
      </c>
      <c r="D5638" t="s">
        <v>74</v>
      </c>
      <c r="E5638" s="148">
        <v>0.49969999999999998</v>
      </c>
      <c r="F5638" s="148">
        <v>0.18609999999999999</v>
      </c>
      <c r="G5638" s="148">
        <v>0.31359999999999999</v>
      </c>
      <c r="H5638" s="148">
        <v>168.51155292853304</v>
      </c>
      <c r="I5638" s="728"/>
      <c r="J5638" s="148">
        <v>0.49969999999999998</v>
      </c>
      <c r="K5638" s="148">
        <v>0</v>
      </c>
      <c r="L5638" s="148">
        <v>4.1404100000000001</v>
      </c>
      <c r="M5638" s="148">
        <v>2.2332000000000001</v>
      </c>
      <c r="N5638" s="148">
        <v>1.9072100000000001</v>
      </c>
      <c r="O5638" s="148">
        <v>85.402561346946086</v>
      </c>
      <c r="P5638" s="148">
        <v>1.41018</v>
      </c>
      <c r="Q5638" s="148">
        <v>2.7302300000000002</v>
      </c>
      <c r="R5638" s="148">
        <v>193.6086173396304</v>
      </c>
    </row>
    <row r="5639" spans="2:18" ht="15.75" hidden="1" thickBot="1" x14ac:dyDescent="0.3">
      <c r="B5639" s="724" t="s">
        <v>850</v>
      </c>
      <c r="C5639" s="722" t="s">
        <v>149</v>
      </c>
      <c r="D5639" t="s">
        <v>150</v>
      </c>
      <c r="E5639" s="729"/>
      <c r="F5639" s="729"/>
      <c r="G5639" s="729"/>
      <c r="H5639" s="729"/>
      <c r="I5639" s="729"/>
      <c r="J5639" s="729"/>
      <c r="K5639" s="729"/>
      <c r="L5639" s="147">
        <v>0</v>
      </c>
      <c r="M5639" s="729"/>
      <c r="N5639" s="147">
        <v>0</v>
      </c>
      <c r="O5639" s="147">
        <v>0</v>
      </c>
      <c r="P5639" s="147">
        <v>0</v>
      </c>
      <c r="Q5639" s="147">
        <v>0</v>
      </c>
      <c r="R5639" s="147">
        <v>0</v>
      </c>
    </row>
    <row r="5640" spans="2:18" ht="15.75" hidden="1" thickBot="1" x14ac:dyDescent="0.3">
      <c r="B5640" s="724" t="s">
        <v>850</v>
      </c>
      <c r="C5640" s="722" t="s">
        <v>205</v>
      </c>
      <c r="D5640" t="s">
        <v>206</v>
      </c>
      <c r="E5640" s="148">
        <v>2.1003599999999998</v>
      </c>
      <c r="F5640" s="148">
        <v>0.44683</v>
      </c>
      <c r="G5640" s="148">
        <v>1.6535299999999999</v>
      </c>
      <c r="H5640" s="148">
        <v>370.05796387888012</v>
      </c>
      <c r="I5640" s="728"/>
      <c r="J5640" s="148">
        <v>2.1003599999999998</v>
      </c>
      <c r="K5640" s="148">
        <v>0</v>
      </c>
      <c r="L5640" s="148">
        <v>3.3727299999999998</v>
      </c>
      <c r="M5640" s="148">
        <v>5.3619599999999998</v>
      </c>
      <c r="N5640" s="148">
        <v>-1.9892300000000001</v>
      </c>
      <c r="O5640" s="148">
        <v>-37.098933971905794</v>
      </c>
      <c r="P5640" s="148">
        <v>1.27237</v>
      </c>
      <c r="Q5640" s="148">
        <v>2.1003599999999998</v>
      </c>
      <c r="R5640" s="148">
        <v>165.07462451959728</v>
      </c>
    </row>
    <row r="5641" spans="2:18" ht="15.75" hidden="1" thickBot="1" x14ac:dyDescent="0.3">
      <c r="B5641" s="724" t="s">
        <v>850</v>
      </c>
      <c r="C5641" s="722" t="s">
        <v>653</v>
      </c>
      <c r="D5641" t="s">
        <v>654</v>
      </c>
      <c r="E5641" s="729"/>
      <c r="F5641" s="729"/>
      <c r="G5641" s="729"/>
      <c r="H5641" s="729"/>
      <c r="I5641" s="729"/>
      <c r="J5641" s="729"/>
      <c r="K5641" s="729"/>
      <c r="L5641" s="147">
        <v>0.13500000000000001</v>
      </c>
      <c r="M5641" s="729"/>
      <c r="N5641" s="147">
        <v>0.13500000000000001</v>
      </c>
      <c r="O5641" s="147">
        <v>0</v>
      </c>
      <c r="P5641" s="729"/>
      <c r="Q5641" s="147">
        <v>0.13500000000000001</v>
      </c>
      <c r="R5641" s="147">
        <v>0</v>
      </c>
    </row>
    <row r="5642" spans="2:18" ht="15.75" hidden="1" thickBot="1" x14ac:dyDescent="0.3">
      <c r="B5642" s="724" t="s">
        <v>850</v>
      </c>
      <c r="C5642" s="722" t="s">
        <v>207</v>
      </c>
      <c r="D5642" t="s">
        <v>208</v>
      </c>
      <c r="E5642" s="728"/>
      <c r="F5642" s="728"/>
      <c r="G5642" s="728"/>
      <c r="H5642" s="728"/>
      <c r="I5642" s="728"/>
      <c r="J5642" s="728"/>
      <c r="K5642" s="728"/>
      <c r="L5642" s="148">
        <v>6.6979999999999998E-2</v>
      </c>
      <c r="M5642" s="728"/>
      <c r="N5642" s="148">
        <v>6.6979999999999998E-2</v>
      </c>
      <c r="O5642" s="148">
        <v>0</v>
      </c>
      <c r="P5642" s="148">
        <v>6.6979999999999998E-2</v>
      </c>
      <c r="Q5642" s="148">
        <v>0</v>
      </c>
      <c r="R5642" s="148">
        <v>0</v>
      </c>
    </row>
    <row r="5643" spans="2:18" ht="15.75" hidden="1" thickBot="1" x14ac:dyDescent="0.3">
      <c r="B5643" s="724" t="s">
        <v>850</v>
      </c>
      <c r="C5643" s="722" t="s">
        <v>75</v>
      </c>
      <c r="D5643" t="s">
        <v>76</v>
      </c>
      <c r="E5643" s="729"/>
      <c r="F5643" s="729"/>
      <c r="G5643" s="729"/>
      <c r="H5643" s="729"/>
      <c r="I5643" s="729"/>
      <c r="J5643" s="729"/>
      <c r="K5643" s="729"/>
      <c r="L5643" s="147">
        <v>0.12973000000000001</v>
      </c>
      <c r="M5643" s="729"/>
      <c r="N5643" s="147">
        <v>0.12973000000000001</v>
      </c>
      <c r="O5643" s="147">
        <v>0</v>
      </c>
      <c r="P5643" s="147">
        <v>0.12973000000000001</v>
      </c>
      <c r="Q5643" s="147">
        <v>0</v>
      </c>
      <c r="R5643" s="147">
        <v>0</v>
      </c>
    </row>
    <row r="5644" spans="2:18" ht="15.75" hidden="1" thickBot="1" x14ac:dyDescent="0.3">
      <c r="B5644" s="724" t="s">
        <v>850</v>
      </c>
      <c r="C5644" s="722" t="s">
        <v>121</v>
      </c>
      <c r="D5644" t="s">
        <v>122</v>
      </c>
      <c r="E5644" s="728"/>
      <c r="F5644" s="728"/>
      <c r="G5644" s="728"/>
      <c r="H5644" s="728"/>
      <c r="I5644" s="728"/>
      <c r="J5644" s="728"/>
      <c r="K5644" s="728"/>
      <c r="L5644" s="148">
        <v>0.13600000000000001</v>
      </c>
      <c r="M5644" s="728"/>
      <c r="N5644" s="148">
        <v>0.13600000000000001</v>
      </c>
      <c r="O5644" s="148">
        <v>0</v>
      </c>
      <c r="P5644" s="148">
        <v>0.13600000000000001</v>
      </c>
      <c r="Q5644" s="148">
        <v>0</v>
      </c>
      <c r="R5644" s="148">
        <v>0</v>
      </c>
    </row>
    <row r="5645" spans="2:18" ht="15.75" hidden="1" thickBot="1" x14ac:dyDescent="0.3">
      <c r="B5645" s="724" t="s">
        <v>850</v>
      </c>
      <c r="C5645" s="149" t="s">
        <v>85</v>
      </c>
      <c r="D5645" t="s">
        <v>86</v>
      </c>
      <c r="E5645" s="147">
        <v>3.5573800000000002</v>
      </c>
      <c r="F5645" s="147">
        <v>2.4518300000000002</v>
      </c>
      <c r="G5645" s="147">
        <v>1.10555</v>
      </c>
      <c r="H5645" s="147">
        <v>45.090809721718067</v>
      </c>
      <c r="I5645" s="729"/>
      <c r="J5645" s="147">
        <v>3.5573800000000002</v>
      </c>
      <c r="K5645" s="147">
        <v>0</v>
      </c>
      <c r="L5645" s="147">
        <v>22.598189999999999</v>
      </c>
      <c r="M5645" s="147">
        <v>18.421959999999999</v>
      </c>
      <c r="N5645" s="147">
        <v>4.1762300000000003</v>
      </c>
      <c r="O5645" s="147">
        <v>22.669846205289772</v>
      </c>
      <c r="P5645" s="147">
        <v>9.8219700000000003</v>
      </c>
      <c r="Q5645" s="147">
        <v>12.77622</v>
      </c>
      <c r="R5645" s="147">
        <v>130.07797824672647</v>
      </c>
    </row>
    <row r="5646" spans="2:18" ht="15.75" hidden="1" thickBot="1" x14ac:dyDescent="0.3">
      <c r="B5646" s="724" t="s">
        <v>850</v>
      </c>
      <c r="C5646" s="144" t="s">
        <v>87</v>
      </c>
      <c r="D5646" t="s">
        <v>87</v>
      </c>
      <c r="E5646" s="148">
        <v>3.5573800000000002</v>
      </c>
      <c r="F5646" s="148">
        <v>2.4518300000000002</v>
      </c>
      <c r="G5646" s="148">
        <v>1.10555</v>
      </c>
      <c r="H5646" s="148">
        <v>45.090809721718067</v>
      </c>
      <c r="I5646" s="728"/>
      <c r="J5646" s="148">
        <v>3.5573800000000002</v>
      </c>
      <c r="K5646" s="148">
        <v>0</v>
      </c>
      <c r="L5646" s="148">
        <v>22.598189999999999</v>
      </c>
      <c r="M5646" s="148">
        <v>18.421959999999999</v>
      </c>
      <c r="N5646" s="148">
        <v>4.1762300000000003</v>
      </c>
      <c r="O5646" s="148">
        <v>22.669846205289772</v>
      </c>
      <c r="P5646" s="148">
        <v>9.8219700000000003</v>
      </c>
      <c r="Q5646" s="148">
        <v>12.77622</v>
      </c>
      <c r="R5646" s="148">
        <v>130.07797824672647</v>
      </c>
    </row>
    <row r="5647" spans="2:18" ht="15.75" hidden="1" thickBot="1" x14ac:dyDescent="0.3">
      <c r="B5647" s="145" t="s">
        <v>851</v>
      </c>
      <c r="C5647" s="722" t="s">
        <v>59</v>
      </c>
      <c r="D5647" t="s">
        <v>60</v>
      </c>
      <c r="E5647" s="147">
        <v>29.684640000000002</v>
      </c>
      <c r="F5647" s="147">
        <v>51.605269999999997</v>
      </c>
      <c r="G5647" s="147">
        <v>-21.920629999999999</v>
      </c>
      <c r="H5647" s="147">
        <v>-42.477502782177091</v>
      </c>
      <c r="I5647" s="729"/>
      <c r="J5647" s="147">
        <v>29.684640000000002</v>
      </c>
      <c r="K5647" s="147">
        <v>0</v>
      </c>
      <c r="L5647" s="147">
        <v>405.14382000000001</v>
      </c>
      <c r="M5647" s="147">
        <v>616.01448000000005</v>
      </c>
      <c r="N5647" s="147">
        <v>-210.87065999999999</v>
      </c>
      <c r="O5647" s="147">
        <v>-34.23144533875243</v>
      </c>
      <c r="P5647" s="147">
        <v>219.73826</v>
      </c>
      <c r="Q5647" s="147">
        <v>185.40556000000001</v>
      </c>
      <c r="R5647" s="147">
        <v>84.375638543783865</v>
      </c>
    </row>
    <row r="5648" spans="2:18" ht="15.75" hidden="1" thickBot="1" x14ac:dyDescent="0.3">
      <c r="B5648" s="145" t="s">
        <v>851</v>
      </c>
      <c r="C5648" s="722" t="s">
        <v>134</v>
      </c>
      <c r="D5648" t="s">
        <v>135</v>
      </c>
      <c r="E5648" s="148">
        <v>0.15817999999999999</v>
      </c>
      <c r="F5648" s="728"/>
      <c r="G5648" s="148">
        <v>0.15817999999999999</v>
      </c>
      <c r="H5648" s="148">
        <v>0</v>
      </c>
      <c r="I5648" s="728"/>
      <c r="J5648" s="148">
        <v>0.15817999999999999</v>
      </c>
      <c r="K5648" s="148">
        <v>0</v>
      </c>
      <c r="L5648" s="148">
        <v>0.25269000000000003</v>
      </c>
      <c r="M5648" s="728"/>
      <c r="N5648" s="148">
        <v>0.25269000000000003</v>
      </c>
      <c r="O5648" s="148">
        <v>0</v>
      </c>
      <c r="P5648" s="148">
        <v>9.4509999999999997E-2</v>
      </c>
      <c r="Q5648" s="148">
        <v>0.15817999999999999</v>
      </c>
      <c r="R5648" s="148">
        <v>167.36853243043063</v>
      </c>
    </row>
    <row r="5649" spans="2:18" ht="15.75" hidden="1" thickBot="1" x14ac:dyDescent="0.3">
      <c r="B5649" s="145" t="s">
        <v>851</v>
      </c>
      <c r="C5649" s="722" t="s">
        <v>61</v>
      </c>
      <c r="D5649" t="s">
        <v>62</v>
      </c>
      <c r="E5649" s="147">
        <v>5.51267</v>
      </c>
      <c r="F5649" s="147">
        <v>7.9988200000000003</v>
      </c>
      <c r="G5649" s="147">
        <v>-2.4861499999999999</v>
      </c>
      <c r="H5649" s="147">
        <v>-31.081459515278503</v>
      </c>
      <c r="I5649" s="729"/>
      <c r="J5649" s="147">
        <v>5.51267</v>
      </c>
      <c r="K5649" s="147">
        <v>0</v>
      </c>
      <c r="L5649" s="147">
        <v>62.860619999999997</v>
      </c>
      <c r="M5649" s="147">
        <v>95.482259999999997</v>
      </c>
      <c r="N5649" s="147">
        <v>-32.621639999999999</v>
      </c>
      <c r="O5649" s="147">
        <v>-34.16513182658224</v>
      </c>
      <c r="P5649" s="147">
        <v>33.199300000000001</v>
      </c>
      <c r="Q5649" s="147">
        <v>29.66132</v>
      </c>
      <c r="R5649" s="147">
        <v>89.343209043564173</v>
      </c>
    </row>
    <row r="5650" spans="2:18" ht="15.75" hidden="1" thickBot="1" x14ac:dyDescent="0.3">
      <c r="B5650" s="145" t="s">
        <v>851</v>
      </c>
      <c r="C5650" s="722" t="s">
        <v>63</v>
      </c>
      <c r="D5650" t="s">
        <v>64</v>
      </c>
      <c r="E5650" s="148">
        <v>21.416350000000001</v>
      </c>
      <c r="F5650" s="148">
        <v>31.117979999999999</v>
      </c>
      <c r="G5650" s="148">
        <v>-9.7016299999999998</v>
      </c>
      <c r="H5650" s="148">
        <v>-31.176927294123846</v>
      </c>
      <c r="I5650" s="728"/>
      <c r="J5650" s="148">
        <v>21.416350000000001</v>
      </c>
      <c r="K5650" s="148">
        <v>0</v>
      </c>
      <c r="L5650" s="148">
        <v>244.21077</v>
      </c>
      <c r="M5650" s="148">
        <v>371.45674000000002</v>
      </c>
      <c r="N5650" s="148">
        <v>-127.24597</v>
      </c>
      <c r="O5650" s="148">
        <v>-34.255932467398495</v>
      </c>
      <c r="P5650" s="148">
        <v>128.97732999999999</v>
      </c>
      <c r="Q5650" s="148">
        <v>115.23344</v>
      </c>
      <c r="R5650" s="148">
        <v>89.343949049030556</v>
      </c>
    </row>
    <row r="5651" spans="2:18" ht="15.75" hidden="1" thickBot="1" x14ac:dyDescent="0.3">
      <c r="B5651" s="145" t="s">
        <v>851</v>
      </c>
      <c r="C5651" s="722" t="s">
        <v>156</v>
      </c>
      <c r="D5651" t="s">
        <v>157</v>
      </c>
      <c r="E5651" s="147">
        <v>5.0304000000000002</v>
      </c>
      <c r="F5651" s="147">
        <v>4.7278700000000002</v>
      </c>
      <c r="G5651" s="147">
        <v>0.30253000000000002</v>
      </c>
      <c r="H5651" s="147">
        <v>6.3988646049912541</v>
      </c>
      <c r="I5651" s="729"/>
      <c r="J5651" s="147">
        <v>5.0304000000000002</v>
      </c>
      <c r="K5651" s="147">
        <v>0</v>
      </c>
      <c r="L5651" s="147">
        <v>58.613999999999997</v>
      </c>
      <c r="M5651" s="147">
        <v>56.436799999999998</v>
      </c>
      <c r="N5651" s="147">
        <v>2.1772</v>
      </c>
      <c r="O5651" s="147">
        <v>3.8577665636605905</v>
      </c>
      <c r="P5651" s="147">
        <v>29.6892</v>
      </c>
      <c r="Q5651" s="147">
        <v>28.924800000000001</v>
      </c>
      <c r="R5651" s="147">
        <v>97.42532638131037</v>
      </c>
    </row>
    <row r="5652" spans="2:18" ht="15.75" hidden="1" thickBot="1" x14ac:dyDescent="0.3">
      <c r="B5652" s="145" t="s">
        <v>851</v>
      </c>
      <c r="C5652" s="722" t="s">
        <v>65</v>
      </c>
      <c r="D5652" t="s">
        <v>66</v>
      </c>
      <c r="E5652" s="148">
        <v>-0.29228999999999999</v>
      </c>
      <c r="F5652" s="148">
        <v>-1.8601300000000001</v>
      </c>
      <c r="G5652" s="148">
        <v>1.5678399999999999</v>
      </c>
      <c r="H5652" s="148">
        <v>84.286582120604479</v>
      </c>
      <c r="I5652" s="728"/>
      <c r="J5652" s="148">
        <v>-0.29228999999999999</v>
      </c>
      <c r="K5652" s="148">
        <v>0</v>
      </c>
      <c r="L5652" s="148">
        <v>-15.33357</v>
      </c>
      <c r="M5652" s="148">
        <v>-22.204460000000001</v>
      </c>
      <c r="N5652" s="148">
        <v>6.8708900000000002</v>
      </c>
      <c r="O5652" s="148">
        <v>30.943738330047207</v>
      </c>
      <c r="P5652" s="148">
        <v>-11.43637</v>
      </c>
      <c r="Q5652" s="148">
        <v>-3.8972000000000002</v>
      </c>
      <c r="R5652" s="148">
        <v>-34.077246538893021</v>
      </c>
    </row>
    <row r="5653" spans="2:18" ht="15.75" hidden="1" thickBot="1" x14ac:dyDescent="0.3">
      <c r="B5653" s="145" t="s">
        <v>851</v>
      </c>
      <c r="C5653" s="149" t="s">
        <v>67</v>
      </c>
      <c r="D5653" t="s">
        <v>68</v>
      </c>
      <c r="E5653" s="147">
        <v>61.509950000000003</v>
      </c>
      <c r="F5653" s="147">
        <v>93.58981</v>
      </c>
      <c r="G5653" s="147">
        <v>-32.079859999999996</v>
      </c>
      <c r="H5653" s="147">
        <v>-34.27708636228666</v>
      </c>
      <c r="I5653" s="729"/>
      <c r="J5653" s="147">
        <v>61.509950000000003</v>
      </c>
      <c r="K5653" s="147">
        <v>0</v>
      </c>
      <c r="L5653" s="147">
        <v>755.74833000000001</v>
      </c>
      <c r="M5653" s="147">
        <v>1117.1858199999999</v>
      </c>
      <c r="N5653" s="147">
        <v>-361.43749000000003</v>
      </c>
      <c r="O5653" s="147">
        <v>-32.352495308255882</v>
      </c>
      <c r="P5653" s="147">
        <v>400.26222999999999</v>
      </c>
      <c r="Q5653" s="147">
        <v>355.48610000000002</v>
      </c>
      <c r="R5653" s="147">
        <v>88.813301220052665</v>
      </c>
    </row>
    <row r="5654" spans="2:18" ht="15.75" hidden="1" thickBot="1" x14ac:dyDescent="0.3">
      <c r="B5654" s="145" t="s">
        <v>851</v>
      </c>
      <c r="C5654" s="722" t="s">
        <v>69</v>
      </c>
      <c r="D5654" t="s">
        <v>70</v>
      </c>
      <c r="E5654" s="148">
        <v>6.3452900000000003</v>
      </c>
      <c r="F5654" s="148">
        <v>3</v>
      </c>
      <c r="G5654" s="148">
        <v>3.3452899999999999</v>
      </c>
      <c r="H5654" s="148">
        <v>111.50966666666666</v>
      </c>
      <c r="I5654" s="728"/>
      <c r="J5654" s="148">
        <v>6.3452900000000003</v>
      </c>
      <c r="K5654" s="148">
        <v>0</v>
      </c>
      <c r="L5654" s="148">
        <v>19.41395</v>
      </c>
      <c r="M5654" s="148">
        <v>37.634999999999998</v>
      </c>
      <c r="N5654" s="148">
        <v>-18.221050000000002</v>
      </c>
      <c r="O5654" s="148">
        <v>-48.415172047296402</v>
      </c>
      <c r="P5654" s="148">
        <v>4.8690899999999999</v>
      </c>
      <c r="Q5654" s="148">
        <v>14.54486</v>
      </c>
      <c r="R5654" s="148">
        <v>298.71824098548188</v>
      </c>
    </row>
    <row r="5655" spans="2:18" ht="15.75" hidden="1" thickBot="1" x14ac:dyDescent="0.3">
      <c r="B5655" s="145" t="s">
        <v>851</v>
      </c>
      <c r="C5655" s="722" t="s">
        <v>99</v>
      </c>
      <c r="D5655" t="s">
        <v>100</v>
      </c>
      <c r="E5655" s="729"/>
      <c r="F5655" s="147">
        <v>0.25</v>
      </c>
      <c r="G5655" s="147">
        <v>-0.25</v>
      </c>
      <c r="H5655" s="147">
        <v>-100</v>
      </c>
      <c r="I5655" s="729"/>
      <c r="J5655" s="729"/>
      <c r="K5655" s="729"/>
      <c r="L5655" s="729"/>
      <c r="M5655" s="147">
        <v>7.8</v>
      </c>
      <c r="N5655" s="147">
        <v>-7.8</v>
      </c>
      <c r="O5655" s="147">
        <v>-100</v>
      </c>
      <c r="P5655" s="729"/>
      <c r="Q5655" s="729"/>
      <c r="R5655" s="729"/>
    </row>
    <row r="5656" spans="2:18" ht="15.75" hidden="1" thickBot="1" x14ac:dyDescent="0.3">
      <c r="B5656" s="145" t="s">
        <v>851</v>
      </c>
      <c r="C5656" s="722" t="s">
        <v>165</v>
      </c>
      <c r="D5656" t="s">
        <v>166</v>
      </c>
      <c r="E5656" s="728"/>
      <c r="F5656" s="728"/>
      <c r="G5656" s="728"/>
      <c r="H5656" s="728"/>
      <c r="I5656" s="728"/>
      <c r="J5656" s="728"/>
      <c r="K5656" s="728"/>
      <c r="L5656" s="148">
        <v>0.21379000000000001</v>
      </c>
      <c r="M5656" s="728"/>
      <c r="N5656" s="148">
        <v>0.21379000000000001</v>
      </c>
      <c r="O5656" s="148">
        <v>0</v>
      </c>
      <c r="P5656" s="148">
        <v>2.4129999999999999E-2</v>
      </c>
      <c r="Q5656" s="148">
        <v>0.18966</v>
      </c>
      <c r="R5656" s="148">
        <v>785.99254040613346</v>
      </c>
    </row>
    <row r="5657" spans="2:18" ht="15.75" hidden="1" thickBot="1" x14ac:dyDescent="0.3">
      <c r="B5657" s="145" t="s">
        <v>851</v>
      </c>
      <c r="C5657" s="722" t="s">
        <v>137</v>
      </c>
      <c r="D5657" t="s">
        <v>138</v>
      </c>
      <c r="E5657" s="729"/>
      <c r="F5657" s="147">
        <v>9.2960000000000001E-2</v>
      </c>
      <c r="G5657" s="147">
        <v>-9.2960000000000001E-2</v>
      </c>
      <c r="H5657" s="147">
        <v>-100</v>
      </c>
      <c r="I5657" s="729"/>
      <c r="J5657" s="729"/>
      <c r="K5657" s="729"/>
      <c r="L5657" s="147">
        <v>1.1638900000000001</v>
      </c>
      <c r="M5657" s="147">
        <v>1.30596</v>
      </c>
      <c r="N5657" s="147">
        <v>-0.14207</v>
      </c>
      <c r="O5657" s="147">
        <v>-10.878587399307788</v>
      </c>
      <c r="P5657" s="147">
        <v>0.56449000000000005</v>
      </c>
      <c r="Q5657" s="147">
        <v>0.59940000000000004</v>
      </c>
      <c r="R5657" s="147">
        <v>106.18434338960832</v>
      </c>
    </row>
    <row r="5658" spans="2:18" ht="15.75" hidden="1" thickBot="1" x14ac:dyDescent="0.3">
      <c r="B5658" s="145" t="s">
        <v>851</v>
      </c>
      <c r="C5658" s="722" t="s">
        <v>190</v>
      </c>
      <c r="D5658" t="s">
        <v>191</v>
      </c>
      <c r="E5658" s="148">
        <v>5.2779999999999996</v>
      </c>
      <c r="F5658" s="148">
        <v>5.3307799999999999</v>
      </c>
      <c r="G5658" s="148">
        <v>-5.2780000000000001E-2</v>
      </c>
      <c r="H5658" s="148">
        <v>-0.99009900990099009</v>
      </c>
      <c r="I5658" s="728"/>
      <c r="J5658" s="148">
        <v>5.2779999999999996</v>
      </c>
      <c r="K5658" s="148">
        <v>0</v>
      </c>
      <c r="L5658" s="148">
        <v>63.335999999999999</v>
      </c>
      <c r="M5658" s="148">
        <v>63.969360000000002</v>
      </c>
      <c r="N5658" s="148">
        <v>-0.63336000000000003</v>
      </c>
      <c r="O5658" s="148">
        <v>-0.99009900990099009</v>
      </c>
      <c r="P5658" s="148">
        <v>31.667999999999999</v>
      </c>
      <c r="Q5658" s="148">
        <v>31.667999999999999</v>
      </c>
      <c r="R5658" s="148">
        <v>100</v>
      </c>
    </row>
    <row r="5659" spans="2:18" ht="15.75" hidden="1" thickBot="1" x14ac:dyDescent="0.3">
      <c r="B5659" s="145" t="s">
        <v>851</v>
      </c>
      <c r="C5659" s="722" t="s">
        <v>139</v>
      </c>
      <c r="D5659" t="s">
        <v>140</v>
      </c>
      <c r="E5659" s="147">
        <v>0.68698999999999999</v>
      </c>
      <c r="F5659" s="147">
        <v>15.414999999999999</v>
      </c>
      <c r="G5659" s="147">
        <v>-14.728009999999999</v>
      </c>
      <c r="H5659" s="147">
        <v>-95.543366850470321</v>
      </c>
      <c r="I5659" s="729"/>
      <c r="J5659" s="147">
        <v>0.68698999999999999</v>
      </c>
      <c r="K5659" s="147">
        <v>0</v>
      </c>
      <c r="L5659" s="147">
        <v>71.98948</v>
      </c>
      <c r="M5659" s="147">
        <v>84.614999999999995</v>
      </c>
      <c r="N5659" s="147">
        <v>-12.62552</v>
      </c>
      <c r="O5659" s="147">
        <v>-14.921136914258701</v>
      </c>
      <c r="P5659" s="147">
        <v>70.5655</v>
      </c>
      <c r="Q5659" s="147">
        <v>1.42398</v>
      </c>
      <c r="R5659" s="147">
        <v>2.0179549496567017</v>
      </c>
    </row>
    <row r="5660" spans="2:18" ht="15.75" hidden="1" thickBot="1" x14ac:dyDescent="0.3">
      <c r="B5660" s="145" t="s">
        <v>851</v>
      </c>
      <c r="C5660" s="722" t="s">
        <v>169</v>
      </c>
      <c r="D5660" t="s">
        <v>170</v>
      </c>
      <c r="E5660" s="148">
        <v>6.5770299999999997</v>
      </c>
      <c r="F5660" s="148">
        <v>2.5</v>
      </c>
      <c r="G5660" s="148">
        <v>4.0770299999999997</v>
      </c>
      <c r="H5660" s="148">
        <v>163.0812</v>
      </c>
      <c r="I5660" s="728"/>
      <c r="J5660" s="148">
        <v>6.5770299999999997</v>
      </c>
      <c r="K5660" s="148">
        <v>0</v>
      </c>
      <c r="L5660" s="148">
        <v>27.16311</v>
      </c>
      <c r="M5660" s="148">
        <v>33</v>
      </c>
      <c r="N5660" s="148">
        <v>-5.8368900000000004</v>
      </c>
      <c r="O5660" s="148">
        <v>-17.687545454545454</v>
      </c>
      <c r="P5660" s="148">
        <v>4.7553599999999996</v>
      </c>
      <c r="Q5660" s="148">
        <v>22.40775</v>
      </c>
      <c r="R5660" s="148">
        <v>471.21038154840011</v>
      </c>
    </row>
    <row r="5661" spans="2:18" ht="15.75" hidden="1" thickBot="1" x14ac:dyDescent="0.3">
      <c r="B5661" s="145" t="s">
        <v>851</v>
      </c>
      <c r="C5661" s="722" t="s">
        <v>101</v>
      </c>
      <c r="D5661" t="s">
        <v>102</v>
      </c>
      <c r="E5661" s="147">
        <v>1.55497</v>
      </c>
      <c r="F5661" s="147">
        <v>0.13500000000000001</v>
      </c>
      <c r="G5661" s="147">
        <v>1.41997</v>
      </c>
      <c r="H5661" s="147">
        <v>1051.8296296296296</v>
      </c>
      <c r="I5661" s="729"/>
      <c r="J5661" s="147">
        <v>1.55497</v>
      </c>
      <c r="K5661" s="147">
        <v>0</v>
      </c>
      <c r="L5661" s="147">
        <v>4.5179600000000004</v>
      </c>
      <c r="M5661" s="147">
        <v>18.7</v>
      </c>
      <c r="N5661" s="147">
        <v>-14.182040000000001</v>
      </c>
      <c r="O5661" s="147">
        <v>-75.839786096256688</v>
      </c>
      <c r="P5661" s="147">
        <v>1.82111</v>
      </c>
      <c r="Q5661" s="147">
        <v>2.69685</v>
      </c>
      <c r="R5661" s="147">
        <v>148.08825386714696</v>
      </c>
    </row>
    <row r="5662" spans="2:18" ht="15.75" hidden="1" thickBot="1" x14ac:dyDescent="0.3">
      <c r="B5662" s="145" t="s">
        <v>851</v>
      </c>
      <c r="C5662" s="722" t="s">
        <v>464</v>
      </c>
      <c r="D5662" t="s">
        <v>465</v>
      </c>
      <c r="E5662" s="148">
        <v>8.3868299999999998</v>
      </c>
      <c r="F5662" s="148">
        <v>26.339649999999999</v>
      </c>
      <c r="G5662" s="148">
        <v>-17.952819999999999</v>
      </c>
      <c r="H5662" s="148">
        <v>-68.158916310581191</v>
      </c>
      <c r="I5662" s="728"/>
      <c r="J5662" s="148">
        <v>8.3868299999999998</v>
      </c>
      <c r="K5662" s="148">
        <v>0</v>
      </c>
      <c r="L5662" s="148">
        <v>185.28996000000001</v>
      </c>
      <c r="M5662" s="148">
        <v>186.50465</v>
      </c>
      <c r="N5662" s="148">
        <v>-1.21469</v>
      </c>
      <c r="O5662" s="148">
        <v>-0.65129207234243225</v>
      </c>
      <c r="P5662" s="148">
        <v>85.691249999999997</v>
      </c>
      <c r="Q5662" s="148">
        <v>99.598709999999997</v>
      </c>
      <c r="R5662" s="148">
        <v>116.22973174040523</v>
      </c>
    </row>
    <row r="5663" spans="2:18" ht="15.75" hidden="1" thickBot="1" x14ac:dyDescent="0.3">
      <c r="B5663" s="145" t="s">
        <v>851</v>
      </c>
      <c r="C5663" s="722" t="s">
        <v>103</v>
      </c>
      <c r="D5663" t="s">
        <v>104</v>
      </c>
      <c r="E5663" s="729"/>
      <c r="F5663" s="729"/>
      <c r="G5663" s="729"/>
      <c r="H5663" s="729"/>
      <c r="I5663" s="729"/>
      <c r="J5663" s="729"/>
      <c r="K5663" s="729"/>
      <c r="L5663" s="147">
        <v>3</v>
      </c>
      <c r="M5663" s="729"/>
      <c r="N5663" s="147">
        <v>3</v>
      </c>
      <c r="O5663" s="147">
        <v>0</v>
      </c>
      <c r="P5663" s="729"/>
      <c r="Q5663" s="147">
        <v>3</v>
      </c>
      <c r="R5663" s="147">
        <v>0</v>
      </c>
    </row>
    <row r="5664" spans="2:18" ht="15.75" hidden="1" thickBot="1" x14ac:dyDescent="0.3">
      <c r="B5664" s="145" t="s">
        <v>851</v>
      </c>
      <c r="C5664" s="722" t="s">
        <v>71</v>
      </c>
      <c r="D5664" t="s">
        <v>72</v>
      </c>
      <c r="E5664" s="148">
        <v>4.9899999999999996E-3</v>
      </c>
      <c r="F5664" s="728"/>
      <c r="G5664" s="148">
        <v>4.9899999999999996E-3</v>
      </c>
      <c r="H5664" s="148">
        <v>0</v>
      </c>
      <c r="I5664" s="728"/>
      <c r="J5664" s="148">
        <v>4.9899999999999996E-3</v>
      </c>
      <c r="K5664" s="148">
        <v>0</v>
      </c>
      <c r="L5664" s="148">
        <v>4.9899999999999996E-3</v>
      </c>
      <c r="M5664" s="728"/>
      <c r="N5664" s="148">
        <v>4.9899999999999996E-3</v>
      </c>
      <c r="O5664" s="148">
        <v>0</v>
      </c>
      <c r="P5664" s="728"/>
      <c r="Q5664" s="148">
        <v>4.9899999999999996E-3</v>
      </c>
      <c r="R5664" s="148">
        <v>0</v>
      </c>
    </row>
    <row r="5665" spans="2:18" ht="15.75" hidden="1" thickBot="1" x14ac:dyDescent="0.3">
      <c r="B5665" s="145" t="s">
        <v>851</v>
      </c>
      <c r="C5665" s="722" t="s">
        <v>107</v>
      </c>
      <c r="D5665" t="s">
        <v>108</v>
      </c>
      <c r="E5665" s="729"/>
      <c r="F5665" s="729"/>
      <c r="G5665" s="729"/>
      <c r="H5665" s="729"/>
      <c r="I5665" s="729"/>
      <c r="J5665" s="729"/>
      <c r="K5665" s="729"/>
      <c r="L5665" s="147">
        <v>0.63859999999999995</v>
      </c>
      <c r="M5665" s="729"/>
      <c r="N5665" s="147">
        <v>0.63859999999999995</v>
      </c>
      <c r="O5665" s="147">
        <v>0</v>
      </c>
      <c r="P5665" s="729"/>
      <c r="Q5665" s="147">
        <v>0.63859999999999995</v>
      </c>
      <c r="R5665" s="147">
        <v>0</v>
      </c>
    </row>
    <row r="5666" spans="2:18" ht="15.75" hidden="1" thickBot="1" x14ac:dyDescent="0.3">
      <c r="B5666" s="145" t="s">
        <v>851</v>
      </c>
      <c r="C5666" s="722" t="s">
        <v>109</v>
      </c>
      <c r="D5666" t="s">
        <v>110</v>
      </c>
      <c r="E5666" s="148">
        <v>2.2396799999999999</v>
      </c>
      <c r="F5666" s="148">
        <v>8.5316700000000001</v>
      </c>
      <c r="G5666" s="148">
        <v>-6.2919900000000002</v>
      </c>
      <c r="H5666" s="148">
        <v>-73.748633034329742</v>
      </c>
      <c r="I5666" s="728"/>
      <c r="J5666" s="148">
        <v>2.2396799999999999</v>
      </c>
      <c r="K5666" s="148">
        <v>0</v>
      </c>
      <c r="L5666" s="148">
        <v>60.511580000000002</v>
      </c>
      <c r="M5666" s="148">
        <v>97.515039999999999</v>
      </c>
      <c r="N5666" s="148">
        <v>-37.003459999999997</v>
      </c>
      <c r="O5666" s="148">
        <v>-37.946413189185996</v>
      </c>
      <c r="P5666" s="148">
        <v>48.159709999999997</v>
      </c>
      <c r="Q5666" s="148">
        <v>12.35187</v>
      </c>
      <c r="R5666" s="148">
        <v>25.647725038211401</v>
      </c>
    </row>
    <row r="5667" spans="2:18" ht="15.75" hidden="1" thickBot="1" x14ac:dyDescent="0.3">
      <c r="B5667" s="145" t="s">
        <v>851</v>
      </c>
      <c r="C5667" s="722" t="s">
        <v>73</v>
      </c>
      <c r="D5667" t="s">
        <v>74</v>
      </c>
      <c r="E5667" s="147">
        <v>0.26928000000000002</v>
      </c>
      <c r="F5667" s="147">
        <v>0.7</v>
      </c>
      <c r="G5667" s="147">
        <v>-0.43071999999999999</v>
      </c>
      <c r="H5667" s="147">
        <v>-61.53142857142857</v>
      </c>
      <c r="I5667" s="729"/>
      <c r="J5667" s="147">
        <v>0.26928000000000002</v>
      </c>
      <c r="K5667" s="147">
        <v>0</v>
      </c>
      <c r="L5667" s="147">
        <v>4.8237699999999997</v>
      </c>
      <c r="M5667" s="147">
        <v>6.8</v>
      </c>
      <c r="N5667" s="147">
        <v>-1.9762299999999999</v>
      </c>
      <c r="O5667" s="147">
        <v>-29.062205882352941</v>
      </c>
      <c r="P5667" s="147">
        <v>2.43398</v>
      </c>
      <c r="Q5667" s="147">
        <v>2.3897900000000001</v>
      </c>
      <c r="R5667" s="147">
        <v>98.184455090017167</v>
      </c>
    </row>
    <row r="5668" spans="2:18" ht="15.75" hidden="1" thickBot="1" x14ac:dyDescent="0.3">
      <c r="B5668" s="145" t="s">
        <v>851</v>
      </c>
      <c r="C5668" s="722" t="s">
        <v>111</v>
      </c>
      <c r="D5668" t="s">
        <v>112</v>
      </c>
      <c r="E5668" s="148">
        <v>16.528639999999999</v>
      </c>
      <c r="F5668" s="148">
        <v>3.0282499999999999</v>
      </c>
      <c r="G5668" s="148">
        <v>13.500389999999999</v>
      </c>
      <c r="H5668" s="148">
        <v>445.81490960125484</v>
      </c>
      <c r="I5668" s="728"/>
      <c r="J5668" s="148">
        <v>16.528639999999999</v>
      </c>
      <c r="K5668" s="148">
        <v>0</v>
      </c>
      <c r="L5668" s="148">
        <v>69.988960000000006</v>
      </c>
      <c r="M5668" s="148">
        <v>73.688249999999996</v>
      </c>
      <c r="N5668" s="148">
        <v>-3.69929</v>
      </c>
      <c r="O5668" s="148">
        <v>-5.0201897860242308</v>
      </c>
      <c r="P5668" s="148">
        <v>52.12782</v>
      </c>
      <c r="Q5668" s="148">
        <v>17.861139999999999</v>
      </c>
      <c r="R5668" s="148">
        <v>34.264122305517475</v>
      </c>
    </row>
    <row r="5669" spans="2:18" ht="15.75" hidden="1" thickBot="1" x14ac:dyDescent="0.3">
      <c r="B5669" s="145" t="s">
        <v>851</v>
      </c>
      <c r="C5669" s="722" t="s">
        <v>141</v>
      </c>
      <c r="D5669" t="s">
        <v>142</v>
      </c>
      <c r="E5669" s="147">
        <v>3.184E-2</v>
      </c>
      <c r="F5669" s="147">
        <v>2.61</v>
      </c>
      <c r="G5669" s="147">
        <v>-2.57816</v>
      </c>
      <c r="H5669" s="147">
        <v>-98.780076628352489</v>
      </c>
      <c r="I5669" s="729"/>
      <c r="J5669" s="147">
        <v>3.184E-2</v>
      </c>
      <c r="K5669" s="147">
        <v>0</v>
      </c>
      <c r="L5669" s="147">
        <v>0.98133999999999999</v>
      </c>
      <c r="M5669" s="147">
        <v>4.26</v>
      </c>
      <c r="N5669" s="147">
        <v>-3.2786599999999999</v>
      </c>
      <c r="O5669" s="147">
        <v>-76.963849765258217</v>
      </c>
      <c r="P5669" s="147">
        <v>0.61634999999999995</v>
      </c>
      <c r="Q5669" s="147">
        <v>0.36498999999999998</v>
      </c>
      <c r="R5669" s="147">
        <v>59.217976798896728</v>
      </c>
    </row>
    <row r="5670" spans="2:18" ht="15.75" hidden="1" thickBot="1" x14ac:dyDescent="0.3">
      <c r="B5670" s="145" t="s">
        <v>851</v>
      </c>
      <c r="C5670" s="722" t="s">
        <v>113</v>
      </c>
      <c r="D5670" t="s">
        <v>114</v>
      </c>
      <c r="E5670" s="728"/>
      <c r="F5670" s="148">
        <v>0.23169999999999999</v>
      </c>
      <c r="G5670" s="148">
        <v>-0.23169999999999999</v>
      </c>
      <c r="H5670" s="148">
        <v>-100</v>
      </c>
      <c r="I5670" s="728"/>
      <c r="J5670" s="728"/>
      <c r="K5670" s="728"/>
      <c r="L5670" s="148">
        <v>0.19319</v>
      </c>
      <c r="M5670" s="148">
        <v>2.4929999999999999</v>
      </c>
      <c r="N5670" s="148">
        <v>-2.2998099999999999</v>
      </c>
      <c r="O5670" s="148">
        <v>-92.25070196550341</v>
      </c>
      <c r="P5670" s="148">
        <v>8.7410000000000002E-2</v>
      </c>
      <c r="Q5670" s="148">
        <v>0.10578</v>
      </c>
      <c r="R5670" s="148">
        <v>121.01590207070129</v>
      </c>
    </row>
    <row r="5671" spans="2:18" ht="15.75" hidden="1" thickBot="1" x14ac:dyDescent="0.3">
      <c r="B5671" s="145" t="s">
        <v>851</v>
      </c>
      <c r="C5671" s="722" t="s">
        <v>633</v>
      </c>
      <c r="D5671" t="s">
        <v>634</v>
      </c>
      <c r="E5671" s="147">
        <v>285.52920999999998</v>
      </c>
      <c r="F5671" s="147">
        <v>317.33747</v>
      </c>
      <c r="G5671" s="147">
        <v>-31.808260000000001</v>
      </c>
      <c r="H5671" s="147">
        <v>-10.023480681307506</v>
      </c>
      <c r="I5671" s="729"/>
      <c r="J5671" s="147">
        <v>285.52920999999998</v>
      </c>
      <c r="K5671" s="147">
        <v>0</v>
      </c>
      <c r="L5671" s="147">
        <v>3120.6935699999999</v>
      </c>
      <c r="M5671" s="147">
        <v>3326.0496400000002</v>
      </c>
      <c r="N5671" s="147">
        <v>-205.35606999999999</v>
      </c>
      <c r="O5671" s="147">
        <v>-6.1741733355488941</v>
      </c>
      <c r="P5671" s="147">
        <v>1526.8912399999999</v>
      </c>
      <c r="Q5671" s="147">
        <v>1593.80233</v>
      </c>
      <c r="R5671" s="147">
        <v>104.38217786880486</v>
      </c>
    </row>
    <row r="5672" spans="2:18" ht="15.75" hidden="1" thickBot="1" x14ac:dyDescent="0.3">
      <c r="B5672" s="145" t="s">
        <v>851</v>
      </c>
      <c r="C5672" s="722" t="s">
        <v>145</v>
      </c>
      <c r="D5672" t="s">
        <v>146</v>
      </c>
      <c r="E5672" s="148">
        <v>0.315</v>
      </c>
      <c r="F5672" s="148">
        <v>0.5</v>
      </c>
      <c r="G5672" s="148">
        <v>-0.185</v>
      </c>
      <c r="H5672" s="148">
        <v>-37</v>
      </c>
      <c r="I5672" s="728"/>
      <c r="J5672" s="148">
        <v>0.315</v>
      </c>
      <c r="K5672" s="148">
        <v>0</v>
      </c>
      <c r="L5672" s="148">
        <v>3.0253999999999999</v>
      </c>
      <c r="M5672" s="148">
        <v>3.7010000000000001</v>
      </c>
      <c r="N5672" s="148">
        <v>-0.67559999999999998</v>
      </c>
      <c r="O5672" s="148">
        <v>-18.254525803836803</v>
      </c>
      <c r="P5672" s="148">
        <v>1.2292000000000001</v>
      </c>
      <c r="Q5672" s="148">
        <v>1.7962</v>
      </c>
      <c r="R5672" s="148">
        <v>146.12756264236901</v>
      </c>
    </row>
    <row r="5673" spans="2:18" ht="15.75" hidden="1" thickBot="1" x14ac:dyDescent="0.3">
      <c r="B5673" s="145" t="s">
        <v>851</v>
      </c>
      <c r="C5673" s="722" t="s">
        <v>147</v>
      </c>
      <c r="D5673" t="s">
        <v>148</v>
      </c>
      <c r="E5673" s="147">
        <v>0.11433</v>
      </c>
      <c r="F5673" s="147">
        <v>0.1</v>
      </c>
      <c r="G5673" s="147">
        <v>1.4330000000000001E-2</v>
      </c>
      <c r="H5673" s="147">
        <v>14.33</v>
      </c>
      <c r="I5673" s="729"/>
      <c r="J5673" s="147">
        <v>0.11433</v>
      </c>
      <c r="K5673" s="147">
        <v>0</v>
      </c>
      <c r="L5673" s="147">
        <v>0.53327999999999998</v>
      </c>
      <c r="M5673" s="147">
        <v>0.2</v>
      </c>
      <c r="N5673" s="147">
        <v>0.33328000000000002</v>
      </c>
      <c r="O5673" s="147">
        <v>166.64</v>
      </c>
      <c r="P5673" s="147">
        <v>0.30823</v>
      </c>
      <c r="Q5673" s="147">
        <v>0.22505</v>
      </c>
      <c r="R5673" s="147">
        <v>73.013658631541375</v>
      </c>
    </row>
    <row r="5674" spans="2:18" ht="15.75" hidden="1" thickBot="1" x14ac:dyDescent="0.3">
      <c r="B5674" s="145" t="s">
        <v>851</v>
      </c>
      <c r="C5674" s="722" t="s">
        <v>643</v>
      </c>
      <c r="D5674" t="s">
        <v>644</v>
      </c>
      <c r="E5674" s="148">
        <v>18.07301</v>
      </c>
      <c r="F5674" s="148">
        <v>75.650000000000006</v>
      </c>
      <c r="G5674" s="148">
        <v>-57.576990000000002</v>
      </c>
      <c r="H5674" s="148">
        <v>-76.109702577660272</v>
      </c>
      <c r="I5674" s="728"/>
      <c r="J5674" s="148">
        <v>18.07301</v>
      </c>
      <c r="K5674" s="148">
        <v>0</v>
      </c>
      <c r="L5674" s="148">
        <v>285.23739999999998</v>
      </c>
      <c r="M5674" s="148">
        <v>433.9</v>
      </c>
      <c r="N5674" s="148">
        <v>-148.6626</v>
      </c>
      <c r="O5674" s="148">
        <v>-34.261949758008761</v>
      </c>
      <c r="P5674" s="148">
        <v>156.66078999999999</v>
      </c>
      <c r="Q5674" s="148">
        <v>128.57660999999999</v>
      </c>
      <c r="R5674" s="148">
        <v>82.073255215935021</v>
      </c>
    </row>
    <row r="5675" spans="2:18" ht="15.75" hidden="1" thickBot="1" x14ac:dyDescent="0.3">
      <c r="B5675" s="145" t="s">
        <v>851</v>
      </c>
      <c r="C5675" s="722" t="s">
        <v>149</v>
      </c>
      <c r="D5675" t="s">
        <v>150</v>
      </c>
      <c r="E5675" s="147">
        <v>5.2862499999999999</v>
      </c>
      <c r="F5675" s="147">
        <v>32.498330000000003</v>
      </c>
      <c r="G5675" s="147">
        <v>-27.21208</v>
      </c>
      <c r="H5675" s="147">
        <v>-83.733779551133864</v>
      </c>
      <c r="I5675" s="729"/>
      <c r="J5675" s="147">
        <v>5.2862499999999999</v>
      </c>
      <c r="K5675" s="147">
        <v>0</v>
      </c>
      <c r="L5675" s="147">
        <v>431.26258999999999</v>
      </c>
      <c r="M5675" s="147">
        <v>543.16495999999995</v>
      </c>
      <c r="N5675" s="147">
        <v>-111.90237</v>
      </c>
      <c r="O5675" s="147">
        <v>-20.601912538688062</v>
      </c>
      <c r="P5675" s="147">
        <v>324.22627</v>
      </c>
      <c r="Q5675" s="147">
        <v>107.03632</v>
      </c>
      <c r="R5675" s="147">
        <v>33.012846244692014</v>
      </c>
    </row>
    <row r="5676" spans="2:18" ht="15.75" hidden="1" thickBot="1" x14ac:dyDescent="0.3">
      <c r="B5676" s="145" t="s">
        <v>851</v>
      </c>
      <c r="C5676" s="722" t="s">
        <v>205</v>
      </c>
      <c r="D5676" t="s">
        <v>206</v>
      </c>
      <c r="E5676" s="728"/>
      <c r="F5676" s="728"/>
      <c r="G5676" s="728"/>
      <c r="H5676" s="728"/>
      <c r="I5676" s="728"/>
      <c r="J5676" s="728"/>
      <c r="K5676" s="728"/>
      <c r="L5676" s="148">
        <v>9.5000000000000001E-2</v>
      </c>
      <c r="M5676" s="728"/>
      <c r="N5676" s="148">
        <v>9.5000000000000001E-2</v>
      </c>
      <c r="O5676" s="148">
        <v>0</v>
      </c>
      <c r="P5676" s="728"/>
      <c r="Q5676" s="148">
        <v>9.5000000000000001E-2</v>
      </c>
      <c r="R5676" s="148">
        <v>0</v>
      </c>
    </row>
    <row r="5677" spans="2:18" ht="15.75" hidden="1" thickBot="1" x14ac:dyDescent="0.3">
      <c r="B5677" s="145" t="s">
        <v>851</v>
      </c>
      <c r="C5677" s="722" t="s">
        <v>649</v>
      </c>
      <c r="D5677" t="s">
        <v>650</v>
      </c>
      <c r="E5677" s="147">
        <v>2.2923499999999999</v>
      </c>
      <c r="F5677" s="147">
        <v>1.655</v>
      </c>
      <c r="G5677" s="147">
        <v>0.63734999999999997</v>
      </c>
      <c r="H5677" s="147">
        <v>38.510574018126889</v>
      </c>
      <c r="I5677" s="729"/>
      <c r="J5677" s="147">
        <v>2.2923499999999999</v>
      </c>
      <c r="K5677" s="147">
        <v>0</v>
      </c>
      <c r="L5677" s="147">
        <v>22.8124</v>
      </c>
      <c r="M5677" s="147">
        <v>19.655000000000001</v>
      </c>
      <c r="N5677" s="147">
        <v>3.1574</v>
      </c>
      <c r="O5677" s="147">
        <v>16.064105825489698</v>
      </c>
      <c r="P5677" s="147">
        <v>11.40142</v>
      </c>
      <c r="Q5677" s="147">
        <v>11.41098</v>
      </c>
      <c r="R5677" s="147">
        <v>100.08384920474818</v>
      </c>
    </row>
    <row r="5678" spans="2:18" ht="15.75" hidden="1" thickBot="1" x14ac:dyDescent="0.3">
      <c r="B5678" s="145" t="s">
        <v>851</v>
      </c>
      <c r="C5678" s="722" t="s">
        <v>151</v>
      </c>
      <c r="D5678" t="s">
        <v>152</v>
      </c>
      <c r="E5678" s="148">
        <v>4.6516500000000001</v>
      </c>
      <c r="F5678" s="148">
        <v>1.83</v>
      </c>
      <c r="G5678" s="148">
        <v>2.82165</v>
      </c>
      <c r="H5678" s="148">
        <v>154.18852459016392</v>
      </c>
      <c r="I5678" s="728"/>
      <c r="J5678" s="148">
        <v>4.6516500000000001</v>
      </c>
      <c r="K5678" s="148">
        <v>0</v>
      </c>
      <c r="L5678" s="148">
        <v>10.14392</v>
      </c>
      <c r="M5678" s="148">
        <v>3.03</v>
      </c>
      <c r="N5678" s="148">
        <v>7.1139200000000002</v>
      </c>
      <c r="O5678" s="148">
        <v>234.78283828382837</v>
      </c>
      <c r="P5678" s="148">
        <v>3.5991399999999998</v>
      </c>
      <c r="Q5678" s="148">
        <v>6.5447800000000003</v>
      </c>
      <c r="R5678" s="148">
        <v>181.84288468912018</v>
      </c>
    </row>
    <row r="5679" spans="2:18" ht="15.75" hidden="1" thickBot="1" x14ac:dyDescent="0.3">
      <c r="B5679" s="145" t="s">
        <v>851</v>
      </c>
      <c r="C5679" s="722" t="s">
        <v>175</v>
      </c>
      <c r="D5679" t="s">
        <v>176</v>
      </c>
      <c r="E5679" s="729"/>
      <c r="F5679" s="729"/>
      <c r="G5679" s="729"/>
      <c r="H5679" s="729"/>
      <c r="I5679" s="729"/>
      <c r="J5679" s="729"/>
      <c r="K5679" s="729"/>
      <c r="L5679" s="147">
        <v>0</v>
      </c>
      <c r="M5679" s="729"/>
      <c r="N5679" s="147">
        <v>0</v>
      </c>
      <c r="O5679" s="147">
        <v>0</v>
      </c>
      <c r="P5679" s="147">
        <v>0</v>
      </c>
      <c r="Q5679" s="147">
        <v>0</v>
      </c>
      <c r="R5679" s="147">
        <v>0</v>
      </c>
    </row>
    <row r="5680" spans="2:18" ht="15.75" hidden="1" thickBot="1" x14ac:dyDescent="0.3">
      <c r="B5680" s="145" t="s">
        <v>851</v>
      </c>
      <c r="C5680" s="722" t="s">
        <v>669</v>
      </c>
      <c r="D5680" t="s">
        <v>670</v>
      </c>
      <c r="E5680" s="148">
        <v>60.017000000000003</v>
      </c>
      <c r="F5680" s="148">
        <v>78.166669999999996</v>
      </c>
      <c r="G5680" s="148">
        <v>-18.14967</v>
      </c>
      <c r="H5680" s="148">
        <v>-23.219193039693259</v>
      </c>
      <c r="I5680" s="728"/>
      <c r="J5680" s="148">
        <v>60.017000000000003</v>
      </c>
      <c r="K5680" s="148">
        <v>0</v>
      </c>
      <c r="L5680" s="148">
        <v>1714.04808</v>
      </c>
      <c r="M5680" s="148">
        <v>1723.0000199999999</v>
      </c>
      <c r="N5680" s="148">
        <v>-8.9519400000000005</v>
      </c>
      <c r="O5680" s="148">
        <v>-0.51955542055072057</v>
      </c>
      <c r="P5680" s="148">
        <v>791.44799999999998</v>
      </c>
      <c r="Q5680" s="148">
        <v>922.60008000000005</v>
      </c>
      <c r="R5680" s="148">
        <v>116.57115565394062</v>
      </c>
    </row>
    <row r="5681" spans="2:18" ht="15.75" hidden="1" thickBot="1" x14ac:dyDescent="0.3">
      <c r="B5681" s="145" t="s">
        <v>851</v>
      </c>
      <c r="C5681" s="722" t="s">
        <v>75</v>
      </c>
      <c r="D5681" t="s">
        <v>76</v>
      </c>
      <c r="E5681" s="147">
        <v>13.18784</v>
      </c>
      <c r="F5681" s="147">
        <v>19.66</v>
      </c>
      <c r="G5681" s="147">
        <v>-6.4721599999999997</v>
      </c>
      <c r="H5681" s="147">
        <v>-32.920447609359108</v>
      </c>
      <c r="I5681" s="729"/>
      <c r="J5681" s="147">
        <v>13.18784</v>
      </c>
      <c r="K5681" s="147">
        <v>0</v>
      </c>
      <c r="L5681" s="147">
        <v>42.607799999999997</v>
      </c>
      <c r="M5681" s="147">
        <v>114.94199999999999</v>
      </c>
      <c r="N5681" s="147">
        <v>-72.334199999999996</v>
      </c>
      <c r="O5681" s="147">
        <v>-62.931043482800021</v>
      </c>
      <c r="P5681" s="147">
        <v>-5.7767299999999997</v>
      </c>
      <c r="Q5681" s="147">
        <v>48.384529999999998</v>
      </c>
      <c r="R5681" s="147">
        <v>837.57644895987869</v>
      </c>
    </row>
    <row r="5682" spans="2:18" ht="15.75" hidden="1" thickBot="1" x14ac:dyDescent="0.3">
      <c r="B5682" s="145" t="s">
        <v>851</v>
      </c>
      <c r="C5682" s="722" t="s">
        <v>121</v>
      </c>
      <c r="D5682" t="s">
        <v>122</v>
      </c>
      <c r="E5682" s="148">
        <v>1.2410000000000001</v>
      </c>
      <c r="F5682" s="148">
        <v>5.5E-2</v>
      </c>
      <c r="G5682" s="148">
        <v>1.1859999999999999</v>
      </c>
      <c r="H5682" s="148">
        <v>2156.3636363636365</v>
      </c>
      <c r="I5682" s="728"/>
      <c r="J5682" s="148">
        <v>1.2410000000000001</v>
      </c>
      <c r="K5682" s="148">
        <v>0</v>
      </c>
      <c r="L5682" s="148">
        <v>6.0379899999999997</v>
      </c>
      <c r="M5682" s="148">
        <v>1.0049999999999999</v>
      </c>
      <c r="N5682" s="148">
        <v>5.0329899999999999</v>
      </c>
      <c r="O5682" s="148">
        <v>500.79502487562189</v>
      </c>
      <c r="P5682" s="148">
        <v>2.7749899999999998</v>
      </c>
      <c r="Q5682" s="148">
        <v>3.2629999999999999</v>
      </c>
      <c r="R5682" s="148">
        <v>117.58600931895251</v>
      </c>
    </row>
    <row r="5683" spans="2:18" ht="15.75" hidden="1" thickBot="1" x14ac:dyDescent="0.3">
      <c r="B5683" s="145" t="s">
        <v>851</v>
      </c>
      <c r="C5683" s="722" t="s">
        <v>77</v>
      </c>
      <c r="D5683" t="s">
        <v>78</v>
      </c>
      <c r="E5683" s="729"/>
      <c r="F5683" s="147">
        <v>5.55</v>
      </c>
      <c r="G5683" s="147">
        <v>-5.55</v>
      </c>
      <c r="H5683" s="147">
        <v>-100</v>
      </c>
      <c r="I5683" s="729"/>
      <c r="J5683" s="729"/>
      <c r="K5683" s="729"/>
      <c r="L5683" s="147">
        <v>7.6803400000000002</v>
      </c>
      <c r="M5683" s="147">
        <v>26.074999999999999</v>
      </c>
      <c r="N5683" s="147">
        <v>-18.394659999999998</v>
      </c>
      <c r="O5683" s="147">
        <v>-70.545196548418019</v>
      </c>
      <c r="P5683" s="147">
        <v>3.9438900000000001</v>
      </c>
      <c r="Q5683" s="147">
        <v>3.73645</v>
      </c>
      <c r="R5683" s="147">
        <v>94.740218413799568</v>
      </c>
    </row>
    <row r="5684" spans="2:18" ht="15.75" hidden="1" thickBot="1" x14ac:dyDescent="0.3">
      <c r="B5684" s="145" t="s">
        <v>851</v>
      </c>
      <c r="C5684" s="722" t="s">
        <v>79</v>
      </c>
      <c r="D5684" t="s">
        <v>80</v>
      </c>
      <c r="E5684" s="148">
        <v>3.36198</v>
      </c>
      <c r="F5684" s="148">
        <v>20.024999999999999</v>
      </c>
      <c r="G5684" s="148">
        <v>-16.663019999999999</v>
      </c>
      <c r="H5684" s="148">
        <v>-83.211086142322102</v>
      </c>
      <c r="I5684" s="728"/>
      <c r="J5684" s="148">
        <v>3.36198</v>
      </c>
      <c r="K5684" s="148">
        <v>0</v>
      </c>
      <c r="L5684" s="148">
        <v>64.477149999999995</v>
      </c>
      <c r="M5684" s="148">
        <v>91.5</v>
      </c>
      <c r="N5684" s="148">
        <v>-27.022849999999998</v>
      </c>
      <c r="O5684" s="148">
        <v>-29.533169398907106</v>
      </c>
      <c r="P5684" s="148">
        <v>26.733149999999998</v>
      </c>
      <c r="Q5684" s="148">
        <v>37.744</v>
      </c>
      <c r="R5684" s="148">
        <v>141.18800066583998</v>
      </c>
    </row>
    <row r="5685" spans="2:18" ht="15.75" hidden="1" thickBot="1" x14ac:dyDescent="0.3">
      <c r="B5685" s="145" t="s">
        <v>851</v>
      </c>
      <c r="C5685" s="722" t="s">
        <v>81</v>
      </c>
      <c r="D5685" t="s">
        <v>82</v>
      </c>
      <c r="E5685" s="147">
        <v>0.29380000000000001</v>
      </c>
      <c r="F5685" s="147">
        <v>1.554</v>
      </c>
      <c r="G5685" s="147">
        <v>-1.2602</v>
      </c>
      <c r="H5685" s="147">
        <v>-81.093951093951091</v>
      </c>
      <c r="I5685" s="729"/>
      <c r="J5685" s="147">
        <v>0.29380000000000001</v>
      </c>
      <c r="K5685" s="147">
        <v>0</v>
      </c>
      <c r="L5685" s="147">
        <v>1.3207899999999999</v>
      </c>
      <c r="M5685" s="147">
        <v>6.4539999999999997</v>
      </c>
      <c r="N5685" s="147">
        <v>-5.1332100000000001</v>
      </c>
      <c r="O5685" s="147">
        <v>-79.535326929036259</v>
      </c>
      <c r="P5685" s="147">
        <v>0.52</v>
      </c>
      <c r="Q5685" s="147">
        <v>0.80079</v>
      </c>
      <c r="R5685" s="147">
        <v>153.99807692307692</v>
      </c>
    </row>
    <row r="5686" spans="2:18" ht="15.75" hidden="1" thickBot="1" x14ac:dyDescent="0.3">
      <c r="B5686" s="145" t="s">
        <v>851</v>
      </c>
      <c r="C5686" s="722" t="s">
        <v>123</v>
      </c>
      <c r="D5686" t="s">
        <v>124</v>
      </c>
      <c r="E5686" s="148">
        <v>0.61524999999999996</v>
      </c>
      <c r="F5686" s="148">
        <v>0.34899999999999998</v>
      </c>
      <c r="G5686" s="148">
        <v>0.26624999999999999</v>
      </c>
      <c r="H5686" s="148">
        <v>76.289398280802288</v>
      </c>
      <c r="I5686" s="728"/>
      <c r="J5686" s="148">
        <v>0.61524999999999996</v>
      </c>
      <c r="K5686" s="148">
        <v>0</v>
      </c>
      <c r="L5686" s="148">
        <v>2.2536</v>
      </c>
      <c r="M5686" s="148">
        <v>2.524</v>
      </c>
      <c r="N5686" s="148">
        <v>-0.27039999999999997</v>
      </c>
      <c r="O5686" s="148">
        <v>-10.713153724247226</v>
      </c>
      <c r="P5686" s="148">
        <v>1.0095099999999999</v>
      </c>
      <c r="Q5686" s="148">
        <v>1.2440899999999999</v>
      </c>
      <c r="R5686" s="148">
        <v>123.23701597804876</v>
      </c>
    </row>
    <row r="5687" spans="2:18" ht="15.75" hidden="1" thickBot="1" x14ac:dyDescent="0.3">
      <c r="B5687" s="145" t="s">
        <v>851</v>
      </c>
      <c r="C5687" s="722" t="s">
        <v>125</v>
      </c>
      <c r="D5687" t="s">
        <v>126</v>
      </c>
      <c r="E5687" s="147">
        <v>0.105</v>
      </c>
      <c r="F5687" s="147">
        <v>1.5</v>
      </c>
      <c r="G5687" s="147">
        <v>-1.395</v>
      </c>
      <c r="H5687" s="147">
        <v>-93</v>
      </c>
      <c r="I5687" s="729"/>
      <c r="J5687" s="147">
        <v>0.105</v>
      </c>
      <c r="K5687" s="147">
        <v>0</v>
      </c>
      <c r="L5687" s="147">
        <v>0.77405999999999997</v>
      </c>
      <c r="M5687" s="147">
        <v>3</v>
      </c>
      <c r="N5687" s="147">
        <v>-2.22594</v>
      </c>
      <c r="O5687" s="147">
        <v>-74.197999999999993</v>
      </c>
      <c r="P5687" s="729"/>
      <c r="Q5687" s="147">
        <v>0.77405999999999997</v>
      </c>
      <c r="R5687" s="147">
        <v>0</v>
      </c>
    </row>
    <row r="5688" spans="2:18" ht="15.75" hidden="1" thickBot="1" x14ac:dyDescent="0.3">
      <c r="B5688" s="145" t="s">
        <v>851</v>
      </c>
      <c r="C5688" s="149" t="s">
        <v>85</v>
      </c>
      <c r="D5688" t="s">
        <v>86</v>
      </c>
      <c r="E5688" s="148">
        <v>442.98721</v>
      </c>
      <c r="F5688" s="148">
        <v>624.59547999999995</v>
      </c>
      <c r="G5688" s="148">
        <v>-181.60827</v>
      </c>
      <c r="H5688" s="148">
        <v>-29.076142209674654</v>
      </c>
      <c r="I5688" s="728"/>
      <c r="J5688" s="148">
        <v>442.98721</v>
      </c>
      <c r="K5688" s="148">
        <v>0</v>
      </c>
      <c r="L5688" s="148">
        <v>6226.2339400000001</v>
      </c>
      <c r="M5688" s="148">
        <v>6916.4868800000004</v>
      </c>
      <c r="N5688" s="148">
        <v>-690.25293999999997</v>
      </c>
      <c r="O5688" s="148">
        <v>-9.9798199862991712</v>
      </c>
      <c r="P5688" s="148">
        <v>3148.3533000000002</v>
      </c>
      <c r="Q5688" s="148">
        <v>3077.8806399999999</v>
      </c>
      <c r="R5688" s="148">
        <v>97.761602549497866</v>
      </c>
    </row>
    <row r="5689" spans="2:18" ht="15.75" hidden="1" thickBot="1" x14ac:dyDescent="0.3">
      <c r="B5689" s="145" t="s">
        <v>851</v>
      </c>
      <c r="C5689" s="144" t="s">
        <v>87</v>
      </c>
      <c r="D5689" t="s">
        <v>87</v>
      </c>
      <c r="E5689" s="147">
        <v>504.49716000000001</v>
      </c>
      <c r="F5689" s="147">
        <v>718.18529000000001</v>
      </c>
      <c r="G5689" s="147">
        <v>-213.68813</v>
      </c>
      <c r="H5689" s="147">
        <v>-29.753899582098096</v>
      </c>
      <c r="I5689" s="729"/>
      <c r="J5689" s="147">
        <v>504.49716000000001</v>
      </c>
      <c r="K5689" s="147">
        <v>0</v>
      </c>
      <c r="L5689" s="147">
        <v>6981.9822700000004</v>
      </c>
      <c r="M5689" s="147">
        <v>8033.6727000000001</v>
      </c>
      <c r="N5689" s="147">
        <v>-1051.6904300000001</v>
      </c>
      <c r="O5689" s="147">
        <v>-13.091029088103129</v>
      </c>
      <c r="P5689" s="147">
        <v>3548.61553</v>
      </c>
      <c r="Q5689" s="147">
        <v>3433.3667399999999</v>
      </c>
      <c r="R5689" s="147">
        <v>96.752288631279256</v>
      </c>
    </row>
    <row r="5690" spans="2:18" ht="15.75" hidden="1" thickBot="1" x14ac:dyDescent="0.3">
      <c r="B5690" s="723" t="s">
        <v>852</v>
      </c>
      <c r="C5690" s="722" t="s">
        <v>59</v>
      </c>
      <c r="D5690" t="s">
        <v>60</v>
      </c>
      <c r="E5690" s="148">
        <v>23.071000000000002</v>
      </c>
      <c r="F5690" s="148">
        <v>38.552579999999999</v>
      </c>
      <c r="G5690" s="148">
        <v>-15.481579999999999</v>
      </c>
      <c r="H5690" s="148">
        <v>-40.157053042883248</v>
      </c>
      <c r="I5690" s="728"/>
      <c r="J5690" s="148">
        <v>23.071000000000002</v>
      </c>
      <c r="K5690" s="148">
        <v>0</v>
      </c>
      <c r="L5690" s="148">
        <v>326.37022000000002</v>
      </c>
      <c r="M5690" s="148">
        <v>460.20391999999998</v>
      </c>
      <c r="N5690" s="148">
        <v>-133.83369999999999</v>
      </c>
      <c r="O5690" s="148">
        <v>-29.081390701756735</v>
      </c>
      <c r="P5690" s="148">
        <v>171.12916999999999</v>
      </c>
      <c r="Q5690" s="148">
        <v>155.24105</v>
      </c>
      <c r="R5690" s="148">
        <v>90.715714918736538</v>
      </c>
    </row>
    <row r="5691" spans="2:18" ht="15.75" hidden="1" thickBot="1" x14ac:dyDescent="0.3">
      <c r="B5691" s="723" t="s">
        <v>852</v>
      </c>
      <c r="C5691" s="722" t="s">
        <v>134</v>
      </c>
      <c r="D5691" t="s">
        <v>135</v>
      </c>
      <c r="E5691" s="147">
        <v>0.15817999999999999</v>
      </c>
      <c r="F5691" s="729"/>
      <c r="G5691" s="147">
        <v>0.15817999999999999</v>
      </c>
      <c r="H5691" s="147">
        <v>0</v>
      </c>
      <c r="I5691" s="729"/>
      <c r="J5691" s="147">
        <v>0.15817999999999999</v>
      </c>
      <c r="K5691" s="147">
        <v>0</v>
      </c>
      <c r="L5691" s="147">
        <v>0.15817999999999999</v>
      </c>
      <c r="M5691" s="729"/>
      <c r="N5691" s="147">
        <v>0.15817999999999999</v>
      </c>
      <c r="O5691" s="147">
        <v>0</v>
      </c>
      <c r="P5691" s="729"/>
      <c r="Q5691" s="147">
        <v>0.15817999999999999</v>
      </c>
      <c r="R5691" s="147">
        <v>0</v>
      </c>
    </row>
    <row r="5692" spans="2:18" ht="15.75" hidden="1" thickBot="1" x14ac:dyDescent="0.3">
      <c r="B5692" s="723" t="s">
        <v>852</v>
      </c>
      <c r="C5692" s="722" t="s">
        <v>61</v>
      </c>
      <c r="D5692" t="s">
        <v>62</v>
      </c>
      <c r="E5692" s="148">
        <v>4.4238600000000003</v>
      </c>
      <c r="F5692" s="148">
        <v>5.9756499999999999</v>
      </c>
      <c r="G5692" s="148">
        <v>-1.55179</v>
      </c>
      <c r="H5692" s="148">
        <v>-25.968555721971669</v>
      </c>
      <c r="I5692" s="728"/>
      <c r="J5692" s="148">
        <v>4.4238600000000003</v>
      </c>
      <c r="K5692" s="148">
        <v>0</v>
      </c>
      <c r="L5692" s="148">
        <v>50.852699999999999</v>
      </c>
      <c r="M5692" s="148">
        <v>71.331599999999995</v>
      </c>
      <c r="N5692" s="148">
        <v>-20.478899999999999</v>
      </c>
      <c r="O5692" s="148">
        <v>-28.709435930218866</v>
      </c>
      <c r="P5692" s="148">
        <v>26.17604</v>
      </c>
      <c r="Q5692" s="148">
        <v>24.676659999999998</v>
      </c>
      <c r="R5692" s="148">
        <v>94.271937237259721</v>
      </c>
    </row>
    <row r="5693" spans="2:18" ht="15.75" hidden="1" thickBot="1" x14ac:dyDescent="0.3">
      <c r="B5693" s="723" t="s">
        <v>852</v>
      </c>
      <c r="C5693" s="722" t="s">
        <v>63</v>
      </c>
      <c r="D5693" t="s">
        <v>64</v>
      </c>
      <c r="E5693" s="147">
        <v>17.186350000000001</v>
      </c>
      <c r="F5693" s="147">
        <v>23.247209999999999</v>
      </c>
      <c r="G5693" s="147">
        <v>-6.0608599999999999</v>
      </c>
      <c r="H5693" s="147">
        <v>-26.07134361499724</v>
      </c>
      <c r="I5693" s="729"/>
      <c r="J5693" s="147">
        <v>17.186350000000001</v>
      </c>
      <c r="K5693" s="147">
        <v>0</v>
      </c>
      <c r="L5693" s="147">
        <v>197.56108</v>
      </c>
      <c r="M5693" s="147">
        <v>277.50299999999999</v>
      </c>
      <c r="N5693" s="147">
        <v>-79.941919999999996</v>
      </c>
      <c r="O5693" s="147">
        <v>-28.80758766571893</v>
      </c>
      <c r="P5693" s="147">
        <v>101.69278</v>
      </c>
      <c r="Q5693" s="147">
        <v>95.868300000000005</v>
      </c>
      <c r="R5693" s="147">
        <v>94.272474407720978</v>
      </c>
    </row>
    <row r="5694" spans="2:18" ht="15.75" hidden="1" thickBot="1" x14ac:dyDescent="0.3">
      <c r="B5694" s="723" t="s">
        <v>852</v>
      </c>
      <c r="C5694" s="722" t="s">
        <v>65</v>
      </c>
      <c r="D5694" t="s">
        <v>66</v>
      </c>
      <c r="E5694" s="148">
        <v>-0.29228999999999999</v>
      </c>
      <c r="F5694" s="148">
        <v>-1.8601300000000001</v>
      </c>
      <c r="G5694" s="148">
        <v>1.5678399999999999</v>
      </c>
      <c r="H5694" s="148">
        <v>84.286582120604479</v>
      </c>
      <c r="I5694" s="728"/>
      <c r="J5694" s="148">
        <v>-0.29228999999999999</v>
      </c>
      <c r="K5694" s="148">
        <v>0</v>
      </c>
      <c r="L5694" s="148">
        <v>-15.33357</v>
      </c>
      <c r="M5694" s="148">
        <v>-22.204460000000001</v>
      </c>
      <c r="N5694" s="148">
        <v>6.8708900000000002</v>
      </c>
      <c r="O5694" s="148">
        <v>30.943738330047207</v>
      </c>
      <c r="P5694" s="148">
        <v>-11.43637</v>
      </c>
      <c r="Q5694" s="148">
        <v>-3.8972000000000002</v>
      </c>
      <c r="R5694" s="148">
        <v>-34.077246538893021</v>
      </c>
    </row>
    <row r="5695" spans="2:18" ht="15.75" hidden="1" thickBot="1" x14ac:dyDescent="0.3">
      <c r="B5695" s="723" t="s">
        <v>852</v>
      </c>
      <c r="C5695" s="149" t="s">
        <v>67</v>
      </c>
      <c r="D5695" t="s">
        <v>68</v>
      </c>
      <c r="E5695" s="147">
        <v>44.5471</v>
      </c>
      <c r="F5695" s="147">
        <v>65.915310000000005</v>
      </c>
      <c r="G5695" s="147">
        <v>-21.368210000000001</v>
      </c>
      <c r="H5695" s="147">
        <v>-32.417673526833141</v>
      </c>
      <c r="I5695" s="729"/>
      <c r="J5695" s="147">
        <v>44.5471</v>
      </c>
      <c r="K5695" s="147">
        <v>0</v>
      </c>
      <c r="L5695" s="147">
        <v>559.60861</v>
      </c>
      <c r="M5695" s="147">
        <v>786.83406000000002</v>
      </c>
      <c r="N5695" s="147">
        <v>-227.22545</v>
      </c>
      <c r="O5695" s="147">
        <v>-28.878446110988129</v>
      </c>
      <c r="P5695" s="147">
        <v>287.56162</v>
      </c>
      <c r="Q5695" s="147">
        <v>272.04698999999999</v>
      </c>
      <c r="R5695" s="147">
        <v>94.604763319945135</v>
      </c>
    </row>
    <row r="5696" spans="2:18" ht="15.75" hidden="1" thickBot="1" x14ac:dyDescent="0.3">
      <c r="B5696" s="723" t="s">
        <v>852</v>
      </c>
      <c r="C5696" s="722" t="s">
        <v>69</v>
      </c>
      <c r="D5696" t="s">
        <v>70</v>
      </c>
      <c r="E5696" s="148">
        <v>-0.47899999999999998</v>
      </c>
      <c r="F5696" s="148">
        <v>0.5</v>
      </c>
      <c r="G5696" s="148">
        <v>-0.97899999999999998</v>
      </c>
      <c r="H5696" s="148">
        <v>-195.8</v>
      </c>
      <c r="I5696" s="728"/>
      <c r="J5696" s="148">
        <v>-0.47899999999999998</v>
      </c>
      <c r="K5696" s="148">
        <v>0</v>
      </c>
      <c r="L5696" s="148">
        <v>2.2795000000000001</v>
      </c>
      <c r="M5696" s="148">
        <v>3.6349999999999998</v>
      </c>
      <c r="N5696" s="148">
        <v>-1.3554999999999999</v>
      </c>
      <c r="O5696" s="148">
        <v>-37.290233837689136</v>
      </c>
      <c r="P5696" s="148">
        <v>1.3214999999999999</v>
      </c>
      <c r="Q5696" s="148">
        <v>0.95799999999999996</v>
      </c>
      <c r="R5696" s="148">
        <v>72.493378736284527</v>
      </c>
    </row>
    <row r="5697" spans="2:18" ht="15.75" hidden="1" thickBot="1" x14ac:dyDescent="0.3">
      <c r="B5697" s="723" t="s">
        <v>852</v>
      </c>
      <c r="C5697" s="722" t="s">
        <v>165</v>
      </c>
      <c r="D5697" t="s">
        <v>166</v>
      </c>
      <c r="E5697" s="729"/>
      <c r="F5697" s="729"/>
      <c r="G5697" s="729"/>
      <c r="H5697" s="729"/>
      <c r="I5697" s="729"/>
      <c r="J5697" s="729"/>
      <c r="K5697" s="729"/>
      <c r="L5697" s="147">
        <v>0.21379000000000001</v>
      </c>
      <c r="M5697" s="729"/>
      <c r="N5697" s="147">
        <v>0.21379000000000001</v>
      </c>
      <c r="O5697" s="147">
        <v>0</v>
      </c>
      <c r="P5697" s="147">
        <v>2.4129999999999999E-2</v>
      </c>
      <c r="Q5697" s="147">
        <v>0.18966</v>
      </c>
      <c r="R5697" s="147">
        <v>785.99254040613346</v>
      </c>
    </row>
    <row r="5698" spans="2:18" ht="15.75" hidden="1" thickBot="1" x14ac:dyDescent="0.3">
      <c r="B5698" s="723" t="s">
        <v>852</v>
      </c>
      <c r="C5698" s="722" t="s">
        <v>137</v>
      </c>
      <c r="D5698" t="s">
        <v>138</v>
      </c>
      <c r="E5698" s="728"/>
      <c r="F5698" s="148">
        <v>9.2960000000000001E-2</v>
      </c>
      <c r="G5698" s="148">
        <v>-9.2960000000000001E-2</v>
      </c>
      <c r="H5698" s="148">
        <v>-100</v>
      </c>
      <c r="I5698" s="728"/>
      <c r="J5698" s="728"/>
      <c r="K5698" s="728"/>
      <c r="L5698" s="148">
        <v>0.54200000000000004</v>
      </c>
      <c r="M5698" s="148">
        <v>1.00596</v>
      </c>
      <c r="N5698" s="148">
        <v>-0.46395999999999998</v>
      </c>
      <c r="O5698" s="148">
        <v>-46.121118135909974</v>
      </c>
      <c r="P5698" s="148">
        <v>0.54200000000000004</v>
      </c>
      <c r="Q5698" s="148">
        <v>0</v>
      </c>
      <c r="R5698" s="148">
        <v>0</v>
      </c>
    </row>
    <row r="5699" spans="2:18" ht="15.75" hidden="1" thickBot="1" x14ac:dyDescent="0.3">
      <c r="B5699" s="723" t="s">
        <v>852</v>
      </c>
      <c r="C5699" s="722" t="s">
        <v>190</v>
      </c>
      <c r="D5699" t="s">
        <v>191</v>
      </c>
      <c r="E5699" s="147">
        <v>5.2779999999999996</v>
      </c>
      <c r="F5699" s="147">
        <v>5.3307799999999999</v>
      </c>
      <c r="G5699" s="147">
        <v>-5.2780000000000001E-2</v>
      </c>
      <c r="H5699" s="147">
        <v>-0.99009900990099009</v>
      </c>
      <c r="I5699" s="729"/>
      <c r="J5699" s="147">
        <v>5.2779999999999996</v>
      </c>
      <c r="K5699" s="147">
        <v>0</v>
      </c>
      <c r="L5699" s="147">
        <v>63.335999999999999</v>
      </c>
      <c r="M5699" s="147">
        <v>63.969360000000002</v>
      </c>
      <c r="N5699" s="147">
        <v>-0.63336000000000003</v>
      </c>
      <c r="O5699" s="147">
        <v>-0.99009900990099009</v>
      </c>
      <c r="P5699" s="147">
        <v>31.667999999999999</v>
      </c>
      <c r="Q5699" s="147">
        <v>31.667999999999999</v>
      </c>
      <c r="R5699" s="147">
        <v>100</v>
      </c>
    </row>
    <row r="5700" spans="2:18" ht="15.75" hidden="1" thickBot="1" x14ac:dyDescent="0.3">
      <c r="B5700" s="723" t="s">
        <v>852</v>
      </c>
      <c r="C5700" s="722" t="s">
        <v>139</v>
      </c>
      <c r="D5700" t="s">
        <v>140</v>
      </c>
      <c r="E5700" s="148">
        <v>0.65</v>
      </c>
      <c r="F5700" s="148">
        <v>0.315</v>
      </c>
      <c r="G5700" s="148">
        <v>0.33500000000000002</v>
      </c>
      <c r="H5700" s="148">
        <v>106.34920634920636</v>
      </c>
      <c r="I5700" s="728"/>
      <c r="J5700" s="148">
        <v>0.65</v>
      </c>
      <c r="K5700" s="148">
        <v>0</v>
      </c>
      <c r="L5700" s="148">
        <v>0.90549999999999997</v>
      </c>
      <c r="M5700" s="148">
        <v>1.5149999999999999</v>
      </c>
      <c r="N5700" s="148">
        <v>-0.60950000000000004</v>
      </c>
      <c r="O5700" s="148">
        <v>-40.231023102310232</v>
      </c>
      <c r="P5700" s="148">
        <v>0.18049999999999999</v>
      </c>
      <c r="Q5700" s="148">
        <v>0.72499999999999998</v>
      </c>
      <c r="R5700" s="148">
        <v>401.66204986149586</v>
      </c>
    </row>
    <row r="5701" spans="2:18" ht="15.75" hidden="1" thickBot="1" x14ac:dyDescent="0.3">
      <c r="B5701" s="723" t="s">
        <v>852</v>
      </c>
      <c r="C5701" s="722" t="s">
        <v>169</v>
      </c>
      <c r="D5701" t="s">
        <v>170</v>
      </c>
      <c r="E5701" s="729"/>
      <c r="F5701" s="147">
        <v>0</v>
      </c>
      <c r="G5701" s="147">
        <v>0</v>
      </c>
      <c r="H5701" s="147">
        <v>0</v>
      </c>
      <c r="I5701" s="729"/>
      <c r="J5701" s="729"/>
      <c r="K5701" s="729"/>
      <c r="L5701" s="729"/>
      <c r="M5701" s="147">
        <v>0</v>
      </c>
      <c r="N5701" s="147">
        <v>0</v>
      </c>
      <c r="O5701" s="147">
        <v>0</v>
      </c>
      <c r="P5701" s="729"/>
      <c r="Q5701" s="729"/>
      <c r="R5701" s="729"/>
    </row>
    <row r="5702" spans="2:18" ht="15.75" hidden="1" thickBot="1" x14ac:dyDescent="0.3">
      <c r="B5702" s="723" t="s">
        <v>852</v>
      </c>
      <c r="C5702" s="722" t="s">
        <v>101</v>
      </c>
      <c r="D5702" t="s">
        <v>102</v>
      </c>
      <c r="E5702" s="728"/>
      <c r="F5702" s="148">
        <v>0.12</v>
      </c>
      <c r="G5702" s="148">
        <v>-0.12</v>
      </c>
      <c r="H5702" s="148">
        <v>-100</v>
      </c>
      <c r="I5702" s="728"/>
      <c r="J5702" s="728"/>
      <c r="K5702" s="728"/>
      <c r="L5702" s="148">
        <v>0.60443000000000002</v>
      </c>
      <c r="M5702" s="148">
        <v>2.02</v>
      </c>
      <c r="N5702" s="148">
        <v>-1.41557</v>
      </c>
      <c r="O5702" s="148">
        <v>-70.077722772277227</v>
      </c>
      <c r="P5702" s="148">
        <v>7.0389999999999994E-2</v>
      </c>
      <c r="Q5702" s="148">
        <v>0.53403999999999996</v>
      </c>
      <c r="R5702" s="148">
        <v>758.68731353885494</v>
      </c>
    </row>
    <row r="5703" spans="2:18" ht="15.75" hidden="1" thickBot="1" x14ac:dyDescent="0.3">
      <c r="B5703" s="723" t="s">
        <v>852</v>
      </c>
      <c r="C5703" s="722" t="s">
        <v>464</v>
      </c>
      <c r="D5703" t="s">
        <v>465</v>
      </c>
      <c r="E5703" s="147">
        <v>8.3868299999999998</v>
      </c>
      <c r="F5703" s="147">
        <v>26.339649999999999</v>
      </c>
      <c r="G5703" s="147">
        <v>-17.952819999999999</v>
      </c>
      <c r="H5703" s="147">
        <v>-68.158916310581191</v>
      </c>
      <c r="I5703" s="729"/>
      <c r="J5703" s="147">
        <v>8.3868299999999998</v>
      </c>
      <c r="K5703" s="147">
        <v>0</v>
      </c>
      <c r="L5703" s="147">
        <v>184.53990999999999</v>
      </c>
      <c r="M5703" s="147">
        <v>185.80465000000001</v>
      </c>
      <c r="N5703" s="147">
        <v>-1.26474</v>
      </c>
      <c r="O5703" s="147">
        <v>-0.68068264168846149</v>
      </c>
      <c r="P5703" s="147">
        <v>84.941199999999995</v>
      </c>
      <c r="Q5703" s="147">
        <v>99.598709999999997</v>
      </c>
      <c r="R5703" s="147">
        <v>117.25606654956606</v>
      </c>
    </row>
    <row r="5704" spans="2:18" ht="15.75" hidden="1" thickBot="1" x14ac:dyDescent="0.3">
      <c r="B5704" s="723" t="s">
        <v>852</v>
      </c>
      <c r="C5704" s="722" t="s">
        <v>71</v>
      </c>
      <c r="D5704" t="s">
        <v>72</v>
      </c>
      <c r="E5704" s="148">
        <v>4.9899999999999996E-3</v>
      </c>
      <c r="F5704" s="728"/>
      <c r="G5704" s="148">
        <v>4.9899999999999996E-3</v>
      </c>
      <c r="H5704" s="148">
        <v>0</v>
      </c>
      <c r="I5704" s="728"/>
      <c r="J5704" s="148">
        <v>4.9899999999999996E-3</v>
      </c>
      <c r="K5704" s="148">
        <v>0</v>
      </c>
      <c r="L5704" s="148">
        <v>4.9899999999999996E-3</v>
      </c>
      <c r="M5704" s="728"/>
      <c r="N5704" s="148">
        <v>4.9899999999999996E-3</v>
      </c>
      <c r="O5704" s="148">
        <v>0</v>
      </c>
      <c r="P5704" s="728"/>
      <c r="Q5704" s="148">
        <v>4.9899999999999996E-3</v>
      </c>
      <c r="R5704" s="148">
        <v>0</v>
      </c>
    </row>
    <row r="5705" spans="2:18" ht="15.75" hidden="1" thickBot="1" x14ac:dyDescent="0.3">
      <c r="B5705" s="723" t="s">
        <v>852</v>
      </c>
      <c r="C5705" s="722" t="s">
        <v>109</v>
      </c>
      <c r="D5705" t="s">
        <v>110</v>
      </c>
      <c r="E5705" s="729"/>
      <c r="F5705" s="147">
        <v>0.16500000000000001</v>
      </c>
      <c r="G5705" s="147">
        <v>-0.16500000000000001</v>
      </c>
      <c r="H5705" s="147">
        <v>-100</v>
      </c>
      <c r="I5705" s="729"/>
      <c r="J5705" s="729"/>
      <c r="K5705" s="729"/>
      <c r="L5705" s="147">
        <v>0.40727000000000002</v>
      </c>
      <c r="M5705" s="147">
        <v>1.5149999999999999</v>
      </c>
      <c r="N5705" s="147">
        <v>-1.1077300000000001</v>
      </c>
      <c r="O5705" s="147">
        <v>-73.117491749174917</v>
      </c>
      <c r="P5705" s="147">
        <v>0.28486</v>
      </c>
      <c r="Q5705" s="147">
        <v>0.12241</v>
      </c>
      <c r="R5705" s="147">
        <v>42.971986238854171</v>
      </c>
    </row>
    <row r="5706" spans="2:18" ht="15.75" hidden="1" thickBot="1" x14ac:dyDescent="0.3">
      <c r="B5706" s="723" t="s">
        <v>852</v>
      </c>
      <c r="C5706" s="722" t="s">
        <v>73</v>
      </c>
      <c r="D5706" t="s">
        <v>74</v>
      </c>
      <c r="E5706" s="148">
        <v>6.1699999999999998E-2</v>
      </c>
      <c r="F5706" s="148">
        <v>0.6</v>
      </c>
      <c r="G5706" s="148">
        <v>-0.5383</v>
      </c>
      <c r="H5706" s="148">
        <v>-89.716666666666669</v>
      </c>
      <c r="I5706" s="728"/>
      <c r="J5706" s="148">
        <v>6.1699999999999998E-2</v>
      </c>
      <c r="K5706" s="148">
        <v>0</v>
      </c>
      <c r="L5706" s="148">
        <v>2.2525900000000001</v>
      </c>
      <c r="M5706" s="148">
        <v>5</v>
      </c>
      <c r="N5706" s="148">
        <v>-2.7474099999999999</v>
      </c>
      <c r="O5706" s="148">
        <v>-54.9482</v>
      </c>
      <c r="P5706" s="148">
        <v>1.6739900000000001</v>
      </c>
      <c r="Q5706" s="148">
        <v>0.5786</v>
      </c>
      <c r="R5706" s="148">
        <v>34.564125233723018</v>
      </c>
    </row>
    <row r="5707" spans="2:18" ht="15.75" hidden="1" thickBot="1" x14ac:dyDescent="0.3">
      <c r="B5707" s="723" t="s">
        <v>852</v>
      </c>
      <c r="C5707" s="722" t="s">
        <v>111</v>
      </c>
      <c r="D5707" t="s">
        <v>112</v>
      </c>
      <c r="E5707" s="729"/>
      <c r="F5707" s="147">
        <v>2.8250000000000001E-2</v>
      </c>
      <c r="G5707" s="147">
        <v>-2.8250000000000001E-2</v>
      </c>
      <c r="H5707" s="147">
        <v>-100</v>
      </c>
      <c r="I5707" s="729"/>
      <c r="J5707" s="729"/>
      <c r="K5707" s="729"/>
      <c r="L5707" s="147">
        <v>1.261E-2</v>
      </c>
      <c r="M5707" s="147">
        <v>0.32824999999999999</v>
      </c>
      <c r="N5707" s="147">
        <v>-0.31563999999999998</v>
      </c>
      <c r="O5707" s="147">
        <v>-96.158415841584159</v>
      </c>
      <c r="P5707" s="147">
        <v>1.261E-2</v>
      </c>
      <c r="Q5707" s="147">
        <v>0</v>
      </c>
      <c r="R5707" s="147">
        <v>0</v>
      </c>
    </row>
    <row r="5708" spans="2:18" ht="15.75" hidden="1" thickBot="1" x14ac:dyDescent="0.3">
      <c r="B5708" s="723" t="s">
        <v>852</v>
      </c>
      <c r="C5708" s="722" t="s">
        <v>141</v>
      </c>
      <c r="D5708" t="s">
        <v>142</v>
      </c>
      <c r="E5708" s="148">
        <v>3.184E-2</v>
      </c>
      <c r="F5708" s="148">
        <v>7.4999999999999997E-2</v>
      </c>
      <c r="G5708" s="148">
        <v>-4.3159999999999997E-2</v>
      </c>
      <c r="H5708" s="148">
        <v>-57.546666666666667</v>
      </c>
      <c r="I5708" s="728"/>
      <c r="J5708" s="148">
        <v>3.184E-2</v>
      </c>
      <c r="K5708" s="148">
        <v>0</v>
      </c>
      <c r="L5708" s="148">
        <v>0.34444000000000002</v>
      </c>
      <c r="M5708" s="148">
        <v>1.01</v>
      </c>
      <c r="N5708" s="148">
        <v>-0.66556000000000004</v>
      </c>
      <c r="O5708" s="148">
        <v>-65.8970297029703</v>
      </c>
      <c r="P5708" s="148">
        <v>0.13541</v>
      </c>
      <c r="Q5708" s="148">
        <v>0.20902999999999999</v>
      </c>
      <c r="R5708" s="148">
        <v>154.36821505058711</v>
      </c>
    </row>
    <row r="5709" spans="2:18" ht="15.75" hidden="1" thickBot="1" x14ac:dyDescent="0.3">
      <c r="B5709" s="723" t="s">
        <v>852</v>
      </c>
      <c r="C5709" s="722" t="s">
        <v>113</v>
      </c>
      <c r="D5709" t="s">
        <v>114</v>
      </c>
      <c r="E5709" s="729"/>
      <c r="F5709" s="147">
        <v>0.223</v>
      </c>
      <c r="G5709" s="147">
        <v>-0.223</v>
      </c>
      <c r="H5709" s="147">
        <v>-100</v>
      </c>
      <c r="I5709" s="729"/>
      <c r="J5709" s="729"/>
      <c r="K5709" s="729"/>
      <c r="L5709" s="147">
        <v>0.18823999999999999</v>
      </c>
      <c r="M5709" s="147">
        <v>2.3929999999999998</v>
      </c>
      <c r="N5709" s="147">
        <v>-2.2047599999999998</v>
      </c>
      <c r="O5709" s="147">
        <v>-92.133723359799419</v>
      </c>
      <c r="P5709" s="147">
        <v>8.6739999999999998E-2</v>
      </c>
      <c r="Q5709" s="147">
        <v>0.10150000000000001</v>
      </c>
      <c r="R5709" s="147">
        <v>117.01637076320037</v>
      </c>
    </row>
    <row r="5710" spans="2:18" ht="15.75" hidden="1" thickBot="1" x14ac:dyDescent="0.3">
      <c r="B5710" s="723" t="s">
        <v>852</v>
      </c>
      <c r="C5710" s="722" t="s">
        <v>633</v>
      </c>
      <c r="D5710" t="s">
        <v>634</v>
      </c>
      <c r="E5710" s="148">
        <v>285.52920999999998</v>
      </c>
      <c r="F5710" s="148">
        <v>317.33747</v>
      </c>
      <c r="G5710" s="148">
        <v>-31.808260000000001</v>
      </c>
      <c r="H5710" s="148">
        <v>-10.023480681307506</v>
      </c>
      <c r="I5710" s="728"/>
      <c r="J5710" s="148">
        <v>285.52920999999998</v>
      </c>
      <c r="K5710" s="148">
        <v>0</v>
      </c>
      <c r="L5710" s="148">
        <v>3120.6935699999999</v>
      </c>
      <c r="M5710" s="148">
        <v>3326.0496400000002</v>
      </c>
      <c r="N5710" s="148">
        <v>-205.35606999999999</v>
      </c>
      <c r="O5710" s="148">
        <v>-6.1741733355488941</v>
      </c>
      <c r="P5710" s="148">
        <v>1526.8912399999999</v>
      </c>
      <c r="Q5710" s="148">
        <v>1593.80233</v>
      </c>
      <c r="R5710" s="148">
        <v>104.38217786880486</v>
      </c>
    </row>
    <row r="5711" spans="2:18" ht="15.75" hidden="1" thickBot="1" x14ac:dyDescent="0.3">
      <c r="B5711" s="723" t="s">
        <v>852</v>
      </c>
      <c r="C5711" s="722" t="s">
        <v>145</v>
      </c>
      <c r="D5711" t="s">
        <v>146</v>
      </c>
      <c r="E5711" s="729"/>
      <c r="F5711" s="147">
        <v>0</v>
      </c>
      <c r="G5711" s="147">
        <v>0</v>
      </c>
      <c r="H5711" s="147">
        <v>0</v>
      </c>
      <c r="I5711" s="729"/>
      <c r="J5711" s="729"/>
      <c r="K5711" s="729"/>
      <c r="L5711" s="147">
        <v>1.5699999999999999E-2</v>
      </c>
      <c r="M5711" s="147">
        <v>0.10100000000000001</v>
      </c>
      <c r="N5711" s="147">
        <v>-8.5300000000000001E-2</v>
      </c>
      <c r="O5711" s="147">
        <v>-84.455445544554451</v>
      </c>
      <c r="P5711" s="147">
        <v>1.5699999999999999E-2</v>
      </c>
      <c r="Q5711" s="147">
        <v>0</v>
      </c>
      <c r="R5711" s="147">
        <v>0</v>
      </c>
    </row>
    <row r="5712" spans="2:18" ht="15.75" hidden="1" thickBot="1" x14ac:dyDescent="0.3">
      <c r="B5712" s="723" t="s">
        <v>852</v>
      </c>
      <c r="C5712" s="722" t="s">
        <v>147</v>
      </c>
      <c r="D5712" t="s">
        <v>148</v>
      </c>
      <c r="E5712" s="728"/>
      <c r="F5712" s="728"/>
      <c r="G5712" s="728"/>
      <c r="H5712" s="728"/>
      <c r="I5712" s="728"/>
      <c r="J5712" s="728"/>
      <c r="K5712" s="728"/>
      <c r="L5712" s="148">
        <v>0.06</v>
      </c>
      <c r="M5712" s="728"/>
      <c r="N5712" s="148">
        <v>0.06</v>
      </c>
      <c r="O5712" s="148">
        <v>0</v>
      </c>
      <c r="P5712" s="148">
        <v>0.06</v>
      </c>
      <c r="Q5712" s="148">
        <v>0</v>
      </c>
      <c r="R5712" s="148">
        <v>0</v>
      </c>
    </row>
    <row r="5713" spans="2:18" ht="15.75" hidden="1" thickBot="1" x14ac:dyDescent="0.3">
      <c r="B5713" s="723" t="s">
        <v>852</v>
      </c>
      <c r="C5713" s="722" t="s">
        <v>643</v>
      </c>
      <c r="D5713" t="s">
        <v>644</v>
      </c>
      <c r="E5713" s="147">
        <v>6.0249999999999998E-2</v>
      </c>
      <c r="F5713" s="729"/>
      <c r="G5713" s="147">
        <v>6.0249999999999998E-2</v>
      </c>
      <c r="H5713" s="147">
        <v>0</v>
      </c>
      <c r="I5713" s="729"/>
      <c r="J5713" s="147">
        <v>6.0249999999999998E-2</v>
      </c>
      <c r="K5713" s="147">
        <v>0</v>
      </c>
      <c r="L5713" s="147">
        <v>0.90925</v>
      </c>
      <c r="M5713" s="729"/>
      <c r="N5713" s="147">
        <v>0.90925</v>
      </c>
      <c r="O5713" s="147">
        <v>0</v>
      </c>
      <c r="P5713" s="147">
        <v>0.64</v>
      </c>
      <c r="Q5713" s="147">
        <v>0.26924999999999999</v>
      </c>
      <c r="R5713" s="147">
        <v>42.0703125</v>
      </c>
    </row>
    <row r="5714" spans="2:18" ht="15.75" hidden="1" thickBot="1" x14ac:dyDescent="0.3">
      <c r="B5714" s="723" t="s">
        <v>852</v>
      </c>
      <c r="C5714" s="722" t="s">
        <v>149</v>
      </c>
      <c r="D5714" t="s">
        <v>150</v>
      </c>
      <c r="E5714" s="728"/>
      <c r="F5714" s="148">
        <v>1.585</v>
      </c>
      <c r="G5714" s="148">
        <v>-1.585</v>
      </c>
      <c r="H5714" s="148">
        <v>-100</v>
      </c>
      <c r="I5714" s="728"/>
      <c r="J5714" s="728"/>
      <c r="K5714" s="728"/>
      <c r="L5714" s="148">
        <v>0.10498</v>
      </c>
      <c r="M5714" s="148">
        <v>8.5850000000000009</v>
      </c>
      <c r="N5714" s="148">
        <v>-8.4800199999999997</v>
      </c>
      <c r="O5714" s="148">
        <v>-98.777169481654042</v>
      </c>
      <c r="P5714" s="148">
        <v>8.2720000000000002E-2</v>
      </c>
      <c r="Q5714" s="148">
        <v>2.2259999999999999E-2</v>
      </c>
      <c r="R5714" s="148">
        <v>26.910058027079305</v>
      </c>
    </row>
    <row r="5715" spans="2:18" ht="15.75" hidden="1" thickBot="1" x14ac:dyDescent="0.3">
      <c r="B5715" s="723" t="s">
        <v>852</v>
      </c>
      <c r="C5715" s="722" t="s">
        <v>205</v>
      </c>
      <c r="D5715" t="s">
        <v>206</v>
      </c>
      <c r="E5715" s="729"/>
      <c r="F5715" s="729"/>
      <c r="G5715" s="729"/>
      <c r="H5715" s="729"/>
      <c r="I5715" s="729"/>
      <c r="J5715" s="729"/>
      <c r="K5715" s="729"/>
      <c r="L5715" s="147">
        <v>9.5000000000000001E-2</v>
      </c>
      <c r="M5715" s="729"/>
      <c r="N5715" s="147">
        <v>9.5000000000000001E-2</v>
      </c>
      <c r="O5715" s="147">
        <v>0</v>
      </c>
      <c r="P5715" s="729"/>
      <c r="Q5715" s="147">
        <v>9.5000000000000001E-2</v>
      </c>
      <c r="R5715" s="147">
        <v>0</v>
      </c>
    </row>
    <row r="5716" spans="2:18" ht="15.75" hidden="1" thickBot="1" x14ac:dyDescent="0.3">
      <c r="B5716" s="723" t="s">
        <v>852</v>
      </c>
      <c r="C5716" s="722" t="s">
        <v>151</v>
      </c>
      <c r="D5716" t="s">
        <v>152</v>
      </c>
      <c r="E5716" s="148">
        <v>4.1916500000000001</v>
      </c>
      <c r="F5716" s="148">
        <v>1.83</v>
      </c>
      <c r="G5716" s="148">
        <v>2.36165</v>
      </c>
      <c r="H5716" s="148">
        <v>129.05191256830602</v>
      </c>
      <c r="I5716" s="728"/>
      <c r="J5716" s="148">
        <v>4.1916500000000001</v>
      </c>
      <c r="K5716" s="148">
        <v>0</v>
      </c>
      <c r="L5716" s="148">
        <v>5.5116100000000001</v>
      </c>
      <c r="M5716" s="148">
        <v>3.03</v>
      </c>
      <c r="N5716" s="148">
        <v>2.4816099999999999</v>
      </c>
      <c r="O5716" s="148">
        <v>81.901320132013197</v>
      </c>
      <c r="P5716" s="148">
        <v>0.57704</v>
      </c>
      <c r="Q5716" s="148">
        <v>4.9345699999999999</v>
      </c>
      <c r="R5716" s="148">
        <v>855.15215582975179</v>
      </c>
    </row>
    <row r="5717" spans="2:18" ht="15.75" hidden="1" thickBot="1" x14ac:dyDescent="0.3">
      <c r="B5717" s="723" t="s">
        <v>852</v>
      </c>
      <c r="C5717" s="722" t="s">
        <v>75</v>
      </c>
      <c r="D5717" t="s">
        <v>76</v>
      </c>
      <c r="E5717" s="147">
        <v>0.19893</v>
      </c>
      <c r="F5717" s="147">
        <v>0.39200000000000002</v>
      </c>
      <c r="G5717" s="147">
        <v>-0.19306999999999999</v>
      </c>
      <c r="H5717" s="147">
        <v>-49.252551020408163</v>
      </c>
      <c r="I5717" s="729"/>
      <c r="J5717" s="147">
        <v>0.19893</v>
      </c>
      <c r="K5717" s="147">
        <v>0</v>
      </c>
      <c r="L5717" s="147">
        <v>3.51431</v>
      </c>
      <c r="M5717" s="147">
        <v>4.242</v>
      </c>
      <c r="N5717" s="147">
        <v>-0.72768999999999995</v>
      </c>
      <c r="O5717" s="147">
        <v>-17.154408297972655</v>
      </c>
      <c r="P5717" s="147">
        <v>2.0116499999999999</v>
      </c>
      <c r="Q5717" s="147">
        <v>1.5026600000000001</v>
      </c>
      <c r="R5717" s="147">
        <v>74.697884820918148</v>
      </c>
    </row>
    <row r="5718" spans="2:18" ht="15.75" hidden="1" thickBot="1" x14ac:dyDescent="0.3">
      <c r="B5718" s="723" t="s">
        <v>852</v>
      </c>
      <c r="C5718" s="722" t="s">
        <v>121</v>
      </c>
      <c r="D5718" t="s">
        <v>122</v>
      </c>
      <c r="E5718" s="728"/>
      <c r="F5718" s="148">
        <v>5.5E-2</v>
      </c>
      <c r="G5718" s="148">
        <v>-5.5E-2</v>
      </c>
      <c r="H5718" s="148">
        <v>-100</v>
      </c>
      <c r="I5718" s="728"/>
      <c r="J5718" s="728"/>
      <c r="K5718" s="728"/>
      <c r="L5718" s="148">
        <v>3.024E-2</v>
      </c>
      <c r="M5718" s="148">
        <v>0.505</v>
      </c>
      <c r="N5718" s="148">
        <v>-0.47476000000000002</v>
      </c>
      <c r="O5718" s="148">
        <v>-94.011881188118807</v>
      </c>
      <c r="P5718" s="148">
        <v>1.6240000000000001E-2</v>
      </c>
      <c r="Q5718" s="148">
        <v>1.4E-2</v>
      </c>
      <c r="R5718" s="148">
        <v>86.206896551724142</v>
      </c>
    </row>
    <row r="5719" spans="2:18" ht="15.75" hidden="1" thickBot="1" x14ac:dyDescent="0.3">
      <c r="B5719" s="723" t="s">
        <v>852</v>
      </c>
      <c r="C5719" s="722" t="s">
        <v>77</v>
      </c>
      <c r="D5719" t="s">
        <v>78</v>
      </c>
      <c r="E5719" s="729"/>
      <c r="F5719" s="147">
        <v>0.55000000000000004</v>
      </c>
      <c r="G5719" s="147">
        <v>-0.55000000000000004</v>
      </c>
      <c r="H5719" s="147">
        <v>-100</v>
      </c>
      <c r="I5719" s="729"/>
      <c r="J5719" s="729"/>
      <c r="K5719" s="729"/>
      <c r="L5719" s="147">
        <v>4.0291199999999998</v>
      </c>
      <c r="M5719" s="147">
        <v>5.55</v>
      </c>
      <c r="N5719" s="147">
        <v>-1.52088</v>
      </c>
      <c r="O5719" s="147">
        <v>-27.403243243243242</v>
      </c>
      <c r="P5719" s="147">
        <v>2.59693</v>
      </c>
      <c r="Q5719" s="147">
        <v>1.4321900000000001</v>
      </c>
      <c r="R5719" s="147">
        <v>55.14934942412772</v>
      </c>
    </row>
    <row r="5720" spans="2:18" ht="15.75" hidden="1" thickBot="1" x14ac:dyDescent="0.3">
      <c r="B5720" s="723" t="s">
        <v>852</v>
      </c>
      <c r="C5720" s="722" t="s">
        <v>79</v>
      </c>
      <c r="D5720" t="s">
        <v>80</v>
      </c>
      <c r="E5720" s="728"/>
      <c r="F5720" s="148">
        <v>2.5000000000000001E-2</v>
      </c>
      <c r="G5720" s="148">
        <v>-2.5000000000000001E-2</v>
      </c>
      <c r="H5720" s="148">
        <v>-100</v>
      </c>
      <c r="I5720" s="728"/>
      <c r="J5720" s="728"/>
      <c r="K5720" s="728"/>
      <c r="L5720" s="148">
        <v>1.0407</v>
      </c>
      <c r="M5720" s="148">
        <v>0.5</v>
      </c>
      <c r="N5720" s="148">
        <v>0.54069999999999996</v>
      </c>
      <c r="O5720" s="148">
        <v>108.14</v>
      </c>
      <c r="P5720" s="148">
        <v>1.0407</v>
      </c>
      <c r="Q5720" s="148">
        <v>0</v>
      </c>
      <c r="R5720" s="148">
        <v>0</v>
      </c>
    </row>
    <row r="5721" spans="2:18" ht="15.75" hidden="1" thickBot="1" x14ac:dyDescent="0.3">
      <c r="B5721" s="723" t="s">
        <v>852</v>
      </c>
      <c r="C5721" s="722" t="s">
        <v>81</v>
      </c>
      <c r="D5721" t="s">
        <v>82</v>
      </c>
      <c r="E5721" s="147">
        <v>0.2198</v>
      </c>
      <c r="F5721" s="147">
        <v>0.80400000000000005</v>
      </c>
      <c r="G5721" s="147">
        <v>-0.58420000000000005</v>
      </c>
      <c r="H5721" s="147">
        <v>-72.661691542288551</v>
      </c>
      <c r="I5721" s="729"/>
      <c r="J5721" s="147">
        <v>0.2198</v>
      </c>
      <c r="K5721" s="147">
        <v>0</v>
      </c>
      <c r="L5721" s="147">
        <v>1.2467900000000001</v>
      </c>
      <c r="M5721" s="147">
        <v>5.4539999999999997</v>
      </c>
      <c r="N5721" s="147">
        <v>-4.2072099999999999</v>
      </c>
      <c r="O5721" s="147">
        <v>-77.13989732306564</v>
      </c>
      <c r="P5721" s="147">
        <v>0.52</v>
      </c>
      <c r="Q5721" s="147">
        <v>0.72679000000000005</v>
      </c>
      <c r="R5721" s="147">
        <v>139.7673076923077</v>
      </c>
    </row>
    <row r="5722" spans="2:18" ht="15.75" hidden="1" thickBot="1" x14ac:dyDescent="0.3">
      <c r="B5722" s="723" t="s">
        <v>852</v>
      </c>
      <c r="C5722" s="722" t="s">
        <v>123</v>
      </c>
      <c r="D5722" t="s">
        <v>124</v>
      </c>
      <c r="E5722" s="148">
        <v>0.61524999999999996</v>
      </c>
      <c r="F5722" s="148">
        <v>0.32400000000000001</v>
      </c>
      <c r="G5722" s="148">
        <v>0.29125000000000001</v>
      </c>
      <c r="H5722" s="148">
        <v>89.891975308641975</v>
      </c>
      <c r="I5722" s="728"/>
      <c r="J5722" s="148">
        <v>0.61524999999999996</v>
      </c>
      <c r="K5722" s="148">
        <v>0</v>
      </c>
      <c r="L5722" s="148">
        <v>2.2536</v>
      </c>
      <c r="M5722" s="148">
        <v>2.4239999999999999</v>
      </c>
      <c r="N5722" s="148">
        <v>-0.1704</v>
      </c>
      <c r="O5722" s="148">
        <v>-7.0297029702970297</v>
      </c>
      <c r="P5722" s="148">
        <v>1.0095099999999999</v>
      </c>
      <c r="Q5722" s="148">
        <v>1.2440899999999999</v>
      </c>
      <c r="R5722" s="148">
        <v>123.23701597804876</v>
      </c>
    </row>
    <row r="5723" spans="2:18" ht="15.75" hidden="1" thickBot="1" x14ac:dyDescent="0.3">
      <c r="B5723" s="723" t="s">
        <v>852</v>
      </c>
      <c r="C5723" s="149" t="s">
        <v>85</v>
      </c>
      <c r="D5723" t="s">
        <v>86</v>
      </c>
      <c r="E5723" s="147">
        <v>304.74945000000002</v>
      </c>
      <c r="F5723" s="147">
        <v>356.69211000000001</v>
      </c>
      <c r="G5723" s="147">
        <v>-51.942659999999997</v>
      </c>
      <c r="H5723" s="147">
        <v>-14.562323792359747</v>
      </c>
      <c r="I5723" s="729"/>
      <c r="J5723" s="147">
        <v>304.74945000000002</v>
      </c>
      <c r="K5723" s="147">
        <v>0</v>
      </c>
      <c r="L5723" s="147">
        <v>3395.1361400000001</v>
      </c>
      <c r="M5723" s="147">
        <v>3624.6368600000001</v>
      </c>
      <c r="N5723" s="147">
        <v>-229.50072</v>
      </c>
      <c r="O5723" s="147">
        <v>-6.3316886315612866</v>
      </c>
      <c r="P5723" s="147">
        <v>1656.4030600000001</v>
      </c>
      <c r="Q5723" s="147">
        <v>1738.73308</v>
      </c>
      <c r="R5723" s="147">
        <v>104.97040979868753</v>
      </c>
    </row>
    <row r="5724" spans="2:18" ht="15.75" hidden="1" thickBot="1" x14ac:dyDescent="0.3">
      <c r="B5724" s="723" t="s">
        <v>852</v>
      </c>
      <c r="C5724" s="144" t="s">
        <v>87</v>
      </c>
      <c r="D5724" t="s">
        <v>87</v>
      </c>
      <c r="E5724" s="148">
        <v>349.29655000000002</v>
      </c>
      <c r="F5724" s="148">
        <v>422.60741999999999</v>
      </c>
      <c r="G5724" s="148">
        <v>-73.310869999999994</v>
      </c>
      <c r="H5724" s="148">
        <v>-17.347274688172774</v>
      </c>
      <c r="I5724" s="728"/>
      <c r="J5724" s="148">
        <v>349.29655000000002</v>
      </c>
      <c r="K5724" s="148">
        <v>0</v>
      </c>
      <c r="L5724" s="148">
        <v>3954.7447499999998</v>
      </c>
      <c r="M5724" s="148">
        <v>4411.4709199999998</v>
      </c>
      <c r="N5724" s="148">
        <v>-456.72617000000002</v>
      </c>
      <c r="O5724" s="148">
        <v>-10.353149284728822</v>
      </c>
      <c r="P5724" s="148">
        <v>1943.96468</v>
      </c>
      <c r="Q5724" s="148">
        <v>2010.78007</v>
      </c>
      <c r="R5724" s="148">
        <v>103.43706810557896</v>
      </c>
    </row>
    <row r="5725" spans="2:18" ht="15.75" hidden="1" thickBot="1" x14ac:dyDescent="0.3">
      <c r="B5725" s="724" t="s">
        <v>853</v>
      </c>
      <c r="C5725" s="722" t="s">
        <v>59</v>
      </c>
      <c r="D5725" t="s">
        <v>60</v>
      </c>
      <c r="E5725" s="147">
        <v>23.071000000000002</v>
      </c>
      <c r="F5725" s="147">
        <v>38.552579999999999</v>
      </c>
      <c r="G5725" s="147">
        <v>-15.481579999999999</v>
      </c>
      <c r="H5725" s="147">
        <v>-40.157053042883248</v>
      </c>
      <c r="I5725" s="729"/>
      <c r="J5725" s="147">
        <v>23.071000000000002</v>
      </c>
      <c r="K5725" s="147">
        <v>0</v>
      </c>
      <c r="L5725" s="147">
        <v>326.37022000000002</v>
      </c>
      <c r="M5725" s="147">
        <v>460.20391999999998</v>
      </c>
      <c r="N5725" s="147">
        <v>-133.83369999999999</v>
      </c>
      <c r="O5725" s="147">
        <v>-29.081390701756735</v>
      </c>
      <c r="P5725" s="147">
        <v>171.12916999999999</v>
      </c>
      <c r="Q5725" s="147">
        <v>155.24105</v>
      </c>
      <c r="R5725" s="147">
        <v>90.715714918736538</v>
      </c>
    </row>
    <row r="5726" spans="2:18" ht="15.75" hidden="1" thickBot="1" x14ac:dyDescent="0.3">
      <c r="B5726" s="724" t="s">
        <v>853</v>
      </c>
      <c r="C5726" s="722" t="s">
        <v>134</v>
      </c>
      <c r="D5726" t="s">
        <v>135</v>
      </c>
      <c r="E5726" s="148">
        <v>0.15817999999999999</v>
      </c>
      <c r="F5726" s="728"/>
      <c r="G5726" s="148">
        <v>0.15817999999999999</v>
      </c>
      <c r="H5726" s="148">
        <v>0</v>
      </c>
      <c r="I5726" s="728"/>
      <c r="J5726" s="148">
        <v>0.15817999999999999</v>
      </c>
      <c r="K5726" s="148">
        <v>0</v>
      </c>
      <c r="L5726" s="148">
        <v>0.15817999999999999</v>
      </c>
      <c r="M5726" s="728"/>
      <c r="N5726" s="148">
        <v>0.15817999999999999</v>
      </c>
      <c r="O5726" s="148">
        <v>0</v>
      </c>
      <c r="P5726" s="728"/>
      <c r="Q5726" s="148">
        <v>0.15817999999999999</v>
      </c>
      <c r="R5726" s="148">
        <v>0</v>
      </c>
    </row>
    <row r="5727" spans="2:18" ht="15.75" hidden="1" thickBot="1" x14ac:dyDescent="0.3">
      <c r="B5727" s="724" t="s">
        <v>853</v>
      </c>
      <c r="C5727" s="722" t="s">
        <v>61</v>
      </c>
      <c r="D5727" t="s">
        <v>62</v>
      </c>
      <c r="E5727" s="147">
        <v>4.4238600000000003</v>
      </c>
      <c r="F5727" s="147">
        <v>5.9756499999999999</v>
      </c>
      <c r="G5727" s="147">
        <v>-1.55179</v>
      </c>
      <c r="H5727" s="147">
        <v>-25.968555721971669</v>
      </c>
      <c r="I5727" s="729"/>
      <c r="J5727" s="147">
        <v>4.4238600000000003</v>
      </c>
      <c r="K5727" s="147">
        <v>0</v>
      </c>
      <c r="L5727" s="147">
        <v>50.852699999999999</v>
      </c>
      <c r="M5727" s="147">
        <v>71.331599999999995</v>
      </c>
      <c r="N5727" s="147">
        <v>-20.478899999999999</v>
      </c>
      <c r="O5727" s="147">
        <v>-28.709435930218866</v>
      </c>
      <c r="P5727" s="147">
        <v>26.17604</v>
      </c>
      <c r="Q5727" s="147">
        <v>24.676659999999998</v>
      </c>
      <c r="R5727" s="147">
        <v>94.271937237259721</v>
      </c>
    </row>
    <row r="5728" spans="2:18" ht="15.75" hidden="1" thickBot="1" x14ac:dyDescent="0.3">
      <c r="B5728" s="724" t="s">
        <v>853</v>
      </c>
      <c r="C5728" s="722" t="s">
        <v>63</v>
      </c>
      <c r="D5728" t="s">
        <v>64</v>
      </c>
      <c r="E5728" s="148">
        <v>17.186350000000001</v>
      </c>
      <c r="F5728" s="148">
        <v>23.247209999999999</v>
      </c>
      <c r="G5728" s="148">
        <v>-6.0608599999999999</v>
      </c>
      <c r="H5728" s="148">
        <v>-26.07134361499724</v>
      </c>
      <c r="I5728" s="728"/>
      <c r="J5728" s="148">
        <v>17.186350000000001</v>
      </c>
      <c r="K5728" s="148">
        <v>0</v>
      </c>
      <c r="L5728" s="148">
        <v>197.56108</v>
      </c>
      <c r="M5728" s="148">
        <v>277.50299999999999</v>
      </c>
      <c r="N5728" s="148">
        <v>-79.941919999999996</v>
      </c>
      <c r="O5728" s="148">
        <v>-28.80758766571893</v>
      </c>
      <c r="P5728" s="148">
        <v>101.69278</v>
      </c>
      <c r="Q5728" s="148">
        <v>95.868300000000005</v>
      </c>
      <c r="R5728" s="148">
        <v>94.272474407720978</v>
      </c>
    </row>
    <row r="5729" spans="2:18" ht="15.75" hidden="1" thickBot="1" x14ac:dyDescent="0.3">
      <c r="B5729" s="724" t="s">
        <v>853</v>
      </c>
      <c r="C5729" s="722" t="s">
        <v>65</v>
      </c>
      <c r="D5729" t="s">
        <v>66</v>
      </c>
      <c r="E5729" s="147">
        <v>-0.29228999999999999</v>
      </c>
      <c r="F5729" s="147">
        <v>-1.8601300000000001</v>
      </c>
      <c r="G5729" s="147">
        <v>1.5678399999999999</v>
      </c>
      <c r="H5729" s="147">
        <v>84.286582120604479</v>
      </c>
      <c r="I5729" s="729"/>
      <c r="J5729" s="147">
        <v>-0.29228999999999999</v>
      </c>
      <c r="K5729" s="147">
        <v>0</v>
      </c>
      <c r="L5729" s="147">
        <v>-15.33357</v>
      </c>
      <c r="M5729" s="147">
        <v>-22.204460000000001</v>
      </c>
      <c r="N5729" s="147">
        <v>6.8708900000000002</v>
      </c>
      <c r="O5729" s="147">
        <v>30.943738330047207</v>
      </c>
      <c r="P5729" s="147">
        <v>-11.43637</v>
      </c>
      <c r="Q5729" s="147">
        <v>-3.8972000000000002</v>
      </c>
      <c r="R5729" s="147">
        <v>-34.077246538893021</v>
      </c>
    </row>
    <row r="5730" spans="2:18" ht="15.75" hidden="1" thickBot="1" x14ac:dyDescent="0.3">
      <c r="B5730" s="724" t="s">
        <v>853</v>
      </c>
      <c r="C5730" s="149" t="s">
        <v>67</v>
      </c>
      <c r="D5730" t="s">
        <v>68</v>
      </c>
      <c r="E5730" s="148">
        <v>44.5471</v>
      </c>
      <c r="F5730" s="148">
        <v>65.915310000000005</v>
      </c>
      <c r="G5730" s="148">
        <v>-21.368210000000001</v>
      </c>
      <c r="H5730" s="148">
        <v>-32.417673526833141</v>
      </c>
      <c r="I5730" s="728"/>
      <c r="J5730" s="148">
        <v>44.5471</v>
      </c>
      <c r="K5730" s="148">
        <v>0</v>
      </c>
      <c r="L5730" s="148">
        <v>559.60861</v>
      </c>
      <c r="M5730" s="148">
        <v>786.83406000000002</v>
      </c>
      <c r="N5730" s="148">
        <v>-227.22545</v>
      </c>
      <c r="O5730" s="148">
        <v>-28.878446110988129</v>
      </c>
      <c r="P5730" s="148">
        <v>287.56162</v>
      </c>
      <c r="Q5730" s="148">
        <v>272.04698999999999</v>
      </c>
      <c r="R5730" s="148">
        <v>94.604763319945135</v>
      </c>
    </row>
    <row r="5731" spans="2:18" ht="15.75" hidden="1" thickBot="1" x14ac:dyDescent="0.3">
      <c r="B5731" s="724" t="s">
        <v>853</v>
      </c>
      <c r="C5731" s="722" t="s">
        <v>69</v>
      </c>
      <c r="D5731" t="s">
        <v>70</v>
      </c>
      <c r="E5731" s="147">
        <v>-0.47899999999999998</v>
      </c>
      <c r="F5731" s="147">
        <v>0.5</v>
      </c>
      <c r="G5731" s="147">
        <v>-0.97899999999999998</v>
      </c>
      <c r="H5731" s="147">
        <v>-195.8</v>
      </c>
      <c r="I5731" s="729"/>
      <c r="J5731" s="147">
        <v>-0.47899999999999998</v>
      </c>
      <c r="K5731" s="147">
        <v>0</v>
      </c>
      <c r="L5731" s="147">
        <v>2.2795000000000001</v>
      </c>
      <c r="M5731" s="147">
        <v>3.6349999999999998</v>
      </c>
      <c r="N5731" s="147">
        <v>-1.3554999999999999</v>
      </c>
      <c r="O5731" s="147">
        <v>-37.290233837689136</v>
      </c>
      <c r="P5731" s="147">
        <v>1.3214999999999999</v>
      </c>
      <c r="Q5731" s="147">
        <v>0.95799999999999996</v>
      </c>
      <c r="R5731" s="147">
        <v>72.493378736284527</v>
      </c>
    </row>
    <row r="5732" spans="2:18" ht="15.75" hidden="1" thickBot="1" x14ac:dyDescent="0.3">
      <c r="B5732" s="724" t="s">
        <v>853</v>
      </c>
      <c r="C5732" s="722" t="s">
        <v>165</v>
      </c>
      <c r="D5732" t="s">
        <v>166</v>
      </c>
      <c r="E5732" s="728"/>
      <c r="F5732" s="728"/>
      <c r="G5732" s="728"/>
      <c r="H5732" s="728"/>
      <c r="I5732" s="728"/>
      <c r="J5732" s="728"/>
      <c r="K5732" s="728"/>
      <c r="L5732" s="148">
        <v>0.21379000000000001</v>
      </c>
      <c r="M5732" s="728"/>
      <c r="N5732" s="148">
        <v>0.21379000000000001</v>
      </c>
      <c r="O5732" s="148">
        <v>0</v>
      </c>
      <c r="P5732" s="148">
        <v>2.4129999999999999E-2</v>
      </c>
      <c r="Q5732" s="148">
        <v>0.18966</v>
      </c>
      <c r="R5732" s="148">
        <v>785.99254040613346</v>
      </c>
    </row>
    <row r="5733" spans="2:18" ht="15.75" hidden="1" thickBot="1" x14ac:dyDescent="0.3">
      <c r="B5733" s="724" t="s">
        <v>853</v>
      </c>
      <c r="C5733" s="722" t="s">
        <v>137</v>
      </c>
      <c r="D5733" t="s">
        <v>138</v>
      </c>
      <c r="E5733" s="729"/>
      <c r="F5733" s="147">
        <v>9.2960000000000001E-2</v>
      </c>
      <c r="G5733" s="147">
        <v>-9.2960000000000001E-2</v>
      </c>
      <c r="H5733" s="147">
        <v>-100</v>
      </c>
      <c r="I5733" s="729"/>
      <c r="J5733" s="729"/>
      <c r="K5733" s="729"/>
      <c r="L5733" s="147">
        <v>0.54200000000000004</v>
      </c>
      <c r="M5733" s="147">
        <v>1.00596</v>
      </c>
      <c r="N5733" s="147">
        <v>-0.46395999999999998</v>
      </c>
      <c r="O5733" s="147">
        <v>-46.121118135909974</v>
      </c>
      <c r="P5733" s="147">
        <v>0.54200000000000004</v>
      </c>
      <c r="Q5733" s="147">
        <v>0</v>
      </c>
      <c r="R5733" s="147">
        <v>0</v>
      </c>
    </row>
    <row r="5734" spans="2:18" ht="15.75" hidden="1" thickBot="1" x14ac:dyDescent="0.3">
      <c r="B5734" s="724" t="s">
        <v>853</v>
      </c>
      <c r="C5734" s="722" t="s">
        <v>190</v>
      </c>
      <c r="D5734" t="s">
        <v>191</v>
      </c>
      <c r="E5734" s="148">
        <v>5.2779999999999996</v>
      </c>
      <c r="F5734" s="148">
        <v>5.3307799999999999</v>
      </c>
      <c r="G5734" s="148">
        <v>-5.2780000000000001E-2</v>
      </c>
      <c r="H5734" s="148">
        <v>-0.99009900990099009</v>
      </c>
      <c r="I5734" s="728"/>
      <c r="J5734" s="148">
        <v>5.2779999999999996</v>
      </c>
      <c r="K5734" s="148">
        <v>0</v>
      </c>
      <c r="L5734" s="148">
        <v>63.335999999999999</v>
      </c>
      <c r="M5734" s="148">
        <v>63.969360000000002</v>
      </c>
      <c r="N5734" s="148">
        <v>-0.63336000000000003</v>
      </c>
      <c r="O5734" s="148">
        <v>-0.99009900990099009</v>
      </c>
      <c r="P5734" s="148">
        <v>31.667999999999999</v>
      </c>
      <c r="Q5734" s="148">
        <v>31.667999999999999</v>
      </c>
      <c r="R5734" s="148">
        <v>100</v>
      </c>
    </row>
    <row r="5735" spans="2:18" ht="15.75" hidden="1" thickBot="1" x14ac:dyDescent="0.3">
      <c r="B5735" s="724" t="s">
        <v>853</v>
      </c>
      <c r="C5735" s="722" t="s">
        <v>139</v>
      </c>
      <c r="D5735" t="s">
        <v>140</v>
      </c>
      <c r="E5735" s="147">
        <v>0.65</v>
      </c>
      <c r="F5735" s="147">
        <v>0.315</v>
      </c>
      <c r="G5735" s="147">
        <v>0.33500000000000002</v>
      </c>
      <c r="H5735" s="147">
        <v>106.34920634920636</v>
      </c>
      <c r="I5735" s="729"/>
      <c r="J5735" s="147">
        <v>0.65</v>
      </c>
      <c r="K5735" s="147">
        <v>0</v>
      </c>
      <c r="L5735" s="147">
        <v>0.90549999999999997</v>
      </c>
      <c r="M5735" s="147">
        <v>1.5149999999999999</v>
      </c>
      <c r="N5735" s="147">
        <v>-0.60950000000000004</v>
      </c>
      <c r="O5735" s="147">
        <v>-40.231023102310232</v>
      </c>
      <c r="P5735" s="147">
        <v>0.18049999999999999</v>
      </c>
      <c r="Q5735" s="147">
        <v>0.72499999999999998</v>
      </c>
      <c r="R5735" s="147">
        <v>401.66204986149586</v>
      </c>
    </row>
    <row r="5736" spans="2:18" ht="15.75" hidden="1" thickBot="1" x14ac:dyDescent="0.3">
      <c r="B5736" s="724" t="s">
        <v>853</v>
      </c>
      <c r="C5736" s="722" t="s">
        <v>169</v>
      </c>
      <c r="D5736" t="s">
        <v>170</v>
      </c>
      <c r="E5736" s="728"/>
      <c r="F5736" s="148">
        <v>0</v>
      </c>
      <c r="G5736" s="148">
        <v>0</v>
      </c>
      <c r="H5736" s="148">
        <v>0</v>
      </c>
      <c r="I5736" s="728"/>
      <c r="J5736" s="728"/>
      <c r="K5736" s="728"/>
      <c r="L5736" s="728"/>
      <c r="M5736" s="148">
        <v>0</v>
      </c>
      <c r="N5736" s="148">
        <v>0</v>
      </c>
      <c r="O5736" s="148">
        <v>0</v>
      </c>
      <c r="P5736" s="728"/>
      <c r="Q5736" s="728"/>
      <c r="R5736" s="728"/>
    </row>
    <row r="5737" spans="2:18" ht="15.75" hidden="1" thickBot="1" x14ac:dyDescent="0.3">
      <c r="B5737" s="724" t="s">
        <v>853</v>
      </c>
      <c r="C5737" s="722" t="s">
        <v>101</v>
      </c>
      <c r="D5737" t="s">
        <v>102</v>
      </c>
      <c r="E5737" s="729"/>
      <c r="F5737" s="147">
        <v>0.12</v>
      </c>
      <c r="G5737" s="147">
        <v>-0.12</v>
      </c>
      <c r="H5737" s="147">
        <v>-100</v>
      </c>
      <c r="I5737" s="729"/>
      <c r="J5737" s="729"/>
      <c r="K5737" s="729"/>
      <c r="L5737" s="147">
        <v>0.60443000000000002</v>
      </c>
      <c r="M5737" s="147">
        <v>2.02</v>
      </c>
      <c r="N5737" s="147">
        <v>-1.41557</v>
      </c>
      <c r="O5737" s="147">
        <v>-70.077722772277227</v>
      </c>
      <c r="P5737" s="147">
        <v>7.0389999999999994E-2</v>
      </c>
      <c r="Q5737" s="147">
        <v>0.53403999999999996</v>
      </c>
      <c r="R5737" s="147">
        <v>758.68731353885494</v>
      </c>
    </row>
    <row r="5738" spans="2:18" ht="15.75" hidden="1" thickBot="1" x14ac:dyDescent="0.3">
      <c r="B5738" s="724" t="s">
        <v>853</v>
      </c>
      <c r="C5738" s="722" t="s">
        <v>464</v>
      </c>
      <c r="D5738" t="s">
        <v>465</v>
      </c>
      <c r="E5738" s="148">
        <v>8.3868299999999998</v>
      </c>
      <c r="F5738" s="148">
        <v>26.339649999999999</v>
      </c>
      <c r="G5738" s="148">
        <v>-17.952819999999999</v>
      </c>
      <c r="H5738" s="148">
        <v>-68.158916310581191</v>
      </c>
      <c r="I5738" s="728"/>
      <c r="J5738" s="148">
        <v>8.3868299999999998</v>
      </c>
      <c r="K5738" s="148">
        <v>0</v>
      </c>
      <c r="L5738" s="148">
        <v>184.53990999999999</v>
      </c>
      <c r="M5738" s="148">
        <v>185.80465000000001</v>
      </c>
      <c r="N5738" s="148">
        <v>-1.26474</v>
      </c>
      <c r="O5738" s="148">
        <v>-0.68068264168846149</v>
      </c>
      <c r="P5738" s="148">
        <v>84.941199999999995</v>
      </c>
      <c r="Q5738" s="148">
        <v>99.598709999999997</v>
      </c>
      <c r="R5738" s="148">
        <v>117.25606654956606</v>
      </c>
    </row>
    <row r="5739" spans="2:18" ht="15.75" hidden="1" thickBot="1" x14ac:dyDescent="0.3">
      <c r="B5739" s="724" t="s">
        <v>853</v>
      </c>
      <c r="C5739" s="722" t="s">
        <v>71</v>
      </c>
      <c r="D5739" t="s">
        <v>72</v>
      </c>
      <c r="E5739" s="147">
        <v>4.9899999999999996E-3</v>
      </c>
      <c r="F5739" s="729"/>
      <c r="G5739" s="147">
        <v>4.9899999999999996E-3</v>
      </c>
      <c r="H5739" s="147">
        <v>0</v>
      </c>
      <c r="I5739" s="729"/>
      <c r="J5739" s="147">
        <v>4.9899999999999996E-3</v>
      </c>
      <c r="K5739" s="147">
        <v>0</v>
      </c>
      <c r="L5739" s="147">
        <v>4.9899999999999996E-3</v>
      </c>
      <c r="M5739" s="729"/>
      <c r="N5739" s="147">
        <v>4.9899999999999996E-3</v>
      </c>
      <c r="O5739" s="147">
        <v>0</v>
      </c>
      <c r="P5739" s="729"/>
      <c r="Q5739" s="147">
        <v>4.9899999999999996E-3</v>
      </c>
      <c r="R5739" s="147">
        <v>0</v>
      </c>
    </row>
    <row r="5740" spans="2:18" ht="15.75" hidden="1" thickBot="1" x14ac:dyDescent="0.3">
      <c r="B5740" s="724" t="s">
        <v>853</v>
      </c>
      <c r="C5740" s="722" t="s">
        <v>109</v>
      </c>
      <c r="D5740" t="s">
        <v>110</v>
      </c>
      <c r="E5740" s="728"/>
      <c r="F5740" s="148">
        <v>0.16500000000000001</v>
      </c>
      <c r="G5740" s="148">
        <v>-0.16500000000000001</v>
      </c>
      <c r="H5740" s="148">
        <v>-100</v>
      </c>
      <c r="I5740" s="728"/>
      <c r="J5740" s="728"/>
      <c r="K5740" s="728"/>
      <c r="L5740" s="148">
        <v>0.40727000000000002</v>
      </c>
      <c r="M5740" s="148">
        <v>1.5149999999999999</v>
      </c>
      <c r="N5740" s="148">
        <v>-1.1077300000000001</v>
      </c>
      <c r="O5740" s="148">
        <v>-73.117491749174917</v>
      </c>
      <c r="P5740" s="148">
        <v>0.28486</v>
      </c>
      <c r="Q5740" s="148">
        <v>0.12241</v>
      </c>
      <c r="R5740" s="148">
        <v>42.971986238854171</v>
      </c>
    </row>
    <row r="5741" spans="2:18" ht="15.75" hidden="1" thickBot="1" x14ac:dyDescent="0.3">
      <c r="B5741" s="724" t="s">
        <v>853</v>
      </c>
      <c r="C5741" s="722" t="s">
        <v>73</v>
      </c>
      <c r="D5741" t="s">
        <v>74</v>
      </c>
      <c r="E5741" s="147">
        <v>6.1699999999999998E-2</v>
      </c>
      <c r="F5741" s="147">
        <v>0.6</v>
      </c>
      <c r="G5741" s="147">
        <v>-0.5383</v>
      </c>
      <c r="H5741" s="147">
        <v>-89.716666666666669</v>
      </c>
      <c r="I5741" s="729"/>
      <c r="J5741" s="147">
        <v>6.1699999999999998E-2</v>
      </c>
      <c r="K5741" s="147">
        <v>0</v>
      </c>
      <c r="L5741" s="147">
        <v>2.2525900000000001</v>
      </c>
      <c r="M5741" s="147">
        <v>5</v>
      </c>
      <c r="N5741" s="147">
        <v>-2.7474099999999999</v>
      </c>
      <c r="O5741" s="147">
        <v>-54.9482</v>
      </c>
      <c r="P5741" s="147">
        <v>1.6739900000000001</v>
      </c>
      <c r="Q5741" s="147">
        <v>0.5786</v>
      </c>
      <c r="R5741" s="147">
        <v>34.564125233723018</v>
      </c>
    </row>
    <row r="5742" spans="2:18" ht="15.75" hidden="1" thickBot="1" x14ac:dyDescent="0.3">
      <c r="B5742" s="724" t="s">
        <v>853</v>
      </c>
      <c r="C5742" s="722" t="s">
        <v>111</v>
      </c>
      <c r="D5742" t="s">
        <v>112</v>
      </c>
      <c r="E5742" s="728"/>
      <c r="F5742" s="148">
        <v>2.8250000000000001E-2</v>
      </c>
      <c r="G5742" s="148">
        <v>-2.8250000000000001E-2</v>
      </c>
      <c r="H5742" s="148">
        <v>-100</v>
      </c>
      <c r="I5742" s="728"/>
      <c r="J5742" s="728"/>
      <c r="K5742" s="728"/>
      <c r="L5742" s="148">
        <v>1.261E-2</v>
      </c>
      <c r="M5742" s="148">
        <v>0.32824999999999999</v>
      </c>
      <c r="N5742" s="148">
        <v>-0.31563999999999998</v>
      </c>
      <c r="O5742" s="148">
        <v>-96.158415841584159</v>
      </c>
      <c r="P5742" s="148">
        <v>1.261E-2</v>
      </c>
      <c r="Q5742" s="148">
        <v>0</v>
      </c>
      <c r="R5742" s="148">
        <v>0</v>
      </c>
    </row>
    <row r="5743" spans="2:18" ht="15.75" hidden="1" thickBot="1" x14ac:dyDescent="0.3">
      <c r="B5743" s="724" t="s">
        <v>853</v>
      </c>
      <c r="C5743" s="722" t="s">
        <v>141</v>
      </c>
      <c r="D5743" t="s">
        <v>142</v>
      </c>
      <c r="E5743" s="147">
        <v>3.184E-2</v>
      </c>
      <c r="F5743" s="147">
        <v>7.4999999999999997E-2</v>
      </c>
      <c r="G5743" s="147">
        <v>-4.3159999999999997E-2</v>
      </c>
      <c r="H5743" s="147">
        <v>-57.546666666666667</v>
      </c>
      <c r="I5743" s="729"/>
      <c r="J5743" s="147">
        <v>3.184E-2</v>
      </c>
      <c r="K5743" s="147">
        <v>0</v>
      </c>
      <c r="L5743" s="147">
        <v>0.34444000000000002</v>
      </c>
      <c r="M5743" s="147">
        <v>1.01</v>
      </c>
      <c r="N5743" s="147">
        <v>-0.66556000000000004</v>
      </c>
      <c r="O5743" s="147">
        <v>-65.8970297029703</v>
      </c>
      <c r="P5743" s="147">
        <v>0.13541</v>
      </c>
      <c r="Q5743" s="147">
        <v>0.20902999999999999</v>
      </c>
      <c r="R5743" s="147">
        <v>154.36821505058711</v>
      </c>
    </row>
    <row r="5744" spans="2:18" ht="15.75" hidden="1" thickBot="1" x14ac:dyDescent="0.3">
      <c r="B5744" s="724" t="s">
        <v>853</v>
      </c>
      <c r="C5744" s="722" t="s">
        <v>113</v>
      </c>
      <c r="D5744" t="s">
        <v>114</v>
      </c>
      <c r="E5744" s="728"/>
      <c r="F5744" s="148">
        <v>0.223</v>
      </c>
      <c r="G5744" s="148">
        <v>-0.223</v>
      </c>
      <c r="H5744" s="148">
        <v>-100</v>
      </c>
      <c r="I5744" s="728"/>
      <c r="J5744" s="728"/>
      <c r="K5744" s="728"/>
      <c r="L5744" s="148">
        <v>0.18823999999999999</v>
      </c>
      <c r="M5744" s="148">
        <v>2.3929999999999998</v>
      </c>
      <c r="N5744" s="148">
        <v>-2.2047599999999998</v>
      </c>
      <c r="O5744" s="148">
        <v>-92.133723359799419</v>
      </c>
      <c r="P5744" s="148">
        <v>8.6739999999999998E-2</v>
      </c>
      <c r="Q5744" s="148">
        <v>0.10150000000000001</v>
      </c>
      <c r="R5744" s="148">
        <v>117.01637076320037</v>
      </c>
    </row>
    <row r="5745" spans="2:18" ht="15.75" hidden="1" thickBot="1" x14ac:dyDescent="0.3">
      <c r="B5745" s="724" t="s">
        <v>853</v>
      </c>
      <c r="C5745" s="722" t="s">
        <v>633</v>
      </c>
      <c r="D5745" t="s">
        <v>634</v>
      </c>
      <c r="E5745" s="729"/>
      <c r="F5745" s="729"/>
      <c r="G5745" s="729"/>
      <c r="H5745" s="729"/>
      <c r="I5745" s="729"/>
      <c r="J5745" s="729"/>
      <c r="K5745" s="729"/>
      <c r="L5745" s="147">
        <v>9.2098399999999998</v>
      </c>
      <c r="M5745" s="729"/>
      <c r="N5745" s="147">
        <v>9.2098399999999998</v>
      </c>
      <c r="O5745" s="147">
        <v>0</v>
      </c>
      <c r="P5745" s="729"/>
      <c r="Q5745" s="147">
        <v>9.2098399999999998</v>
      </c>
      <c r="R5745" s="147">
        <v>0</v>
      </c>
    </row>
    <row r="5746" spans="2:18" ht="15.75" hidden="1" thickBot="1" x14ac:dyDescent="0.3">
      <c r="B5746" s="724" t="s">
        <v>853</v>
      </c>
      <c r="C5746" s="722" t="s">
        <v>145</v>
      </c>
      <c r="D5746" t="s">
        <v>146</v>
      </c>
      <c r="E5746" s="728"/>
      <c r="F5746" s="148">
        <v>0</v>
      </c>
      <c r="G5746" s="148">
        <v>0</v>
      </c>
      <c r="H5746" s="148">
        <v>0</v>
      </c>
      <c r="I5746" s="728"/>
      <c r="J5746" s="728"/>
      <c r="K5746" s="728"/>
      <c r="L5746" s="148">
        <v>1.5699999999999999E-2</v>
      </c>
      <c r="M5746" s="148">
        <v>0.10100000000000001</v>
      </c>
      <c r="N5746" s="148">
        <v>-8.5300000000000001E-2</v>
      </c>
      <c r="O5746" s="148">
        <v>-84.455445544554451</v>
      </c>
      <c r="P5746" s="148">
        <v>1.5699999999999999E-2</v>
      </c>
      <c r="Q5746" s="148">
        <v>0</v>
      </c>
      <c r="R5746" s="148">
        <v>0</v>
      </c>
    </row>
    <row r="5747" spans="2:18" ht="15.75" hidden="1" thickBot="1" x14ac:dyDescent="0.3">
      <c r="B5747" s="724" t="s">
        <v>853</v>
      </c>
      <c r="C5747" s="722" t="s">
        <v>147</v>
      </c>
      <c r="D5747" t="s">
        <v>148</v>
      </c>
      <c r="E5747" s="729"/>
      <c r="F5747" s="729"/>
      <c r="G5747" s="729"/>
      <c r="H5747" s="729"/>
      <c r="I5747" s="729"/>
      <c r="J5747" s="729"/>
      <c r="K5747" s="729"/>
      <c r="L5747" s="147">
        <v>0.06</v>
      </c>
      <c r="M5747" s="729"/>
      <c r="N5747" s="147">
        <v>0.06</v>
      </c>
      <c r="O5747" s="147">
        <v>0</v>
      </c>
      <c r="P5747" s="147">
        <v>0.06</v>
      </c>
      <c r="Q5747" s="147">
        <v>0</v>
      </c>
      <c r="R5747" s="147">
        <v>0</v>
      </c>
    </row>
    <row r="5748" spans="2:18" ht="15.75" hidden="1" thickBot="1" x14ac:dyDescent="0.3">
      <c r="B5748" s="724" t="s">
        <v>853</v>
      </c>
      <c r="C5748" s="722" t="s">
        <v>643</v>
      </c>
      <c r="D5748" t="s">
        <v>644</v>
      </c>
      <c r="E5748" s="148">
        <v>6.0249999999999998E-2</v>
      </c>
      <c r="F5748" s="728"/>
      <c r="G5748" s="148">
        <v>6.0249999999999998E-2</v>
      </c>
      <c r="H5748" s="148">
        <v>0</v>
      </c>
      <c r="I5748" s="728"/>
      <c r="J5748" s="148">
        <v>6.0249999999999998E-2</v>
      </c>
      <c r="K5748" s="148">
        <v>0</v>
      </c>
      <c r="L5748" s="148">
        <v>0.90925</v>
      </c>
      <c r="M5748" s="728"/>
      <c r="N5748" s="148">
        <v>0.90925</v>
      </c>
      <c r="O5748" s="148">
        <v>0</v>
      </c>
      <c r="P5748" s="148">
        <v>0.64</v>
      </c>
      <c r="Q5748" s="148">
        <v>0.26924999999999999</v>
      </c>
      <c r="R5748" s="148">
        <v>42.0703125</v>
      </c>
    </row>
    <row r="5749" spans="2:18" ht="15.75" hidden="1" thickBot="1" x14ac:dyDescent="0.3">
      <c r="B5749" s="724" t="s">
        <v>853</v>
      </c>
      <c r="C5749" s="722" t="s">
        <v>149</v>
      </c>
      <c r="D5749" t="s">
        <v>150</v>
      </c>
      <c r="E5749" s="729"/>
      <c r="F5749" s="147">
        <v>1.585</v>
      </c>
      <c r="G5749" s="147">
        <v>-1.585</v>
      </c>
      <c r="H5749" s="147">
        <v>-100</v>
      </c>
      <c r="I5749" s="729"/>
      <c r="J5749" s="729"/>
      <c r="K5749" s="729"/>
      <c r="L5749" s="147">
        <v>0.10498</v>
      </c>
      <c r="M5749" s="147">
        <v>8.5850000000000009</v>
      </c>
      <c r="N5749" s="147">
        <v>-8.4800199999999997</v>
      </c>
      <c r="O5749" s="147">
        <v>-98.777169481654042</v>
      </c>
      <c r="P5749" s="147">
        <v>8.2720000000000002E-2</v>
      </c>
      <c r="Q5749" s="147">
        <v>2.2259999999999999E-2</v>
      </c>
      <c r="R5749" s="147">
        <v>26.910058027079305</v>
      </c>
    </row>
    <row r="5750" spans="2:18" ht="15.75" hidden="1" thickBot="1" x14ac:dyDescent="0.3">
      <c r="B5750" s="724" t="s">
        <v>853</v>
      </c>
      <c r="C5750" s="722" t="s">
        <v>205</v>
      </c>
      <c r="D5750" t="s">
        <v>206</v>
      </c>
      <c r="E5750" s="728"/>
      <c r="F5750" s="728"/>
      <c r="G5750" s="728"/>
      <c r="H5750" s="728"/>
      <c r="I5750" s="728"/>
      <c r="J5750" s="728"/>
      <c r="K5750" s="728"/>
      <c r="L5750" s="148">
        <v>9.5000000000000001E-2</v>
      </c>
      <c r="M5750" s="728"/>
      <c r="N5750" s="148">
        <v>9.5000000000000001E-2</v>
      </c>
      <c r="O5750" s="148">
        <v>0</v>
      </c>
      <c r="P5750" s="728"/>
      <c r="Q5750" s="148">
        <v>9.5000000000000001E-2</v>
      </c>
      <c r="R5750" s="148">
        <v>0</v>
      </c>
    </row>
    <row r="5751" spans="2:18" ht="15.75" hidden="1" thickBot="1" x14ac:dyDescent="0.3">
      <c r="B5751" s="724" t="s">
        <v>853</v>
      </c>
      <c r="C5751" s="722" t="s">
        <v>151</v>
      </c>
      <c r="D5751" t="s">
        <v>152</v>
      </c>
      <c r="E5751" s="147">
        <v>4.1916500000000001</v>
      </c>
      <c r="F5751" s="147">
        <v>1.83</v>
      </c>
      <c r="G5751" s="147">
        <v>2.36165</v>
      </c>
      <c r="H5751" s="147">
        <v>129.05191256830602</v>
      </c>
      <c r="I5751" s="729"/>
      <c r="J5751" s="147">
        <v>4.1916500000000001</v>
      </c>
      <c r="K5751" s="147">
        <v>0</v>
      </c>
      <c r="L5751" s="147">
        <v>5.5116100000000001</v>
      </c>
      <c r="M5751" s="147">
        <v>3.03</v>
      </c>
      <c r="N5751" s="147">
        <v>2.4816099999999999</v>
      </c>
      <c r="O5751" s="147">
        <v>81.901320132013197</v>
      </c>
      <c r="P5751" s="147">
        <v>0.57704</v>
      </c>
      <c r="Q5751" s="147">
        <v>4.9345699999999999</v>
      </c>
      <c r="R5751" s="147">
        <v>855.15215582975179</v>
      </c>
    </row>
    <row r="5752" spans="2:18" ht="15.75" hidden="1" thickBot="1" x14ac:dyDescent="0.3">
      <c r="B5752" s="724" t="s">
        <v>853</v>
      </c>
      <c r="C5752" s="722" t="s">
        <v>75</v>
      </c>
      <c r="D5752" t="s">
        <v>76</v>
      </c>
      <c r="E5752" s="148">
        <v>0.19893</v>
      </c>
      <c r="F5752" s="148">
        <v>0.39200000000000002</v>
      </c>
      <c r="G5752" s="148">
        <v>-0.19306999999999999</v>
      </c>
      <c r="H5752" s="148">
        <v>-49.252551020408163</v>
      </c>
      <c r="I5752" s="728"/>
      <c r="J5752" s="148">
        <v>0.19893</v>
      </c>
      <c r="K5752" s="148">
        <v>0</v>
      </c>
      <c r="L5752" s="148">
        <v>3.51431</v>
      </c>
      <c r="M5752" s="148">
        <v>4.242</v>
      </c>
      <c r="N5752" s="148">
        <v>-0.72768999999999995</v>
      </c>
      <c r="O5752" s="148">
        <v>-17.154408297972655</v>
      </c>
      <c r="P5752" s="148">
        <v>2.0116499999999999</v>
      </c>
      <c r="Q5752" s="148">
        <v>1.5026600000000001</v>
      </c>
      <c r="R5752" s="148">
        <v>74.697884820918148</v>
      </c>
    </row>
    <row r="5753" spans="2:18" ht="15.75" hidden="1" thickBot="1" x14ac:dyDescent="0.3">
      <c r="B5753" s="724" t="s">
        <v>853</v>
      </c>
      <c r="C5753" s="722" t="s">
        <v>121</v>
      </c>
      <c r="D5753" t="s">
        <v>122</v>
      </c>
      <c r="E5753" s="729"/>
      <c r="F5753" s="147">
        <v>5.5E-2</v>
      </c>
      <c r="G5753" s="147">
        <v>-5.5E-2</v>
      </c>
      <c r="H5753" s="147">
        <v>-100</v>
      </c>
      <c r="I5753" s="729"/>
      <c r="J5753" s="729"/>
      <c r="K5753" s="729"/>
      <c r="L5753" s="147">
        <v>3.024E-2</v>
      </c>
      <c r="M5753" s="147">
        <v>0.505</v>
      </c>
      <c r="N5753" s="147">
        <v>-0.47476000000000002</v>
      </c>
      <c r="O5753" s="147">
        <v>-94.011881188118807</v>
      </c>
      <c r="P5753" s="147">
        <v>1.6240000000000001E-2</v>
      </c>
      <c r="Q5753" s="147">
        <v>1.4E-2</v>
      </c>
      <c r="R5753" s="147">
        <v>86.206896551724142</v>
      </c>
    </row>
    <row r="5754" spans="2:18" ht="15.75" hidden="1" thickBot="1" x14ac:dyDescent="0.3">
      <c r="B5754" s="724" t="s">
        <v>853</v>
      </c>
      <c r="C5754" s="722" t="s">
        <v>77</v>
      </c>
      <c r="D5754" t="s">
        <v>78</v>
      </c>
      <c r="E5754" s="728"/>
      <c r="F5754" s="148">
        <v>0.55000000000000004</v>
      </c>
      <c r="G5754" s="148">
        <v>-0.55000000000000004</v>
      </c>
      <c r="H5754" s="148">
        <v>-100</v>
      </c>
      <c r="I5754" s="728"/>
      <c r="J5754" s="728"/>
      <c r="K5754" s="728"/>
      <c r="L5754" s="148">
        <v>4.0291199999999998</v>
      </c>
      <c r="M5754" s="148">
        <v>5.55</v>
      </c>
      <c r="N5754" s="148">
        <v>-1.52088</v>
      </c>
      <c r="O5754" s="148">
        <v>-27.403243243243242</v>
      </c>
      <c r="P5754" s="148">
        <v>2.59693</v>
      </c>
      <c r="Q5754" s="148">
        <v>1.4321900000000001</v>
      </c>
      <c r="R5754" s="148">
        <v>55.14934942412772</v>
      </c>
    </row>
    <row r="5755" spans="2:18" ht="15.75" hidden="1" thickBot="1" x14ac:dyDescent="0.3">
      <c r="B5755" s="724" t="s">
        <v>853</v>
      </c>
      <c r="C5755" s="722" t="s">
        <v>79</v>
      </c>
      <c r="D5755" t="s">
        <v>80</v>
      </c>
      <c r="E5755" s="729"/>
      <c r="F5755" s="147">
        <v>2.5000000000000001E-2</v>
      </c>
      <c r="G5755" s="147">
        <v>-2.5000000000000001E-2</v>
      </c>
      <c r="H5755" s="147">
        <v>-100</v>
      </c>
      <c r="I5755" s="729"/>
      <c r="J5755" s="729"/>
      <c r="K5755" s="729"/>
      <c r="L5755" s="147">
        <v>1.0407</v>
      </c>
      <c r="M5755" s="147">
        <v>0.5</v>
      </c>
      <c r="N5755" s="147">
        <v>0.54069999999999996</v>
      </c>
      <c r="O5755" s="147">
        <v>108.14</v>
      </c>
      <c r="P5755" s="147">
        <v>1.0407</v>
      </c>
      <c r="Q5755" s="147">
        <v>0</v>
      </c>
      <c r="R5755" s="147">
        <v>0</v>
      </c>
    </row>
    <row r="5756" spans="2:18" ht="15.75" hidden="1" thickBot="1" x14ac:dyDescent="0.3">
      <c r="B5756" s="724" t="s">
        <v>853</v>
      </c>
      <c r="C5756" s="722" t="s">
        <v>81</v>
      </c>
      <c r="D5756" t="s">
        <v>82</v>
      </c>
      <c r="E5756" s="148">
        <v>0.2198</v>
      </c>
      <c r="F5756" s="148">
        <v>0.80400000000000005</v>
      </c>
      <c r="G5756" s="148">
        <v>-0.58420000000000005</v>
      </c>
      <c r="H5756" s="148">
        <v>-72.661691542288551</v>
      </c>
      <c r="I5756" s="728"/>
      <c r="J5756" s="148">
        <v>0.2198</v>
      </c>
      <c r="K5756" s="148">
        <v>0</v>
      </c>
      <c r="L5756" s="148">
        <v>1.2467900000000001</v>
      </c>
      <c r="M5756" s="148">
        <v>5.4539999999999997</v>
      </c>
      <c r="N5756" s="148">
        <v>-4.2072099999999999</v>
      </c>
      <c r="O5756" s="148">
        <v>-77.13989732306564</v>
      </c>
      <c r="P5756" s="148">
        <v>0.52</v>
      </c>
      <c r="Q5756" s="148">
        <v>0.72679000000000005</v>
      </c>
      <c r="R5756" s="148">
        <v>139.7673076923077</v>
      </c>
    </row>
    <row r="5757" spans="2:18" ht="15.75" hidden="1" thickBot="1" x14ac:dyDescent="0.3">
      <c r="B5757" s="724" t="s">
        <v>853</v>
      </c>
      <c r="C5757" s="722" t="s">
        <v>123</v>
      </c>
      <c r="D5757" t="s">
        <v>124</v>
      </c>
      <c r="E5757" s="147">
        <v>0.61524999999999996</v>
      </c>
      <c r="F5757" s="147">
        <v>0.32400000000000001</v>
      </c>
      <c r="G5757" s="147">
        <v>0.29125000000000001</v>
      </c>
      <c r="H5757" s="147">
        <v>89.891975308641975</v>
      </c>
      <c r="I5757" s="729"/>
      <c r="J5757" s="147">
        <v>0.61524999999999996</v>
      </c>
      <c r="K5757" s="147">
        <v>0</v>
      </c>
      <c r="L5757" s="147">
        <v>2.2536</v>
      </c>
      <c r="M5757" s="147">
        <v>2.4239999999999999</v>
      </c>
      <c r="N5757" s="147">
        <v>-0.1704</v>
      </c>
      <c r="O5757" s="147">
        <v>-7.0297029702970297</v>
      </c>
      <c r="P5757" s="147">
        <v>1.0095099999999999</v>
      </c>
      <c r="Q5757" s="147">
        <v>1.2440899999999999</v>
      </c>
      <c r="R5757" s="147">
        <v>123.23701597804876</v>
      </c>
    </row>
    <row r="5758" spans="2:18" ht="15.75" hidden="1" thickBot="1" x14ac:dyDescent="0.3">
      <c r="B5758" s="724" t="s">
        <v>853</v>
      </c>
      <c r="C5758" s="149" t="s">
        <v>85</v>
      </c>
      <c r="D5758" t="s">
        <v>86</v>
      </c>
      <c r="E5758" s="148">
        <v>19.22024</v>
      </c>
      <c r="F5758" s="148">
        <v>39.354640000000003</v>
      </c>
      <c r="G5758" s="148">
        <v>-20.134399999999999</v>
      </c>
      <c r="H5758" s="148">
        <v>-51.161438651198438</v>
      </c>
      <c r="I5758" s="728"/>
      <c r="J5758" s="148">
        <v>19.22024</v>
      </c>
      <c r="K5758" s="148">
        <v>0</v>
      </c>
      <c r="L5758" s="148">
        <v>283.65240999999997</v>
      </c>
      <c r="M5758" s="148">
        <v>298.58722</v>
      </c>
      <c r="N5758" s="148">
        <v>-14.934810000000001</v>
      </c>
      <c r="O5758" s="148">
        <v>-5.0018249274031223</v>
      </c>
      <c r="P5758" s="148">
        <v>129.51182</v>
      </c>
      <c r="Q5758" s="148">
        <v>154.14059</v>
      </c>
      <c r="R5758" s="148">
        <v>119.01661948693177</v>
      </c>
    </row>
    <row r="5759" spans="2:18" ht="15.75" hidden="1" thickBot="1" x14ac:dyDescent="0.3">
      <c r="B5759" s="724" t="s">
        <v>853</v>
      </c>
      <c r="C5759" s="144" t="s">
        <v>87</v>
      </c>
      <c r="D5759" t="s">
        <v>87</v>
      </c>
      <c r="E5759" s="147">
        <v>63.767339999999997</v>
      </c>
      <c r="F5759" s="147">
        <v>105.26994999999999</v>
      </c>
      <c r="G5759" s="147">
        <v>-41.502609999999997</v>
      </c>
      <c r="H5759" s="147">
        <v>-39.424935606030019</v>
      </c>
      <c r="I5759" s="729"/>
      <c r="J5759" s="147">
        <v>63.767339999999997</v>
      </c>
      <c r="K5759" s="147">
        <v>0</v>
      </c>
      <c r="L5759" s="147">
        <v>843.26102000000003</v>
      </c>
      <c r="M5759" s="147">
        <v>1085.42128</v>
      </c>
      <c r="N5759" s="147">
        <v>-242.16025999999999</v>
      </c>
      <c r="O5759" s="147">
        <v>-22.310255424511301</v>
      </c>
      <c r="P5759" s="147">
        <v>417.07344000000001</v>
      </c>
      <c r="Q5759" s="147">
        <v>426.18758000000003</v>
      </c>
      <c r="R5759" s="147">
        <v>102.18526022659223</v>
      </c>
    </row>
    <row r="5760" spans="2:18" ht="15.75" hidden="1" thickBot="1" x14ac:dyDescent="0.3">
      <c r="B5760" s="724" t="s">
        <v>633</v>
      </c>
      <c r="C5760" s="722" t="s">
        <v>633</v>
      </c>
      <c r="D5760" t="s">
        <v>634</v>
      </c>
      <c r="E5760" s="148">
        <v>285.52920999999998</v>
      </c>
      <c r="F5760" s="148">
        <v>317.33747</v>
      </c>
      <c r="G5760" s="148">
        <v>-31.808260000000001</v>
      </c>
      <c r="H5760" s="148">
        <v>-10.023480681307506</v>
      </c>
      <c r="I5760" s="728"/>
      <c r="J5760" s="148">
        <v>285.52920999999998</v>
      </c>
      <c r="K5760" s="148">
        <v>0</v>
      </c>
      <c r="L5760" s="148">
        <v>3111.4837299999999</v>
      </c>
      <c r="M5760" s="148">
        <v>3326.0496400000002</v>
      </c>
      <c r="N5760" s="148">
        <v>-214.56591</v>
      </c>
      <c r="O5760" s="148">
        <v>-6.4510735925155949</v>
      </c>
      <c r="P5760" s="148">
        <v>1526.8912399999999</v>
      </c>
      <c r="Q5760" s="148">
        <v>1584.59249</v>
      </c>
      <c r="R5760" s="148">
        <v>103.77900196742239</v>
      </c>
    </row>
    <row r="5761" spans="2:18" ht="15.75" hidden="1" thickBot="1" x14ac:dyDescent="0.3">
      <c r="B5761" s="724" t="s">
        <v>633</v>
      </c>
      <c r="C5761" s="149" t="s">
        <v>85</v>
      </c>
      <c r="D5761" t="s">
        <v>86</v>
      </c>
      <c r="E5761" s="147">
        <v>285.52920999999998</v>
      </c>
      <c r="F5761" s="147">
        <v>317.33747</v>
      </c>
      <c r="G5761" s="147">
        <v>-31.808260000000001</v>
      </c>
      <c r="H5761" s="147">
        <v>-10.023480681307506</v>
      </c>
      <c r="I5761" s="729"/>
      <c r="J5761" s="147">
        <v>285.52920999999998</v>
      </c>
      <c r="K5761" s="147">
        <v>0</v>
      </c>
      <c r="L5761" s="147">
        <v>3111.4837299999999</v>
      </c>
      <c r="M5761" s="147">
        <v>3326.0496400000002</v>
      </c>
      <c r="N5761" s="147">
        <v>-214.56591</v>
      </c>
      <c r="O5761" s="147">
        <v>-6.4510735925155949</v>
      </c>
      <c r="P5761" s="147">
        <v>1526.8912399999999</v>
      </c>
      <c r="Q5761" s="147">
        <v>1584.59249</v>
      </c>
      <c r="R5761" s="147">
        <v>103.77900196742239</v>
      </c>
    </row>
    <row r="5762" spans="2:18" ht="15.75" hidden="1" thickBot="1" x14ac:dyDescent="0.3">
      <c r="B5762" s="724" t="s">
        <v>633</v>
      </c>
      <c r="C5762" s="144" t="s">
        <v>87</v>
      </c>
      <c r="D5762" t="s">
        <v>87</v>
      </c>
      <c r="E5762" s="148">
        <v>285.52920999999998</v>
      </c>
      <c r="F5762" s="148">
        <v>317.33747</v>
      </c>
      <c r="G5762" s="148">
        <v>-31.808260000000001</v>
      </c>
      <c r="H5762" s="148">
        <v>-10.023480681307506</v>
      </c>
      <c r="I5762" s="728"/>
      <c r="J5762" s="148">
        <v>285.52920999999998</v>
      </c>
      <c r="K5762" s="148">
        <v>0</v>
      </c>
      <c r="L5762" s="148">
        <v>3111.4837299999999</v>
      </c>
      <c r="M5762" s="148">
        <v>3326.0496400000002</v>
      </c>
      <c r="N5762" s="148">
        <v>-214.56591</v>
      </c>
      <c r="O5762" s="148">
        <v>-6.4510735925155949</v>
      </c>
      <c r="P5762" s="148">
        <v>1526.8912399999999</v>
      </c>
      <c r="Q5762" s="148">
        <v>1584.59249</v>
      </c>
      <c r="R5762" s="148">
        <v>103.77900196742239</v>
      </c>
    </row>
    <row r="5763" spans="2:18" ht="15.75" hidden="1" thickBot="1" x14ac:dyDescent="0.3">
      <c r="B5763" s="723" t="s">
        <v>854</v>
      </c>
      <c r="C5763" s="722" t="s">
        <v>59</v>
      </c>
      <c r="D5763" t="s">
        <v>60</v>
      </c>
      <c r="E5763" s="147">
        <v>6.6136400000000002</v>
      </c>
      <c r="F5763" s="147">
        <v>13.05269</v>
      </c>
      <c r="G5763" s="147">
        <v>-6.4390499999999999</v>
      </c>
      <c r="H5763" s="147">
        <v>-49.331210654661987</v>
      </c>
      <c r="I5763" s="729"/>
      <c r="J5763" s="147">
        <v>6.6136400000000002</v>
      </c>
      <c r="K5763" s="147">
        <v>0</v>
      </c>
      <c r="L5763" s="147">
        <v>78.773600000000002</v>
      </c>
      <c r="M5763" s="147">
        <v>155.81056000000001</v>
      </c>
      <c r="N5763" s="147">
        <v>-77.036959999999993</v>
      </c>
      <c r="O5763" s="147">
        <v>-49.442707862676315</v>
      </c>
      <c r="P5763" s="147">
        <v>48.609090000000002</v>
      </c>
      <c r="Q5763" s="147">
        <v>30.16451</v>
      </c>
      <c r="R5763" s="147">
        <v>62.055286367220617</v>
      </c>
    </row>
    <row r="5764" spans="2:18" ht="15.75" hidden="1" thickBot="1" x14ac:dyDescent="0.3">
      <c r="B5764" s="723" t="s">
        <v>854</v>
      </c>
      <c r="C5764" s="722" t="s">
        <v>134</v>
      </c>
      <c r="D5764" t="s">
        <v>135</v>
      </c>
      <c r="E5764" s="728"/>
      <c r="F5764" s="728"/>
      <c r="G5764" s="728"/>
      <c r="H5764" s="728"/>
      <c r="I5764" s="728"/>
      <c r="J5764" s="728"/>
      <c r="K5764" s="728"/>
      <c r="L5764" s="148">
        <v>9.4509999999999997E-2</v>
      </c>
      <c r="M5764" s="728"/>
      <c r="N5764" s="148">
        <v>9.4509999999999997E-2</v>
      </c>
      <c r="O5764" s="148">
        <v>0</v>
      </c>
      <c r="P5764" s="148">
        <v>9.4509999999999997E-2</v>
      </c>
      <c r="Q5764" s="148">
        <v>0</v>
      </c>
      <c r="R5764" s="148">
        <v>0</v>
      </c>
    </row>
    <row r="5765" spans="2:18" ht="15.75" hidden="1" thickBot="1" x14ac:dyDescent="0.3">
      <c r="B5765" s="723" t="s">
        <v>854</v>
      </c>
      <c r="C5765" s="722" t="s">
        <v>61</v>
      </c>
      <c r="D5765" t="s">
        <v>62</v>
      </c>
      <c r="E5765" s="147">
        <v>1.0888100000000001</v>
      </c>
      <c r="F5765" s="147">
        <v>2.0231699999999999</v>
      </c>
      <c r="G5765" s="147">
        <v>-0.93435999999999997</v>
      </c>
      <c r="H5765" s="147">
        <v>-46.182970289199623</v>
      </c>
      <c r="I5765" s="729"/>
      <c r="J5765" s="147">
        <v>1.0888100000000001</v>
      </c>
      <c r="K5765" s="147">
        <v>0</v>
      </c>
      <c r="L5765" s="147">
        <v>12.00792</v>
      </c>
      <c r="M5765" s="147">
        <v>24.150659999999998</v>
      </c>
      <c r="N5765" s="147">
        <v>-12.14274</v>
      </c>
      <c r="O5765" s="147">
        <v>-50.279122806581682</v>
      </c>
      <c r="P5765" s="147">
        <v>7.0232599999999996</v>
      </c>
      <c r="Q5765" s="147">
        <v>4.9846599999999999</v>
      </c>
      <c r="R5765" s="147">
        <v>70.973593459447613</v>
      </c>
    </row>
    <row r="5766" spans="2:18" ht="15.75" hidden="1" thickBot="1" x14ac:dyDescent="0.3">
      <c r="B5766" s="723" t="s">
        <v>854</v>
      </c>
      <c r="C5766" s="722" t="s">
        <v>63</v>
      </c>
      <c r="D5766" t="s">
        <v>64</v>
      </c>
      <c r="E5766" s="148">
        <v>4.2300000000000004</v>
      </c>
      <c r="F5766" s="148">
        <v>7.8707700000000003</v>
      </c>
      <c r="G5766" s="148">
        <v>-3.6407699999999998</v>
      </c>
      <c r="H5766" s="148">
        <v>-46.256846534710071</v>
      </c>
      <c r="I5766" s="728"/>
      <c r="J5766" s="148">
        <v>4.2300000000000004</v>
      </c>
      <c r="K5766" s="148">
        <v>0</v>
      </c>
      <c r="L5766" s="148">
        <v>46.64969</v>
      </c>
      <c r="M5766" s="148">
        <v>93.953739999999996</v>
      </c>
      <c r="N5766" s="148">
        <v>-47.304049999999997</v>
      </c>
      <c r="O5766" s="148">
        <v>-50.34823520596413</v>
      </c>
      <c r="P5766" s="148">
        <v>27.284549999999999</v>
      </c>
      <c r="Q5766" s="148">
        <v>19.36514</v>
      </c>
      <c r="R5766" s="148">
        <v>70.974745781037257</v>
      </c>
    </row>
    <row r="5767" spans="2:18" ht="15.75" hidden="1" thickBot="1" x14ac:dyDescent="0.3">
      <c r="B5767" s="723" t="s">
        <v>854</v>
      </c>
      <c r="C5767" s="722" t="s">
        <v>156</v>
      </c>
      <c r="D5767" t="s">
        <v>157</v>
      </c>
      <c r="E5767" s="147">
        <v>5.0304000000000002</v>
      </c>
      <c r="F5767" s="147">
        <v>4.7278700000000002</v>
      </c>
      <c r="G5767" s="147">
        <v>0.30253000000000002</v>
      </c>
      <c r="H5767" s="147">
        <v>6.3988646049912541</v>
      </c>
      <c r="I5767" s="729"/>
      <c r="J5767" s="147">
        <v>5.0304000000000002</v>
      </c>
      <c r="K5767" s="147">
        <v>0</v>
      </c>
      <c r="L5767" s="147">
        <v>58.613999999999997</v>
      </c>
      <c r="M5767" s="147">
        <v>56.436799999999998</v>
      </c>
      <c r="N5767" s="147">
        <v>2.1772</v>
      </c>
      <c r="O5767" s="147">
        <v>3.8577665636605905</v>
      </c>
      <c r="P5767" s="147">
        <v>29.6892</v>
      </c>
      <c r="Q5767" s="147">
        <v>28.924800000000001</v>
      </c>
      <c r="R5767" s="147">
        <v>97.42532638131037</v>
      </c>
    </row>
    <row r="5768" spans="2:18" ht="15.75" hidden="1" thickBot="1" x14ac:dyDescent="0.3">
      <c r="B5768" s="723" t="s">
        <v>854</v>
      </c>
      <c r="C5768" s="149" t="s">
        <v>67</v>
      </c>
      <c r="D5768" t="s">
        <v>68</v>
      </c>
      <c r="E5768" s="148">
        <v>16.96285</v>
      </c>
      <c r="F5768" s="148">
        <v>27.674499999999998</v>
      </c>
      <c r="G5768" s="148">
        <v>-10.711650000000001</v>
      </c>
      <c r="H5768" s="148">
        <v>-38.705848344143526</v>
      </c>
      <c r="I5768" s="728"/>
      <c r="J5768" s="148">
        <v>16.96285</v>
      </c>
      <c r="K5768" s="148">
        <v>0</v>
      </c>
      <c r="L5768" s="148">
        <v>196.13972000000001</v>
      </c>
      <c r="M5768" s="148">
        <v>330.35176000000001</v>
      </c>
      <c r="N5768" s="148">
        <v>-134.21204</v>
      </c>
      <c r="O5768" s="148">
        <v>-40.627009221927558</v>
      </c>
      <c r="P5768" s="148">
        <v>112.70061</v>
      </c>
      <c r="Q5768" s="148">
        <v>83.439109999999999</v>
      </c>
      <c r="R5768" s="148">
        <v>74.03607664590281</v>
      </c>
    </row>
    <row r="5769" spans="2:18" ht="15.75" hidden="1" thickBot="1" x14ac:dyDescent="0.3">
      <c r="B5769" s="723" t="s">
        <v>854</v>
      </c>
      <c r="C5769" s="722" t="s">
        <v>69</v>
      </c>
      <c r="D5769" t="s">
        <v>70</v>
      </c>
      <c r="E5769" s="147">
        <v>6.8242900000000004</v>
      </c>
      <c r="F5769" s="147">
        <v>2.5</v>
      </c>
      <c r="G5769" s="147">
        <v>4.3242900000000004</v>
      </c>
      <c r="H5769" s="147">
        <v>172.9716</v>
      </c>
      <c r="I5769" s="729"/>
      <c r="J5769" s="147">
        <v>6.8242900000000004</v>
      </c>
      <c r="K5769" s="147">
        <v>0</v>
      </c>
      <c r="L5769" s="147">
        <v>17.134450000000001</v>
      </c>
      <c r="M5769" s="147">
        <v>34</v>
      </c>
      <c r="N5769" s="147">
        <v>-16.865549999999999</v>
      </c>
      <c r="O5769" s="147">
        <v>-49.604558823529409</v>
      </c>
      <c r="P5769" s="147">
        <v>3.54759</v>
      </c>
      <c r="Q5769" s="147">
        <v>13.58686</v>
      </c>
      <c r="R5769" s="147">
        <v>382.98845131483625</v>
      </c>
    </row>
    <row r="5770" spans="2:18" ht="15.75" hidden="1" thickBot="1" x14ac:dyDescent="0.3">
      <c r="B5770" s="723" t="s">
        <v>854</v>
      </c>
      <c r="C5770" s="722" t="s">
        <v>99</v>
      </c>
      <c r="D5770" t="s">
        <v>100</v>
      </c>
      <c r="E5770" s="728"/>
      <c r="F5770" s="148">
        <v>0.25</v>
      </c>
      <c r="G5770" s="148">
        <v>-0.25</v>
      </c>
      <c r="H5770" s="148">
        <v>-100</v>
      </c>
      <c r="I5770" s="728"/>
      <c r="J5770" s="728"/>
      <c r="K5770" s="728"/>
      <c r="L5770" s="728"/>
      <c r="M5770" s="148">
        <v>7.8</v>
      </c>
      <c r="N5770" s="148">
        <v>-7.8</v>
      </c>
      <c r="O5770" s="148">
        <v>-100</v>
      </c>
      <c r="P5770" s="728"/>
      <c r="Q5770" s="728"/>
      <c r="R5770" s="728"/>
    </row>
    <row r="5771" spans="2:18" ht="15.75" hidden="1" thickBot="1" x14ac:dyDescent="0.3">
      <c r="B5771" s="723" t="s">
        <v>854</v>
      </c>
      <c r="C5771" s="722" t="s">
        <v>137</v>
      </c>
      <c r="D5771" t="s">
        <v>138</v>
      </c>
      <c r="E5771" s="729"/>
      <c r="F5771" s="147">
        <v>0</v>
      </c>
      <c r="G5771" s="147">
        <v>0</v>
      </c>
      <c r="H5771" s="147">
        <v>0</v>
      </c>
      <c r="I5771" s="729"/>
      <c r="J5771" s="729"/>
      <c r="K5771" s="729"/>
      <c r="L5771" s="147">
        <v>0.62189000000000005</v>
      </c>
      <c r="M5771" s="147">
        <v>0.3</v>
      </c>
      <c r="N5771" s="147">
        <v>0.32189000000000001</v>
      </c>
      <c r="O5771" s="147">
        <v>107.29666666666667</v>
      </c>
      <c r="P5771" s="147">
        <v>2.249E-2</v>
      </c>
      <c r="Q5771" s="147">
        <v>0.59940000000000004</v>
      </c>
      <c r="R5771" s="147">
        <v>2665.1845264562025</v>
      </c>
    </row>
    <row r="5772" spans="2:18" ht="15.75" hidden="1" thickBot="1" x14ac:dyDescent="0.3">
      <c r="B5772" s="723" t="s">
        <v>854</v>
      </c>
      <c r="C5772" s="722" t="s">
        <v>139</v>
      </c>
      <c r="D5772" t="s">
        <v>140</v>
      </c>
      <c r="E5772" s="148">
        <v>3.6990000000000002E-2</v>
      </c>
      <c r="F5772" s="148">
        <v>15.1</v>
      </c>
      <c r="G5772" s="148">
        <v>-15.06301</v>
      </c>
      <c r="H5772" s="148">
        <v>-99.75503311258278</v>
      </c>
      <c r="I5772" s="728"/>
      <c r="J5772" s="148">
        <v>3.6990000000000002E-2</v>
      </c>
      <c r="K5772" s="148">
        <v>0</v>
      </c>
      <c r="L5772" s="148">
        <v>71.083979999999997</v>
      </c>
      <c r="M5772" s="148">
        <v>83.1</v>
      </c>
      <c r="N5772" s="148">
        <v>-12.016019999999999</v>
      </c>
      <c r="O5772" s="148">
        <v>-14.459711191335741</v>
      </c>
      <c r="P5772" s="148">
        <v>70.385000000000005</v>
      </c>
      <c r="Q5772" s="148">
        <v>0.69898000000000005</v>
      </c>
      <c r="R5772" s="148">
        <v>0.99308091212616323</v>
      </c>
    </row>
    <row r="5773" spans="2:18" ht="15.75" hidden="1" thickBot="1" x14ac:dyDescent="0.3">
      <c r="B5773" s="723" t="s">
        <v>854</v>
      </c>
      <c r="C5773" s="722" t="s">
        <v>169</v>
      </c>
      <c r="D5773" t="s">
        <v>170</v>
      </c>
      <c r="E5773" s="147">
        <v>6.5770299999999997</v>
      </c>
      <c r="F5773" s="147">
        <v>2.5</v>
      </c>
      <c r="G5773" s="147">
        <v>4.0770299999999997</v>
      </c>
      <c r="H5773" s="147">
        <v>163.0812</v>
      </c>
      <c r="I5773" s="729"/>
      <c r="J5773" s="147">
        <v>6.5770299999999997</v>
      </c>
      <c r="K5773" s="147">
        <v>0</v>
      </c>
      <c r="L5773" s="147">
        <v>27.16311</v>
      </c>
      <c r="M5773" s="147">
        <v>33</v>
      </c>
      <c r="N5773" s="147">
        <v>-5.8368900000000004</v>
      </c>
      <c r="O5773" s="147">
        <v>-17.687545454545454</v>
      </c>
      <c r="P5773" s="147">
        <v>4.7553599999999996</v>
      </c>
      <c r="Q5773" s="147">
        <v>22.40775</v>
      </c>
      <c r="R5773" s="147">
        <v>471.21038154840011</v>
      </c>
    </row>
    <row r="5774" spans="2:18" ht="15.75" hidden="1" thickBot="1" x14ac:dyDescent="0.3">
      <c r="B5774" s="723" t="s">
        <v>854</v>
      </c>
      <c r="C5774" s="722" t="s">
        <v>101</v>
      </c>
      <c r="D5774" t="s">
        <v>102</v>
      </c>
      <c r="E5774" s="148">
        <v>1.55497</v>
      </c>
      <c r="F5774" s="148">
        <v>1.4999999999999999E-2</v>
      </c>
      <c r="G5774" s="148">
        <v>1.5399700000000001</v>
      </c>
      <c r="H5774" s="148">
        <v>10266.466666666667</v>
      </c>
      <c r="I5774" s="728"/>
      <c r="J5774" s="148">
        <v>1.55497</v>
      </c>
      <c r="K5774" s="148">
        <v>0</v>
      </c>
      <c r="L5774" s="148">
        <v>3.9135300000000002</v>
      </c>
      <c r="M5774" s="148">
        <v>16.68</v>
      </c>
      <c r="N5774" s="148">
        <v>-12.76647</v>
      </c>
      <c r="O5774" s="148">
        <v>-76.537589928057557</v>
      </c>
      <c r="P5774" s="148">
        <v>1.7507200000000001</v>
      </c>
      <c r="Q5774" s="148">
        <v>2.1628099999999999</v>
      </c>
      <c r="R5774" s="148">
        <v>123.53831566441235</v>
      </c>
    </row>
    <row r="5775" spans="2:18" ht="15.75" hidden="1" thickBot="1" x14ac:dyDescent="0.3">
      <c r="B5775" s="723" t="s">
        <v>854</v>
      </c>
      <c r="C5775" s="722" t="s">
        <v>464</v>
      </c>
      <c r="D5775" t="s">
        <v>465</v>
      </c>
      <c r="E5775" s="729"/>
      <c r="F5775" s="729"/>
      <c r="G5775" s="729"/>
      <c r="H5775" s="729"/>
      <c r="I5775" s="729"/>
      <c r="J5775" s="729"/>
      <c r="K5775" s="729"/>
      <c r="L5775" s="147">
        <v>0.75004999999999999</v>
      </c>
      <c r="M5775" s="147">
        <v>0.7</v>
      </c>
      <c r="N5775" s="147">
        <v>5.0049999999999997E-2</v>
      </c>
      <c r="O5775" s="147">
        <v>7.15</v>
      </c>
      <c r="P5775" s="147">
        <v>0.75004999999999999</v>
      </c>
      <c r="Q5775" s="147">
        <v>0</v>
      </c>
      <c r="R5775" s="147">
        <v>0</v>
      </c>
    </row>
    <row r="5776" spans="2:18" ht="15.75" hidden="1" thickBot="1" x14ac:dyDescent="0.3">
      <c r="B5776" s="723" t="s">
        <v>854</v>
      </c>
      <c r="C5776" s="722" t="s">
        <v>103</v>
      </c>
      <c r="D5776" t="s">
        <v>104</v>
      </c>
      <c r="E5776" s="728"/>
      <c r="F5776" s="728"/>
      <c r="G5776" s="728"/>
      <c r="H5776" s="728"/>
      <c r="I5776" s="728"/>
      <c r="J5776" s="728"/>
      <c r="K5776" s="728"/>
      <c r="L5776" s="148">
        <v>3</v>
      </c>
      <c r="M5776" s="728"/>
      <c r="N5776" s="148">
        <v>3</v>
      </c>
      <c r="O5776" s="148">
        <v>0</v>
      </c>
      <c r="P5776" s="728"/>
      <c r="Q5776" s="148">
        <v>3</v>
      </c>
      <c r="R5776" s="148">
        <v>0</v>
      </c>
    </row>
    <row r="5777" spans="2:18" ht="15.75" hidden="1" thickBot="1" x14ac:dyDescent="0.3">
      <c r="B5777" s="723" t="s">
        <v>854</v>
      </c>
      <c r="C5777" s="722" t="s">
        <v>107</v>
      </c>
      <c r="D5777" t="s">
        <v>108</v>
      </c>
      <c r="E5777" s="729"/>
      <c r="F5777" s="729"/>
      <c r="G5777" s="729"/>
      <c r="H5777" s="729"/>
      <c r="I5777" s="729"/>
      <c r="J5777" s="729"/>
      <c r="K5777" s="729"/>
      <c r="L5777" s="147">
        <v>0.63859999999999995</v>
      </c>
      <c r="M5777" s="729"/>
      <c r="N5777" s="147">
        <v>0.63859999999999995</v>
      </c>
      <c r="O5777" s="147">
        <v>0</v>
      </c>
      <c r="P5777" s="729"/>
      <c r="Q5777" s="147">
        <v>0.63859999999999995</v>
      </c>
      <c r="R5777" s="147">
        <v>0</v>
      </c>
    </row>
    <row r="5778" spans="2:18" ht="15.75" hidden="1" thickBot="1" x14ac:dyDescent="0.3">
      <c r="B5778" s="723" t="s">
        <v>854</v>
      </c>
      <c r="C5778" s="722" t="s">
        <v>109</v>
      </c>
      <c r="D5778" t="s">
        <v>110</v>
      </c>
      <c r="E5778" s="148">
        <v>2.2396799999999999</v>
      </c>
      <c r="F5778" s="148">
        <v>8.3666699999999992</v>
      </c>
      <c r="G5778" s="148">
        <v>-6.1269900000000002</v>
      </c>
      <c r="H5778" s="148">
        <v>-73.230926999630682</v>
      </c>
      <c r="I5778" s="728"/>
      <c r="J5778" s="148">
        <v>2.2396799999999999</v>
      </c>
      <c r="K5778" s="148">
        <v>0</v>
      </c>
      <c r="L5778" s="148">
        <v>60.104309999999998</v>
      </c>
      <c r="M5778" s="148">
        <v>96.000039999999998</v>
      </c>
      <c r="N5778" s="148">
        <v>-35.89573</v>
      </c>
      <c r="O5778" s="148">
        <v>-37.391369836929236</v>
      </c>
      <c r="P5778" s="148">
        <v>47.874850000000002</v>
      </c>
      <c r="Q5778" s="148">
        <v>12.22946</v>
      </c>
      <c r="R5778" s="148">
        <v>25.544644004106541</v>
      </c>
    </row>
    <row r="5779" spans="2:18" ht="15.75" hidden="1" thickBot="1" x14ac:dyDescent="0.3">
      <c r="B5779" s="723" t="s">
        <v>854</v>
      </c>
      <c r="C5779" s="722" t="s">
        <v>73</v>
      </c>
      <c r="D5779" t="s">
        <v>74</v>
      </c>
      <c r="E5779" s="147">
        <v>0.20757999999999999</v>
      </c>
      <c r="F5779" s="147">
        <v>0.1</v>
      </c>
      <c r="G5779" s="147">
        <v>0.10758</v>
      </c>
      <c r="H5779" s="147">
        <v>107.58</v>
      </c>
      <c r="I5779" s="729"/>
      <c r="J5779" s="147">
        <v>0.20757999999999999</v>
      </c>
      <c r="K5779" s="147">
        <v>0</v>
      </c>
      <c r="L5779" s="147">
        <v>2.57118</v>
      </c>
      <c r="M5779" s="147">
        <v>1.8</v>
      </c>
      <c r="N5779" s="147">
        <v>0.77117999999999998</v>
      </c>
      <c r="O5779" s="147">
        <v>42.843333333333334</v>
      </c>
      <c r="P5779" s="147">
        <v>0.75999000000000005</v>
      </c>
      <c r="Q5779" s="147">
        <v>1.8111900000000001</v>
      </c>
      <c r="R5779" s="147">
        <v>238.3176094422295</v>
      </c>
    </row>
    <row r="5780" spans="2:18" ht="15.75" hidden="1" thickBot="1" x14ac:dyDescent="0.3">
      <c r="B5780" s="723" t="s">
        <v>854</v>
      </c>
      <c r="C5780" s="722" t="s">
        <v>111</v>
      </c>
      <c r="D5780" t="s">
        <v>112</v>
      </c>
      <c r="E5780" s="148">
        <v>16.528639999999999</v>
      </c>
      <c r="F5780" s="148">
        <v>3</v>
      </c>
      <c r="G5780" s="148">
        <v>13.528639999999999</v>
      </c>
      <c r="H5780" s="148">
        <v>450.95466666666664</v>
      </c>
      <c r="I5780" s="728"/>
      <c r="J5780" s="148">
        <v>16.528639999999999</v>
      </c>
      <c r="K5780" s="148">
        <v>0</v>
      </c>
      <c r="L5780" s="148">
        <v>69.976349999999996</v>
      </c>
      <c r="M5780" s="148">
        <v>73.36</v>
      </c>
      <c r="N5780" s="148">
        <v>-3.3836499999999998</v>
      </c>
      <c r="O5780" s="148">
        <v>-4.6123909487459107</v>
      </c>
      <c r="P5780" s="148">
        <v>52.115209999999998</v>
      </c>
      <c r="Q5780" s="148">
        <v>17.861139999999999</v>
      </c>
      <c r="R5780" s="148">
        <v>34.272412986535024</v>
      </c>
    </row>
    <row r="5781" spans="2:18" ht="15.75" hidden="1" thickBot="1" x14ac:dyDescent="0.3">
      <c r="B5781" s="723" t="s">
        <v>854</v>
      </c>
      <c r="C5781" s="722" t="s">
        <v>141</v>
      </c>
      <c r="D5781" t="s">
        <v>142</v>
      </c>
      <c r="E5781" s="729"/>
      <c r="F5781" s="147">
        <v>2.5350000000000001</v>
      </c>
      <c r="G5781" s="147">
        <v>-2.5350000000000001</v>
      </c>
      <c r="H5781" s="147">
        <v>-100</v>
      </c>
      <c r="I5781" s="729"/>
      <c r="J5781" s="729"/>
      <c r="K5781" s="729"/>
      <c r="L5781" s="147">
        <v>0.63690000000000002</v>
      </c>
      <c r="M5781" s="147">
        <v>3.25</v>
      </c>
      <c r="N5781" s="147">
        <v>-2.6131000000000002</v>
      </c>
      <c r="O5781" s="147">
        <v>-80.403076923076924</v>
      </c>
      <c r="P5781" s="147">
        <v>0.48093999999999998</v>
      </c>
      <c r="Q5781" s="147">
        <v>0.15595999999999999</v>
      </c>
      <c r="R5781" s="147">
        <v>32.428161517029153</v>
      </c>
    </row>
    <row r="5782" spans="2:18" ht="15.75" hidden="1" thickBot="1" x14ac:dyDescent="0.3">
      <c r="B5782" s="723" t="s">
        <v>854</v>
      </c>
      <c r="C5782" s="722" t="s">
        <v>113</v>
      </c>
      <c r="D5782" t="s">
        <v>114</v>
      </c>
      <c r="E5782" s="728"/>
      <c r="F5782" s="148">
        <v>8.6999999999999994E-3</v>
      </c>
      <c r="G5782" s="148">
        <v>-8.6999999999999994E-3</v>
      </c>
      <c r="H5782" s="148">
        <v>-100</v>
      </c>
      <c r="I5782" s="728"/>
      <c r="J5782" s="728"/>
      <c r="K5782" s="728"/>
      <c r="L5782" s="148">
        <v>4.9500000000000004E-3</v>
      </c>
      <c r="M5782" s="148">
        <v>0.1</v>
      </c>
      <c r="N5782" s="148">
        <v>-9.5049999999999996E-2</v>
      </c>
      <c r="O5782" s="148">
        <v>-95.05</v>
      </c>
      <c r="P5782" s="148">
        <v>6.7000000000000002E-4</v>
      </c>
      <c r="Q5782" s="148">
        <v>4.28E-3</v>
      </c>
      <c r="R5782" s="148">
        <v>638.80597014925377</v>
      </c>
    </row>
    <row r="5783" spans="2:18" ht="15.75" hidden="1" thickBot="1" x14ac:dyDescent="0.3">
      <c r="B5783" s="723" t="s">
        <v>854</v>
      </c>
      <c r="C5783" s="722" t="s">
        <v>145</v>
      </c>
      <c r="D5783" t="s">
        <v>146</v>
      </c>
      <c r="E5783" s="147">
        <v>0.315</v>
      </c>
      <c r="F5783" s="147">
        <v>0.5</v>
      </c>
      <c r="G5783" s="147">
        <v>-0.185</v>
      </c>
      <c r="H5783" s="147">
        <v>-37</v>
      </c>
      <c r="I5783" s="729"/>
      <c r="J5783" s="147">
        <v>0.315</v>
      </c>
      <c r="K5783" s="147">
        <v>0</v>
      </c>
      <c r="L5783" s="147">
        <v>3.0097</v>
      </c>
      <c r="M5783" s="147">
        <v>3.6</v>
      </c>
      <c r="N5783" s="147">
        <v>-0.59030000000000005</v>
      </c>
      <c r="O5783" s="147">
        <v>-16.397222222222222</v>
      </c>
      <c r="P5783" s="147">
        <v>1.2135</v>
      </c>
      <c r="Q5783" s="147">
        <v>1.7962</v>
      </c>
      <c r="R5783" s="147">
        <v>148.01812937783271</v>
      </c>
    </row>
    <row r="5784" spans="2:18" ht="15.75" hidden="1" thickBot="1" x14ac:dyDescent="0.3">
      <c r="B5784" s="723" t="s">
        <v>854</v>
      </c>
      <c r="C5784" s="722" t="s">
        <v>147</v>
      </c>
      <c r="D5784" t="s">
        <v>148</v>
      </c>
      <c r="E5784" s="148">
        <v>0.11433</v>
      </c>
      <c r="F5784" s="148">
        <v>0.1</v>
      </c>
      <c r="G5784" s="148">
        <v>1.4330000000000001E-2</v>
      </c>
      <c r="H5784" s="148">
        <v>14.33</v>
      </c>
      <c r="I5784" s="728"/>
      <c r="J5784" s="148">
        <v>0.11433</v>
      </c>
      <c r="K5784" s="148">
        <v>0</v>
      </c>
      <c r="L5784" s="148">
        <v>0.47327999999999998</v>
      </c>
      <c r="M5784" s="148">
        <v>0.2</v>
      </c>
      <c r="N5784" s="148">
        <v>0.27328000000000002</v>
      </c>
      <c r="O5784" s="148">
        <v>136.63999999999999</v>
      </c>
      <c r="P5784" s="148">
        <v>0.24823000000000001</v>
      </c>
      <c r="Q5784" s="148">
        <v>0.22505</v>
      </c>
      <c r="R5784" s="148">
        <v>90.661886153970102</v>
      </c>
    </row>
    <row r="5785" spans="2:18" ht="15.75" hidden="1" thickBot="1" x14ac:dyDescent="0.3">
      <c r="B5785" s="723" t="s">
        <v>854</v>
      </c>
      <c r="C5785" s="722" t="s">
        <v>643</v>
      </c>
      <c r="D5785" t="s">
        <v>644</v>
      </c>
      <c r="E5785" s="147">
        <v>18.01276</v>
      </c>
      <c r="F5785" s="147">
        <v>75.650000000000006</v>
      </c>
      <c r="G5785" s="147">
        <v>-57.637239999999998</v>
      </c>
      <c r="H5785" s="147">
        <v>-76.189345670852617</v>
      </c>
      <c r="I5785" s="729"/>
      <c r="J5785" s="147">
        <v>18.01276</v>
      </c>
      <c r="K5785" s="147">
        <v>0</v>
      </c>
      <c r="L5785" s="147">
        <v>284.32814999999999</v>
      </c>
      <c r="M5785" s="147">
        <v>433.9</v>
      </c>
      <c r="N5785" s="147">
        <v>-149.57185000000001</v>
      </c>
      <c r="O5785" s="147">
        <v>-34.471502650380273</v>
      </c>
      <c r="P5785" s="147">
        <v>156.02079000000001</v>
      </c>
      <c r="Q5785" s="147">
        <v>128.30735999999999</v>
      </c>
      <c r="R5785" s="147">
        <v>82.237347984201335</v>
      </c>
    </row>
    <row r="5786" spans="2:18" ht="15.75" hidden="1" thickBot="1" x14ac:dyDescent="0.3">
      <c r="B5786" s="723" t="s">
        <v>854</v>
      </c>
      <c r="C5786" s="722" t="s">
        <v>149</v>
      </c>
      <c r="D5786" t="s">
        <v>150</v>
      </c>
      <c r="E5786" s="148">
        <v>5.2862499999999999</v>
      </c>
      <c r="F5786" s="148">
        <v>30.913329999999998</v>
      </c>
      <c r="G5786" s="148">
        <v>-25.627079999999999</v>
      </c>
      <c r="H5786" s="148">
        <v>-82.899771716602515</v>
      </c>
      <c r="I5786" s="728"/>
      <c r="J5786" s="148">
        <v>5.2862499999999999</v>
      </c>
      <c r="K5786" s="148">
        <v>0</v>
      </c>
      <c r="L5786" s="148">
        <v>431.15760999999998</v>
      </c>
      <c r="M5786" s="148">
        <v>534.57996000000003</v>
      </c>
      <c r="N5786" s="148">
        <v>-103.42234999999999</v>
      </c>
      <c r="O5786" s="148">
        <v>-19.346469703054339</v>
      </c>
      <c r="P5786" s="148">
        <v>324.14355</v>
      </c>
      <c r="Q5786" s="148">
        <v>107.01406</v>
      </c>
      <c r="R5786" s="148">
        <v>33.014403649247377</v>
      </c>
    </row>
    <row r="5787" spans="2:18" ht="15.75" hidden="1" thickBot="1" x14ac:dyDescent="0.3">
      <c r="B5787" s="723" t="s">
        <v>854</v>
      </c>
      <c r="C5787" s="722" t="s">
        <v>649</v>
      </c>
      <c r="D5787" t="s">
        <v>650</v>
      </c>
      <c r="E5787" s="147">
        <v>2.2923499999999999</v>
      </c>
      <c r="F5787" s="147">
        <v>1.655</v>
      </c>
      <c r="G5787" s="147">
        <v>0.63734999999999997</v>
      </c>
      <c r="H5787" s="147">
        <v>38.510574018126889</v>
      </c>
      <c r="I5787" s="729"/>
      <c r="J5787" s="147">
        <v>2.2923499999999999</v>
      </c>
      <c r="K5787" s="147">
        <v>0</v>
      </c>
      <c r="L5787" s="147">
        <v>22.8124</v>
      </c>
      <c r="M5787" s="147">
        <v>19.655000000000001</v>
      </c>
      <c r="N5787" s="147">
        <v>3.1574</v>
      </c>
      <c r="O5787" s="147">
        <v>16.064105825489698</v>
      </c>
      <c r="P5787" s="147">
        <v>11.40142</v>
      </c>
      <c r="Q5787" s="147">
        <v>11.41098</v>
      </c>
      <c r="R5787" s="147">
        <v>100.08384920474818</v>
      </c>
    </row>
    <row r="5788" spans="2:18" ht="15.75" hidden="1" thickBot="1" x14ac:dyDescent="0.3">
      <c r="B5788" s="723" t="s">
        <v>854</v>
      </c>
      <c r="C5788" s="722" t="s">
        <v>151</v>
      </c>
      <c r="D5788" t="s">
        <v>152</v>
      </c>
      <c r="E5788" s="148">
        <v>0.46</v>
      </c>
      <c r="F5788" s="728"/>
      <c r="G5788" s="148">
        <v>0.46</v>
      </c>
      <c r="H5788" s="148">
        <v>0</v>
      </c>
      <c r="I5788" s="728"/>
      <c r="J5788" s="148">
        <v>0.46</v>
      </c>
      <c r="K5788" s="148">
        <v>0</v>
      </c>
      <c r="L5788" s="148">
        <v>4.6323100000000004</v>
      </c>
      <c r="M5788" s="728"/>
      <c r="N5788" s="148">
        <v>4.6323100000000004</v>
      </c>
      <c r="O5788" s="148">
        <v>0</v>
      </c>
      <c r="P5788" s="148">
        <v>3.0221</v>
      </c>
      <c r="Q5788" s="148">
        <v>1.6102099999999999</v>
      </c>
      <c r="R5788" s="148">
        <v>53.281162105820457</v>
      </c>
    </row>
    <row r="5789" spans="2:18" ht="15.75" hidden="1" thickBot="1" x14ac:dyDescent="0.3">
      <c r="B5789" s="723" t="s">
        <v>854</v>
      </c>
      <c r="C5789" s="722" t="s">
        <v>175</v>
      </c>
      <c r="D5789" t="s">
        <v>176</v>
      </c>
      <c r="E5789" s="729"/>
      <c r="F5789" s="729"/>
      <c r="G5789" s="729"/>
      <c r="H5789" s="729"/>
      <c r="I5789" s="729"/>
      <c r="J5789" s="729"/>
      <c r="K5789" s="729"/>
      <c r="L5789" s="147">
        <v>0</v>
      </c>
      <c r="M5789" s="729"/>
      <c r="N5789" s="147">
        <v>0</v>
      </c>
      <c r="O5789" s="147">
        <v>0</v>
      </c>
      <c r="P5789" s="147">
        <v>0</v>
      </c>
      <c r="Q5789" s="147">
        <v>0</v>
      </c>
      <c r="R5789" s="147">
        <v>0</v>
      </c>
    </row>
    <row r="5790" spans="2:18" ht="15.75" hidden="1" thickBot="1" x14ac:dyDescent="0.3">
      <c r="B5790" s="723" t="s">
        <v>854</v>
      </c>
      <c r="C5790" s="722" t="s">
        <v>669</v>
      </c>
      <c r="D5790" t="s">
        <v>670</v>
      </c>
      <c r="E5790" s="148">
        <v>60.017000000000003</v>
      </c>
      <c r="F5790" s="148">
        <v>78.166669999999996</v>
      </c>
      <c r="G5790" s="148">
        <v>-18.14967</v>
      </c>
      <c r="H5790" s="148">
        <v>-23.219193039693259</v>
      </c>
      <c r="I5790" s="728"/>
      <c r="J5790" s="148">
        <v>60.017000000000003</v>
      </c>
      <c r="K5790" s="148">
        <v>0</v>
      </c>
      <c r="L5790" s="148">
        <v>1714.04808</v>
      </c>
      <c r="M5790" s="148">
        <v>1723.0000199999999</v>
      </c>
      <c r="N5790" s="148">
        <v>-8.9519400000000005</v>
      </c>
      <c r="O5790" s="148">
        <v>-0.51955542055072057</v>
      </c>
      <c r="P5790" s="148">
        <v>791.44799999999998</v>
      </c>
      <c r="Q5790" s="148">
        <v>922.60008000000005</v>
      </c>
      <c r="R5790" s="148">
        <v>116.57115565394062</v>
      </c>
    </row>
    <row r="5791" spans="2:18" ht="15.75" hidden="1" thickBot="1" x14ac:dyDescent="0.3">
      <c r="B5791" s="723" t="s">
        <v>854</v>
      </c>
      <c r="C5791" s="722" t="s">
        <v>75</v>
      </c>
      <c r="D5791" t="s">
        <v>76</v>
      </c>
      <c r="E5791" s="147">
        <v>12.988910000000001</v>
      </c>
      <c r="F5791" s="147">
        <v>19.268000000000001</v>
      </c>
      <c r="G5791" s="147">
        <v>-6.2790900000000001</v>
      </c>
      <c r="H5791" s="147">
        <v>-32.588177288768946</v>
      </c>
      <c r="I5791" s="729"/>
      <c r="J5791" s="147">
        <v>12.988910000000001</v>
      </c>
      <c r="K5791" s="147">
        <v>0</v>
      </c>
      <c r="L5791" s="147">
        <v>39.093490000000003</v>
      </c>
      <c r="M5791" s="147">
        <v>110.7</v>
      </c>
      <c r="N5791" s="147">
        <v>-71.60651</v>
      </c>
      <c r="O5791" s="147">
        <v>-64.685194218608856</v>
      </c>
      <c r="P5791" s="147">
        <v>-7.7883800000000001</v>
      </c>
      <c r="Q5791" s="147">
        <v>46.881869999999999</v>
      </c>
      <c r="R5791" s="147">
        <v>601.94636111745956</v>
      </c>
    </row>
    <row r="5792" spans="2:18" ht="15.75" hidden="1" thickBot="1" x14ac:dyDescent="0.3">
      <c r="B5792" s="723" t="s">
        <v>854</v>
      </c>
      <c r="C5792" s="722" t="s">
        <v>121</v>
      </c>
      <c r="D5792" t="s">
        <v>122</v>
      </c>
      <c r="E5792" s="148">
        <v>1.2410000000000001</v>
      </c>
      <c r="F5792" s="728"/>
      <c r="G5792" s="148">
        <v>1.2410000000000001</v>
      </c>
      <c r="H5792" s="148">
        <v>0</v>
      </c>
      <c r="I5792" s="728"/>
      <c r="J5792" s="148">
        <v>1.2410000000000001</v>
      </c>
      <c r="K5792" s="148">
        <v>0</v>
      </c>
      <c r="L5792" s="148">
        <v>6.0077499999999997</v>
      </c>
      <c r="M5792" s="148">
        <v>0.5</v>
      </c>
      <c r="N5792" s="148">
        <v>5.5077499999999997</v>
      </c>
      <c r="O5792" s="148">
        <v>1101.55</v>
      </c>
      <c r="P5792" s="148">
        <v>2.75875</v>
      </c>
      <c r="Q5792" s="148">
        <v>3.2490000000000001</v>
      </c>
      <c r="R5792" s="148">
        <v>117.77072949705483</v>
      </c>
    </row>
    <row r="5793" spans="2:18" ht="15.75" hidden="1" thickBot="1" x14ac:dyDescent="0.3">
      <c r="B5793" s="723" t="s">
        <v>854</v>
      </c>
      <c r="C5793" s="722" t="s">
        <v>77</v>
      </c>
      <c r="D5793" t="s">
        <v>78</v>
      </c>
      <c r="E5793" s="729"/>
      <c r="F5793" s="147">
        <v>5</v>
      </c>
      <c r="G5793" s="147">
        <v>-5</v>
      </c>
      <c r="H5793" s="147">
        <v>-100</v>
      </c>
      <c r="I5793" s="729"/>
      <c r="J5793" s="729"/>
      <c r="K5793" s="729"/>
      <c r="L5793" s="147">
        <v>3.6512199999999999</v>
      </c>
      <c r="M5793" s="147">
        <v>20.524999999999999</v>
      </c>
      <c r="N5793" s="147">
        <v>-16.87378</v>
      </c>
      <c r="O5793" s="147">
        <v>-82.210864799025572</v>
      </c>
      <c r="P5793" s="147">
        <v>1.3469599999999999</v>
      </c>
      <c r="Q5793" s="147">
        <v>2.3042600000000002</v>
      </c>
      <c r="R5793" s="147">
        <v>171.07115281819802</v>
      </c>
    </row>
    <row r="5794" spans="2:18" ht="15.75" hidden="1" thickBot="1" x14ac:dyDescent="0.3">
      <c r="B5794" s="723" t="s">
        <v>854</v>
      </c>
      <c r="C5794" s="722" t="s">
        <v>79</v>
      </c>
      <c r="D5794" t="s">
        <v>80</v>
      </c>
      <c r="E5794" s="148">
        <v>3.36198</v>
      </c>
      <c r="F5794" s="148">
        <v>20</v>
      </c>
      <c r="G5794" s="148">
        <v>-16.638020000000001</v>
      </c>
      <c r="H5794" s="148">
        <v>-83.190100000000001</v>
      </c>
      <c r="I5794" s="728"/>
      <c r="J5794" s="148">
        <v>3.36198</v>
      </c>
      <c r="K5794" s="148">
        <v>0</v>
      </c>
      <c r="L5794" s="148">
        <v>63.436450000000001</v>
      </c>
      <c r="M5794" s="148">
        <v>91</v>
      </c>
      <c r="N5794" s="148">
        <v>-27.563549999999999</v>
      </c>
      <c r="O5794" s="148">
        <v>-30.289615384615384</v>
      </c>
      <c r="P5794" s="148">
        <v>25.692450000000001</v>
      </c>
      <c r="Q5794" s="148">
        <v>37.744</v>
      </c>
      <c r="R5794" s="148">
        <v>146.90697072486276</v>
      </c>
    </row>
    <row r="5795" spans="2:18" ht="15.75" hidden="1" thickBot="1" x14ac:dyDescent="0.3">
      <c r="B5795" s="723" t="s">
        <v>854</v>
      </c>
      <c r="C5795" s="722" t="s">
        <v>81</v>
      </c>
      <c r="D5795" t="s">
        <v>82</v>
      </c>
      <c r="E5795" s="147">
        <v>7.3999999999999996E-2</v>
      </c>
      <c r="F5795" s="147">
        <v>0.75</v>
      </c>
      <c r="G5795" s="147">
        <v>-0.67600000000000005</v>
      </c>
      <c r="H5795" s="147">
        <v>-90.13333333333334</v>
      </c>
      <c r="I5795" s="729"/>
      <c r="J5795" s="147">
        <v>7.3999999999999996E-2</v>
      </c>
      <c r="K5795" s="147">
        <v>0</v>
      </c>
      <c r="L5795" s="147">
        <v>7.3999999999999996E-2</v>
      </c>
      <c r="M5795" s="147">
        <v>1</v>
      </c>
      <c r="N5795" s="147">
        <v>-0.92600000000000005</v>
      </c>
      <c r="O5795" s="147">
        <v>-92.6</v>
      </c>
      <c r="P5795" s="729"/>
      <c r="Q5795" s="147">
        <v>7.3999999999999996E-2</v>
      </c>
      <c r="R5795" s="147">
        <v>0</v>
      </c>
    </row>
    <row r="5796" spans="2:18" ht="15.75" hidden="1" thickBot="1" x14ac:dyDescent="0.3">
      <c r="B5796" s="723" t="s">
        <v>854</v>
      </c>
      <c r="C5796" s="722" t="s">
        <v>123</v>
      </c>
      <c r="D5796" t="s">
        <v>124</v>
      </c>
      <c r="E5796" s="728"/>
      <c r="F5796" s="148">
        <v>2.5000000000000001E-2</v>
      </c>
      <c r="G5796" s="148">
        <v>-2.5000000000000001E-2</v>
      </c>
      <c r="H5796" s="148">
        <v>-100</v>
      </c>
      <c r="I5796" s="728"/>
      <c r="J5796" s="728"/>
      <c r="K5796" s="728"/>
      <c r="L5796" s="728"/>
      <c r="M5796" s="148">
        <v>0.1</v>
      </c>
      <c r="N5796" s="148">
        <v>-0.1</v>
      </c>
      <c r="O5796" s="148">
        <v>-100</v>
      </c>
      <c r="P5796" s="728"/>
      <c r="Q5796" s="728"/>
      <c r="R5796" s="728"/>
    </row>
    <row r="5797" spans="2:18" ht="15.75" hidden="1" thickBot="1" x14ac:dyDescent="0.3">
      <c r="B5797" s="723" t="s">
        <v>854</v>
      </c>
      <c r="C5797" s="722" t="s">
        <v>125</v>
      </c>
      <c r="D5797" t="s">
        <v>126</v>
      </c>
      <c r="E5797" s="147">
        <v>0.105</v>
      </c>
      <c r="F5797" s="147">
        <v>1.5</v>
      </c>
      <c r="G5797" s="147">
        <v>-1.395</v>
      </c>
      <c r="H5797" s="147">
        <v>-93</v>
      </c>
      <c r="I5797" s="729"/>
      <c r="J5797" s="147">
        <v>0.105</v>
      </c>
      <c r="K5797" s="147">
        <v>0</v>
      </c>
      <c r="L5797" s="147">
        <v>0.77405999999999997</v>
      </c>
      <c r="M5797" s="147">
        <v>3</v>
      </c>
      <c r="N5797" s="147">
        <v>-2.22594</v>
      </c>
      <c r="O5797" s="147">
        <v>-74.197999999999993</v>
      </c>
      <c r="P5797" s="729"/>
      <c r="Q5797" s="147">
        <v>0.77405999999999997</v>
      </c>
      <c r="R5797" s="147">
        <v>0</v>
      </c>
    </row>
    <row r="5798" spans="2:18" ht="15.75" hidden="1" thickBot="1" x14ac:dyDescent="0.3">
      <c r="B5798" s="723" t="s">
        <v>854</v>
      </c>
      <c r="C5798" s="149" t="s">
        <v>85</v>
      </c>
      <c r="D5798" t="s">
        <v>86</v>
      </c>
      <c r="E5798" s="148">
        <v>138.23776000000001</v>
      </c>
      <c r="F5798" s="148">
        <v>267.90337</v>
      </c>
      <c r="G5798" s="148">
        <v>-129.66560999999999</v>
      </c>
      <c r="H5798" s="148">
        <v>-48.400141439056924</v>
      </c>
      <c r="I5798" s="728"/>
      <c r="J5798" s="148">
        <v>138.23776000000001</v>
      </c>
      <c r="K5798" s="148">
        <v>0</v>
      </c>
      <c r="L5798" s="148">
        <v>2831.0978</v>
      </c>
      <c r="M5798" s="148">
        <v>3291.8500199999999</v>
      </c>
      <c r="N5798" s="148">
        <v>-460.75222000000002</v>
      </c>
      <c r="O5798" s="148">
        <v>-13.996756146259665</v>
      </c>
      <c r="P5798" s="148">
        <v>1491.9502399999999</v>
      </c>
      <c r="Q5798" s="148">
        <v>1339.1475600000001</v>
      </c>
      <c r="R5798" s="148">
        <v>89.758191935409315</v>
      </c>
    </row>
    <row r="5799" spans="2:18" ht="15.75" hidden="1" thickBot="1" x14ac:dyDescent="0.3">
      <c r="B5799" s="723" t="s">
        <v>854</v>
      </c>
      <c r="C5799" s="144" t="s">
        <v>87</v>
      </c>
      <c r="D5799" t="s">
        <v>87</v>
      </c>
      <c r="E5799" s="147">
        <v>155.20061000000001</v>
      </c>
      <c r="F5799" s="147">
        <v>295.57787000000002</v>
      </c>
      <c r="G5799" s="147">
        <v>-140.37726000000001</v>
      </c>
      <c r="H5799" s="147">
        <v>-47.49247973131412</v>
      </c>
      <c r="I5799" s="729"/>
      <c r="J5799" s="147">
        <v>155.20061000000001</v>
      </c>
      <c r="K5799" s="147">
        <v>0</v>
      </c>
      <c r="L5799" s="147">
        <v>3027.2375200000001</v>
      </c>
      <c r="M5799" s="147">
        <v>3622.2017799999999</v>
      </c>
      <c r="N5799" s="147">
        <v>-594.96425999999997</v>
      </c>
      <c r="O5799" s="147">
        <v>-16.425486379171289</v>
      </c>
      <c r="P5799" s="147">
        <v>1604.65085</v>
      </c>
      <c r="Q5799" s="147">
        <v>1422.5866699999999</v>
      </c>
      <c r="R5799" s="147">
        <v>88.653969179650517</v>
      </c>
    </row>
    <row r="5800" spans="2:18" ht="15.75" hidden="1" thickBot="1" x14ac:dyDescent="0.3">
      <c r="B5800" s="724" t="s">
        <v>855</v>
      </c>
      <c r="C5800" s="722" t="s">
        <v>643</v>
      </c>
      <c r="D5800" t="s">
        <v>644</v>
      </c>
      <c r="E5800" s="148">
        <v>0.50049999999999994</v>
      </c>
      <c r="F5800" s="148">
        <v>15.65</v>
      </c>
      <c r="G5800" s="148">
        <v>-15.1495</v>
      </c>
      <c r="H5800" s="148">
        <v>-96.801916932907346</v>
      </c>
      <c r="I5800" s="728"/>
      <c r="J5800" s="148">
        <v>0.50049999999999994</v>
      </c>
      <c r="K5800" s="148">
        <v>0</v>
      </c>
      <c r="L5800" s="148">
        <v>6.984</v>
      </c>
      <c r="M5800" s="148">
        <v>65.650000000000006</v>
      </c>
      <c r="N5800" s="148">
        <v>-58.665999999999997</v>
      </c>
      <c r="O5800" s="148">
        <v>-89.361766945925368</v>
      </c>
      <c r="P5800" s="148">
        <v>5.9355000000000002</v>
      </c>
      <c r="Q5800" s="148">
        <v>1.0485</v>
      </c>
      <c r="R5800" s="148">
        <v>17.664897649734648</v>
      </c>
    </row>
    <row r="5801" spans="2:18" ht="15.75" hidden="1" thickBot="1" x14ac:dyDescent="0.3">
      <c r="B5801" s="724" t="s">
        <v>855</v>
      </c>
      <c r="C5801" s="149" t="s">
        <v>85</v>
      </c>
      <c r="D5801" t="s">
        <v>86</v>
      </c>
      <c r="E5801" s="147">
        <v>0.50049999999999994</v>
      </c>
      <c r="F5801" s="147">
        <v>15.65</v>
      </c>
      <c r="G5801" s="147">
        <v>-15.1495</v>
      </c>
      <c r="H5801" s="147">
        <v>-96.801916932907346</v>
      </c>
      <c r="I5801" s="729"/>
      <c r="J5801" s="147">
        <v>0.50049999999999994</v>
      </c>
      <c r="K5801" s="147">
        <v>0</v>
      </c>
      <c r="L5801" s="147">
        <v>6.984</v>
      </c>
      <c r="M5801" s="147">
        <v>65.650000000000006</v>
      </c>
      <c r="N5801" s="147">
        <v>-58.665999999999997</v>
      </c>
      <c r="O5801" s="147">
        <v>-89.361766945925368</v>
      </c>
      <c r="P5801" s="147">
        <v>5.9355000000000002</v>
      </c>
      <c r="Q5801" s="147">
        <v>1.0485</v>
      </c>
      <c r="R5801" s="147">
        <v>17.664897649734648</v>
      </c>
    </row>
    <row r="5802" spans="2:18" ht="15.75" hidden="1" thickBot="1" x14ac:dyDescent="0.3">
      <c r="B5802" s="724" t="s">
        <v>855</v>
      </c>
      <c r="C5802" s="144" t="s">
        <v>87</v>
      </c>
      <c r="D5802" t="s">
        <v>87</v>
      </c>
      <c r="E5802" s="148">
        <v>0.50049999999999994</v>
      </c>
      <c r="F5802" s="148">
        <v>15.65</v>
      </c>
      <c r="G5802" s="148">
        <v>-15.1495</v>
      </c>
      <c r="H5802" s="148">
        <v>-96.801916932907346</v>
      </c>
      <c r="I5802" s="728"/>
      <c r="J5802" s="148">
        <v>0.50049999999999994</v>
      </c>
      <c r="K5802" s="148">
        <v>0</v>
      </c>
      <c r="L5802" s="148">
        <v>6.984</v>
      </c>
      <c r="M5802" s="148">
        <v>65.650000000000006</v>
      </c>
      <c r="N5802" s="148">
        <v>-58.665999999999997</v>
      </c>
      <c r="O5802" s="148">
        <v>-89.361766945925368</v>
      </c>
      <c r="P5802" s="148">
        <v>5.9355000000000002</v>
      </c>
      <c r="Q5802" s="148">
        <v>1.0485</v>
      </c>
      <c r="R5802" s="148">
        <v>17.664897649734648</v>
      </c>
    </row>
    <row r="5803" spans="2:18" ht="15.75" hidden="1" thickBot="1" x14ac:dyDescent="0.3">
      <c r="B5803" s="724" t="s">
        <v>856</v>
      </c>
      <c r="C5803" s="722" t="s">
        <v>169</v>
      </c>
      <c r="D5803" t="s">
        <v>170</v>
      </c>
      <c r="E5803" s="729"/>
      <c r="F5803" s="729"/>
      <c r="G5803" s="729"/>
      <c r="H5803" s="729"/>
      <c r="I5803" s="729"/>
      <c r="J5803" s="729"/>
      <c r="K5803" s="729"/>
      <c r="L5803" s="147">
        <v>0.34515000000000001</v>
      </c>
      <c r="M5803" s="729"/>
      <c r="N5803" s="147">
        <v>0.34515000000000001</v>
      </c>
      <c r="O5803" s="147">
        <v>0</v>
      </c>
      <c r="P5803" s="147">
        <v>0.34515000000000001</v>
      </c>
      <c r="Q5803" s="147">
        <v>0</v>
      </c>
      <c r="R5803" s="147">
        <v>0</v>
      </c>
    </row>
    <row r="5804" spans="2:18" ht="15.75" hidden="1" thickBot="1" x14ac:dyDescent="0.3">
      <c r="B5804" s="724" t="s">
        <v>856</v>
      </c>
      <c r="C5804" s="722" t="s">
        <v>109</v>
      </c>
      <c r="D5804" t="s">
        <v>110</v>
      </c>
      <c r="E5804" s="728"/>
      <c r="F5804" s="728"/>
      <c r="G5804" s="728"/>
      <c r="H5804" s="728"/>
      <c r="I5804" s="728"/>
      <c r="J5804" s="728"/>
      <c r="K5804" s="728"/>
      <c r="L5804" s="148">
        <v>0.14859</v>
      </c>
      <c r="M5804" s="728"/>
      <c r="N5804" s="148">
        <v>0.14859</v>
      </c>
      <c r="O5804" s="148">
        <v>0</v>
      </c>
      <c r="P5804" s="728"/>
      <c r="Q5804" s="148">
        <v>0.14859</v>
      </c>
      <c r="R5804" s="148">
        <v>0</v>
      </c>
    </row>
    <row r="5805" spans="2:18" ht="15.75" hidden="1" thickBot="1" x14ac:dyDescent="0.3">
      <c r="B5805" s="724" t="s">
        <v>856</v>
      </c>
      <c r="C5805" s="722" t="s">
        <v>643</v>
      </c>
      <c r="D5805" t="s">
        <v>644</v>
      </c>
      <c r="E5805" s="147">
        <v>6.7542099999999996</v>
      </c>
      <c r="F5805" s="147">
        <v>50</v>
      </c>
      <c r="G5805" s="147">
        <v>-43.24579</v>
      </c>
      <c r="H5805" s="147">
        <v>-86.491579999999999</v>
      </c>
      <c r="I5805" s="729"/>
      <c r="J5805" s="147">
        <v>6.7542099999999996</v>
      </c>
      <c r="K5805" s="147">
        <v>0</v>
      </c>
      <c r="L5805" s="147">
        <v>239.58064999999999</v>
      </c>
      <c r="M5805" s="147">
        <v>328.25</v>
      </c>
      <c r="N5805" s="147">
        <v>-88.669349999999994</v>
      </c>
      <c r="O5805" s="147">
        <v>-27.012749428789032</v>
      </c>
      <c r="P5805" s="147">
        <v>146.97584000000001</v>
      </c>
      <c r="Q5805" s="147">
        <v>92.604810000000001</v>
      </c>
      <c r="R5805" s="147">
        <v>63.006824795150003</v>
      </c>
    </row>
    <row r="5806" spans="2:18" ht="15.75" hidden="1" thickBot="1" x14ac:dyDescent="0.3">
      <c r="B5806" s="724" t="s">
        <v>856</v>
      </c>
      <c r="C5806" s="722" t="s">
        <v>151</v>
      </c>
      <c r="D5806" t="s">
        <v>152</v>
      </c>
      <c r="E5806" s="148">
        <v>0.46</v>
      </c>
      <c r="F5806" s="728"/>
      <c r="G5806" s="148">
        <v>0.46</v>
      </c>
      <c r="H5806" s="148">
        <v>0</v>
      </c>
      <c r="I5806" s="728"/>
      <c r="J5806" s="148">
        <v>0.46</v>
      </c>
      <c r="K5806" s="148">
        <v>0</v>
      </c>
      <c r="L5806" s="148">
        <v>4.6323100000000004</v>
      </c>
      <c r="M5806" s="728"/>
      <c r="N5806" s="148">
        <v>4.6323100000000004</v>
      </c>
      <c r="O5806" s="148">
        <v>0</v>
      </c>
      <c r="P5806" s="148">
        <v>3.0221</v>
      </c>
      <c r="Q5806" s="148">
        <v>1.6102099999999999</v>
      </c>
      <c r="R5806" s="148">
        <v>53.281162105820457</v>
      </c>
    </row>
    <row r="5807" spans="2:18" ht="15.75" hidden="1" thickBot="1" x14ac:dyDescent="0.3">
      <c r="B5807" s="724" t="s">
        <v>856</v>
      </c>
      <c r="C5807" s="149" t="s">
        <v>85</v>
      </c>
      <c r="D5807" t="s">
        <v>86</v>
      </c>
      <c r="E5807" s="147">
        <v>7.2142099999999996</v>
      </c>
      <c r="F5807" s="147">
        <v>50</v>
      </c>
      <c r="G5807" s="147">
        <v>-42.785789999999999</v>
      </c>
      <c r="H5807" s="147">
        <v>-85.571579999999997</v>
      </c>
      <c r="I5807" s="729"/>
      <c r="J5807" s="147">
        <v>7.2142099999999996</v>
      </c>
      <c r="K5807" s="147">
        <v>0</v>
      </c>
      <c r="L5807" s="147">
        <v>244.70670000000001</v>
      </c>
      <c r="M5807" s="147">
        <v>328.25</v>
      </c>
      <c r="N5807" s="147">
        <v>-83.543300000000002</v>
      </c>
      <c r="O5807" s="147">
        <v>-25.451119573495813</v>
      </c>
      <c r="P5807" s="147">
        <v>150.34308999999999</v>
      </c>
      <c r="Q5807" s="147">
        <v>94.363609999999994</v>
      </c>
      <c r="R5807" s="147">
        <v>62.765511870216315</v>
      </c>
    </row>
    <row r="5808" spans="2:18" ht="15.75" hidden="1" thickBot="1" x14ac:dyDescent="0.3">
      <c r="B5808" s="724" t="s">
        <v>856</v>
      </c>
      <c r="C5808" s="144" t="s">
        <v>87</v>
      </c>
      <c r="D5808" t="s">
        <v>87</v>
      </c>
      <c r="E5808" s="148">
        <v>7.2142099999999996</v>
      </c>
      <c r="F5808" s="148">
        <v>50</v>
      </c>
      <c r="G5808" s="148">
        <v>-42.785789999999999</v>
      </c>
      <c r="H5808" s="148">
        <v>-85.571579999999997</v>
      </c>
      <c r="I5808" s="728"/>
      <c r="J5808" s="148">
        <v>7.2142099999999996</v>
      </c>
      <c r="K5808" s="148">
        <v>0</v>
      </c>
      <c r="L5808" s="148">
        <v>244.70670000000001</v>
      </c>
      <c r="M5808" s="148">
        <v>328.25</v>
      </c>
      <c r="N5808" s="148">
        <v>-83.543300000000002</v>
      </c>
      <c r="O5808" s="148">
        <v>-25.451119573495813</v>
      </c>
      <c r="P5808" s="148">
        <v>150.34308999999999</v>
      </c>
      <c r="Q5808" s="148">
        <v>94.363609999999994</v>
      </c>
      <c r="R5808" s="148">
        <v>62.765511870216315</v>
      </c>
    </row>
    <row r="5809" spans="2:18" ht="15.75" hidden="1" thickBot="1" x14ac:dyDescent="0.3">
      <c r="B5809" s="724" t="s">
        <v>857</v>
      </c>
      <c r="C5809" s="722" t="s">
        <v>59</v>
      </c>
      <c r="D5809" t="s">
        <v>60</v>
      </c>
      <c r="E5809" s="147">
        <v>6.6136400000000002</v>
      </c>
      <c r="F5809" s="147">
        <v>13.05269</v>
      </c>
      <c r="G5809" s="147">
        <v>-6.4390499999999999</v>
      </c>
      <c r="H5809" s="147">
        <v>-49.331210654661987</v>
      </c>
      <c r="I5809" s="729"/>
      <c r="J5809" s="147">
        <v>6.6136400000000002</v>
      </c>
      <c r="K5809" s="147">
        <v>0</v>
      </c>
      <c r="L5809" s="147">
        <v>78.773600000000002</v>
      </c>
      <c r="M5809" s="147">
        <v>155.81056000000001</v>
      </c>
      <c r="N5809" s="147">
        <v>-77.036959999999993</v>
      </c>
      <c r="O5809" s="147">
        <v>-49.442707862676315</v>
      </c>
      <c r="P5809" s="147">
        <v>48.609090000000002</v>
      </c>
      <c r="Q5809" s="147">
        <v>30.16451</v>
      </c>
      <c r="R5809" s="147">
        <v>62.055286367220617</v>
      </c>
    </row>
    <row r="5810" spans="2:18" ht="15.75" hidden="1" thickBot="1" x14ac:dyDescent="0.3">
      <c r="B5810" s="724" t="s">
        <v>857</v>
      </c>
      <c r="C5810" s="722" t="s">
        <v>134</v>
      </c>
      <c r="D5810" t="s">
        <v>135</v>
      </c>
      <c r="E5810" s="728"/>
      <c r="F5810" s="728"/>
      <c r="G5810" s="728"/>
      <c r="H5810" s="728"/>
      <c r="I5810" s="728"/>
      <c r="J5810" s="728"/>
      <c r="K5810" s="728"/>
      <c r="L5810" s="148">
        <v>9.4509999999999997E-2</v>
      </c>
      <c r="M5810" s="728"/>
      <c r="N5810" s="148">
        <v>9.4509999999999997E-2</v>
      </c>
      <c r="O5810" s="148">
        <v>0</v>
      </c>
      <c r="P5810" s="148">
        <v>9.4509999999999997E-2</v>
      </c>
      <c r="Q5810" s="148">
        <v>0</v>
      </c>
      <c r="R5810" s="148">
        <v>0</v>
      </c>
    </row>
    <row r="5811" spans="2:18" ht="15.75" hidden="1" thickBot="1" x14ac:dyDescent="0.3">
      <c r="B5811" s="724" t="s">
        <v>857</v>
      </c>
      <c r="C5811" s="722" t="s">
        <v>61</v>
      </c>
      <c r="D5811" t="s">
        <v>62</v>
      </c>
      <c r="E5811" s="147">
        <v>1.0888100000000001</v>
      </c>
      <c r="F5811" s="147">
        <v>2.0231699999999999</v>
      </c>
      <c r="G5811" s="147">
        <v>-0.93435999999999997</v>
      </c>
      <c r="H5811" s="147">
        <v>-46.182970289199623</v>
      </c>
      <c r="I5811" s="729"/>
      <c r="J5811" s="147">
        <v>1.0888100000000001</v>
      </c>
      <c r="K5811" s="147">
        <v>0</v>
      </c>
      <c r="L5811" s="147">
        <v>12.00792</v>
      </c>
      <c r="M5811" s="147">
        <v>24.150659999999998</v>
      </c>
      <c r="N5811" s="147">
        <v>-12.14274</v>
      </c>
      <c r="O5811" s="147">
        <v>-50.279122806581682</v>
      </c>
      <c r="P5811" s="147">
        <v>7.0232599999999996</v>
      </c>
      <c r="Q5811" s="147">
        <v>4.9846599999999999</v>
      </c>
      <c r="R5811" s="147">
        <v>70.973593459447613</v>
      </c>
    </row>
    <row r="5812" spans="2:18" ht="15.75" hidden="1" thickBot="1" x14ac:dyDescent="0.3">
      <c r="B5812" s="724" t="s">
        <v>857</v>
      </c>
      <c r="C5812" s="722" t="s">
        <v>63</v>
      </c>
      <c r="D5812" t="s">
        <v>64</v>
      </c>
      <c r="E5812" s="148">
        <v>4.2300000000000004</v>
      </c>
      <c r="F5812" s="148">
        <v>7.8707700000000003</v>
      </c>
      <c r="G5812" s="148">
        <v>-3.6407699999999998</v>
      </c>
      <c r="H5812" s="148">
        <v>-46.256846534710071</v>
      </c>
      <c r="I5812" s="728"/>
      <c r="J5812" s="148">
        <v>4.2300000000000004</v>
      </c>
      <c r="K5812" s="148">
        <v>0</v>
      </c>
      <c r="L5812" s="148">
        <v>46.64969</v>
      </c>
      <c r="M5812" s="148">
        <v>93.953739999999996</v>
      </c>
      <c r="N5812" s="148">
        <v>-47.304049999999997</v>
      </c>
      <c r="O5812" s="148">
        <v>-50.34823520596413</v>
      </c>
      <c r="P5812" s="148">
        <v>27.284549999999999</v>
      </c>
      <c r="Q5812" s="148">
        <v>19.36514</v>
      </c>
      <c r="R5812" s="148">
        <v>70.974745781037257</v>
      </c>
    </row>
    <row r="5813" spans="2:18" ht="15.75" hidden="1" thickBot="1" x14ac:dyDescent="0.3">
      <c r="B5813" s="724" t="s">
        <v>857</v>
      </c>
      <c r="C5813" s="149" t="s">
        <v>67</v>
      </c>
      <c r="D5813" t="s">
        <v>68</v>
      </c>
      <c r="E5813" s="147">
        <v>11.932449999999999</v>
      </c>
      <c r="F5813" s="147">
        <v>22.946629999999999</v>
      </c>
      <c r="G5813" s="147">
        <v>-11.01418</v>
      </c>
      <c r="H5813" s="147">
        <v>-47.999117953268083</v>
      </c>
      <c r="I5813" s="729"/>
      <c r="J5813" s="147">
        <v>11.932449999999999</v>
      </c>
      <c r="K5813" s="147">
        <v>0</v>
      </c>
      <c r="L5813" s="147">
        <v>137.52572000000001</v>
      </c>
      <c r="M5813" s="147">
        <v>273.91496000000001</v>
      </c>
      <c r="N5813" s="147">
        <v>-136.38924</v>
      </c>
      <c r="O5813" s="147">
        <v>-49.792548753087452</v>
      </c>
      <c r="P5813" s="147">
        <v>83.011409999999998</v>
      </c>
      <c r="Q5813" s="147">
        <v>54.514310000000002</v>
      </c>
      <c r="R5813" s="147">
        <v>65.670863800530554</v>
      </c>
    </row>
    <row r="5814" spans="2:18" ht="15.75" hidden="1" thickBot="1" x14ac:dyDescent="0.3">
      <c r="B5814" s="724" t="s">
        <v>857</v>
      </c>
      <c r="C5814" s="722" t="s">
        <v>69</v>
      </c>
      <c r="D5814" t="s">
        <v>70</v>
      </c>
      <c r="E5814" s="148">
        <v>6.8242900000000004</v>
      </c>
      <c r="F5814" s="148">
        <v>2.5</v>
      </c>
      <c r="G5814" s="148">
        <v>4.3242900000000004</v>
      </c>
      <c r="H5814" s="148">
        <v>172.9716</v>
      </c>
      <c r="I5814" s="728"/>
      <c r="J5814" s="148">
        <v>6.8242900000000004</v>
      </c>
      <c r="K5814" s="148">
        <v>0</v>
      </c>
      <c r="L5814" s="148">
        <v>16.035450000000001</v>
      </c>
      <c r="M5814" s="148">
        <v>30</v>
      </c>
      <c r="N5814" s="148">
        <v>-13.964549999999999</v>
      </c>
      <c r="O5814" s="148">
        <v>-46.548499999999997</v>
      </c>
      <c r="P5814" s="148">
        <v>2.4485899999999998</v>
      </c>
      <c r="Q5814" s="148">
        <v>13.58686</v>
      </c>
      <c r="R5814" s="148">
        <v>554.885056297706</v>
      </c>
    </row>
    <row r="5815" spans="2:18" ht="15.75" hidden="1" thickBot="1" x14ac:dyDescent="0.3">
      <c r="B5815" s="724" t="s">
        <v>857</v>
      </c>
      <c r="C5815" s="722" t="s">
        <v>99</v>
      </c>
      <c r="D5815" t="s">
        <v>100</v>
      </c>
      <c r="E5815" s="729"/>
      <c r="F5815" s="147">
        <v>0</v>
      </c>
      <c r="G5815" s="147">
        <v>0</v>
      </c>
      <c r="H5815" s="147">
        <v>0</v>
      </c>
      <c r="I5815" s="729"/>
      <c r="J5815" s="729"/>
      <c r="K5815" s="729"/>
      <c r="L5815" s="729"/>
      <c r="M5815" s="147">
        <v>0.3</v>
      </c>
      <c r="N5815" s="147">
        <v>-0.3</v>
      </c>
      <c r="O5815" s="147">
        <v>-100</v>
      </c>
      <c r="P5815" s="729"/>
      <c r="Q5815" s="729"/>
      <c r="R5815" s="729"/>
    </row>
    <row r="5816" spans="2:18" ht="15.75" hidden="1" thickBot="1" x14ac:dyDescent="0.3">
      <c r="B5816" s="724" t="s">
        <v>857</v>
      </c>
      <c r="C5816" s="722" t="s">
        <v>137</v>
      </c>
      <c r="D5816" t="s">
        <v>138</v>
      </c>
      <c r="E5816" s="728"/>
      <c r="F5816" s="148">
        <v>0</v>
      </c>
      <c r="G5816" s="148">
        <v>0</v>
      </c>
      <c r="H5816" s="148">
        <v>0</v>
      </c>
      <c r="I5816" s="728"/>
      <c r="J5816" s="728"/>
      <c r="K5816" s="728"/>
      <c r="L5816" s="148">
        <v>0.59940000000000004</v>
      </c>
      <c r="M5816" s="148">
        <v>0.3</v>
      </c>
      <c r="N5816" s="148">
        <v>0.2994</v>
      </c>
      <c r="O5816" s="148">
        <v>99.8</v>
      </c>
      <c r="P5816" s="728"/>
      <c r="Q5816" s="148">
        <v>0.59940000000000004</v>
      </c>
      <c r="R5816" s="148">
        <v>0</v>
      </c>
    </row>
    <row r="5817" spans="2:18" ht="15.75" hidden="1" thickBot="1" x14ac:dyDescent="0.3">
      <c r="B5817" s="724" t="s">
        <v>857</v>
      </c>
      <c r="C5817" s="722" t="s">
        <v>139</v>
      </c>
      <c r="D5817" t="s">
        <v>140</v>
      </c>
      <c r="E5817" s="729"/>
      <c r="F5817" s="147">
        <v>9.5</v>
      </c>
      <c r="G5817" s="147">
        <v>-9.5</v>
      </c>
      <c r="H5817" s="147">
        <v>-100</v>
      </c>
      <c r="I5817" s="729"/>
      <c r="J5817" s="729"/>
      <c r="K5817" s="729"/>
      <c r="L5817" s="729"/>
      <c r="M5817" s="147">
        <v>11</v>
      </c>
      <c r="N5817" s="147">
        <v>-11</v>
      </c>
      <c r="O5817" s="147">
        <v>-100</v>
      </c>
      <c r="P5817" s="729"/>
      <c r="Q5817" s="729"/>
      <c r="R5817" s="729"/>
    </row>
    <row r="5818" spans="2:18" ht="15.75" hidden="1" thickBot="1" x14ac:dyDescent="0.3">
      <c r="B5818" s="724" t="s">
        <v>857</v>
      </c>
      <c r="C5818" s="722" t="s">
        <v>169</v>
      </c>
      <c r="D5818" t="s">
        <v>170</v>
      </c>
      <c r="E5818" s="148">
        <v>4.1801500000000003</v>
      </c>
      <c r="F5818" s="148">
        <v>0</v>
      </c>
      <c r="G5818" s="148">
        <v>4.1801500000000003</v>
      </c>
      <c r="H5818" s="148">
        <v>0</v>
      </c>
      <c r="I5818" s="728"/>
      <c r="J5818" s="148">
        <v>4.1801500000000003</v>
      </c>
      <c r="K5818" s="148">
        <v>0</v>
      </c>
      <c r="L5818" s="148">
        <v>6.1743600000000001</v>
      </c>
      <c r="M5818" s="148">
        <v>15</v>
      </c>
      <c r="N5818" s="148">
        <v>-8.8256399999999999</v>
      </c>
      <c r="O5818" s="148">
        <v>-58.837600000000002</v>
      </c>
      <c r="P5818" s="148">
        <v>1.3806099999999999</v>
      </c>
      <c r="Q5818" s="148">
        <v>4.7937500000000002</v>
      </c>
      <c r="R5818" s="148">
        <v>347.21970723086173</v>
      </c>
    </row>
    <row r="5819" spans="2:18" ht="15.75" hidden="1" thickBot="1" x14ac:dyDescent="0.3">
      <c r="B5819" s="724" t="s">
        <v>857</v>
      </c>
      <c r="C5819" s="722" t="s">
        <v>101</v>
      </c>
      <c r="D5819" t="s">
        <v>102</v>
      </c>
      <c r="E5819" s="147">
        <v>0.67162999999999995</v>
      </c>
      <c r="F5819" s="729"/>
      <c r="G5819" s="147">
        <v>0.67162999999999995</v>
      </c>
      <c r="H5819" s="147">
        <v>0</v>
      </c>
      <c r="I5819" s="729"/>
      <c r="J5819" s="147">
        <v>0.67162999999999995</v>
      </c>
      <c r="K5819" s="147">
        <v>0</v>
      </c>
      <c r="L5819" s="147">
        <v>2.3881299999999999</v>
      </c>
      <c r="M5819" s="147">
        <v>1.5</v>
      </c>
      <c r="N5819" s="147">
        <v>0.88812999999999998</v>
      </c>
      <c r="O5819" s="147">
        <v>59.208666666666666</v>
      </c>
      <c r="P5819" s="147">
        <v>1.1717599999999999</v>
      </c>
      <c r="Q5819" s="147">
        <v>1.21637</v>
      </c>
      <c r="R5819" s="147">
        <v>103.80709360278556</v>
      </c>
    </row>
    <row r="5820" spans="2:18" ht="15.75" hidden="1" thickBot="1" x14ac:dyDescent="0.3">
      <c r="B5820" s="724" t="s">
        <v>857</v>
      </c>
      <c r="C5820" s="722" t="s">
        <v>464</v>
      </c>
      <c r="D5820" t="s">
        <v>465</v>
      </c>
      <c r="E5820" s="728"/>
      <c r="F5820" s="728"/>
      <c r="G5820" s="728"/>
      <c r="H5820" s="728"/>
      <c r="I5820" s="728"/>
      <c r="J5820" s="728"/>
      <c r="K5820" s="728"/>
      <c r="L5820" s="728"/>
      <c r="M5820" s="148">
        <v>0</v>
      </c>
      <c r="N5820" s="148">
        <v>0</v>
      </c>
      <c r="O5820" s="148">
        <v>0</v>
      </c>
      <c r="P5820" s="728"/>
      <c r="Q5820" s="728"/>
      <c r="R5820" s="728"/>
    </row>
    <row r="5821" spans="2:18" ht="15.75" hidden="1" thickBot="1" x14ac:dyDescent="0.3">
      <c r="B5821" s="724" t="s">
        <v>857</v>
      </c>
      <c r="C5821" s="722" t="s">
        <v>107</v>
      </c>
      <c r="D5821" t="s">
        <v>108</v>
      </c>
      <c r="E5821" s="729"/>
      <c r="F5821" s="729"/>
      <c r="G5821" s="729"/>
      <c r="H5821" s="729"/>
      <c r="I5821" s="729"/>
      <c r="J5821" s="729"/>
      <c r="K5821" s="729"/>
      <c r="L5821" s="147">
        <v>0.63859999999999995</v>
      </c>
      <c r="M5821" s="729"/>
      <c r="N5821" s="147">
        <v>0.63859999999999995</v>
      </c>
      <c r="O5821" s="147">
        <v>0</v>
      </c>
      <c r="P5821" s="729"/>
      <c r="Q5821" s="147">
        <v>0.63859999999999995</v>
      </c>
      <c r="R5821" s="147">
        <v>0</v>
      </c>
    </row>
    <row r="5822" spans="2:18" ht="15.75" hidden="1" thickBot="1" x14ac:dyDescent="0.3">
      <c r="B5822" s="724" t="s">
        <v>857</v>
      </c>
      <c r="C5822" s="722" t="s">
        <v>109</v>
      </c>
      <c r="D5822" t="s">
        <v>110</v>
      </c>
      <c r="E5822" s="148">
        <v>8.9560000000000001E-2</v>
      </c>
      <c r="F5822" s="148">
        <v>0.16667000000000001</v>
      </c>
      <c r="G5822" s="148">
        <v>-7.7109999999999998E-2</v>
      </c>
      <c r="H5822" s="148">
        <v>-46.265074698506027</v>
      </c>
      <c r="I5822" s="728"/>
      <c r="J5822" s="148">
        <v>8.9560000000000001E-2</v>
      </c>
      <c r="K5822" s="148">
        <v>0</v>
      </c>
      <c r="L5822" s="148">
        <v>2.2151800000000001</v>
      </c>
      <c r="M5822" s="148">
        <v>2.0000399999999998</v>
      </c>
      <c r="N5822" s="148">
        <v>0.21514</v>
      </c>
      <c r="O5822" s="148">
        <v>10.756784864302714</v>
      </c>
      <c r="P5822" s="148">
        <v>1.5383899999999999</v>
      </c>
      <c r="Q5822" s="148">
        <v>0.67679</v>
      </c>
      <c r="R5822" s="148">
        <v>43.993395692899718</v>
      </c>
    </row>
    <row r="5823" spans="2:18" ht="15.75" hidden="1" thickBot="1" x14ac:dyDescent="0.3">
      <c r="B5823" s="724" t="s">
        <v>857</v>
      </c>
      <c r="C5823" s="722" t="s">
        <v>73</v>
      </c>
      <c r="D5823" t="s">
        <v>74</v>
      </c>
      <c r="E5823" s="729"/>
      <c r="F5823" s="147">
        <v>0</v>
      </c>
      <c r="G5823" s="147">
        <v>0</v>
      </c>
      <c r="H5823" s="147">
        <v>0</v>
      </c>
      <c r="I5823" s="729"/>
      <c r="J5823" s="729"/>
      <c r="K5823" s="729"/>
      <c r="L5823" s="147">
        <v>1.83592</v>
      </c>
      <c r="M5823" s="147">
        <v>1</v>
      </c>
      <c r="N5823" s="147">
        <v>0.83592</v>
      </c>
      <c r="O5823" s="147">
        <v>83.591999999999999</v>
      </c>
      <c r="P5823" s="147">
        <v>0.39594000000000001</v>
      </c>
      <c r="Q5823" s="147">
        <v>1.43998</v>
      </c>
      <c r="R5823" s="147">
        <v>363.68641713390917</v>
      </c>
    </row>
    <row r="5824" spans="2:18" ht="15.75" hidden="1" thickBot="1" x14ac:dyDescent="0.3">
      <c r="B5824" s="724" t="s">
        <v>857</v>
      </c>
      <c r="C5824" s="722" t="s">
        <v>111</v>
      </c>
      <c r="D5824" t="s">
        <v>112</v>
      </c>
      <c r="E5824" s="728"/>
      <c r="F5824" s="728"/>
      <c r="G5824" s="728"/>
      <c r="H5824" s="728"/>
      <c r="I5824" s="728"/>
      <c r="J5824" s="728"/>
      <c r="K5824" s="728"/>
      <c r="L5824" s="728"/>
      <c r="M5824" s="148">
        <v>0.5</v>
      </c>
      <c r="N5824" s="148">
        <v>-0.5</v>
      </c>
      <c r="O5824" s="148">
        <v>-100</v>
      </c>
      <c r="P5824" s="728"/>
      <c r="Q5824" s="728"/>
      <c r="R5824" s="728"/>
    </row>
    <row r="5825" spans="2:18" ht="15.75" hidden="1" thickBot="1" x14ac:dyDescent="0.3">
      <c r="B5825" s="724" t="s">
        <v>857</v>
      </c>
      <c r="C5825" s="722" t="s">
        <v>141</v>
      </c>
      <c r="D5825" t="s">
        <v>142</v>
      </c>
      <c r="E5825" s="729"/>
      <c r="F5825" s="147">
        <v>2.5</v>
      </c>
      <c r="G5825" s="147">
        <v>-2.5</v>
      </c>
      <c r="H5825" s="147">
        <v>-100</v>
      </c>
      <c r="I5825" s="729"/>
      <c r="J5825" s="729"/>
      <c r="K5825" s="729"/>
      <c r="L5825" s="147">
        <v>8.0000000000000002E-3</v>
      </c>
      <c r="M5825" s="147">
        <v>2.5</v>
      </c>
      <c r="N5825" s="147">
        <v>-2.492</v>
      </c>
      <c r="O5825" s="147">
        <v>-99.68</v>
      </c>
      <c r="P5825" s="729"/>
      <c r="Q5825" s="147">
        <v>8.0000000000000002E-3</v>
      </c>
      <c r="R5825" s="147">
        <v>0</v>
      </c>
    </row>
    <row r="5826" spans="2:18" ht="15.75" hidden="1" thickBot="1" x14ac:dyDescent="0.3">
      <c r="B5826" s="724" t="s">
        <v>857</v>
      </c>
      <c r="C5826" s="722" t="s">
        <v>145</v>
      </c>
      <c r="D5826" t="s">
        <v>146</v>
      </c>
      <c r="E5826" s="148">
        <v>0.315</v>
      </c>
      <c r="F5826" s="148">
        <v>0.5</v>
      </c>
      <c r="G5826" s="148">
        <v>-0.185</v>
      </c>
      <c r="H5826" s="148">
        <v>-37</v>
      </c>
      <c r="I5826" s="728"/>
      <c r="J5826" s="148">
        <v>0.315</v>
      </c>
      <c r="K5826" s="148">
        <v>0</v>
      </c>
      <c r="L5826" s="148">
        <v>3.0082</v>
      </c>
      <c r="M5826" s="148">
        <v>2.5</v>
      </c>
      <c r="N5826" s="148">
        <v>0.50819999999999999</v>
      </c>
      <c r="O5826" s="148">
        <v>20.327999999999999</v>
      </c>
      <c r="P5826" s="148">
        <v>1.212</v>
      </c>
      <c r="Q5826" s="148">
        <v>1.7962</v>
      </c>
      <c r="R5826" s="148">
        <v>148.20132013201319</v>
      </c>
    </row>
    <row r="5827" spans="2:18" ht="15.75" hidden="1" thickBot="1" x14ac:dyDescent="0.3">
      <c r="B5827" s="724" t="s">
        <v>857</v>
      </c>
      <c r="C5827" s="722" t="s">
        <v>147</v>
      </c>
      <c r="D5827" t="s">
        <v>148</v>
      </c>
      <c r="E5827" s="147">
        <v>0.11433</v>
      </c>
      <c r="F5827" s="147">
        <v>0.1</v>
      </c>
      <c r="G5827" s="147">
        <v>1.4330000000000001E-2</v>
      </c>
      <c r="H5827" s="147">
        <v>14.33</v>
      </c>
      <c r="I5827" s="729"/>
      <c r="J5827" s="147">
        <v>0.11433</v>
      </c>
      <c r="K5827" s="147">
        <v>0</v>
      </c>
      <c r="L5827" s="147">
        <v>0.2923</v>
      </c>
      <c r="M5827" s="147">
        <v>0.1</v>
      </c>
      <c r="N5827" s="147">
        <v>0.1923</v>
      </c>
      <c r="O5827" s="147">
        <v>192.3</v>
      </c>
      <c r="P5827" s="147">
        <v>6.7250000000000004E-2</v>
      </c>
      <c r="Q5827" s="147">
        <v>0.22505</v>
      </c>
      <c r="R5827" s="147">
        <v>334.64684014869886</v>
      </c>
    </row>
    <row r="5828" spans="2:18" ht="15.75" hidden="1" thickBot="1" x14ac:dyDescent="0.3">
      <c r="B5828" s="724" t="s">
        <v>857</v>
      </c>
      <c r="C5828" s="722" t="s">
        <v>643</v>
      </c>
      <c r="D5828" t="s">
        <v>644</v>
      </c>
      <c r="E5828" s="148">
        <v>11.77805</v>
      </c>
      <c r="F5828" s="148">
        <v>10</v>
      </c>
      <c r="G5828" s="148">
        <v>1.7780499999999999</v>
      </c>
      <c r="H5828" s="148">
        <v>17.7805</v>
      </c>
      <c r="I5828" s="728"/>
      <c r="J5828" s="148">
        <v>11.77805</v>
      </c>
      <c r="K5828" s="148">
        <v>0</v>
      </c>
      <c r="L5828" s="148">
        <v>30.136500000000002</v>
      </c>
      <c r="M5828" s="148">
        <v>40</v>
      </c>
      <c r="N5828" s="148">
        <v>-9.8635000000000002</v>
      </c>
      <c r="O5828" s="148">
        <v>-24.658750000000001</v>
      </c>
      <c r="P5828" s="148">
        <v>0.75844999999999996</v>
      </c>
      <c r="Q5828" s="148">
        <v>29.378050000000002</v>
      </c>
      <c r="R5828" s="148">
        <v>3873.4326587118467</v>
      </c>
    </row>
    <row r="5829" spans="2:18" ht="15.75" hidden="1" thickBot="1" x14ac:dyDescent="0.3">
      <c r="B5829" s="724" t="s">
        <v>857</v>
      </c>
      <c r="C5829" s="722" t="s">
        <v>149</v>
      </c>
      <c r="D5829" t="s">
        <v>150</v>
      </c>
      <c r="E5829" s="147">
        <v>2.88625</v>
      </c>
      <c r="F5829" s="147">
        <v>18.33333</v>
      </c>
      <c r="G5829" s="147">
        <v>-15.44708</v>
      </c>
      <c r="H5829" s="147">
        <v>-84.256815319420966</v>
      </c>
      <c r="I5829" s="729"/>
      <c r="J5829" s="147">
        <v>2.88625</v>
      </c>
      <c r="K5829" s="147">
        <v>0</v>
      </c>
      <c r="L5829" s="147">
        <v>201.14680999999999</v>
      </c>
      <c r="M5829" s="147">
        <v>219.99995999999999</v>
      </c>
      <c r="N5829" s="147">
        <v>-18.853149999999999</v>
      </c>
      <c r="O5829" s="147">
        <v>-8.5696151944754906</v>
      </c>
      <c r="P5829" s="147">
        <v>168.70391000000001</v>
      </c>
      <c r="Q5829" s="147">
        <v>32.442900000000002</v>
      </c>
      <c r="R5829" s="147">
        <v>19.230674618033454</v>
      </c>
    </row>
    <row r="5830" spans="2:18" ht="15.75" hidden="1" thickBot="1" x14ac:dyDescent="0.3">
      <c r="B5830" s="724" t="s">
        <v>857</v>
      </c>
      <c r="C5830" s="722" t="s">
        <v>669</v>
      </c>
      <c r="D5830" t="s">
        <v>670</v>
      </c>
      <c r="E5830" s="148">
        <v>60.017000000000003</v>
      </c>
      <c r="F5830" s="148">
        <v>78.166669999999996</v>
      </c>
      <c r="G5830" s="148">
        <v>-18.14967</v>
      </c>
      <c r="H5830" s="148">
        <v>-23.219193039693259</v>
      </c>
      <c r="I5830" s="728"/>
      <c r="J5830" s="148">
        <v>60.017000000000003</v>
      </c>
      <c r="K5830" s="148">
        <v>0</v>
      </c>
      <c r="L5830" s="148">
        <v>1714.04808</v>
      </c>
      <c r="M5830" s="148">
        <v>1723.0000199999999</v>
      </c>
      <c r="N5830" s="148">
        <v>-8.9519400000000005</v>
      </c>
      <c r="O5830" s="148">
        <v>-0.51955542055072057</v>
      </c>
      <c r="P5830" s="148">
        <v>791.44799999999998</v>
      </c>
      <c r="Q5830" s="148">
        <v>922.60008000000005</v>
      </c>
      <c r="R5830" s="148">
        <v>116.57115565394062</v>
      </c>
    </row>
    <row r="5831" spans="2:18" ht="15.75" hidden="1" thickBot="1" x14ac:dyDescent="0.3">
      <c r="B5831" s="724" t="s">
        <v>857</v>
      </c>
      <c r="C5831" s="722" t="s">
        <v>75</v>
      </c>
      <c r="D5831" t="s">
        <v>76</v>
      </c>
      <c r="E5831" s="147">
        <v>12.54941</v>
      </c>
      <c r="F5831" s="147">
        <v>16.667999999999999</v>
      </c>
      <c r="G5831" s="147">
        <v>-4.1185900000000002</v>
      </c>
      <c r="H5831" s="147">
        <v>-24.709563234941204</v>
      </c>
      <c r="I5831" s="729"/>
      <c r="J5831" s="147">
        <v>12.54941</v>
      </c>
      <c r="K5831" s="147">
        <v>0</v>
      </c>
      <c r="L5831" s="147">
        <v>35.264420000000001</v>
      </c>
      <c r="M5831" s="147">
        <v>100</v>
      </c>
      <c r="N5831" s="147">
        <v>-64.735579999999999</v>
      </c>
      <c r="O5831" s="147">
        <v>-64.735579999999999</v>
      </c>
      <c r="P5831" s="147">
        <v>-11.14024</v>
      </c>
      <c r="Q5831" s="147">
        <v>46.40466</v>
      </c>
      <c r="R5831" s="147">
        <v>416.54991274873788</v>
      </c>
    </row>
    <row r="5832" spans="2:18" ht="15.75" hidden="1" thickBot="1" x14ac:dyDescent="0.3">
      <c r="B5832" s="724" t="s">
        <v>857</v>
      </c>
      <c r="C5832" s="722" t="s">
        <v>121</v>
      </c>
      <c r="D5832" t="s">
        <v>122</v>
      </c>
      <c r="E5832" s="148">
        <v>1.2410000000000001</v>
      </c>
      <c r="F5832" s="728"/>
      <c r="G5832" s="148">
        <v>1.2410000000000001</v>
      </c>
      <c r="H5832" s="148">
        <v>0</v>
      </c>
      <c r="I5832" s="728"/>
      <c r="J5832" s="148">
        <v>1.2410000000000001</v>
      </c>
      <c r="K5832" s="148">
        <v>0</v>
      </c>
      <c r="L5832" s="148">
        <v>6.0077499999999997</v>
      </c>
      <c r="M5832" s="148">
        <v>0.5</v>
      </c>
      <c r="N5832" s="148">
        <v>5.5077499999999997</v>
      </c>
      <c r="O5832" s="148">
        <v>1101.55</v>
      </c>
      <c r="P5832" s="148">
        <v>2.75875</v>
      </c>
      <c r="Q5832" s="148">
        <v>3.2490000000000001</v>
      </c>
      <c r="R5832" s="148">
        <v>117.77072949705483</v>
      </c>
    </row>
    <row r="5833" spans="2:18" ht="15.75" hidden="1" thickBot="1" x14ac:dyDescent="0.3">
      <c r="B5833" s="724" t="s">
        <v>857</v>
      </c>
      <c r="C5833" s="722" t="s">
        <v>77</v>
      </c>
      <c r="D5833" t="s">
        <v>78</v>
      </c>
      <c r="E5833" s="729"/>
      <c r="F5833" s="147">
        <v>4</v>
      </c>
      <c r="G5833" s="147">
        <v>-4</v>
      </c>
      <c r="H5833" s="147">
        <v>-100</v>
      </c>
      <c r="I5833" s="729"/>
      <c r="J5833" s="729"/>
      <c r="K5833" s="729"/>
      <c r="L5833" s="729"/>
      <c r="M5833" s="147">
        <v>15</v>
      </c>
      <c r="N5833" s="147">
        <v>-15</v>
      </c>
      <c r="O5833" s="147">
        <v>-100</v>
      </c>
      <c r="P5833" s="729"/>
      <c r="Q5833" s="729"/>
      <c r="R5833" s="729"/>
    </row>
    <row r="5834" spans="2:18" ht="15.75" hidden="1" thickBot="1" x14ac:dyDescent="0.3">
      <c r="B5834" s="724" t="s">
        <v>857</v>
      </c>
      <c r="C5834" s="722" t="s">
        <v>79</v>
      </c>
      <c r="D5834" t="s">
        <v>80</v>
      </c>
      <c r="E5834" s="148">
        <v>3.36198</v>
      </c>
      <c r="F5834" s="148">
        <v>20</v>
      </c>
      <c r="G5834" s="148">
        <v>-16.638020000000001</v>
      </c>
      <c r="H5834" s="148">
        <v>-83.190100000000001</v>
      </c>
      <c r="I5834" s="728"/>
      <c r="J5834" s="148">
        <v>3.36198</v>
      </c>
      <c r="K5834" s="148">
        <v>0</v>
      </c>
      <c r="L5834" s="148">
        <v>63.436450000000001</v>
      </c>
      <c r="M5834" s="148">
        <v>90</v>
      </c>
      <c r="N5834" s="148">
        <v>-26.563549999999999</v>
      </c>
      <c r="O5834" s="148">
        <v>-29.515055555555556</v>
      </c>
      <c r="P5834" s="148">
        <v>25.692450000000001</v>
      </c>
      <c r="Q5834" s="148">
        <v>37.744</v>
      </c>
      <c r="R5834" s="148">
        <v>146.90697072486276</v>
      </c>
    </row>
    <row r="5835" spans="2:18" ht="15.75" hidden="1" thickBot="1" x14ac:dyDescent="0.3">
      <c r="B5835" s="724" t="s">
        <v>857</v>
      </c>
      <c r="C5835" s="722" t="s">
        <v>81</v>
      </c>
      <c r="D5835" t="s">
        <v>82</v>
      </c>
      <c r="E5835" s="147">
        <v>7.3999999999999996E-2</v>
      </c>
      <c r="F5835" s="147">
        <v>0.25</v>
      </c>
      <c r="G5835" s="147">
        <v>-0.17599999999999999</v>
      </c>
      <c r="H5835" s="147">
        <v>-70.400000000000006</v>
      </c>
      <c r="I5835" s="729"/>
      <c r="J5835" s="147">
        <v>7.3999999999999996E-2</v>
      </c>
      <c r="K5835" s="147">
        <v>0</v>
      </c>
      <c r="L5835" s="147">
        <v>7.3999999999999996E-2</v>
      </c>
      <c r="M5835" s="147">
        <v>0.5</v>
      </c>
      <c r="N5835" s="147">
        <v>-0.42599999999999999</v>
      </c>
      <c r="O5835" s="147">
        <v>-85.2</v>
      </c>
      <c r="P5835" s="729"/>
      <c r="Q5835" s="147">
        <v>7.3999999999999996E-2</v>
      </c>
      <c r="R5835" s="147">
        <v>0</v>
      </c>
    </row>
    <row r="5836" spans="2:18" ht="15.75" hidden="1" thickBot="1" x14ac:dyDescent="0.3">
      <c r="B5836" s="724" t="s">
        <v>857</v>
      </c>
      <c r="C5836" s="722" t="s">
        <v>125</v>
      </c>
      <c r="D5836" t="s">
        <v>126</v>
      </c>
      <c r="E5836" s="148">
        <v>0.105</v>
      </c>
      <c r="F5836" s="148">
        <v>1.5</v>
      </c>
      <c r="G5836" s="148">
        <v>-1.395</v>
      </c>
      <c r="H5836" s="148">
        <v>-93</v>
      </c>
      <c r="I5836" s="728"/>
      <c r="J5836" s="148">
        <v>0.105</v>
      </c>
      <c r="K5836" s="148">
        <v>0</v>
      </c>
      <c r="L5836" s="148">
        <v>0.77405999999999997</v>
      </c>
      <c r="M5836" s="148">
        <v>3</v>
      </c>
      <c r="N5836" s="148">
        <v>-2.22594</v>
      </c>
      <c r="O5836" s="148">
        <v>-74.197999999999993</v>
      </c>
      <c r="P5836" s="728"/>
      <c r="Q5836" s="148">
        <v>0.77405999999999997</v>
      </c>
      <c r="R5836" s="148">
        <v>0</v>
      </c>
    </row>
    <row r="5837" spans="2:18" ht="15.75" hidden="1" thickBot="1" x14ac:dyDescent="0.3">
      <c r="B5837" s="724" t="s">
        <v>857</v>
      </c>
      <c r="C5837" s="149" t="s">
        <v>85</v>
      </c>
      <c r="D5837" t="s">
        <v>86</v>
      </c>
      <c r="E5837" s="147">
        <v>104.20765</v>
      </c>
      <c r="F5837" s="147">
        <v>164.18467000000001</v>
      </c>
      <c r="G5837" s="147">
        <v>-59.977020000000003</v>
      </c>
      <c r="H5837" s="147">
        <v>-36.530219295138821</v>
      </c>
      <c r="I5837" s="729"/>
      <c r="J5837" s="147">
        <v>104.20765</v>
      </c>
      <c r="K5837" s="147">
        <v>0</v>
      </c>
      <c r="L5837" s="147">
        <v>2084.0836100000001</v>
      </c>
      <c r="M5837" s="147">
        <v>2258.7000200000002</v>
      </c>
      <c r="N5837" s="147">
        <v>-174.61641</v>
      </c>
      <c r="O5837" s="147">
        <v>-7.7308366960566994</v>
      </c>
      <c r="P5837" s="147">
        <v>986.43586000000005</v>
      </c>
      <c r="Q5837" s="147">
        <v>1097.6477500000001</v>
      </c>
      <c r="R5837" s="147">
        <v>111.27411264225532</v>
      </c>
    </row>
    <row r="5838" spans="2:18" ht="15.75" hidden="1" thickBot="1" x14ac:dyDescent="0.3">
      <c r="B5838" s="724" t="s">
        <v>857</v>
      </c>
      <c r="C5838" s="144" t="s">
        <v>87</v>
      </c>
      <c r="D5838" t="s">
        <v>87</v>
      </c>
      <c r="E5838" s="148">
        <v>116.1401</v>
      </c>
      <c r="F5838" s="148">
        <v>187.13130000000001</v>
      </c>
      <c r="G5838" s="148">
        <v>-70.991200000000006</v>
      </c>
      <c r="H5838" s="148">
        <v>-37.936571808136854</v>
      </c>
      <c r="I5838" s="728"/>
      <c r="J5838" s="148">
        <v>116.1401</v>
      </c>
      <c r="K5838" s="148">
        <v>0</v>
      </c>
      <c r="L5838" s="148">
        <v>2221.6093300000002</v>
      </c>
      <c r="M5838" s="148">
        <v>2532.6149799999998</v>
      </c>
      <c r="N5838" s="148">
        <v>-311.00565</v>
      </c>
      <c r="O5838" s="148">
        <v>-12.280020944991804</v>
      </c>
      <c r="P5838" s="148">
        <v>1069.4472699999999</v>
      </c>
      <c r="Q5838" s="148">
        <v>1152.1620600000001</v>
      </c>
      <c r="R5838" s="148">
        <v>107.73434953927182</v>
      </c>
    </row>
    <row r="5839" spans="2:18" ht="15.75" hidden="1" thickBot="1" x14ac:dyDescent="0.3">
      <c r="B5839" s="724" t="s">
        <v>858</v>
      </c>
      <c r="C5839" s="722" t="s">
        <v>69</v>
      </c>
      <c r="D5839" t="s">
        <v>70</v>
      </c>
      <c r="E5839" s="729"/>
      <c r="F5839" s="729"/>
      <c r="G5839" s="729"/>
      <c r="H5839" s="729"/>
      <c r="I5839" s="729"/>
      <c r="J5839" s="729"/>
      <c r="K5839" s="729"/>
      <c r="L5839" s="729"/>
      <c r="M5839" s="147">
        <v>0.5</v>
      </c>
      <c r="N5839" s="147">
        <v>-0.5</v>
      </c>
      <c r="O5839" s="147">
        <v>-100</v>
      </c>
      <c r="P5839" s="729"/>
      <c r="Q5839" s="729"/>
      <c r="R5839" s="729"/>
    </row>
    <row r="5840" spans="2:18" ht="15.75" hidden="1" thickBot="1" x14ac:dyDescent="0.3">
      <c r="B5840" s="724" t="s">
        <v>858</v>
      </c>
      <c r="C5840" s="722" t="s">
        <v>139</v>
      </c>
      <c r="D5840" t="s">
        <v>140</v>
      </c>
      <c r="E5840" s="148">
        <v>3.6990000000000002E-2</v>
      </c>
      <c r="F5840" s="148">
        <v>0</v>
      </c>
      <c r="G5840" s="148">
        <v>3.6990000000000002E-2</v>
      </c>
      <c r="H5840" s="148">
        <v>0</v>
      </c>
      <c r="I5840" s="728"/>
      <c r="J5840" s="148">
        <v>3.6990000000000002E-2</v>
      </c>
      <c r="K5840" s="148">
        <v>0</v>
      </c>
      <c r="L5840" s="148">
        <v>65.788979999999995</v>
      </c>
      <c r="M5840" s="148">
        <v>66.5</v>
      </c>
      <c r="N5840" s="148">
        <v>-0.71101999999999999</v>
      </c>
      <c r="O5840" s="148">
        <v>-1.069203007518797</v>
      </c>
      <c r="P5840" s="148">
        <v>65.09</v>
      </c>
      <c r="Q5840" s="148">
        <v>0.69898000000000005</v>
      </c>
      <c r="R5840" s="148">
        <v>1.0738669534490706</v>
      </c>
    </row>
    <row r="5841" spans="2:18" ht="15.75" hidden="1" thickBot="1" x14ac:dyDescent="0.3">
      <c r="B5841" s="724" t="s">
        <v>858</v>
      </c>
      <c r="C5841" s="722" t="s">
        <v>169</v>
      </c>
      <c r="D5841" t="s">
        <v>170</v>
      </c>
      <c r="E5841" s="147">
        <v>2.3968799999999999</v>
      </c>
      <c r="F5841" s="147">
        <v>2.5</v>
      </c>
      <c r="G5841" s="147">
        <v>-0.10312</v>
      </c>
      <c r="H5841" s="147">
        <v>-4.1247999999999996</v>
      </c>
      <c r="I5841" s="729"/>
      <c r="J5841" s="147">
        <v>2.3968799999999999</v>
      </c>
      <c r="K5841" s="147">
        <v>0</v>
      </c>
      <c r="L5841" s="147">
        <v>20.183399999999999</v>
      </c>
      <c r="M5841" s="147">
        <v>18</v>
      </c>
      <c r="N5841" s="147">
        <v>2.1833999999999998</v>
      </c>
      <c r="O5841" s="147">
        <v>12.13</v>
      </c>
      <c r="P5841" s="147">
        <v>3.0295999999999998</v>
      </c>
      <c r="Q5841" s="147">
        <v>17.1538</v>
      </c>
      <c r="R5841" s="147">
        <v>566.20675996831267</v>
      </c>
    </row>
    <row r="5842" spans="2:18" ht="15.75" hidden="1" thickBot="1" x14ac:dyDescent="0.3">
      <c r="B5842" s="724" t="s">
        <v>858</v>
      </c>
      <c r="C5842" s="722" t="s">
        <v>101</v>
      </c>
      <c r="D5842" t="s">
        <v>102</v>
      </c>
      <c r="E5842" s="148">
        <v>0.88334000000000001</v>
      </c>
      <c r="F5842" s="148">
        <v>1.4999999999999999E-2</v>
      </c>
      <c r="G5842" s="148">
        <v>0.86834</v>
      </c>
      <c r="H5842" s="148">
        <v>5788.9333333333334</v>
      </c>
      <c r="I5842" s="728"/>
      <c r="J5842" s="148">
        <v>0.88334000000000001</v>
      </c>
      <c r="K5842" s="148">
        <v>0</v>
      </c>
      <c r="L5842" s="148">
        <v>1.0197000000000001</v>
      </c>
      <c r="M5842" s="148">
        <v>0.18</v>
      </c>
      <c r="N5842" s="148">
        <v>0.8397</v>
      </c>
      <c r="O5842" s="148">
        <v>466.5</v>
      </c>
      <c r="P5842" s="148">
        <v>7.3260000000000006E-2</v>
      </c>
      <c r="Q5842" s="148">
        <v>0.94643999999999995</v>
      </c>
      <c r="R5842" s="148">
        <v>1291.8918918918919</v>
      </c>
    </row>
    <row r="5843" spans="2:18" ht="15.75" hidden="1" thickBot="1" x14ac:dyDescent="0.3">
      <c r="B5843" s="724" t="s">
        <v>858</v>
      </c>
      <c r="C5843" s="722" t="s">
        <v>464</v>
      </c>
      <c r="D5843" t="s">
        <v>465</v>
      </c>
      <c r="E5843" s="729"/>
      <c r="F5843" s="729"/>
      <c r="G5843" s="729"/>
      <c r="H5843" s="729"/>
      <c r="I5843" s="729"/>
      <c r="J5843" s="729"/>
      <c r="K5843" s="729"/>
      <c r="L5843" s="147">
        <v>0.75004999999999999</v>
      </c>
      <c r="M5843" s="147">
        <v>0.7</v>
      </c>
      <c r="N5843" s="147">
        <v>5.0049999999999997E-2</v>
      </c>
      <c r="O5843" s="147">
        <v>7.15</v>
      </c>
      <c r="P5843" s="147">
        <v>0.75004999999999999</v>
      </c>
      <c r="Q5843" s="147">
        <v>0</v>
      </c>
      <c r="R5843" s="147">
        <v>0</v>
      </c>
    </row>
    <row r="5844" spans="2:18" ht="15.75" hidden="1" thickBot="1" x14ac:dyDescent="0.3">
      <c r="B5844" s="724" t="s">
        <v>858</v>
      </c>
      <c r="C5844" s="722" t="s">
        <v>109</v>
      </c>
      <c r="D5844" t="s">
        <v>110</v>
      </c>
      <c r="E5844" s="148">
        <v>2.0461399999999998</v>
      </c>
      <c r="F5844" s="148">
        <v>8</v>
      </c>
      <c r="G5844" s="148">
        <v>-5.9538599999999997</v>
      </c>
      <c r="H5844" s="148">
        <v>-74.423249999999996</v>
      </c>
      <c r="I5844" s="728"/>
      <c r="J5844" s="148">
        <v>2.0461399999999998</v>
      </c>
      <c r="K5844" s="148">
        <v>0</v>
      </c>
      <c r="L5844" s="148">
        <v>57.636560000000003</v>
      </c>
      <c r="M5844" s="148">
        <v>93.8</v>
      </c>
      <c r="N5844" s="148">
        <v>-36.163440000000001</v>
      </c>
      <c r="O5844" s="148">
        <v>-38.553773987206824</v>
      </c>
      <c r="P5844" s="148">
        <v>46.336460000000002</v>
      </c>
      <c r="Q5844" s="148">
        <v>11.3001</v>
      </c>
      <c r="R5844" s="148">
        <v>24.387059348081404</v>
      </c>
    </row>
    <row r="5845" spans="2:18" ht="15.75" hidden="1" thickBot="1" x14ac:dyDescent="0.3">
      <c r="B5845" s="724" t="s">
        <v>858</v>
      </c>
      <c r="C5845" s="722" t="s">
        <v>73</v>
      </c>
      <c r="D5845" t="s">
        <v>74</v>
      </c>
      <c r="E5845" s="147">
        <v>0.20757999999999999</v>
      </c>
      <c r="F5845" s="147">
        <v>0.1</v>
      </c>
      <c r="G5845" s="147">
        <v>0.10758</v>
      </c>
      <c r="H5845" s="147">
        <v>107.58</v>
      </c>
      <c r="I5845" s="729"/>
      <c r="J5845" s="147">
        <v>0.20757999999999999</v>
      </c>
      <c r="K5845" s="147">
        <v>0</v>
      </c>
      <c r="L5845" s="147">
        <v>0.73526000000000002</v>
      </c>
      <c r="M5845" s="147">
        <v>0.8</v>
      </c>
      <c r="N5845" s="147">
        <v>-6.4740000000000006E-2</v>
      </c>
      <c r="O5845" s="147">
        <v>-8.0924999999999994</v>
      </c>
      <c r="P5845" s="147">
        <v>0.36404999999999998</v>
      </c>
      <c r="Q5845" s="147">
        <v>0.37120999999999998</v>
      </c>
      <c r="R5845" s="147">
        <v>101.96676280730669</v>
      </c>
    </row>
    <row r="5846" spans="2:18" ht="15.75" hidden="1" thickBot="1" x14ac:dyDescent="0.3">
      <c r="B5846" s="724" t="s">
        <v>858</v>
      </c>
      <c r="C5846" s="722" t="s">
        <v>111</v>
      </c>
      <c r="D5846" t="s">
        <v>112</v>
      </c>
      <c r="E5846" s="148">
        <v>16.528639999999999</v>
      </c>
      <c r="F5846" s="148">
        <v>3</v>
      </c>
      <c r="G5846" s="148">
        <v>13.528639999999999</v>
      </c>
      <c r="H5846" s="148">
        <v>450.95466666666664</v>
      </c>
      <c r="I5846" s="728"/>
      <c r="J5846" s="148">
        <v>16.528639999999999</v>
      </c>
      <c r="K5846" s="148">
        <v>0</v>
      </c>
      <c r="L5846" s="148">
        <v>69.778350000000003</v>
      </c>
      <c r="M5846" s="148">
        <v>57.86</v>
      </c>
      <c r="N5846" s="148">
        <v>11.91835</v>
      </c>
      <c r="O5846" s="148">
        <v>20.598600069132388</v>
      </c>
      <c r="P5846" s="148">
        <v>51.917209999999997</v>
      </c>
      <c r="Q5846" s="148">
        <v>17.861139999999999</v>
      </c>
      <c r="R5846" s="148">
        <v>34.403119890302271</v>
      </c>
    </row>
    <row r="5847" spans="2:18" ht="15.75" hidden="1" thickBot="1" x14ac:dyDescent="0.3">
      <c r="B5847" s="724" t="s">
        <v>858</v>
      </c>
      <c r="C5847" s="722" t="s">
        <v>141</v>
      </c>
      <c r="D5847" t="s">
        <v>142</v>
      </c>
      <c r="E5847" s="729"/>
      <c r="F5847" s="147">
        <v>3.5000000000000003E-2</v>
      </c>
      <c r="G5847" s="147">
        <v>-3.5000000000000003E-2</v>
      </c>
      <c r="H5847" s="147">
        <v>-100</v>
      </c>
      <c r="I5847" s="729"/>
      <c r="J5847" s="729"/>
      <c r="K5847" s="729"/>
      <c r="L5847" s="147">
        <v>0.62890000000000001</v>
      </c>
      <c r="M5847" s="147">
        <v>0.75</v>
      </c>
      <c r="N5847" s="147">
        <v>-0.1211</v>
      </c>
      <c r="O5847" s="147">
        <v>-16.146666666666668</v>
      </c>
      <c r="P5847" s="147">
        <v>0.48093999999999998</v>
      </c>
      <c r="Q5847" s="147">
        <v>0.14796000000000001</v>
      </c>
      <c r="R5847" s="147">
        <v>30.76475235996174</v>
      </c>
    </row>
    <row r="5848" spans="2:18" ht="15.75" hidden="1" thickBot="1" x14ac:dyDescent="0.3">
      <c r="B5848" s="724" t="s">
        <v>858</v>
      </c>
      <c r="C5848" s="722" t="s">
        <v>113</v>
      </c>
      <c r="D5848" t="s">
        <v>114</v>
      </c>
      <c r="E5848" s="728"/>
      <c r="F5848" s="148">
        <v>8.6999999999999994E-3</v>
      </c>
      <c r="G5848" s="148">
        <v>-8.6999999999999994E-3</v>
      </c>
      <c r="H5848" s="148">
        <v>-100</v>
      </c>
      <c r="I5848" s="728"/>
      <c r="J5848" s="728"/>
      <c r="K5848" s="728"/>
      <c r="L5848" s="148">
        <v>4.9500000000000004E-3</v>
      </c>
      <c r="M5848" s="148">
        <v>0.1</v>
      </c>
      <c r="N5848" s="148">
        <v>-9.5049999999999996E-2</v>
      </c>
      <c r="O5848" s="148">
        <v>-95.05</v>
      </c>
      <c r="P5848" s="148">
        <v>6.7000000000000002E-4</v>
      </c>
      <c r="Q5848" s="148">
        <v>4.28E-3</v>
      </c>
      <c r="R5848" s="148">
        <v>638.80597014925377</v>
      </c>
    </row>
    <row r="5849" spans="2:18" ht="15.75" hidden="1" thickBot="1" x14ac:dyDescent="0.3">
      <c r="B5849" s="724" t="s">
        <v>858</v>
      </c>
      <c r="C5849" s="722" t="s">
        <v>145</v>
      </c>
      <c r="D5849" t="s">
        <v>146</v>
      </c>
      <c r="E5849" s="729"/>
      <c r="F5849" s="147">
        <v>0</v>
      </c>
      <c r="G5849" s="147">
        <v>0</v>
      </c>
      <c r="H5849" s="147">
        <v>0</v>
      </c>
      <c r="I5849" s="729"/>
      <c r="J5849" s="729"/>
      <c r="K5849" s="729"/>
      <c r="L5849" s="147">
        <v>1.5E-3</v>
      </c>
      <c r="M5849" s="147">
        <v>1.1000000000000001</v>
      </c>
      <c r="N5849" s="147">
        <v>-1.0985</v>
      </c>
      <c r="O5849" s="147">
        <v>-99.86363636363636</v>
      </c>
      <c r="P5849" s="147">
        <v>1.5E-3</v>
      </c>
      <c r="Q5849" s="147">
        <v>0</v>
      </c>
      <c r="R5849" s="147">
        <v>0</v>
      </c>
    </row>
    <row r="5850" spans="2:18" ht="15.75" hidden="1" thickBot="1" x14ac:dyDescent="0.3">
      <c r="B5850" s="724" t="s">
        <v>858</v>
      </c>
      <c r="C5850" s="722" t="s">
        <v>147</v>
      </c>
      <c r="D5850" t="s">
        <v>148</v>
      </c>
      <c r="E5850" s="728"/>
      <c r="F5850" s="728"/>
      <c r="G5850" s="728"/>
      <c r="H5850" s="728"/>
      <c r="I5850" s="728"/>
      <c r="J5850" s="728"/>
      <c r="K5850" s="728"/>
      <c r="L5850" s="148">
        <v>4.2000000000000003E-2</v>
      </c>
      <c r="M5850" s="148">
        <v>0.1</v>
      </c>
      <c r="N5850" s="148">
        <v>-5.8000000000000003E-2</v>
      </c>
      <c r="O5850" s="148">
        <v>-58</v>
      </c>
      <c r="P5850" s="148">
        <v>4.2000000000000003E-2</v>
      </c>
      <c r="Q5850" s="148">
        <v>0</v>
      </c>
      <c r="R5850" s="148">
        <v>0</v>
      </c>
    </row>
    <row r="5851" spans="2:18" ht="15.75" hidden="1" thickBot="1" x14ac:dyDescent="0.3">
      <c r="B5851" s="724" t="s">
        <v>858</v>
      </c>
      <c r="C5851" s="722" t="s">
        <v>149</v>
      </c>
      <c r="D5851" t="s">
        <v>150</v>
      </c>
      <c r="E5851" s="147">
        <v>4.4000000000000004</v>
      </c>
      <c r="F5851" s="147">
        <v>2.58</v>
      </c>
      <c r="G5851" s="147">
        <v>1.82</v>
      </c>
      <c r="H5851" s="147">
        <v>70.542635658914733</v>
      </c>
      <c r="I5851" s="729"/>
      <c r="J5851" s="147">
        <v>4.4000000000000004</v>
      </c>
      <c r="K5851" s="147">
        <v>0</v>
      </c>
      <c r="L5851" s="147">
        <v>173.35684000000001</v>
      </c>
      <c r="M5851" s="147">
        <v>209.58</v>
      </c>
      <c r="N5851" s="147">
        <v>-36.22316</v>
      </c>
      <c r="O5851" s="147">
        <v>-17.283691191907625</v>
      </c>
      <c r="P5851" s="147">
        <v>107.14896</v>
      </c>
      <c r="Q5851" s="147">
        <v>66.207880000000003</v>
      </c>
      <c r="R5851" s="147">
        <v>61.790501746353861</v>
      </c>
    </row>
    <row r="5852" spans="2:18" ht="15.75" hidden="1" thickBot="1" x14ac:dyDescent="0.3">
      <c r="B5852" s="724" t="s">
        <v>858</v>
      </c>
      <c r="C5852" s="722" t="s">
        <v>649</v>
      </c>
      <c r="D5852" t="s">
        <v>650</v>
      </c>
      <c r="E5852" s="148">
        <v>2.2923499999999999</v>
      </c>
      <c r="F5852" s="148">
        <v>1.655</v>
      </c>
      <c r="G5852" s="148">
        <v>0.63734999999999997</v>
      </c>
      <c r="H5852" s="148">
        <v>38.510574018126889</v>
      </c>
      <c r="I5852" s="728"/>
      <c r="J5852" s="148">
        <v>2.2923499999999999</v>
      </c>
      <c r="K5852" s="148">
        <v>0</v>
      </c>
      <c r="L5852" s="148">
        <v>22.8124</v>
      </c>
      <c r="M5852" s="148">
        <v>19.655000000000001</v>
      </c>
      <c r="N5852" s="148">
        <v>3.1574</v>
      </c>
      <c r="O5852" s="148">
        <v>16.064105825489698</v>
      </c>
      <c r="P5852" s="148">
        <v>11.40142</v>
      </c>
      <c r="Q5852" s="148">
        <v>11.41098</v>
      </c>
      <c r="R5852" s="148">
        <v>100.08384920474818</v>
      </c>
    </row>
    <row r="5853" spans="2:18" ht="15.75" hidden="1" thickBot="1" x14ac:dyDescent="0.3">
      <c r="B5853" s="724" t="s">
        <v>858</v>
      </c>
      <c r="C5853" s="722" t="s">
        <v>175</v>
      </c>
      <c r="D5853" t="s">
        <v>176</v>
      </c>
      <c r="E5853" s="729"/>
      <c r="F5853" s="729"/>
      <c r="G5853" s="729"/>
      <c r="H5853" s="729"/>
      <c r="I5853" s="729"/>
      <c r="J5853" s="729"/>
      <c r="K5853" s="729"/>
      <c r="L5853" s="147">
        <v>0</v>
      </c>
      <c r="M5853" s="729"/>
      <c r="N5853" s="147">
        <v>0</v>
      </c>
      <c r="O5853" s="147">
        <v>0</v>
      </c>
      <c r="P5853" s="147">
        <v>0</v>
      </c>
      <c r="Q5853" s="147">
        <v>0</v>
      </c>
      <c r="R5853" s="147">
        <v>0</v>
      </c>
    </row>
    <row r="5854" spans="2:18" ht="15.75" hidden="1" thickBot="1" x14ac:dyDescent="0.3">
      <c r="B5854" s="724" t="s">
        <v>858</v>
      </c>
      <c r="C5854" s="722" t="s">
        <v>75</v>
      </c>
      <c r="D5854" t="s">
        <v>76</v>
      </c>
      <c r="E5854" s="728"/>
      <c r="F5854" s="148">
        <v>0.1</v>
      </c>
      <c r="G5854" s="148">
        <v>-0.1</v>
      </c>
      <c r="H5854" s="148">
        <v>-100</v>
      </c>
      <c r="I5854" s="728"/>
      <c r="J5854" s="728"/>
      <c r="K5854" s="728"/>
      <c r="L5854" s="148">
        <v>0.21307999999999999</v>
      </c>
      <c r="M5854" s="148">
        <v>0.7</v>
      </c>
      <c r="N5854" s="148">
        <v>-0.48692000000000002</v>
      </c>
      <c r="O5854" s="148">
        <v>-69.56</v>
      </c>
      <c r="P5854" s="148">
        <v>0.19244</v>
      </c>
      <c r="Q5854" s="148">
        <v>2.0639999999999999E-2</v>
      </c>
      <c r="R5854" s="148">
        <v>10.725420910413636</v>
      </c>
    </row>
    <row r="5855" spans="2:18" ht="15.75" hidden="1" thickBot="1" x14ac:dyDescent="0.3">
      <c r="B5855" s="724" t="s">
        <v>858</v>
      </c>
      <c r="C5855" s="722" t="s">
        <v>77</v>
      </c>
      <c r="D5855" t="s">
        <v>78</v>
      </c>
      <c r="E5855" s="729"/>
      <c r="F5855" s="147">
        <v>0</v>
      </c>
      <c r="G5855" s="147">
        <v>0</v>
      </c>
      <c r="H5855" s="147">
        <v>0</v>
      </c>
      <c r="I5855" s="729"/>
      <c r="J5855" s="729"/>
      <c r="K5855" s="729"/>
      <c r="L5855" s="147">
        <v>2.4897499999999999</v>
      </c>
      <c r="M5855" s="147">
        <v>2.5249999999999999</v>
      </c>
      <c r="N5855" s="147">
        <v>-3.5249999999999997E-2</v>
      </c>
      <c r="O5855" s="147">
        <v>-1.3960396039603959</v>
      </c>
      <c r="P5855" s="147">
        <v>1.3469599999999999</v>
      </c>
      <c r="Q5855" s="147">
        <v>1.14279</v>
      </c>
      <c r="R5855" s="147">
        <v>84.842163093187622</v>
      </c>
    </row>
    <row r="5856" spans="2:18" ht="15.75" hidden="1" thickBot="1" x14ac:dyDescent="0.3">
      <c r="B5856" s="724" t="s">
        <v>858</v>
      </c>
      <c r="C5856" s="722" t="s">
        <v>79</v>
      </c>
      <c r="D5856" t="s">
        <v>80</v>
      </c>
      <c r="E5856" s="728"/>
      <c r="F5856" s="728"/>
      <c r="G5856" s="728"/>
      <c r="H5856" s="728"/>
      <c r="I5856" s="728"/>
      <c r="J5856" s="728"/>
      <c r="K5856" s="728"/>
      <c r="L5856" s="728"/>
      <c r="M5856" s="148">
        <v>0.5</v>
      </c>
      <c r="N5856" s="148">
        <v>-0.5</v>
      </c>
      <c r="O5856" s="148">
        <v>-100</v>
      </c>
      <c r="P5856" s="728"/>
      <c r="Q5856" s="728"/>
      <c r="R5856" s="728"/>
    </row>
    <row r="5857" spans="2:18" ht="15.75" hidden="1" thickBot="1" x14ac:dyDescent="0.3">
      <c r="B5857" s="724" t="s">
        <v>858</v>
      </c>
      <c r="C5857" s="722" t="s">
        <v>123</v>
      </c>
      <c r="D5857" t="s">
        <v>124</v>
      </c>
      <c r="E5857" s="729"/>
      <c r="F5857" s="147">
        <v>2.5000000000000001E-2</v>
      </c>
      <c r="G5857" s="147">
        <v>-2.5000000000000001E-2</v>
      </c>
      <c r="H5857" s="147">
        <v>-100</v>
      </c>
      <c r="I5857" s="729"/>
      <c r="J5857" s="729"/>
      <c r="K5857" s="729"/>
      <c r="L5857" s="729"/>
      <c r="M5857" s="147">
        <v>0.1</v>
      </c>
      <c r="N5857" s="147">
        <v>-0.1</v>
      </c>
      <c r="O5857" s="147">
        <v>-100</v>
      </c>
      <c r="P5857" s="729"/>
      <c r="Q5857" s="729"/>
      <c r="R5857" s="729"/>
    </row>
    <row r="5858" spans="2:18" ht="15.75" hidden="1" thickBot="1" x14ac:dyDescent="0.3">
      <c r="B5858" s="724" t="s">
        <v>858</v>
      </c>
      <c r="C5858" s="149" t="s">
        <v>85</v>
      </c>
      <c r="D5858" t="s">
        <v>86</v>
      </c>
      <c r="E5858" s="148">
        <v>28.791920000000001</v>
      </c>
      <c r="F5858" s="148">
        <v>18.018699999999999</v>
      </c>
      <c r="G5858" s="148">
        <v>10.77322</v>
      </c>
      <c r="H5858" s="148">
        <v>59.78910798226287</v>
      </c>
      <c r="I5858" s="728"/>
      <c r="J5858" s="148">
        <v>28.791920000000001</v>
      </c>
      <c r="K5858" s="148">
        <v>0</v>
      </c>
      <c r="L5858" s="148">
        <v>415.44171999999998</v>
      </c>
      <c r="M5858" s="148">
        <v>473.45</v>
      </c>
      <c r="N5858" s="148">
        <v>-58.008279999999999</v>
      </c>
      <c r="O5858" s="148">
        <v>-12.252250501636921</v>
      </c>
      <c r="P5858" s="148">
        <v>288.17552000000001</v>
      </c>
      <c r="Q5858" s="148">
        <v>127.2662</v>
      </c>
      <c r="R5858" s="148">
        <v>44.162738042426369</v>
      </c>
    </row>
    <row r="5859" spans="2:18" ht="15.75" hidden="1" thickBot="1" x14ac:dyDescent="0.3">
      <c r="B5859" s="724" t="s">
        <v>858</v>
      </c>
      <c r="C5859" s="144" t="s">
        <v>87</v>
      </c>
      <c r="D5859" t="s">
        <v>87</v>
      </c>
      <c r="E5859" s="147">
        <v>28.791920000000001</v>
      </c>
      <c r="F5859" s="147">
        <v>18.018699999999999</v>
      </c>
      <c r="G5859" s="147">
        <v>10.77322</v>
      </c>
      <c r="H5859" s="147">
        <v>59.78910798226287</v>
      </c>
      <c r="I5859" s="729"/>
      <c r="J5859" s="147">
        <v>28.791920000000001</v>
      </c>
      <c r="K5859" s="147">
        <v>0</v>
      </c>
      <c r="L5859" s="147">
        <v>415.44171999999998</v>
      </c>
      <c r="M5859" s="147">
        <v>473.45</v>
      </c>
      <c r="N5859" s="147">
        <v>-58.008279999999999</v>
      </c>
      <c r="O5859" s="147">
        <v>-12.252250501636921</v>
      </c>
      <c r="P5859" s="147">
        <v>288.17552000000001</v>
      </c>
      <c r="Q5859" s="147">
        <v>127.2662</v>
      </c>
      <c r="R5859" s="147">
        <v>44.162738042426369</v>
      </c>
    </row>
    <row r="5860" spans="2:18" ht="15.75" hidden="1" thickBot="1" x14ac:dyDescent="0.3">
      <c r="B5860" s="724" t="s">
        <v>859</v>
      </c>
      <c r="C5860" s="722" t="s">
        <v>156</v>
      </c>
      <c r="D5860" t="s">
        <v>157</v>
      </c>
      <c r="E5860" s="148">
        <v>5.0304000000000002</v>
      </c>
      <c r="F5860" s="148">
        <v>4.7278700000000002</v>
      </c>
      <c r="G5860" s="148">
        <v>0.30253000000000002</v>
      </c>
      <c r="H5860" s="148">
        <v>6.3988646049912541</v>
      </c>
      <c r="I5860" s="728"/>
      <c r="J5860" s="148">
        <v>5.0304000000000002</v>
      </c>
      <c r="K5860" s="148">
        <v>0</v>
      </c>
      <c r="L5860" s="148">
        <v>58.613999999999997</v>
      </c>
      <c r="M5860" s="148">
        <v>56.436799999999998</v>
      </c>
      <c r="N5860" s="148">
        <v>2.1772</v>
      </c>
      <c r="O5860" s="148">
        <v>3.8577665636605905</v>
      </c>
      <c r="P5860" s="148">
        <v>29.6892</v>
      </c>
      <c r="Q5860" s="148">
        <v>28.924800000000001</v>
      </c>
      <c r="R5860" s="148">
        <v>97.42532638131037</v>
      </c>
    </row>
    <row r="5861" spans="2:18" ht="15.75" hidden="1" thickBot="1" x14ac:dyDescent="0.3">
      <c r="B5861" s="724" t="s">
        <v>859</v>
      </c>
      <c r="C5861" s="149" t="s">
        <v>67</v>
      </c>
      <c r="D5861" t="s">
        <v>68</v>
      </c>
      <c r="E5861" s="147">
        <v>5.0304000000000002</v>
      </c>
      <c r="F5861" s="147">
        <v>4.7278700000000002</v>
      </c>
      <c r="G5861" s="147">
        <v>0.30253000000000002</v>
      </c>
      <c r="H5861" s="147">
        <v>6.3988646049912541</v>
      </c>
      <c r="I5861" s="729"/>
      <c r="J5861" s="147">
        <v>5.0304000000000002</v>
      </c>
      <c r="K5861" s="147">
        <v>0</v>
      </c>
      <c r="L5861" s="147">
        <v>58.613999999999997</v>
      </c>
      <c r="M5861" s="147">
        <v>56.436799999999998</v>
      </c>
      <c r="N5861" s="147">
        <v>2.1772</v>
      </c>
      <c r="O5861" s="147">
        <v>3.8577665636605905</v>
      </c>
      <c r="P5861" s="147">
        <v>29.6892</v>
      </c>
      <c r="Q5861" s="147">
        <v>28.924800000000001</v>
      </c>
      <c r="R5861" s="147">
        <v>97.42532638131037</v>
      </c>
    </row>
    <row r="5862" spans="2:18" ht="15.75" hidden="1" thickBot="1" x14ac:dyDescent="0.3">
      <c r="B5862" s="724" t="s">
        <v>859</v>
      </c>
      <c r="C5862" s="722" t="s">
        <v>69</v>
      </c>
      <c r="D5862" t="s">
        <v>70</v>
      </c>
      <c r="E5862" s="728"/>
      <c r="F5862" s="148">
        <v>0</v>
      </c>
      <c r="G5862" s="148">
        <v>0</v>
      </c>
      <c r="H5862" s="148">
        <v>0</v>
      </c>
      <c r="I5862" s="728"/>
      <c r="J5862" s="728"/>
      <c r="K5862" s="728"/>
      <c r="L5862" s="148">
        <v>1.099</v>
      </c>
      <c r="M5862" s="148">
        <v>3.5</v>
      </c>
      <c r="N5862" s="148">
        <v>-2.4009999999999998</v>
      </c>
      <c r="O5862" s="148">
        <v>-68.599999999999994</v>
      </c>
      <c r="P5862" s="148">
        <v>1.099</v>
      </c>
      <c r="Q5862" s="148">
        <v>0</v>
      </c>
      <c r="R5862" s="148">
        <v>0</v>
      </c>
    </row>
    <row r="5863" spans="2:18" ht="15.75" hidden="1" thickBot="1" x14ac:dyDescent="0.3">
      <c r="B5863" s="724" t="s">
        <v>859</v>
      </c>
      <c r="C5863" s="722" t="s">
        <v>99</v>
      </c>
      <c r="D5863" t="s">
        <v>100</v>
      </c>
      <c r="E5863" s="729"/>
      <c r="F5863" s="147">
        <v>0.25</v>
      </c>
      <c r="G5863" s="147">
        <v>-0.25</v>
      </c>
      <c r="H5863" s="147">
        <v>-100</v>
      </c>
      <c r="I5863" s="729"/>
      <c r="J5863" s="729"/>
      <c r="K5863" s="729"/>
      <c r="L5863" s="729"/>
      <c r="M5863" s="147">
        <v>7.5</v>
      </c>
      <c r="N5863" s="147">
        <v>-7.5</v>
      </c>
      <c r="O5863" s="147">
        <v>-100</v>
      </c>
      <c r="P5863" s="729"/>
      <c r="Q5863" s="729"/>
      <c r="R5863" s="729"/>
    </row>
    <row r="5864" spans="2:18" ht="15.75" hidden="1" thickBot="1" x14ac:dyDescent="0.3">
      <c r="B5864" s="724" t="s">
        <v>859</v>
      </c>
      <c r="C5864" s="722" t="s">
        <v>137</v>
      </c>
      <c r="D5864" t="s">
        <v>138</v>
      </c>
      <c r="E5864" s="728"/>
      <c r="F5864" s="728"/>
      <c r="G5864" s="728"/>
      <c r="H5864" s="728"/>
      <c r="I5864" s="728"/>
      <c r="J5864" s="728"/>
      <c r="K5864" s="728"/>
      <c r="L5864" s="148">
        <v>2.249E-2</v>
      </c>
      <c r="M5864" s="728"/>
      <c r="N5864" s="148">
        <v>2.249E-2</v>
      </c>
      <c r="O5864" s="148">
        <v>0</v>
      </c>
      <c r="P5864" s="148">
        <v>2.249E-2</v>
      </c>
      <c r="Q5864" s="148">
        <v>0</v>
      </c>
      <c r="R5864" s="148">
        <v>0</v>
      </c>
    </row>
    <row r="5865" spans="2:18" ht="15.75" hidden="1" thickBot="1" x14ac:dyDescent="0.3">
      <c r="B5865" s="724" t="s">
        <v>859</v>
      </c>
      <c r="C5865" s="722" t="s">
        <v>139</v>
      </c>
      <c r="D5865" t="s">
        <v>140</v>
      </c>
      <c r="E5865" s="729"/>
      <c r="F5865" s="147">
        <v>5.6</v>
      </c>
      <c r="G5865" s="147">
        <v>-5.6</v>
      </c>
      <c r="H5865" s="147">
        <v>-100</v>
      </c>
      <c r="I5865" s="729"/>
      <c r="J5865" s="729"/>
      <c r="K5865" s="729"/>
      <c r="L5865" s="147">
        <v>5.2949999999999999</v>
      </c>
      <c r="M5865" s="147">
        <v>5.6</v>
      </c>
      <c r="N5865" s="147">
        <v>-0.30499999999999999</v>
      </c>
      <c r="O5865" s="147">
        <v>-5.4464285714285712</v>
      </c>
      <c r="P5865" s="147">
        <v>5.2949999999999999</v>
      </c>
      <c r="Q5865" s="147">
        <v>0</v>
      </c>
      <c r="R5865" s="147">
        <v>0</v>
      </c>
    </row>
    <row r="5866" spans="2:18" ht="15.75" hidden="1" thickBot="1" x14ac:dyDescent="0.3">
      <c r="B5866" s="724" t="s">
        <v>859</v>
      </c>
      <c r="C5866" s="722" t="s">
        <v>169</v>
      </c>
      <c r="D5866" t="s">
        <v>170</v>
      </c>
      <c r="E5866" s="728"/>
      <c r="F5866" s="728"/>
      <c r="G5866" s="728"/>
      <c r="H5866" s="728"/>
      <c r="I5866" s="728"/>
      <c r="J5866" s="728"/>
      <c r="K5866" s="728"/>
      <c r="L5866" s="148">
        <v>0.4602</v>
      </c>
      <c r="M5866" s="728"/>
      <c r="N5866" s="148">
        <v>0.4602</v>
      </c>
      <c r="O5866" s="148">
        <v>0</v>
      </c>
      <c r="P5866" s="728"/>
      <c r="Q5866" s="148">
        <v>0.4602</v>
      </c>
      <c r="R5866" s="148">
        <v>0</v>
      </c>
    </row>
    <row r="5867" spans="2:18" ht="15.75" hidden="1" thickBot="1" x14ac:dyDescent="0.3">
      <c r="B5867" s="724" t="s">
        <v>859</v>
      </c>
      <c r="C5867" s="722" t="s">
        <v>101</v>
      </c>
      <c r="D5867" t="s">
        <v>102</v>
      </c>
      <c r="E5867" s="729"/>
      <c r="F5867" s="729"/>
      <c r="G5867" s="729"/>
      <c r="H5867" s="729"/>
      <c r="I5867" s="729"/>
      <c r="J5867" s="729"/>
      <c r="K5867" s="729"/>
      <c r="L5867" s="147">
        <v>0.50570000000000004</v>
      </c>
      <c r="M5867" s="147">
        <v>15</v>
      </c>
      <c r="N5867" s="147">
        <v>-14.494300000000001</v>
      </c>
      <c r="O5867" s="147">
        <v>-96.62866666666666</v>
      </c>
      <c r="P5867" s="147">
        <v>0.50570000000000004</v>
      </c>
      <c r="Q5867" s="147">
        <v>0</v>
      </c>
      <c r="R5867" s="147">
        <v>0</v>
      </c>
    </row>
    <row r="5868" spans="2:18" ht="15.75" hidden="1" thickBot="1" x14ac:dyDescent="0.3">
      <c r="B5868" s="724" t="s">
        <v>859</v>
      </c>
      <c r="C5868" s="722" t="s">
        <v>103</v>
      </c>
      <c r="D5868" t="s">
        <v>104</v>
      </c>
      <c r="E5868" s="728"/>
      <c r="F5868" s="728"/>
      <c r="G5868" s="728"/>
      <c r="H5868" s="728"/>
      <c r="I5868" s="728"/>
      <c r="J5868" s="728"/>
      <c r="K5868" s="728"/>
      <c r="L5868" s="148">
        <v>3</v>
      </c>
      <c r="M5868" s="728"/>
      <c r="N5868" s="148">
        <v>3</v>
      </c>
      <c r="O5868" s="148">
        <v>0</v>
      </c>
      <c r="P5868" s="728"/>
      <c r="Q5868" s="148">
        <v>3</v>
      </c>
      <c r="R5868" s="148">
        <v>0</v>
      </c>
    </row>
    <row r="5869" spans="2:18" ht="15.75" hidden="1" thickBot="1" x14ac:dyDescent="0.3">
      <c r="B5869" s="724" t="s">
        <v>859</v>
      </c>
      <c r="C5869" s="722" t="s">
        <v>109</v>
      </c>
      <c r="D5869" t="s">
        <v>110</v>
      </c>
      <c r="E5869" s="147">
        <v>0.10398</v>
      </c>
      <c r="F5869" s="147">
        <v>0.2</v>
      </c>
      <c r="G5869" s="147">
        <v>-9.6019999999999994E-2</v>
      </c>
      <c r="H5869" s="147">
        <v>-48.01</v>
      </c>
      <c r="I5869" s="729"/>
      <c r="J5869" s="147">
        <v>0.10398</v>
      </c>
      <c r="K5869" s="147">
        <v>0</v>
      </c>
      <c r="L5869" s="147">
        <v>0.10398</v>
      </c>
      <c r="M5869" s="147">
        <v>0.2</v>
      </c>
      <c r="N5869" s="147">
        <v>-9.6019999999999994E-2</v>
      </c>
      <c r="O5869" s="147">
        <v>-48.01</v>
      </c>
      <c r="P5869" s="729"/>
      <c r="Q5869" s="147">
        <v>0.10398</v>
      </c>
      <c r="R5869" s="147">
        <v>0</v>
      </c>
    </row>
    <row r="5870" spans="2:18" ht="15.75" hidden="1" thickBot="1" x14ac:dyDescent="0.3">
      <c r="B5870" s="724" t="s">
        <v>859</v>
      </c>
      <c r="C5870" s="722" t="s">
        <v>111</v>
      </c>
      <c r="D5870" t="s">
        <v>112</v>
      </c>
      <c r="E5870" s="728"/>
      <c r="F5870" s="148">
        <v>0</v>
      </c>
      <c r="G5870" s="148">
        <v>0</v>
      </c>
      <c r="H5870" s="148">
        <v>0</v>
      </c>
      <c r="I5870" s="728"/>
      <c r="J5870" s="728"/>
      <c r="K5870" s="728"/>
      <c r="L5870" s="148">
        <v>0.19800000000000001</v>
      </c>
      <c r="M5870" s="148">
        <v>15</v>
      </c>
      <c r="N5870" s="148">
        <v>-14.802</v>
      </c>
      <c r="O5870" s="148">
        <v>-98.68</v>
      </c>
      <c r="P5870" s="148">
        <v>0.19800000000000001</v>
      </c>
      <c r="Q5870" s="148">
        <v>0</v>
      </c>
      <c r="R5870" s="148">
        <v>0</v>
      </c>
    </row>
    <row r="5871" spans="2:18" ht="15.75" hidden="1" thickBot="1" x14ac:dyDescent="0.3">
      <c r="B5871" s="724" t="s">
        <v>859</v>
      </c>
      <c r="C5871" s="722" t="s">
        <v>147</v>
      </c>
      <c r="D5871" t="s">
        <v>148</v>
      </c>
      <c r="E5871" s="729"/>
      <c r="F5871" s="729"/>
      <c r="G5871" s="729"/>
      <c r="H5871" s="729"/>
      <c r="I5871" s="729"/>
      <c r="J5871" s="729"/>
      <c r="K5871" s="729"/>
      <c r="L5871" s="147">
        <v>0.13897999999999999</v>
      </c>
      <c r="M5871" s="729"/>
      <c r="N5871" s="147">
        <v>0.13897999999999999</v>
      </c>
      <c r="O5871" s="147">
        <v>0</v>
      </c>
      <c r="P5871" s="147">
        <v>0.13897999999999999</v>
      </c>
      <c r="Q5871" s="147">
        <v>0</v>
      </c>
      <c r="R5871" s="147">
        <v>0</v>
      </c>
    </row>
    <row r="5872" spans="2:18" ht="15.75" hidden="1" thickBot="1" x14ac:dyDescent="0.3">
      <c r="B5872" s="724" t="s">
        <v>859</v>
      </c>
      <c r="C5872" s="722" t="s">
        <v>643</v>
      </c>
      <c r="D5872" t="s">
        <v>644</v>
      </c>
      <c r="E5872" s="148">
        <v>-1.02</v>
      </c>
      <c r="F5872" s="728"/>
      <c r="G5872" s="148">
        <v>-1.02</v>
      </c>
      <c r="H5872" s="148">
        <v>0</v>
      </c>
      <c r="I5872" s="728"/>
      <c r="J5872" s="148">
        <v>-1.02</v>
      </c>
      <c r="K5872" s="148">
        <v>0</v>
      </c>
      <c r="L5872" s="148">
        <v>7.6269999999999998</v>
      </c>
      <c r="M5872" s="728"/>
      <c r="N5872" s="148">
        <v>7.6269999999999998</v>
      </c>
      <c r="O5872" s="148">
        <v>0</v>
      </c>
      <c r="P5872" s="148">
        <v>2.351</v>
      </c>
      <c r="Q5872" s="148">
        <v>5.2759999999999998</v>
      </c>
      <c r="R5872" s="148">
        <v>224.41514249255636</v>
      </c>
    </row>
    <row r="5873" spans="2:18" ht="15.75" hidden="1" thickBot="1" x14ac:dyDescent="0.3">
      <c r="B5873" s="724" t="s">
        <v>859</v>
      </c>
      <c r="C5873" s="722" t="s">
        <v>149</v>
      </c>
      <c r="D5873" t="s">
        <v>150</v>
      </c>
      <c r="E5873" s="147">
        <v>-2</v>
      </c>
      <c r="F5873" s="147">
        <v>10</v>
      </c>
      <c r="G5873" s="147">
        <v>-12</v>
      </c>
      <c r="H5873" s="147">
        <v>-120</v>
      </c>
      <c r="I5873" s="729"/>
      <c r="J5873" s="147">
        <v>-2</v>
      </c>
      <c r="K5873" s="147">
        <v>0</v>
      </c>
      <c r="L5873" s="147">
        <v>56.653959999999998</v>
      </c>
      <c r="M5873" s="147">
        <v>105</v>
      </c>
      <c r="N5873" s="147">
        <v>-48.346040000000002</v>
      </c>
      <c r="O5873" s="147">
        <v>-46.043847619047618</v>
      </c>
      <c r="P5873" s="147">
        <v>48.290680000000002</v>
      </c>
      <c r="Q5873" s="147">
        <v>8.3632799999999996</v>
      </c>
      <c r="R5873" s="147">
        <v>17.318621315748711</v>
      </c>
    </row>
    <row r="5874" spans="2:18" ht="15.75" hidden="1" thickBot="1" x14ac:dyDescent="0.3">
      <c r="B5874" s="724" t="s">
        <v>859</v>
      </c>
      <c r="C5874" s="722" t="s">
        <v>75</v>
      </c>
      <c r="D5874" t="s">
        <v>76</v>
      </c>
      <c r="E5874" s="148">
        <v>0.4395</v>
      </c>
      <c r="F5874" s="148">
        <v>2.5</v>
      </c>
      <c r="G5874" s="148">
        <v>-2.0605000000000002</v>
      </c>
      <c r="H5874" s="148">
        <v>-82.42</v>
      </c>
      <c r="I5874" s="728"/>
      <c r="J5874" s="148">
        <v>0.4395</v>
      </c>
      <c r="K5874" s="148">
        <v>0</v>
      </c>
      <c r="L5874" s="148">
        <v>3.61599</v>
      </c>
      <c r="M5874" s="148">
        <v>10</v>
      </c>
      <c r="N5874" s="148">
        <v>-6.38401</v>
      </c>
      <c r="O5874" s="148">
        <v>-63.8401</v>
      </c>
      <c r="P5874" s="148">
        <v>3.1594199999999999</v>
      </c>
      <c r="Q5874" s="148">
        <v>0.45656999999999998</v>
      </c>
      <c r="R5874" s="148">
        <v>14.4510701331257</v>
      </c>
    </row>
    <row r="5875" spans="2:18" ht="15.75" hidden="1" thickBot="1" x14ac:dyDescent="0.3">
      <c r="B5875" s="724" t="s">
        <v>859</v>
      </c>
      <c r="C5875" s="722" t="s">
        <v>77</v>
      </c>
      <c r="D5875" t="s">
        <v>78</v>
      </c>
      <c r="E5875" s="729"/>
      <c r="F5875" s="147">
        <v>1</v>
      </c>
      <c r="G5875" s="147">
        <v>-1</v>
      </c>
      <c r="H5875" s="147">
        <v>-100</v>
      </c>
      <c r="I5875" s="729"/>
      <c r="J5875" s="729"/>
      <c r="K5875" s="729"/>
      <c r="L5875" s="147">
        <v>1.16147</v>
      </c>
      <c r="M5875" s="147">
        <v>3</v>
      </c>
      <c r="N5875" s="147">
        <v>-1.83853</v>
      </c>
      <c r="O5875" s="147">
        <v>-61.284333333333336</v>
      </c>
      <c r="P5875" s="729"/>
      <c r="Q5875" s="147">
        <v>1.16147</v>
      </c>
      <c r="R5875" s="147">
        <v>0</v>
      </c>
    </row>
    <row r="5876" spans="2:18" ht="15.75" hidden="1" thickBot="1" x14ac:dyDescent="0.3">
      <c r="B5876" s="724" t="s">
        <v>859</v>
      </c>
      <c r="C5876" s="722" t="s">
        <v>79</v>
      </c>
      <c r="D5876" t="s">
        <v>80</v>
      </c>
      <c r="E5876" s="728"/>
      <c r="F5876" s="728"/>
      <c r="G5876" s="728"/>
      <c r="H5876" s="728"/>
      <c r="I5876" s="728"/>
      <c r="J5876" s="728"/>
      <c r="K5876" s="728"/>
      <c r="L5876" s="728"/>
      <c r="M5876" s="148">
        <v>0.5</v>
      </c>
      <c r="N5876" s="148">
        <v>-0.5</v>
      </c>
      <c r="O5876" s="148">
        <v>-100</v>
      </c>
      <c r="P5876" s="728"/>
      <c r="Q5876" s="728"/>
      <c r="R5876" s="728"/>
    </row>
    <row r="5877" spans="2:18" ht="15.75" hidden="1" thickBot="1" x14ac:dyDescent="0.3">
      <c r="B5877" s="724" t="s">
        <v>859</v>
      </c>
      <c r="C5877" s="722" t="s">
        <v>81</v>
      </c>
      <c r="D5877" t="s">
        <v>82</v>
      </c>
      <c r="E5877" s="729"/>
      <c r="F5877" s="147">
        <v>0.5</v>
      </c>
      <c r="G5877" s="147">
        <v>-0.5</v>
      </c>
      <c r="H5877" s="147">
        <v>-100</v>
      </c>
      <c r="I5877" s="729"/>
      <c r="J5877" s="729"/>
      <c r="K5877" s="729"/>
      <c r="L5877" s="729"/>
      <c r="M5877" s="147">
        <v>0.5</v>
      </c>
      <c r="N5877" s="147">
        <v>-0.5</v>
      </c>
      <c r="O5877" s="147">
        <v>-100</v>
      </c>
      <c r="P5877" s="729"/>
      <c r="Q5877" s="729"/>
      <c r="R5877" s="729"/>
    </row>
    <row r="5878" spans="2:18" ht="15.75" hidden="1" thickBot="1" x14ac:dyDescent="0.3">
      <c r="B5878" s="724" t="s">
        <v>859</v>
      </c>
      <c r="C5878" s="149" t="s">
        <v>85</v>
      </c>
      <c r="D5878" t="s">
        <v>86</v>
      </c>
      <c r="E5878" s="148">
        <v>-2.4765199999999998</v>
      </c>
      <c r="F5878" s="148">
        <v>20.05</v>
      </c>
      <c r="G5878" s="148">
        <v>-22.526520000000001</v>
      </c>
      <c r="H5878" s="148">
        <v>-112.35172069825437</v>
      </c>
      <c r="I5878" s="728"/>
      <c r="J5878" s="148">
        <v>-2.4765199999999998</v>
      </c>
      <c r="K5878" s="148">
        <v>0</v>
      </c>
      <c r="L5878" s="148">
        <v>79.881770000000003</v>
      </c>
      <c r="M5878" s="148">
        <v>165.8</v>
      </c>
      <c r="N5878" s="148">
        <v>-85.918229999999994</v>
      </c>
      <c r="O5878" s="148">
        <v>-51.820404101326901</v>
      </c>
      <c r="P5878" s="148">
        <v>61.060270000000003</v>
      </c>
      <c r="Q5878" s="148">
        <v>18.8215</v>
      </c>
      <c r="R5878" s="148">
        <v>30.824462453244966</v>
      </c>
    </row>
    <row r="5879" spans="2:18" ht="15.75" hidden="1" thickBot="1" x14ac:dyDescent="0.3">
      <c r="B5879" s="724" t="s">
        <v>859</v>
      </c>
      <c r="C5879" s="144" t="s">
        <v>87</v>
      </c>
      <c r="D5879" t="s">
        <v>87</v>
      </c>
      <c r="E5879" s="147">
        <v>2.5538799999999999</v>
      </c>
      <c r="F5879" s="147">
        <v>24.77787</v>
      </c>
      <c r="G5879" s="147">
        <v>-22.223990000000001</v>
      </c>
      <c r="H5879" s="147">
        <v>-89.692899349298386</v>
      </c>
      <c r="I5879" s="729"/>
      <c r="J5879" s="147">
        <v>2.5538799999999999</v>
      </c>
      <c r="K5879" s="147">
        <v>0</v>
      </c>
      <c r="L5879" s="147">
        <v>138.49576999999999</v>
      </c>
      <c r="M5879" s="147">
        <v>222.23679999999999</v>
      </c>
      <c r="N5879" s="147">
        <v>-83.741029999999995</v>
      </c>
      <c r="O5879" s="147">
        <v>-37.680991626949272</v>
      </c>
      <c r="P5879" s="147">
        <v>90.749470000000002</v>
      </c>
      <c r="Q5879" s="147">
        <v>47.746299999999998</v>
      </c>
      <c r="R5879" s="147">
        <v>52.613310028146721</v>
      </c>
    </row>
    <row r="5880" spans="2:18" ht="15.75" hidden="1" thickBot="1" x14ac:dyDescent="0.3">
      <c r="B5880" s="145" t="s">
        <v>860</v>
      </c>
      <c r="C5880" s="722" t="s">
        <v>59</v>
      </c>
      <c r="D5880" t="s">
        <v>60</v>
      </c>
      <c r="E5880" s="148">
        <v>318.16802999999999</v>
      </c>
      <c r="F5880" s="148">
        <v>447.08269999999999</v>
      </c>
      <c r="G5880" s="148">
        <v>-128.91467</v>
      </c>
      <c r="H5880" s="148">
        <v>-28.834636186996278</v>
      </c>
      <c r="I5880" s="728"/>
      <c r="J5880" s="148">
        <v>318.16802999999999</v>
      </c>
      <c r="K5880" s="148">
        <v>0</v>
      </c>
      <c r="L5880" s="148">
        <v>4464.8392700000004</v>
      </c>
      <c r="M5880" s="148">
        <v>5336.8467600000004</v>
      </c>
      <c r="N5880" s="148">
        <v>-872.00748999999996</v>
      </c>
      <c r="O5880" s="148">
        <v>-16.339376587234071</v>
      </c>
      <c r="P5880" s="148">
        <v>2326.91372</v>
      </c>
      <c r="Q5880" s="148">
        <v>2137.9255499999999</v>
      </c>
      <c r="R5880" s="148">
        <v>91.878161687920255</v>
      </c>
    </row>
    <row r="5881" spans="2:18" ht="15.75" hidden="1" thickBot="1" x14ac:dyDescent="0.3">
      <c r="B5881" s="145" t="s">
        <v>860</v>
      </c>
      <c r="C5881" s="722" t="s">
        <v>134</v>
      </c>
      <c r="D5881" t="s">
        <v>135</v>
      </c>
      <c r="E5881" s="147">
        <v>17.848040000000001</v>
      </c>
      <c r="F5881" s="729"/>
      <c r="G5881" s="147">
        <v>17.848040000000001</v>
      </c>
      <c r="H5881" s="147">
        <v>0</v>
      </c>
      <c r="I5881" s="729"/>
      <c r="J5881" s="147">
        <v>17.848040000000001</v>
      </c>
      <c r="K5881" s="147">
        <v>0</v>
      </c>
      <c r="L5881" s="147">
        <v>259.54948999999999</v>
      </c>
      <c r="M5881" s="729"/>
      <c r="N5881" s="147">
        <v>259.54948999999999</v>
      </c>
      <c r="O5881" s="147">
        <v>0</v>
      </c>
      <c r="P5881" s="147">
        <v>148.03619</v>
      </c>
      <c r="Q5881" s="147">
        <v>111.5133</v>
      </c>
      <c r="R5881" s="147">
        <v>75.328404493522839</v>
      </c>
    </row>
    <row r="5882" spans="2:18" ht="15.75" hidden="1" thickBot="1" x14ac:dyDescent="0.3">
      <c r="B5882" s="145" t="s">
        <v>860</v>
      </c>
      <c r="C5882" s="722" t="s">
        <v>61</v>
      </c>
      <c r="D5882" t="s">
        <v>62</v>
      </c>
      <c r="E5882" s="148">
        <v>57.763959999999997</v>
      </c>
      <c r="F5882" s="148">
        <v>69.297820000000002</v>
      </c>
      <c r="G5882" s="148">
        <v>-11.533860000000001</v>
      </c>
      <c r="H5882" s="148">
        <v>-16.643900197726278</v>
      </c>
      <c r="I5882" s="728"/>
      <c r="J5882" s="148">
        <v>57.763959999999997</v>
      </c>
      <c r="K5882" s="148">
        <v>0</v>
      </c>
      <c r="L5882" s="148">
        <v>682.84655999999995</v>
      </c>
      <c r="M5882" s="148">
        <v>827.21126000000004</v>
      </c>
      <c r="N5882" s="148">
        <v>-144.3647</v>
      </c>
      <c r="O5882" s="148">
        <v>-17.451974722877925</v>
      </c>
      <c r="P5882" s="148">
        <v>340.84804000000003</v>
      </c>
      <c r="Q5882" s="148">
        <v>341.99851999999998</v>
      </c>
      <c r="R5882" s="148">
        <v>100.337534579926</v>
      </c>
    </row>
    <row r="5883" spans="2:18" ht="15.75" hidden="1" thickBot="1" x14ac:dyDescent="0.3">
      <c r="B5883" s="145" t="s">
        <v>860</v>
      </c>
      <c r="C5883" s="722" t="s">
        <v>63</v>
      </c>
      <c r="D5883" t="s">
        <v>64</v>
      </c>
      <c r="E5883" s="147">
        <v>58.210189999999997</v>
      </c>
      <c r="F5883" s="147">
        <v>102.39694</v>
      </c>
      <c r="G5883" s="147">
        <v>-44.186750000000004</v>
      </c>
      <c r="H5883" s="147">
        <v>-43.152412562328522</v>
      </c>
      <c r="I5883" s="729"/>
      <c r="J5883" s="147">
        <v>58.210189999999997</v>
      </c>
      <c r="K5883" s="147">
        <v>0</v>
      </c>
      <c r="L5883" s="147">
        <v>745.87395000000004</v>
      </c>
      <c r="M5883" s="147">
        <v>1222.3169800000001</v>
      </c>
      <c r="N5883" s="147">
        <v>-476.44303000000002</v>
      </c>
      <c r="O5883" s="147">
        <v>-38.978680472883553</v>
      </c>
      <c r="P5883" s="147">
        <v>394.01044999999999</v>
      </c>
      <c r="Q5883" s="147">
        <v>351.86349999999999</v>
      </c>
      <c r="R5883" s="147">
        <v>89.303088281034164</v>
      </c>
    </row>
    <row r="5884" spans="2:18" ht="15.75" hidden="1" thickBot="1" x14ac:dyDescent="0.3">
      <c r="B5884" s="145" t="s">
        <v>860</v>
      </c>
      <c r="C5884" s="722" t="s">
        <v>570</v>
      </c>
      <c r="D5884" t="s">
        <v>571</v>
      </c>
      <c r="E5884" s="148">
        <v>210.03560999999999</v>
      </c>
      <c r="F5884" s="148">
        <v>229.857</v>
      </c>
      <c r="G5884" s="148">
        <v>-19.821390000000001</v>
      </c>
      <c r="H5884" s="148">
        <v>-8.6233571307378067</v>
      </c>
      <c r="I5884" s="728"/>
      <c r="J5884" s="148">
        <v>210.03560999999999</v>
      </c>
      <c r="K5884" s="148">
        <v>0</v>
      </c>
      <c r="L5884" s="148">
        <v>2447.3810199999998</v>
      </c>
      <c r="M5884" s="148">
        <v>2743.81358</v>
      </c>
      <c r="N5884" s="148">
        <v>-296.43256000000002</v>
      </c>
      <c r="O5884" s="148">
        <v>-10.80366983240895</v>
      </c>
      <c r="P5884" s="148">
        <v>1196.80765</v>
      </c>
      <c r="Q5884" s="148">
        <v>1250.5733700000001</v>
      </c>
      <c r="R5884" s="148">
        <v>104.49242783499922</v>
      </c>
    </row>
    <row r="5885" spans="2:18" ht="15.75" hidden="1" thickBot="1" x14ac:dyDescent="0.3">
      <c r="B5885" s="145" t="s">
        <v>860</v>
      </c>
      <c r="C5885" s="722" t="s">
        <v>180</v>
      </c>
      <c r="D5885" t="s">
        <v>181</v>
      </c>
      <c r="E5885" s="729"/>
      <c r="F5885" s="147">
        <v>0</v>
      </c>
      <c r="G5885" s="147">
        <v>0</v>
      </c>
      <c r="H5885" s="147">
        <v>0</v>
      </c>
      <c r="I5885" s="729"/>
      <c r="J5885" s="729"/>
      <c r="K5885" s="729"/>
      <c r="L5885" s="729"/>
      <c r="M5885" s="147">
        <v>0</v>
      </c>
      <c r="N5885" s="147">
        <v>0</v>
      </c>
      <c r="O5885" s="147">
        <v>0</v>
      </c>
      <c r="P5885" s="729"/>
      <c r="Q5885" s="729"/>
      <c r="R5885" s="729"/>
    </row>
    <row r="5886" spans="2:18" ht="15.75" hidden="1" thickBot="1" x14ac:dyDescent="0.3">
      <c r="B5886" s="145" t="s">
        <v>860</v>
      </c>
      <c r="C5886" s="722" t="s">
        <v>65</v>
      </c>
      <c r="D5886" t="s">
        <v>66</v>
      </c>
      <c r="E5886" s="148">
        <v>-71.449560000000005</v>
      </c>
      <c r="F5886" s="148">
        <v>-130.54640000000001</v>
      </c>
      <c r="G5886" s="148">
        <v>59.09684</v>
      </c>
      <c r="H5886" s="148">
        <v>45.268839278601327</v>
      </c>
      <c r="I5886" s="728"/>
      <c r="J5886" s="148">
        <v>-71.449560000000005</v>
      </c>
      <c r="K5886" s="148">
        <v>0</v>
      </c>
      <c r="L5886" s="148">
        <v>-844.63643000000002</v>
      </c>
      <c r="M5886" s="148">
        <v>-1558.3383799999999</v>
      </c>
      <c r="N5886" s="148">
        <v>713.70195000000001</v>
      </c>
      <c r="O5886" s="148">
        <v>45.798907295089528</v>
      </c>
      <c r="P5886" s="148">
        <v>-477.96370000000002</v>
      </c>
      <c r="Q5886" s="148">
        <v>-366.67273</v>
      </c>
      <c r="R5886" s="148">
        <v>-76.715602042581892</v>
      </c>
    </row>
    <row r="5887" spans="2:18" ht="15.75" hidden="1" thickBot="1" x14ac:dyDescent="0.3">
      <c r="B5887" s="145" t="s">
        <v>860</v>
      </c>
      <c r="C5887" s="149" t="s">
        <v>67</v>
      </c>
      <c r="D5887" t="s">
        <v>68</v>
      </c>
      <c r="E5887" s="147">
        <v>590.57627000000002</v>
      </c>
      <c r="F5887" s="147">
        <v>718.08806000000004</v>
      </c>
      <c r="G5887" s="147">
        <v>-127.51179</v>
      </c>
      <c r="H5887" s="147">
        <v>-17.757124383881276</v>
      </c>
      <c r="I5887" s="729"/>
      <c r="J5887" s="147">
        <v>590.57627000000002</v>
      </c>
      <c r="K5887" s="147">
        <v>0</v>
      </c>
      <c r="L5887" s="147">
        <v>7755.8538600000002</v>
      </c>
      <c r="M5887" s="147">
        <v>8571.8502000000008</v>
      </c>
      <c r="N5887" s="147">
        <v>-815.99634000000003</v>
      </c>
      <c r="O5887" s="147">
        <v>-9.5194890363343028</v>
      </c>
      <c r="P5887" s="147">
        <v>3928.6523499999998</v>
      </c>
      <c r="Q5887" s="147">
        <v>3827.2015099999999</v>
      </c>
      <c r="R5887" s="147">
        <v>97.41766817315866</v>
      </c>
    </row>
    <row r="5888" spans="2:18" ht="15.75" hidden="1" thickBot="1" x14ac:dyDescent="0.3">
      <c r="B5888" s="145" t="s">
        <v>860</v>
      </c>
      <c r="C5888" s="722" t="s">
        <v>69</v>
      </c>
      <c r="D5888" t="s">
        <v>70</v>
      </c>
      <c r="E5888" s="148">
        <v>2.21</v>
      </c>
      <c r="F5888" s="148">
        <v>1.855</v>
      </c>
      <c r="G5888" s="148">
        <v>0.35499999999999998</v>
      </c>
      <c r="H5888" s="148">
        <v>19.137466307277627</v>
      </c>
      <c r="I5888" s="728"/>
      <c r="J5888" s="148">
        <v>2.21</v>
      </c>
      <c r="K5888" s="148">
        <v>0</v>
      </c>
      <c r="L5888" s="148">
        <v>9.9356000000000009</v>
      </c>
      <c r="M5888" s="148">
        <v>19.52</v>
      </c>
      <c r="N5888" s="148">
        <v>-9.5844000000000005</v>
      </c>
      <c r="O5888" s="148">
        <v>-49.100409836065573</v>
      </c>
      <c r="P5888" s="148">
        <v>7.3506</v>
      </c>
      <c r="Q5888" s="148">
        <v>2.585</v>
      </c>
      <c r="R5888" s="148">
        <v>35.167197235599815</v>
      </c>
    </row>
    <row r="5889" spans="2:18" ht="15.75" hidden="1" thickBot="1" x14ac:dyDescent="0.3">
      <c r="B5889" s="145" t="s">
        <v>860</v>
      </c>
      <c r="C5889" s="722" t="s">
        <v>582</v>
      </c>
      <c r="D5889" t="s">
        <v>583</v>
      </c>
      <c r="E5889" s="729"/>
      <c r="F5889" s="147">
        <v>0</v>
      </c>
      <c r="G5889" s="147">
        <v>0</v>
      </c>
      <c r="H5889" s="147">
        <v>0</v>
      </c>
      <c r="I5889" s="729"/>
      <c r="J5889" s="729"/>
      <c r="K5889" s="729"/>
      <c r="L5889" s="147">
        <v>0.10238</v>
      </c>
      <c r="M5889" s="147">
        <v>0</v>
      </c>
      <c r="N5889" s="147">
        <v>0.10238</v>
      </c>
      <c r="O5889" s="147">
        <v>0</v>
      </c>
      <c r="P5889" s="147">
        <v>0.10238</v>
      </c>
      <c r="Q5889" s="147">
        <v>0</v>
      </c>
      <c r="R5889" s="147">
        <v>0</v>
      </c>
    </row>
    <row r="5890" spans="2:18" ht="15.75" hidden="1" thickBot="1" x14ac:dyDescent="0.3">
      <c r="B5890" s="145" t="s">
        <v>860</v>
      </c>
      <c r="C5890" s="722" t="s">
        <v>165</v>
      </c>
      <c r="D5890" t="s">
        <v>166</v>
      </c>
      <c r="E5890" s="728"/>
      <c r="F5890" s="728"/>
      <c r="G5890" s="728"/>
      <c r="H5890" s="728"/>
      <c r="I5890" s="728"/>
      <c r="J5890" s="728"/>
      <c r="K5890" s="728"/>
      <c r="L5890" s="148">
        <v>0.1046</v>
      </c>
      <c r="M5890" s="728"/>
      <c r="N5890" s="148">
        <v>0.1046</v>
      </c>
      <c r="O5890" s="148">
        <v>0</v>
      </c>
      <c r="P5890" s="728"/>
      <c r="Q5890" s="148">
        <v>0.1046</v>
      </c>
      <c r="R5890" s="148">
        <v>0</v>
      </c>
    </row>
    <row r="5891" spans="2:18" ht="15.75" hidden="1" thickBot="1" x14ac:dyDescent="0.3">
      <c r="B5891" s="145" t="s">
        <v>860</v>
      </c>
      <c r="C5891" s="722" t="s">
        <v>137</v>
      </c>
      <c r="D5891" t="s">
        <v>138</v>
      </c>
      <c r="E5891" s="147">
        <v>1.5447500000000001</v>
      </c>
      <c r="F5891" s="147">
        <v>0.75836999999999999</v>
      </c>
      <c r="G5891" s="147">
        <v>0.78637999999999997</v>
      </c>
      <c r="H5891" s="147">
        <v>103.69344778933765</v>
      </c>
      <c r="I5891" s="729"/>
      <c r="J5891" s="147">
        <v>1.5447500000000001</v>
      </c>
      <c r="K5891" s="147">
        <v>0</v>
      </c>
      <c r="L5891" s="147">
        <v>11.741580000000001</v>
      </c>
      <c r="M5891" s="147">
        <v>9.6747300000000003</v>
      </c>
      <c r="N5891" s="147">
        <v>2.0668500000000001</v>
      </c>
      <c r="O5891" s="147">
        <v>21.363386885215402</v>
      </c>
      <c r="P5891" s="147">
        <v>4.7367699999999999</v>
      </c>
      <c r="Q5891" s="147">
        <v>7.00481</v>
      </c>
      <c r="R5891" s="147">
        <v>147.88157330839368</v>
      </c>
    </row>
    <row r="5892" spans="2:18" ht="15.75" hidden="1" thickBot="1" x14ac:dyDescent="0.3">
      <c r="B5892" s="145" t="s">
        <v>860</v>
      </c>
      <c r="C5892" s="722" t="s">
        <v>190</v>
      </c>
      <c r="D5892" t="s">
        <v>191</v>
      </c>
      <c r="E5892" s="728"/>
      <c r="F5892" s="728"/>
      <c r="G5892" s="728"/>
      <c r="H5892" s="728"/>
      <c r="I5892" s="728"/>
      <c r="J5892" s="728"/>
      <c r="K5892" s="728"/>
      <c r="L5892" s="148">
        <v>0.13075000000000001</v>
      </c>
      <c r="M5892" s="728"/>
      <c r="N5892" s="148">
        <v>0.13075000000000001</v>
      </c>
      <c r="O5892" s="148">
        <v>0</v>
      </c>
      <c r="P5892" s="148">
        <v>2.24E-2</v>
      </c>
      <c r="Q5892" s="148">
        <v>0.10835</v>
      </c>
      <c r="R5892" s="148">
        <v>483.70535714285717</v>
      </c>
    </row>
    <row r="5893" spans="2:18" ht="15.75" hidden="1" thickBot="1" x14ac:dyDescent="0.3">
      <c r="B5893" s="145" t="s">
        <v>860</v>
      </c>
      <c r="C5893" s="722" t="s">
        <v>139</v>
      </c>
      <c r="D5893" t="s">
        <v>140</v>
      </c>
      <c r="E5893" s="147">
        <v>11.904999999999999</v>
      </c>
      <c r="F5893" s="147">
        <v>4.8492100000000002</v>
      </c>
      <c r="G5893" s="147">
        <v>7.05579</v>
      </c>
      <c r="H5893" s="147">
        <v>145.50390682193594</v>
      </c>
      <c r="I5893" s="729"/>
      <c r="J5893" s="147">
        <v>11.904999999999999</v>
      </c>
      <c r="K5893" s="147">
        <v>0</v>
      </c>
      <c r="L5893" s="147">
        <v>47.836590000000001</v>
      </c>
      <c r="M5893" s="147">
        <v>56.690080000000002</v>
      </c>
      <c r="N5893" s="147">
        <v>-8.8534900000000007</v>
      </c>
      <c r="O5893" s="147">
        <v>-15.617353159494572</v>
      </c>
      <c r="P5893" s="147">
        <v>25.170590000000001</v>
      </c>
      <c r="Q5893" s="147">
        <v>22.666</v>
      </c>
      <c r="R5893" s="147">
        <v>90.049537972689549</v>
      </c>
    </row>
    <row r="5894" spans="2:18" ht="15.75" hidden="1" thickBot="1" x14ac:dyDescent="0.3">
      <c r="B5894" s="145" t="s">
        <v>860</v>
      </c>
      <c r="C5894" s="722" t="s">
        <v>169</v>
      </c>
      <c r="D5894" t="s">
        <v>170</v>
      </c>
      <c r="E5894" s="728"/>
      <c r="F5894" s="148">
        <v>0.37874999999999998</v>
      </c>
      <c r="G5894" s="148">
        <v>-0.37874999999999998</v>
      </c>
      <c r="H5894" s="148">
        <v>-100</v>
      </c>
      <c r="I5894" s="728"/>
      <c r="J5894" s="728"/>
      <c r="K5894" s="728"/>
      <c r="L5894" s="148">
        <v>9.1464999999999996</v>
      </c>
      <c r="M5894" s="148">
        <v>1.5149999999999999</v>
      </c>
      <c r="N5894" s="148">
        <v>7.6315</v>
      </c>
      <c r="O5894" s="148">
        <v>503.7293729372937</v>
      </c>
      <c r="P5894" s="148">
        <v>7.6124999999999998</v>
      </c>
      <c r="Q5894" s="148">
        <v>1.534</v>
      </c>
      <c r="R5894" s="148">
        <v>20.151067323481115</v>
      </c>
    </row>
    <row r="5895" spans="2:18" ht="15.75" hidden="1" thickBot="1" x14ac:dyDescent="0.3">
      <c r="B5895" s="145" t="s">
        <v>860</v>
      </c>
      <c r="C5895" s="722" t="s">
        <v>101</v>
      </c>
      <c r="D5895" t="s">
        <v>102</v>
      </c>
      <c r="E5895" s="147">
        <v>27.369450000000001</v>
      </c>
      <c r="F5895" s="147">
        <v>23.876249999999999</v>
      </c>
      <c r="G5895" s="147">
        <v>3.4931999999999999</v>
      </c>
      <c r="H5895" s="147">
        <v>14.630438196953039</v>
      </c>
      <c r="I5895" s="729"/>
      <c r="J5895" s="147">
        <v>27.369450000000001</v>
      </c>
      <c r="K5895" s="147">
        <v>0</v>
      </c>
      <c r="L5895" s="147">
        <v>161.37589</v>
      </c>
      <c r="M5895" s="147">
        <v>85.122</v>
      </c>
      <c r="N5895" s="147">
        <v>76.253889999999998</v>
      </c>
      <c r="O5895" s="147">
        <v>89.581882474565916</v>
      </c>
      <c r="P5895" s="147">
        <v>4.5246700000000004</v>
      </c>
      <c r="Q5895" s="147">
        <v>156.85122000000001</v>
      </c>
      <c r="R5895" s="147">
        <v>3466.5781150890562</v>
      </c>
    </row>
    <row r="5896" spans="2:18" ht="15.75" hidden="1" thickBot="1" x14ac:dyDescent="0.3">
      <c r="B5896" s="145" t="s">
        <v>860</v>
      </c>
      <c r="C5896" s="722" t="s">
        <v>464</v>
      </c>
      <c r="D5896" t="s">
        <v>465</v>
      </c>
      <c r="E5896" s="728"/>
      <c r="F5896" s="728"/>
      <c r="G5896" s="728"/>
      <c r="H5896" s="728"/>
      <c r="I5896" s="728"/>
      <c r="J5896" s="728"/>
      <c r="K5896" s="728"/>
      <c r="L5896" s="148">
        <v>0.50734999999999997</v>
      </c>
      <c r="M5896" s="728"/>
      <c r="N5896" s="148">
        <v>0.50734999999999997</v>
      </c>
      <c r="O5896" s="148">
        <v>0</v>
      </c>
      <c r="P5896" s="728"/>
      <c r="Q5896" s="148">
        <v>0.50734999999999997</v>
      </c>
      <c r="R5896" s="148">
        <v>0</v>
      </c>
    </row>
    <row r="5897" spans="2:18" ht="15.75" hidden="1" thickBot="1" x14ac:dyDescent="0.3">
      <c r="B5897" s="145" t="s">
        <v>860</v>
      </c>
      <c r="C5897" s="722" t="s">
        <v>103</v>
      </c>
      <c r="D5897" t="s">
        <v>104</v>
      </c>
      <c r="E5897" s="147">
        <v>0.72775000000000001</v>
      </c>
      <c r="F5897" s="729"/>
      <c r="G5897" s="147">
        <v>0.72775000000000001</v>
      </c>
      <c r="H5897" s="147">
        <v>0</v>
      </c>
      <c r="I5897" s="729"/>
      <c r="J5897" s="147">
        <v>0.72775000000000001</v>
      </c>
      <c r="K5897" s="147">
        <v>0</v>
      </c>
      <c r="L5897" s="147">
        <v>1.3353999999999999</v>
      </c>
      <c r="M5897" s="729"/>
      <c r="N5897" s="147">
        <v>1.3353999999999999</v>
      </c>
      <c r="O5897" s="147">
        <v>0</v>
      </c>
      <c r="P5897" s="147">
        <v>0.27415</v>
      </c>
      <c r="Q5897" s="147">
        <v>1.06125</v>
      </c>
      <c r="R5897" s="147">
        <v>387.10559912456682</v>
      </c>
    </row>
    <row r="5898" spans="2:18" ht="15.75" hidden="1" thickBot="1" x14ac:dyDescent="0.3">
      <c r="B5898" s="145" t="s">
        <v>860</v>
      </c>
      <c r="C5898" s="722" t="s">
        <v>71</v>
      </c>
      <c r="D5898" t="s">
        <v>72</v>
      </c>
      <c r="E5898" s="728"/>
      <c r="F5898" s="728"/>
      <c r="G5898" s="728"/>
      <c r="H5898" s="728"/>
      <c r="I5898" s="728"/>
      <c r="J5898" s="728"/>
      <c r="K5898" s="728"/>
      <c r="L5898" s="148">
        <v>0</v>
      </c>
      <c r="M5898" s="728"/>
      <c r="N5898" s="148">
        <v>0</v>
      </c>
      <c r="O5898" s="148">
        <v>0</v>
      </c>
      <c r="P5898" s="728"/>
      <c r="Q5898" s="148">
        <v>0</v>
      </c>
      <c r="R5898" s="148">
        <v>0</v>
      </c>
    </row>
    <row r="5899" spans="2:18" ht="15.75" hidden="1" thickBot="1" x14ac:dyDescent="0.3">
      <c r="B5899" s="145" t="s">
        <v>860</v>
      </c>
      <c r="C5899" s="722" t="s">
        <v>109</v>
      </c>
      <c r="D5899" t="s">
        <v>110</v>
      </c>
      <c r="E5899" s="147">
        <v>0.56974999999999998</v>
      </c>
      <c r="F5899" s="147">
        <v>7.0000000000000007E-2</v>
      </c>
      <c r="G5899" s="147">
        <v>0.49975000000000003</v>
      </c>
      <c r="H5899" s="147">
        <v>713.92857142857144</v>
      </c>
      <c r="I5899" s="729"/>
      <c r="J5899" s="147">
        <v>0.56974999999999998</v>
      </c>
      <c r="K5899" s="147">
        <v>0</v>
      </c>
      <c r="L5899" s="147">
        <v>1.7519499999999999</v>
      </c>
      <c r="M5899" s="147">
        <v>0.87</v>
      </c>
      <c r="N5899" s="147">
        <v>0.88195000000000001</v>
      </c>
      <c r="O5899" s="147">
        <v>101.3735632183908</v>
      </c>
      <c r="P5899" s="147">
        <v>0.53136000000000005</v>
      </c>
      <c r="Q5899" s="147">
        <v>1.2205900000000001</v>
      </c>
      <c r="R5899" s="147">
        <v>229.71055404998495</v>
      </c>
    </row>
    <row r="5900" spans="2:18" ht="15.75" hidden="1" thickBot="1" x14ac:dyDescent="0.3">
      <c r="B5900" s="145" t="s">
        <v>860</v>
      </c>
      <c r="C5900" s="722" t="s">
        <v>73</v>
      </c>
      <c r="D5900" t="s">
        <v>74</v>
      </c>
      <c r="E5900" s="148">
        <v>4.7733600000000003</v>
      </c>
      <c r="F5900" s="148">
        <v>0.22375</v>
      </c>
      <c r="G5900" s="148">
        <v>4.5496100000000004</v>
      </c>
      <c r="H5900" s="148">
        <v>2033.3452513966481</v>
      </c>
      <c r="I5900" s="728"/>
      <c r="J5900" s="148">
        <v>4.7733600000000003</v>
      </c>
      <c r="K5900" s="148">
        <v>0</v>
      </c>
      <c r="L5900" s="148">
        <v>22.365490000000001</v>
      </c>
      <c r="M5900" s="148">
        <v>2.6850000000000001</v>
      </c>
      <c r="N5900" s="148">
        <v>19.680489999999999</v>
      </c>
      <c r="O5900" s="148">
        <v>732.97914338919929</v>
      </c>
      <c r="P5900" s="148">
        <v>11.57891</v>
      </c>
      <c r="Q5900" s="148">
        <v>10.786580000000001</v>
      </c>
      <c r="R5900" s="148">
        <v>93.157127916185544</v>
      </c>
    </row>
    <row r="5901" spans="2:18" ht="15.75" hidden="1" thickBot="1" x14ac:dyDescent="0.3">
      <c r="B5901" s="145" t="s">
        <v>860</v>
      </c>
      <c r="C5901" s="722" t="s">
        <v>111</v>
      </c>
      <c r="D5901" t="s">
        <v>112</v>
      </c>
      <c r="E5901" s="147">
        <v>6.2579999999999997E-2</v>
      </c>
      <c r="F5901" s="729"/>
      <c r="G5901" s="147">
        <v>6.2579999999999997E-2</v>
      </c>
      <c r="H5901" s="147">
        <v>0</v>
      </c>
      <c r="I5901" s="729"/>
      <c r="J5901" s="147">
        <v>6.2579999999999997E-2</v>
      </c>
      <c r="K5901" s="147">
        <v>0</v>
      </c>
      <c r="L5901" s="147">
        <v>1.88876</v>
      </c>
      <c r="M5901" s="729"/>
      <c r="N5901" s="147">
        <v>1.88876</v>
      </c>
      <c r="O5901" s="147">
        <v>0</v>
      </c>
      <c r="P5901" s="147">
        <v>0.71292999999999995</v>
      </c>
      <c r="Q5901" s="147">
        <v>1.1758299999999999</v>
      </c>
      <c r="R5901" s="147">
        <v>164.92923568933836</v>
      </c>
    </row>
    <row r="5902" spans="2:18" ht="15.75" hidden="1" thickBot="1" x14ac:dyDescent="0.3">
      <c r="B5902" s="145" t="s">
        <v>860</v>
      </c>
      <c r="C5902" s="722" t="s">
        <v>141</v>
      </c>
      <c r="D5902" t="s">
        <v>142</v>
      </c>
      <c r="E5902" s="148">
        <v>0.45989999999999998</v>
      </c>
      <c r="F5902" s="148">
        <v>0.20166999999999999</v>
      </c>
      <c r="G5902" s="148">
        <v>0.25823000000000002</v>
      </c>
      <c r="H5902" s="148">
        <v>128.04581742450537</v>
      </c>
      <c r="I5902" s="728"/>
      <c r="J5902" s="148">
        <v>0.45989999999999998</v>
      </c>
      <c r="K5902" s="148">
        <v>0</v>
      </c>
      <c r="L5902" s="148">
        <v>8.8665099999999999</v>
      </c>
      <c r="M5902" s="148">
        <v>2.5200399999999998</v>
      </c>
      <c r="N5902" s="148">
        <v>6.3464700000000001</v>
      </c>
      <c r="O5902" s="148">
        <v>251.840050157934</v>
      </c>
      <c r="P5902" s="148">
        <v>6.0012499999999998</v>
      </c>
      <c r="Q5902" s="148">
        <v>2.8652600000000001</v>
      </c>
      <c r="R5902" s="148">
        <v>47.744386586127888</v>
      </c>
    </row>
    <row r="5903" spans="2:18" ht="15.75" hidden="1" thickBot="1" x14ac:dyDescent="0.3">
      <c r="B5903" s="145" t="s">
        <v>860</v>
      </c>
      <c r="C5903" s="722" t="s">
        <v>113</v>
      </c>
      <c r="D5903" t="s">
        <v>114</v>
      </c>
      <c r="E5903" s="147">
        <v>0.74156</v>
      </c>
      <c r="F5903" s="147">
        <v>0.1</v>
      </c>
      <c r="G5903" s="147">
        <v>0.64156000000000002</v>
      </c>
      <c r="H5903" s="147">
        <v>641.55999999999995</v>
      </c>
      <c r="I5903" s="729"/>
      <c r="J5903" s="147">
        <v>0.74156</v>
      </c>
      <c r="K5903" s="147">
        <v>0</v>
      </c>
      <c r="L5903" s="147">
        <v>7.0712999999999999</v>
      </c>
      <c r="M5903" s="147">
        <v>1.417</v>
      </c>
      <c r="N5903" s="147">
        <v>5.6543000000000001</v>
      </c>
      <c r="O5903" s="147">
        <v>399.03316866619616</v>
      </c>
      <c r="P5903" s="147">
        <v>1.4649000000000001</v>
      </c>
      <c r="Q5903" s="147">
        <v>5.6063999999999998</v>
      </c>
      <c r="R5903" s="147">
        <v>382.71554372312102</v>
      </c>
    </row>
    <row r="5904" spans="2:18" ht="15.75" hidden="1" thickBot="1" x14ac:dyDescent="0.3">
      <c r="B5904" s="145" t="s">
        <v>860</v>
      </c>
      <c r="C5904" s="722" t="s">
        <v>633</v>
      </c>
      <c r="D5904" t="s">
        <v>634</v>
      </c>
      <c r="E5904" s="728"/>
      <c r="F5904" s="728"/>
      <c r="G5904" s="728"/>
      <c r="H5904" s="728"/>
      <c r="I5904" s="728"/>
      <c r="J5904" s="728"/>
      <c r="K5904" s="728"/>
      <c r="L5904" s="148">
        <v>0.10299999999999999</v>
      </c>
      <c r="M5904" s="148">
        <v>1.35</v>
      </c>
      <c r="N5904" s="148">
        <v>-1.2470000000000001</v>
      </c>
      <c r="O5904" s="148">
        <v>-92.370370370370367</v>
      </c>
      <c r="P5904" s="148">
        <v>2.5000000000000001E-2</v>
      </c>
      <c r="Q5904" s="148">
        <v>7.8E-2</v>
      </c>
      <c r="R5904" s="148">
        <v>312</v>
      </c>
    </row>
    <row r="5905" spans="2:18" ht="15.75" hidden="1" thickBot="1" x14ac:dyDescent="0.3">
      <c r="B5905" s="145" t="s">
        <v>860</v>
      </c>
      <c r="C5905" s="722" t="s">
        <v>145</v>
      </c>
      <c r="D5905" t="s">
        <v>146</v>
      </c>
      <c r="E5905" s="147">
        <v>0.49769999999999998</v>
      </c>
      <c r="F5905" s="147">
        <v>0.48749999999999999</v>
      </c>
      <c r="G5905" s="147">
        <v>1.0200000000000001E-2</v>
      </c>
      <c r="H5905" s="147">
        <v>2.0923076923076924</v>
      </c>
      <c r="I5905" s="729"/>
      <c r="J5905" s="147">
        <v>0.49769999999999998</v>
      </c>
      <c r="K5905" s="147">
        <v>0</v>
      </c>
      <c r="L5905" s="147">
        <v>5.2504600000000003</v>
      </c>
      <c r="M5905" s="147">
        <v>4.2638699999999998</v>
      </c>
      <c r="N5905" s="147">
        <v>0.98658999999999997</v>
      </c>
      <c r="O5905" s="147">
        <v>23.138369603200847</v>
      </c>
      <c r="P5905" s="147">
        <v>3.0410400000000002</v>
      </c>
      <c r="Q5905" s="147">
        <v>2.2094200000000002</v>
      </c>
      <c r="R5905" s="147">
        <v>72.653434351406105</v>
      </c>
    </row>
    <row r="5906" spans="2:18" ht="15.75" hidden="1" thickBot="1" x14ac:dyDescent="0.3">
      <c r="B5906" s="145" t="s">
        <v>860</v>
      </c>
      <c r="C5906" s="722" t="s">
        <v>147</v>
      </c>
      <c r="D5906" t="s">
        <v>148</v>
      </c>
      <c r="E5906" s="148">
        <v>1.9E-2</v>
      </c>
      <c r="F5906" s="728"/>
      <c r="G5906" s="148">
        <v>1.9E-2</v>
      </c>
      <c r="H5906" s="148">
        <v>0</v>
      </c>
      <c r="I5906" s="728"/>
      <c r="J5906" s="148">
        <v>1.9E-2</v>
      </c>
      <c r="K5906" s="148">
        <v>0</v>
      </c>
      <c r="L5906" s="148">
        <v>0.92071999999999998</v>
      </c>
      <c r="M5906" s="728"/>
      <c r="N5906" s="148">
        <v>0.92071999999999998</v>
      </c>
      <c r="O5906" s="148">
        <v>0</v>
      </c>
      <c r="P5906" s="148">
        <v>0.59167999999999998</v>
      </c>
      <c r="Q5906" s="148">
        <v>0.32904</v>
      </c>
      <c r="R5906" s="148">
        <v>55.61114115738237</v>
      </c>
    </row>
    <row r="5907" spans="2:18" ht="15.75" hidden="1" thickBot="1" x14ac:dyDescent="0.3">
      <c r="B5907" s="145" t="s">
        <v>860</v>
      </c>
      <c r="C5907" s="722" t="s">
        <v>203</v>
      </c>
      <c r="D5907" t="s">
        <v>204</v>
      </c>
      <c r="E5907" s="729"/>
      <c r="F5907" s="729"/>
      <c r="G5907" s="729"/>
      <c r="H5907" s="729"/>
      <c r="I5907" s="729"/>
      <c r="J5907" s="729"/>
      <c r="K5907" s="729"/>
      <c r="L5907" s="147">
        <v>0.185</v>
      </c>
      <c r="M5907" s="729"/>
      <c r="N5907" s="147">
        <v>0.185</v>
      </c>
      <c r="O5907" s="147">
        <v>0</v>
      </c>
      <c r="P5907" s="147">
        <v>0.185</v>
      </c>
      <c r="Q5907" s="147">
        <v>0</v>
      </c>
      <c r="R5907" s="147">
        <v>0</v>
      </c>
    </row>
    <row r="5908" spans="2:18" ht="15.75" hidden="1" thickBot="1" x14ac:dyDescent="0.3">
      <c r="B5908" s="145" t="s">
        <v>860</v>
      </c>
      <c r="C5908" s="722" t="s">
        <v>643</v>
      </c>
      <c r="D5908" t="s">
        <v>644</v>
      </c>
      <c r="E5908" s="728"/>
      <c r="F5908" s="728"/>
      <c r="G5908" s="728"/>
      <c r="H5908" s="728"/>
      <c r="I5908" s="728"/>
      <c r="J5908" s="728"/>
      <c r="K5908" s="728"/>
      <c r="L5908" s="148">
        <v>0</v>
      </c>
      <c r="M5908" s="728"/>
      <c r="N5908" s="148">
        <v>0</v>
      </c>
      <c r="O5908" s="148">
        <v>0</v>
      </c>
      <c r="P5908" s="728"/>
      <c r="Q5908" s="148">
        <v>0</v>
      </c>
      <c r="R5908" s="148">
        <v>0</v>
      </c>
    </row>
    <row r="5909" spans="2:18" ht="15.75" hidden="1" thickBot="1" x14ac:dyDescent="0.3">
      <c r="B5909" s="145" t="s">
        <v>860</v>
      </c>
      <c r="C5909" s="722" t="s">
        <v>149</v>
      </c>
      <c r="D5909" t="s">
        <v>150</v>
      </c>
      <c r="E5909" s="147">
        <v>7.31</v>
      </c>
      <c r="F5909" s="147">
        <v>21.827120000000001</v>
      </c>
      <c r="G5909" s="147">
        <v>-14.51712</v>
      </c>
      <c r="H5909" s="147">
        <v>-66.509553253017344</v>
      </c>
      <c r="I5909" s="729"/>
      <c r="J5909" s="147">
        <v>7.31</v>
      </c>
      <c r="K5909" s="147">
        <v>0</v>
      </c>
      <c r="L5909" s="147">
        <v>188.64725000000001</v>
      </c>
      <c r="M5909" s="147">
        <v>147.27500000000001</v>
      </c>
      <c r="N5909" s="147">
        <v>41.372250000000001</v>
      </c>
      <c r="O5909" s="147">
        <v>28.091835002546258</v>
      </c>
      <c r="P5909" s="147">
        <v>124.71725000000001</v>
      </c>
      <c r="Q5909" s="147">
        <v>63.93</v>
      </c>
      <c r="R5909" s="147">
        <v>51.259950006915645</v>
      </c>
    </row>
    <row r="5910" spans="2:18" ht="15.75" hidden="1" thickBot="1" x14ac:dyDescent="0.3">
      <c r="B5910" s="145" t="s">
        <v>860</v>
      </c>
      <c r="C5910" s="722" t="s">
        <v>481</v>
      </c>
      <c r="D5910" t="s">
        <v>482</v>
      </c>
      <c r="E5910" s="148">
        <v>0.24229999999999999</v>
      </c>
      <c r="F5910" s="148">
        <v>1.0410000000000001E-2</v>
      </c>
      <c r="G5910" s="148">
        <v>0.23189000000000001</v>
      </c>
      <c r="H5910" s="148">
        <v>2227.5696445725266</v>
      </c>
      <c r="I5910" s="728"/>
      <c r="J5910" s="148">
        <v>0.24229999999999999</v>
      </c>
      <c r="K5910" s="148">
        <v>0</v>
      </c>
      <c r="L5910" s="148">
        <v>2.7771499999999998</v>
      </c>
      <c r="M5910" s="148">
        <v>0.125</v>
      </c>
      <c r="N5910" s="148">
        <v>2.6521499999999998</v>
      </c>
      <c r="O5910" s="148">
        <v>2121.7199999999998</v>
      </c>
      <c r="P5910" s="148">
        <v>1.37503</v>
      </c>
      <c r="Q5910" s="148">
        <v>1.40212</v>
      </c>
      <c r="R5910" s="148">
        <v>101.97013883333454</v>
      </c>
    </row>
    <row r="5911" spans="2:18" ht="15.75" hidden="1" thickBot="1" x14ac:dyDescent="0.3">
      <c r="B5911" s="145" t="s">
        <v>860</v>
      </c>
      <c r="C5911" s="722" t="s">
        <v>153</v>
      </c>
      <c r="D5911" t="s">
        <v>154</v>
      </c>
      <c r="E5911" s="729"/>
      <c r="F5911" s="147">
        <v>0</v>
      </c>
      <c r="G5911" s="147">
        <v>0</v>
      </c>
      <c r="H5911" s="147">
        <v>0</v>
      </c>
      <c r="I5911" s="729"/>
      <c r="J5911" s="729"/>
      <c r="K5911" s="729"/>
      <c r="L5911" s="147">
        <v>2.5</v>
      </c>
      <c r="M5911" s="147">
        <v>3</v>
      </c>
      <c r="N5911" s="147">
        <v>-0.5</v>
      </c>
      <c r="O5911" s="147">
        <v>-16.666666666666668</v>
      </c>
      <c r="P5911" s="147">
        <v>2.5</v>
      </c>
      <c r="Q5911" s="147">
        <v>0</v>
      </c>
      <c r="R5911" s="147">
        <v>0</v>
      </c>
    </row>
    <row r="5912" spans="2:18" ht="15.75" hidden="1" thickBot="1" x14ac:dyDescent="0.3">
      <c r="B5912" s="145" t="s">
        <v>860</v>
      </c>
      <c r="C5912" s="722" t="s">
        <v>75</v>
      </c>
      <c r="D5912" t="s">
        <v>76</v>
      </c>
      <c r="E5912" s="148">
        <v>22.497820000000001</v>
      </c>
      <c r="F5912" s="148">
        <v>7.4542400000000004</v>
      </c>
      <c r="G5912" s="148">
        <v>15.04358</v>
      </c>
      <c r="H5912" s="148">
        <v>201.81239133701089</v>
      </c>
      <c r="I5912" s="728"/>
      <c r="J5912" s="148">
        <v>22.497820000000001</v>
      </c>
      <c r="K5912" s="148">
        <v>0</v>
      </c>
      <c r="L5912" s="148">
        <v>121.30452</v>
      </c>
      <c r="M5912" s="148">
        <v>82.832080000000005</v>
      </c>
      <c r="N5912" s="148">
        <v>38.472439999999999</v>
      </c>
      <c r="O5912" s="148">
        <v>46.446304378689995</v>
      </c>
      <c r="P5912" s="148">
        <v>54.089329999999997</v>
      </c>
      <c r="Q5912" s="148">
        <v>67.215190000000007</v>
      </c>
      <c r="R5912" s="148">
        <v>124.26700423170337</v>
      </c>
    </row>
    <row r="5913" spans="2:18" ht="15.75" hidden="1" thickBot="1" x14ac:dyDescent="0.3">
      <c r="B5913" s="145" t="s">
        <v>860</v>
      </c>
      <c r="C5913" s="722" t="s">
        <v>121</v>
      </c>
      <c r="D5913" t="s">
        <v>122</v>
      </c>
      <c r="E5913" s="147">
        <v>0.79447999999999996</v>
      </c>
      <c r="F5913" s="147">
        <v>2.3300399999999999</v>
      </c>
      <c r="G5913" s="147">
        <v>-1.53556</v>
      </c>
      <c r="H5913" s="147">
        <v>-65.902731283583108</v>
      </c>
      <c r="I5913" s="729"/>
      <c r="J5913" s="147">
        <v>0.79447999999999996</v>
      </c>
      <c r="K5913" s="147">
        <v>0</v>
      </c>
      <c r="L5913" s="147">
        <v>8.2558900000000008</v>
      </c>
      <c r="M5913" s="147">
        <v>49.050040000000003</v>
      </c>
      <c r="N5913" s="147">
        <v>-40.794150000000002</v>
      </c>
      <c r="O5913" s="147">
        <v>-83.16843370566059</v>
      </c>
      <c r="P5913" s="147">
        <v>6.14696</v>
      </c>
      <c r="Q5913" s="147">
        <v>2.10893</v>
      </c>
      <c r="R5913" s="147">
        <v>34.308503715657821</v>
      </c>
    </row>
    <row r="5914" spans="2:18" ht="15.75" hidden="1" thickBot="1" x14ac:dyDescent="0.3">
      <c r="B5914" s="145" t="s">
        <v>860</v>
      </c>
      <c r="C5914" s="722" t="s">
        <v>77</v>
      </c>
      <c r="D5914" t="s">
        <v>78</v>
      </c>
      <c r="E5914" s="148">
        <v>2.1047799999999999</v>
      </c>
      <c r="F5914" s="148">
        <v>6.1357999999999997</v>
      </c>
      <c r="G5914" s="148">
        <v>-4.0310199999999998</v>
      </c>
      <c r="H5914" s="148">
        <v>-65.696730662668273</v>
      </c>
      <c r="I5914" s="728"/>
      <c r="J5914" s="148">
        <v>2.1047799999999999</v>
      </c>
      <c r="K5914" s="148">
        <v>0</v>
      </c>
      <c r="L5914" s="148">
        <v>78.204759999999993</v>
      </c>
      <c r="M5914" s="148">
        <v>87.623829999999998</v>
      </c>
      <c r="N5914" s="148">
        <v>-9.4190699999999996</v>
      </c>
      <c r="O5914" s="148">
        <v>-10.749438822749473</v>
      </c>
      <c r="P5914" s="148">
        <v>48.611919999999998</v>
      </c>
      <c r="Q5914" s="148">
        <v>29.592839999999999</v>
      </c>
      <c r="R5914" s="148">
        <v>60.875686457148781</v>
      </c>
    </row>
    <row r="5915" spans="2:18" ht="15.75" hidden="1" thickBot="1" x14ac:dyDescent="0.3">
      <c r="B5915" s="145" t="s">
        <v>860</v>
      </c>
      <c r="C5915" s="722" t="s">
        <v>79</v>
      </c>
      <c r="D5915" t="s">
        <v>80</v>
      </c>
      <c r="E5915" s="147">
        <v>12.6746</v>
      </c>
      <c r="F5915" s="147">
        <v>8.9625000000000004</v>
      </c>
      <c r="G5915" s="147">
        <v>3.7121</v>
      </c>
      <c r="H5915" s="147">
        <v>41.41813110181311</v>
      </c>
      <c r="I5915" s="729"/>
      <c r="J5915" s="147">
        <v>12.6746</v>
      </c>
      <c r="K5915" s="147">
        <v>0</v>
      </c>
      <c r="L5915" s="147">
        <v>92.450620000000001</v>
      </c>
      <c r="M5915" s="147">
        <v>107.85353000000001</v>
      </c>
      <c r="N5915" s="147">
        <v>-15.40291</v>
      </c>
      <c r="O5915" s="147">
        <v>-14.281322085609993</v>
      </c>
      <c r="P5915" s="147">
        <v>42.559649999999998</v>
      </c>
      <c r="Q5915" s="147">
        <v>49.890970000000003</v>
      </c>
      <c r="R5915" s="147">
        <v>117.22598752574328</v>
      </c>
    </row>
    <row r="5916" spans="2:18" ht="15.75" hidden="1" thickBot="1" x14ac:dyDescent="0.3">
      <c r="B5916" s="145" t="s">
        <v>860</v>
      </c>
      <c r="C5916" s="722" t="s">
        <v>81</v>
      </c>
      <c r="D5916" t="s">
        <v>82</v>
      </c>
      <c r="E5916" s="148">
        <v>18.959070000000001</v>
      </c>
      <c r="F5916" s="148">
        <v>1.80837</v>
      </c>
      <c r="G5916" s="148">
        <v>17.150700000000001</v>
      </c>
      <c r="H5916" s="148">
        <v>948.40657608785807</v>
      </c>
      <c r="I5916" s="728"/>
      <c r="J5916" s="148">
        <v>18.959070000000001</v>
      </c>
      <c r="K5916" s="148">
        <v>0</v>
      </c>
      <c r="L5916" s="148">
        <v>37.814970000000002</v>
      </c>
      <c r="M5916" s="148">
        <v>12.3</v>
      </c>
      <c r="N5916" s="148">
        <v>25.514970000000002</v>
      </c>
      <c r="O5916" s="148">
        <v>207.43878048780488</v>
      </c>
      <c r="P5916" s="148">
        <v>9.4069599999999998</v>
      </c>
      <c r="Q5916" s="148">
        <v>28.408010000000001</v>
      </c>
      <c r="R5916" s="148">
        <v>301.98927177324026</v>
      </c>
    </row>
    <row r="5917" spans="2:18" ht="15.75" hidden="1" thickBot="1" x14ac:dyDescent="0.3">
      <c r="B5917" s="145" t="s">
        <v>860</v>
      </c>
      <c r="C5917" s="722" t="s">
        <v>123</v>
      </c>
      <c r="D5917" t="s">
        <v>124</v>
      </c>
      <c r="E5917" s="147">
        <v>12.26304</v>
      </c>
      <c r="F5917" s="147">
        <v>1</v>
      </c>
      <c r="G5917" s="147">
        <v>11.26304</v>
      </c>
      <c r="H5917" s="147">
        <v>1126.3040000000001</v>
      </c>
      <c r="I5917" s="729"/>
      <c r="J5917" s="147">
        <v>12.26304</v>
      </c>
      <c r="K5917" s="147">
        <v>0</v>
      </c>
      <c r="L5917" s="147">
        <v>16.793530000000001</v>
      </c>
      <c r="M5917" s="147">
        <v>2</v>
      </c>
      <c r="N5917" s="147">
        <v>14.793530000000001</v>
      </c>
      <c r="O5917" s="147">
        <v>739.67650000000003</v>
      </c>
      <c r="P5917" s="147">
        <v>2.9515099999999999</v>
      </c>
      <c r="Q5917" s="147">
        <v>13.84202</v>
      </c>
      <c r="R5917" s="147">
        <v>468.98096228710051</v>
      </c>
    </row>
    <row r="5918" spans="2:18" ht="15.75" hidden="1" thickBot="1" x14ac:dyDescent="0.3">
      <c r="B5918" s="145" t="s">
        <v>860</v>
      </c>
      <c r="C5918" s="722" t="s">
        <v>125</v>
      </c>
      <c r="D5918" t="s">
        <v>126</v>
      </c>
      <c r="E5918" s="148">
        <v>0.63997999999999999</v>
      </c>
      <c r="F5918" s="728"/>
      <c r="G5918" s="148">
        <v>0.63997999999999999</v>
      </c>
      <c r="H5918" s="148">
        <v>0</v>
      </c>
      <c r="I5918" s="728"/>
      <c r="J5918" s="148">
        <v>0.63997999999999999</v>
      </c>
      <c r="K5918" s="148">
        <v>0</v>
      </c>
      <c r="L5918" s="148">
        <v>1.14392</v>
      </c>
      <c r="M5918" s="728"/>
      <c r="N5918" s="148">
        <v>1.14392</v>
      </c>
      <c r="O5918" s="148">
        <v>0</v>
      </c>
      <c r="P5918" s="148">
        <v>0.37894</v>
      </c>
      <c r="Q5918" s="148">
        <v>0.76497999999999999</v>
      </c>
      <c r="R5918" s="148">
        <v>201.87364754314666</v>
      </c>
    </row>
    <row r="5919" spans="2:18" ht="15.75" hidden="1" thickBot="1" x14ac:dyDescent="0.3">
      <c r="B5919" s="145" t="s">
        <v>860</v>
      </c>
      <c r="C5919" s="722" t="s">
        <v>695</v>
      </c>
      <c r="D5919" t="s">
        <v>696</v>
      </c>
      <c r="E5919" s="729"/>
      <c r="F5919" s="729"/>
      <c r="G5919" s="729"/>
      <c r="H5919" s="729"/>
      <c r="I5919" s="729"/>
      <c r="J5919" s="729"/>
      <c r="K5919" s="729"/>
      <c r="L5919" s="147">
        <v>0</v>
      </c>
      <c r="M5919" s="729"/>
      <c r="N5919" s="147">
        <v>0</v>
      </c>
      <c r="O5919" s="147">
        <v>0</v>
      </c>
      <c r="P5919" s="729"/>
      <c r="Q5919" s="147">
        <v>0</v>
      </c>
      <c r="R5919" s="147">
        <v>0</v>
      </c>
    </row>
    <row r="5920" spans="2:18" ht="15.75" hidden="1" thickBot="1" x14ac:dyDescent="0.3">
      <c r="B5920" s="145" t="s">
        <v>860</v>
      </c>
      <c r="C5920" s="722" t="s">
        <v>83</v>
      </c>
      <c r="D5920" t="s">
        <v>84</v>
      </c>
      <c r="E5920" s="728"/>
      <c r="F5920" s="148">
        <v>9.7375699999999998</v>
      </c>
      <c r="G5920" s="148">
        <v>-9.7375699999999998</v>
      </c>
      <c r="H5920" s="148">
        <v>-100</v>
      </c>
      <c r="I5920" s="728"/>
      <c r="J5920" s="728"/>
      <c r="K5920" s="728"/>
      <c r="L5920" s="728"/>
      <c r="M5920" s="148">
        <v>117.676</v>
      </c>
      <c r="N5920" s="148">
        <v>-117.676</v>
      </c>
      <c r="O5920" s="148">
        <v>-100</v>
      </c>
      <c r="P5920" s="728"/>
      <c r="Q5920" s="728"/>
      <c r="R5920" s="728"/>
    </row>
    <row r="5921" spans="2:18" ht="15.75" hidden="1" thickBot="1" x14ac:dyDescent="0.3">
      <c r="B5921" s="145" t="s">
        <v>860</v>
      </c>
      <c r="C5921" s="149" t="s">
        <v>85</v>
      </c>
      <c r="D5921" t="s">
        <v>86</v>
      </c>
      <c r="E5921" s="147">
        <v>128.36687000000001</v>
      </c>
      <c r="F5921" s="147">
        <v>92.066550000000007</v>
      </c>
      <c r="G5921" s="147">
        <v>36.300319999999999</v>
      </c>
      <c r="H5921" s="147">
        <v>39.428348298051787</v>
      </c>
      <c r="I5921" s="729"/>
      <c r="J5921" s="147">
        <v>128.36687000000001</v>
      </c>
      <c r="K5921" s="147">
        <v>0</v>
      </c>
      <c r="L5921" s="147">
        <v>840.51243999999997</v>
      </c>
      <c r="M5921" s="147">
        <v>795.36320000000001</v>
      </c>
      <c r="N5921" s="147">
        <v>45.149239999999999</v>
      </c>
      <c r="O5921" s="147">
        <v>5.6765563204332308</v>
      </c>
      <c r="P5921" s="147">
        <v>366.66368</v>
      </c>
      <c r="Q5921" s="147">
        <v>473.84876000000003</v>
      </c>
      <c r="R5921" s="147">
        <v>129.23253265772055</v>
      </c>
    </row>
    <row r="5922" spans="2:18" ht="15.75" hidden="1" thickBot="1" x14ac:dyDescent="0.3">
      <c r="B5922" s="145" t="s">
        <v>860</v>
      </c>
      <c r="C5922" s="144" t="s">
        <v>87</v>
      </c>
      <c r="D5922" t="s">
        <v>87</v>
      </c>
      <c r="E5922" s="148">
        <v>718.94313999999997</v>
      </c>
      <c r="F5922" s="148">
        <v>810.15461000000005</v>
      </c>
      <c r="G5922" s="148">
        <v>-91.211470000000006</v>
      </c>
      <c r="H5922" s="148">
        <v>-11.258526320056365</v>
      </c>
      <c r="I5922" s="728"/>
      <c r="J5922" s="148">
        <v>718.94313999999997</v>
      </c>
      <c r="K5922" s="148">
        <v>0</v>
      </c>
      <c r="L5922" s="148">
        <v>8596.3662999999997</v>
      </c>
      <c r="M5922" s="148">
        <v>9367.2134000000005</v>
      </c>
      <c r="N5922" s="148">
        <v>-770.84709999999995</v>
      </c>
      <c r="O5922" s="148">
        <v>-8.229204002120845</v>
      </c>
      <c r="P5922" s="148">
        <v>4295.31603</v>
      </c>
      <c r="Q5922" s="148">
        <v>4301.0502699999997</v>
      </c>
      <c r="R5922" s="148">
        <v>100.13349983935873</v>
      </c>
    </row>
    <row r="5923" spans="2:18" ht="15.75" hidden="1" thickBot="1" x14ac:dyDescent="0.3">
      <c r="B5923" s="723" t="s">
        <v>861</v>
      </c>
      <c r="C5923" s="722" t="s">
        <v>59</v>
      </c>
      <c r="D5923" t="s">
        <v>60</v>
      </c>
      <c r="E5923" s="147">
        <v>34.393949999999997</v>
      </c>
      <c r="F5923" s="147">
        <v>45.765900000000002</v>
      </c>
      <c r="G5923" s="147">
        <v>-11.37195</v>
      </c>
      <c r="H5923" s="147">
        <v>-24.848085583371024</v>
      </c>
      <c r="I5923" s="729"/>
      <c r="J5923" s="147">
        <v>34.393949999999997</v>
      </c>
      <c r="K5923" s="147">
        <v>0</v>
      </c>
      <c r="L5923" s="147">
        <v>428.79082</v>
      </c>
      <c r="M5923" s="147">
        <v>546.30966000000001</v>
      </c>
      <c r="N5923" s="147">
        <v>-117.51884</v>
      </c>
      <c r="O5923" s="147">
        <v>-21.511397034421833</v>
      </c>
      <c r="P5923" s="147">
        <v>204.93056999999999</v>
      </c>
      <c r="Q5923" s="147">
        <v>223.86025000000001</v>
      </c>
      <c r="R5923" s="147">
        <v>109.23711869829864</v>
      </c>
    </row>
    <row r="5924" spans="2:18" ht="15.75" hidden="1" thickBot="1" x14ac:dyDescent="0.3">
      <c r="B5924" s="723" t="s">
        <v>861</v>
      </c>
      <c r="C5924" s="722" t="s">
        <v>134</v>
      </c>
      <c r="D5924" t="s">
        <v>135</v>
      </c>
      <c r="E5924" s="148">
        <v>2.93011</v>
      </c>
      <c r="F5924" s="728"/>
      <c r="G5924" s="148">
        <v>2.93011</v>
      </c>
      <c r="H5924" s="148">
        <v>0</v>
      </c>
      <c r="I5924" s="728"/>
      <c r="J5924" s="148">
        <v>2.93011</v>
      </c>
      <c r="K5924" s="148">
        <v>0</v>
      </c>
      <c r="L5924" s="148">
        <v>40.064869999999999</v>
      </c>
      <c r="M5924" s="728"/>
      <c r="N5924" s="148">
        <v>40.064869999999999</v>
      </c>
      <c r="O5924" s="148">
        <v>0</v>
      </c>
      <c r="P5924" s="148">
        <v>23.441780000000001</v>
      </c>
      <c r="Q5924" s="148">
        <v>16.623090000000001</v>
      </c>
      <c r="R5924" s="148">
        <v>70.912234480487399</v>
      </c>
    </row>
    <row r="5925" spans="2:18" ht="15.75" hidden="1" thickBot="1" x14ac:dyDescent="0.3">
      <c r="B5925" s="723" t="s">
        <v>861</v>
      </c>
      <c r="C5925" s="722" t="s">
        <v>61</v>
      </c>
      <c r="D5925" t="s">
        <v>62</v>
      </c>
      <c r="E5925" s="147">
        <v>5.7864800000000001</v>
      </c>
      <c r="F5925" s="147">
        <v>7.0937099999999997</v>
      </c>
      <c r="G5925" s="147">
        <v>-1.3072299999999999</v>
      </c>
      <c r="H5925" s="147">
        <v>-18.428015805551677</v>
      </c>
      <c r="I5925" s="729"/>
      <c r="J5925" s="147">
        <v>5.7864800000000001</v>
      </c>
      <c r="K5925" s="147">
        <v>0</v>
      </c>
      <c r="L5925" s="147">
        <v>63.666449999999998</v>
      </c>
      <c r="M5925" s="147">
        <v>84.677959999999999</v>
      </c>
      <c r="N5925" s="147">
        <v>-21.011510000000001</v>
      </c>
      <c r="O5925" s="147">
        <v>-24.8134343340345</v>
      </c>
      <c r="P5925" s="147">
        <v>29.925000000000001</v>
      </c>
      <c r="Q5925" s="147">
        <v>33.74145</v>
      </c>
      <c r="R5925" s="147">
        <v>112.75338345864661</v>
      </c>
    </row>
    <row r="5926" spans="2:18" ht="15.75" hidden="1" thickBot="1" x14ac:dyDescent="0.3">
      <c r="B5926" s="723" t="s">
        <v>861</v>
      </c>
      <c r="C5926" s="722" t="s">
        <v>63</v>
      </c>
      <c r="D5926" t="s">
        <v>64</v>
      </c>
      <c r="E5926" s="148">
        <v>22.75731</v>
      </c>
      <c r="F5926" s="148">
        <v>27.59684</v>
      </c>
      <c r="G5926" s="148">
        <v>-4.8395299999999999</v>
      </c>
      <c r="H5926" s="148">
        <v>-17.536536791893564</v>
      </c>
      <c r="I5926" s="728"/>
      <c r="J5926" s="148">
        <v>22.75731</v>
      </c>
      <c r="K5926" s="148">
        <v>0</v>
      </c>
      <c r="L5926" s="148">
        <v>250.51757000000001</v>
      </c>
      <c r="M5926" s="148">
        <v>329.42473999999999</v>
      </c>
      <c r="N5926" s="148">
        <v>-78.907169999999994</v>
      </c>
      <c r="O5926" s="148">
        <v>-23.95301882912619</v>
      </c>
      <c r="P5926" s="148">
        <v>117.78793</v>
      </c>
      <c r="Q5926" s="148">
        <v>132.72963999999999</v>
      </c>
      <c r="R5926" s="148">
        <v>112.68526410133873</v>
      </c>
    </row>
    <row r="5927" spans="2:18" ht="15.75" hidden="1" thickBot="1" x14ac:dyDescent="0.3">
      <c r="B5927" s="723" t="s">
        <v>861</v>
      </c>
      <c r="C5927" s="722" t="s">
        <v>65</v>
      </c>
      <c r="D5927" t="s">
        <v>66</v>
      </c>
      <c r="E5927" s="729"/>
      <c r="F5927" s="729"/>
      <c r="G5927" s="729"/>
      <c r="H5927" s="729"/>
      <c r="I5927" s="729"/>
      <c r="J5927" s="729"/>
      <c r="K5927" s="729"/>
      <c r="L5927" s="147">
        <v>-1.57416</v>
      </c>
      <c r="M5927" s="729"/>
      <c r="N5927" s="147">
        <v>-1.57416</v>
      </c>
      <c r="O5927" s="147">
        <v>0</v>
      </c>
      <c r="P5927" s="147">
        <v>-1.3118000000000001</v>
      </c>
      <c r="Q5927" s="147">
        <v>-0.26235999999999998</v>
      </c>
      <c r="R5927" s="147">
        <v>-20</v>
      </c>
    </row>
    <row r="5928" spans="2:18" ht="15.75" hidden="1" thickBot="1" x14ac:dyDescent="0.3">
      <c r="B5928" s="723" t="s">
        <v>861</v>
      </c>
      <c r="C5928" s="149" t="s">
        <v>67</v>
      </c>
      <c r="D5928" t="s">
        <v>68</v>
      </c>
      <c r="E5928" s="148">
        <v>65.867850000000004</v>
      </c>
      <c r="F5928" s="148">
        <v>80.456450000000004</v>
      </c>
      <c r="G5928" s="148">
        <v>-14.5886</v>
      </c>
      <c r="H5928" s="148">
        <v>-18.132293930443115</v>
      </c>
      <c r="I5928" s="728"/>
      <c r="J5928" s="148">
        <v>65.867850000000004</v>
      </c>
      <c r="K5928" s="148">
        <v>0</v>
      </c>
      <c r="L5928" s="148">
        <v>781.46555000000001</v>
      </c>
      <c r="M5928" s="148">
        <v>960.41236000000004</v>
      </c>
      <c r="N5928" s="148">
        <v>-178.94681</v>
      </c>
      <c r="O5928" s="148">
        <v>-18.632289363706231</v>
      </c>
      <c r="P5928" s="148">
        <v>374.77348000000001</v>
      </c>
      <c r="Q5928" s="148">
        <v>406.69207</v>
      </c>
      <c r="R5928" s="148">
        <v>108.51676858245146</v>
      </c>
    </row>
    <row r="5929" spans="2:18" ht="15.75" hidden="1" thickBot="1" x14ac:dyDescent="0.3">
      <c r="B5929" s="723" t="s">
        <v>861</v>
      </c>
      <c r="C5929" s="722" t="s">
        <v>69</v>
      </c>
      <c r="D5929" t="s">
        <v>70</v>
      </c>
      <c r="E5929" s="147">
        <v>2.085</v>
      </c>
      <c r="F5929" s="147">
        <v>1.1000000000000001</v>
      </c>
      <c r="G5929" s="147">
        <v>0.98499999999999999</v>
      </c>
      <c r="H5929" s="147">
        <v>89.545454545454547</v>
      </c>
      <c r="I5929" s="729"/>
      <c r="J5929" s="147">
        <v>2.085</v>
      </c>
      <c r="K5929" s="147">
        <v>0</v>
      </c>
      <c r="L5929" s="147">
        <v>6.4676</v>
      </c>
      <c r="M5929" s="147">
        <v>13.2</v>
      </c>
      <c r="N5929" s="147">
        <v>-6.7324000000000002</v>
      </c>
      <c r="O5929" s="147">
        <v>-51.0030303030303</v>
      </c>
      <c r="P5929" s="147">
        <v>4.0076000000000001</v>
      </c>
      <c r="Q5929" s="147">
        <v>2.46</v>
      </c>
      <c r="R5929" s="147">
        <v>61.383371593971454</v>
      </c>
    </row>
    <row r="5930" spans="2:18" ht="15.75" hidden="1" thickBot="1" x14ac:dyDescent="0.3">
      <c r="B5930" s="723" t="s">
        <v>861</v>
      </c>
      <c r="C5930" s="722" t="s">
        <v>137</v>
      </c>
      <c r="D5930" t="s">
        <v>138</v>
      </c>
      <c r="E5930" s="728"/>
      <c r="F5930" s="148">
        <v>0.1</v>
      </c>
      <c r="G5930" s="148">
        <v>-0.1</v>
      </c>
      <c r="H5930" s="148">
        <v>-100</v>
      </c>
      <c r="I5930" s="728"/>
      <c r="J5930" s="728"/>
      <c r="K5930" s="728"/>
      <c r="L5930" s="148">
        <v>8.0769999999999995E-2</v>
      </c>
      <c r="M5930" s="148">
        <v>1.2</v>
      </c>
      <c r="N5930" s="148">
        <v>-1.1192299999999999</v>
      </c>
      <c r="O5930" s="148">
        <v>-93.269166666666663</v>
      </c>
      <c r="P5930" s="728"/>
      <c r="Q5930" s="148">
        <v>8.0769999999999995E-2</v>
      </c>
      <c r="R5930" s="148">
        <v>0</v>
      </c>
    </row>
    <row r="5931" spans="2:18" ht="15.75" hidden="1" thickBot="1" x14ac:dyDescent="0.3">
      <c r="B5931" s="723" t="s">
        <v>861</v>
      </c>
      <c r="C5931" s="722" t="s">
        <v>139</v>
      </c>
      <c r="D5931" t="s">
        <v>140</v>
      </c>
      <c r="E5931" s="147">
        <v>0.21</v>
      </c>
      <c r="F5931" s="147">
        <v>0.25</v>
      </c>
      <c r="G5931" s="147">
        <v>-0.04</v>
      </c>
      <c r="H5931" s="147">
        <v>-16</v>
      </c>
      <c r="I5931" s="729"/>
      <c r="J5931" s="147">
        <v>0.21</v>
      </c>
      <c r="K5931" s="147">
        <v>0</v>
      </c>
      <c r="L5931" s="147">
        <v>2.1265900000000002</v>
      </c>
      <c r="M5931" s="147">
        <v>3</v>
      </c>
      <c r="N5931" s="147">
        <v>-0.87341000000000002</v>
      </c>
      <c r="O5931" s="147">
        <v>-29.113666666666667</v>
      </c>
      <c r="P5931" s="147">
        <v>1.13659</v>
      </c>
      <c r="Q5931" s="147">
        <v>0.99</v>
      </c>
      <c r="R5931" s="147">
        <v>87.102649152288862</v>
      </c>
    </row>
    <row r="5932" spans="2:18" ht="15.75" hidden="1" thickBot="1" x14ac:dyDescent="0.3">
      <c r="B5932" s="723" t="s">
        <v>861</v>
      </c>
      <c r="C5932" s="722" t="s">
        <v>101</v>
      </c>
      <c r="D5932" t="s">
        <v>102</v>
      </c>
      <c r="E5932" s="148">
        <v>26.870170000000002</v>
      </c>
      <c r="F5932" s="148">
        <v>18.75</v>
      </c>
      <c r="G5932" s="148">
        <v>8.1201699999999999</v>
      </c>
      <c r="H5932" s="148">
        <v>43.30757333333333</v>
      </c>
      <c r="I5932" s="728"/>
      <c r="J5932" s="148">
        <v>26.870170000000002</v>
      </c>
      <c r="K5932" s="148">
        <v>0</v>
      </c>
      <c r="L5932" s="148">
        <v>151.30444</v>
      </c>
      <c r="M5932" s="148">
        <v>75</v>
      </c>
      <c r="N5932" s="148">
        <v>76.30444</v>
      </c>
      <c r="O5932" s="148">
        <v>101.73925333333334</v>
      </c>
      <c r="P5932" s="148">
        <v>8.5739999999999997E-2</v>
      </c>
      <c r="Q5932" s="148">
        <v>151.21870000000001</v>
      </c>
      <c r="R5932" s="148">
        <v>176368.9059948682</v>
      </c>
    </row>
    <row r="5933" spans="2:18" ht="15.75" hidden="1" thickBot="1" x14ac:dyDescent="0.3">
      <c r="B5933" s="723" t="s">
        <v>861</v>
      </c>
      <c r="C5933" s="722" t="s">
        <v>73</v>
      </c>
      <c r="D5933" t="s">
        <v>74</v>
      </c>
      <c r="E5933" s="147">
        <v>0.39036999999999999</v>
      </c>
      <c r="F5933" s="147">
        <v>0.20499999999999999</v>
      </c>
      <c r="G5933" s="147">
        <v>0.18537000000000001</v>
      </c>
      <c r="H5933" s="147">
        <v>90.424390243902437</v>
      </c>
      <c r="I5933" s="729"/>
      <c r="J5933" s="147">
        <v>0.39036999999999999</v>
      </c>
      <c r="K5933" s="147">
        <v>0</v>
      </c>
      <c r="L5933" s="147">
        <v>1.84091</v>
      </c>
      <c r="M5933" s="147">
        <v>2.46</v>
      </c>
      <c r="N5933" s="147">
        <v>-0.61909000000000003</v>
      </c>
      <c r="O5933" s="147">
        <v>-25.166260162601628</v>
      </c>
      <c r="P5933" s="147">
        <v>0.71889000000000003</v>
      </c>
      <c r="Q5933" s="147">
        <v>1.12202</v>
      </c>
      <c r="R5933" s="147">
        <v>156.07672940227295</v>
      </c>
    </row>
    <row r="5934" spans="2:18" ht="15.75" hidden="1" thickBot="1" x14ac:dyDescent="0.3">
      <c r="B5934" s="723" t="s">
        <v>861</v>
      </c>
      <c r="C5934" s="722" t="s">
        <v>111</v>
      </c>
      <c r="D5934" t="s">
        <v>112</v>
      </c>
      <c r="E5934" s="728"/>
      <c r="F5934" s="728"/>
      <c r="G5934" s="728"/>
      <c r="H5934" s="728"/>
      <c r="I5934" s="728"/>
      <c r="J5934" s="728"/>
      <c r="K5934" s="728"/>
      <c r="L5934" s="148">
        <v>0.14068</v>
      </c>
      <c r="M5934" s="728"/>
      <c r="N5934" s="148">
        <v>0.14068</v>
      </c>
      <c r="O5934" s="148">
        <v>0</v>
      </c>
      <c r="P5934" s="728"/>
      <c r="Q5934" s="148">
        <v>0.14068</v>
      </c>
      <c r="R5934" s="148">
        <v>0</v>
      </c>
    </row>
    <row r="5935" spans="2:18" ht="15.75" hidden="1" thickBot="1" x14ac:dyDescent="0.3">
      <c r="B5935" s="723" t="s">
        <v>861</v>
      </c>
      <c r="C5935" s="722" t="s">
        <v>141</v>
      </c>
      <c r="D5935" t="s">
        <v>142</v>
      </c>
      <c r="E5935" s="729"/>
      <c r="F5935" s="147">
        <v>3.5000000000000003E-2</v>
      </c>
      <c r="G5935" s="147">
        <v>-3.5000000000000003E-2</v>
      </c>
      <c r="H5935" s="147">
        <v>-100</v>
      </c>
      <c r="I5935" s="729"/>
      <c r="J5935" s="729"/>
      <c r="K5935" s="729"/>
      <c r="L5935" s="147">
        <v>0.12998999999999999</v>
      </c>
      <c r="M5935" s="147">
        <v>0.42</v>
      </c>
      <c r="N5935" s="147">
        <v>-0.29000999999999999</v>
      </c>
      <c r="O5935" s="147">
        <v>-69.05</v>
      </c>
      <c r="P5935" s="147">
        <v>0.12998999999999999</v>
      </c>
      <c r="Q5935" s="147">
        <v>0</v>
      </c>
      <c r="R5935" s="147">
        <v>0</v>
      </c>
    </row>
    <row r="5936" spans="2:18" ht="15.75" hidden="1" thickBot="1" x14ac:dyDescent="0.3">
      <c r="B5936" s="723" t="s">
        <v>861</v>
      </c>
      <c r="C5936" s="722" t="s">
        <v>113</v>
      </c>
      <c r="D5936" t="s">
        <v>114</v>
      </c>
      <c r="E5936" s="728"/>
      <c r="F5936" s="148">
        <v>0.1</v>
      </c>
      <c r="G5936" s="148">
        <v>-0.1</v>
      </c>
      <c r="H5936" s="148">
        <v>-100</v>
      </c>
      <c r="I5936" s="728"/>
      <c r="J5936" s="728"/>
      <c r="K5936" s="728"/>
      <c r="L5936" s="148">
        <v>0.14631</v>
      </c>
      <c r="M5936" s="148">
        <v>1.2</v>
      </c>
      <c r="N5936" s="148">
        <v>-1.05369</v>
      </c>
      <c r="O5936" s="148">
        <v>-87.807500000000005</v>
      </c>
      <c r="P5936" s="148">
        <v>8.5559999999999997E-2</v>
      </c>
      <c r="Q5936" s="148">
        <v>6.0749999999999998E-2</v>
      </c>
      <c r="R5936" s="148">
        <v>71.002805049088366</v>
      </c>
    </row>
    <row r="5937" spans="2:18" ht="15.75" hidden="1" thickBot="1" x14ac:dyDescent="0.3">
      <c r="B5937" s="723" t="s">
        <v>861</v>
      </c>
      <c r="C5937" s="722" t="s">
        <v>145</v>
      </c>
      <c r="D5937" t="s">
        <v>146</v>
      </c>
      <c r="E5937" s="729"/>
      <c r="F5937" s="147">
        <v>2.5000000000000001E-2</v>
      </c>
      <c r="G5937" s="147">
        <v>-2.5000000000000001E-2</v>
      </c>
      <c r="H5937" s="147">
        <v>-100</v>
      </c>
      <c r="I5937" s="729"/>
      <c r="J5937" s="729"/>
      <c r="K5937" s="729"/>
      <c r="L5937" s="147">
        <v>1E-3</v>
      </c>
      <c r="M5937" s="147">
        <v>0.3</v>
      </c>
      <c r="N5937" s="147">
        <v>-0.29899999999999999</v>
      </c>
      <c r="O5937" s="147">
        <v>-99.666666666666671</v>
      </c>
      <c r="P5937" s="147">
        <v>1E-3</v>
      </c>
      <c r="Q5937" s="147">
        <v>0</v>
      </c>
      <c r="R5937" s="147">
        <v>0</v>
      </c>
    </row>
    <row r="5938" spans="2:18" ht="15.75" hidden="1" thickBot="1" x14ac:dyDescent="0.3">
      <c r="B5938" s="723" t="s">
        <v>861</v>
      </c>
      <c r="C5938" s="722" t="s">
        <v>149</v>
      </c>
      <c r="D5938" t="s">
        <v>150</v>
      </c>
      <c r="E5938" s="148">
        <v>7.31</v>
      </c>
      <c r="F5938" s="728"/>
      <c r="G5938" s="148">
        <v>7.31</v>
      </c>
      <c r="H5938" s="148">
        <v>0</v>
      </c>
      <c r="I5938" s="728"/>
      <c r="J5938" s="148">
        <v>7.31</v>
      </c>
      <c r="K5938" s="148">
        <v>0</v>
      </c>
      <c r="L5938" s="148">
        <v>61.585009999999997</v>
      </c>
      <c r="M5938" s="148">
        <v>21.85</v>
      </c>
      <c r="N5938" s="148">
        <v>39.735010000000003</v>
      </c>
      <c r="O5938" s="148">
        <v>181.85359267734555</v>
      </c>
      <c r="P5938" s="148">
        <v>49.430010000000003</v>
      </c>
      <c r="Q5938" s="148">
        <v>12.154999999999999</v>
      </c>
      <c r="R5938" s="148">
        <v>24.590324784478092</v>
      </c>
    </row>
    <row r="5939" spans="2:18" ht="15.75" hidden="1" thickBot="1" x14ac:dyDescent="0.3">
      <c r="B5939" s="723" t="s">
        <v>861</v>
      </c>
      <c r="C5939" s="722" t="s">
        <v>75</v>
      </c>
      <c r="D5939" t="s">
        <v>76</v>
      </c>
      <c r="E5939" s="729"/>
      <c r="F5939" s="147">
        <v>0.5</v>
      </c>
      <c r="G5939" s="147">
        <v>-0.5</v>
      </c>
      <c r="H5939" s="147">
        <v>-100</v>
      </c>
      <c r="I5939" s="729"/>
      <c r="J5939" s="729"/>
      <c r="K5939" s="729"/>
      <c r="L5939" s="147">
        <v>1.74976</v>
      </c>
      <c r="M5939" s="147">
        <v>6</v>
      </c>
      <c r="N5939" s="147">
        <v>-4.2502399999999998</v>
      </c>
      <c r="O5939" s="147">
        <v>-70.837333333333333</v>
      </c>
      <c r="P5939" s="147">
        <v>1.41472</v>
      </c>
      <c r="Q5939" s="147">
        <v>0.33504</v>
      </c>
      <c r="R5939" s="147">
        <v>23.682424790771318</v>
      </c>
    </row>
    <row r="5940" spans="2:18" ht="15.75" hidden="1" thickBot="1" x14ac:dyDescent="0.3">
      <c r="B5940" s="723" t="s">
        <v>861</v>
      </c>
      <c r="C5940" s="722" t="s">
        <v>121</v>
      </c>
      <c r="D5940" t="s">
        <v>122</v>
      </c>
      <c r="E5940" s="148">
        <v>4.0090000000000001E-2</v>
      </c>
      <c r="F5940" s="728"/>
      <c r="G5940" s="148">
        <v>4.0090000000000001E-2</v>
      </c>
      <c r="H5940" s="148">
        <v>0</v>
      </c>
      <c r="I5940" s="728"/>
      <c r="J5940" s="148">
        <v>4.0090000000000001E-2</v>
      </c>
      <c r="K5940" s="148">
        <v>0</v>
      </c>
      <c r="L5940" s="148">
        <v>4.0090000000000001E-2</v>
      </c>
      <c r="M5940" s="728"/>
      <c r="N5940" s="148">
        <v>4.0090000000000001E-2</v>
      </c>
      <c r="O5940" s="148">
        <v>0</v>
      </c>
      <c r="P5940" s="728"/>
      <c r="Q5940" s="148">
        <v>4.0090000000000001E-2</v>
      </c>
      <c r="R5940" s="148">
        <v>0</v>
      </c>
    </row>
    <row r="5941" spans="2:18" ht="15.75" hidden="1" thickBot="1" x14ac:dyDescent="0.3">
      <c r="B5941" s="723" t="s">
        <v>861</v>
      </c>
      <c r="C5941" s="722" t="s">
        <v>77</v>
      </c>
      <c r="D5941" t="s">
        <v>78</v>
      </c>
      <c r="E5941" s="729"/>
      <c r="F5941" s="147">
        <v>1.1000000000000001</v>
      </c>
      <c r="G5941" s="147">
        <v>-1.1000000000000001</v>
      </c>
      <c r="H5941" s="147">
        <v>-100</v>
      </c>
      <c r="I5941" s="729"/>
      <c r="J5941" s="729"/>
      <c r="K5941" s="729"/>
      <c r="L5941" s="147">
        <v>7.5210999999999997</v>
      </c>
      <c r="M5941" s="147">
        <v>13.2</v>
      </c>
      <c r="N5941" s="147">
        <v>-5.6788999999999996</v>
      </c>
      <c r="O5941" s="147">
        <v>-43.021969696969698</v>
      </c>
      <c r="P5941" s="147">
        <v>1.6121700000000001</v>
      </c>
      <c r="Q5941" s="147">
        <v>5.9089299999999998</v>
      </c>
      <c r="R5941" s="147">
        <v>366.52028011934226</v>
      </c>
    </row>
    <row r="5942" spans="2:18" ht="15.75" hidden="1" thickBot="1" x14ac:dyDescent="0.3">
      <c r="B5942" s="723" t="s">
        <v>861</v>
      </c>
      <c r="C5942" s="722" t="s">
        <v>81</v>
      </c>
      <c r="D5942" t="s">
        <v>82</v>
      </c>
      <c r="E5942" s="728"/>
      <c r="F5942" s="728"/>
      <c r="G5942" s="728"/>
      <c r="H5942" s="728"/>
      <c r="I5942" s="728"/>
      <c r="J5942" s="728"/>
      <c r="K5942" s="728"/>
      <c r="L5942" s="148">
        <v>0.2</v>
      </c>
      <c r="M5942" s="728"/>
      <c r="N5942" s="148">
        <v>0.2</v>
      </c>
      <c r="O5942" s="148">
        <v>0</v>
      </c>
      <c r="P5942" s="148">
        <v>0.17</v>
      </c>
      <c r="Q5942" s="148">
        <v>0.03</v>
      </c>
      <c r="R5942" s="148">
        <v>17.647058823529413</v>
      </c>
    </row>
    <row r="5943" spans="2:18" ht="15.75" hidden="1" thickBot="1" x14ac:dyDescent="0.3">
      <c r="B5943" s="723" t="s">
        <v>861</v>
      </c>
      <c r="C5943" s="722" t="s">
        <v>123</v>
      </c>
      <c r="D5943" t="s">
        <v>124</v>
      </c>
      <c r="E5943" s="729"/>
      <c r="F5943" s="729"/>
      <c r="G5943" s="729"/>
      <c r="H5943" s="729"/>
      <c r="I5943" s="729"/>
      <c r="J5943" s="729"/>
      <c r="K5943" s="729"/>
      <c r="L5943" s="147">
        <v>0.1237</v>
      </c>
      <c r="M5943" s="729"/>
      <c r="N5943" s="147">
        <v>0.1237</v>
      </c>
      <c r="O5943" s="147">
        <v>0</v>
      </c>
      <c r="P5943" s="147">
        <v>0.1237</v>
      </c>
      <c r="Q5943" s="147">
        <v>0</v>
      </c>
      <c r="R5943" s="147">
        <v>0</v>
      </c>
    </row>
    <row r="5944" spans="2:18" ht="15.75" hidden="1" thickBot="1" x14ac:dyDescent="0.3">
      <c r="B5944" s="723" t="s">
        <v>861</v>
      </c>
      <c r="C5944" s="149" t="s">
        <v>85</v>
      </c>
      <c r="D5944" t="s">
        <v>86</v>
      </c>
      <c r="E5944" s="148">
        <v>36.905630000000002</v>
      </c>
      <c r="F5944" s="148">
        <v>22.164999999999999</v>
      </c>
      <c r="G5944" s="148">
        <v>14.740629999999999</v>
      </c>
      <c r="H5944" s="148">
        <v>66.504083013760436</v>
      </c>
      <c r="I5944" s="728"/>
      <c r="J5944" s="148">
        <v>36.905630000000002</v>
      </c>
      <c r="K5944" s="148">
        <v>0</v>
      </c>
      <c r="L5944" s="148">
        <v>233.45795000000001</v>
      </c>
      <c r="M5944" s="148">
        <v>137.83000000000001</v>
      </c>
      <c r="N5944" s="148">
        <v>95.627949999999998</v>
      </c>
      <c r="O5944" s="148">
        <v>69.381085395051869</v>
      </c>
      <c r="P5944" s="148">
        <v>58.915970000000002</v>
      </c>
      <c r="Q5944" s="148">
        <v>174.54198</v>
      </c>
      <c r="R5944" s="148">
        <v>296.25580296819351</v>
      </c>
    </row>
    <row r="5945" spans="2:18" ht="15.75" hidden="1" thickBot="1" x14ac:dyDescent="0.3">
      <c r="B5945" s="723" t="s">
        <v>861</v>
      </c>
      <c r="C5945" s="144" t="s">
        <v>87</v>
      </c>
      <c r="D5945" t="s">
        <v>87</v>
      </c>
      <c r="E5945" s="147">
        <v>102.77348000000001</v>
      </c>
      <c r="F5945" s="147">
        <v>102.62145</v>
      </c>
      <c r="G5945" s="147">
        <v>0.15203</v>
      </c>
      <c r="H5945" s="147">
        <v>0.1481464157834449</v>
      </c>
      <c r="I5945" s="729"/>
      <c r="J5945" s="147">
        <v>102.77348000000001</v>
      </c>
      <c r="K5945" s="147">
        <v>0</v>
      </c>
      <c r="L5945" s="147">
        <v>1014.9235</v>
      </c>
      <c r="M5945" s="147">
        <v>1098.24236</v>
      </c>
      <c r="N5945" s="147">
        <v>-83.318860000000001</v>
      </c>
      <c r="O5945" s="147">
        <v>-7.5865640440239437</v>
      </c>
      <c r="P5945" s="147">
        <v>433.68945000000002</v>
      </c>
      <c r="Q5945" s="147">
        <v>581.23405000000002</v>
      </c>
      <c r="R5945" s="147">
        <v>134.02079529488208</v>
      </c>
    </row>
    <row r="5946" spans="2:18" ht="15.75" hidden="1" thickBot="1" x14ac:dyDescent="0.3">
      <c r="B5946" s="723" t="s">
        <v>862</v>
      </c>
      <c r="C5946" s="722" t="s">
        <v>59</v>
      </c>
      <c r="D5946" t="s">
        <v>60</v>
      </c>
      <c r="E5946" s="148">
        <v>283.77408000000003</v>
      </c>
      <c r="F5946" s="148">
        <v>401.3168</v>
      </c>
      <c r="G5946" s="148">
        <v>-117.54272</v>
      </c>
      <c r="H5946" s="148">
        <v>-29.289259756880352</v>
      </c>
      <c r="I5946" s="728"/>
      <c r="J5946" s="148">
        <v>283.77408000000003</v>
      </c>
      <c r="K5946" s="148">
        <v>0</v>
      </c>
      <c r="L5946" s="148">
        <v>4036.0484499999998</v>
      </c>
      <c r="M5946" s="148">
        <v>4790.5370999999996</v>
      </c>
      <c r="N5946" s="148">
        <v>-754.48865000000001</v>
      </c>
      <c r="O5946" s="148">
        <v>-15.749562820419447</v>
      </c>
      <c r="P5946" s="148">
        <v>2121.98315</v>
      </c>
      <c r="Q5946" s="148">
        <v>1914.0653</v>
      </c>
      <c r="R5946" s="148">
        <v>90.201720027795702</v>
      </c>
    </row>
    <row r="5947" spans="2:18" ht="15.75" hidden="1" thickBot="1" x14ac:dyDescent="0.3">
      <c r="B5947" s="723" t="s">
        <v>862</v>
      </c>
      <c r="C5947" s="722" t="s">
        <v>134</v>
      </c>
      <c r="D5947" t="s">
        <v>135</v>
      </c>
      <c r="E5947" s="147">
        <v>14.91793</v>
      </c>
      <c r="F5947" s="729"/>
      <c r="G5947" s="147">
        <v>14.91793</v>
      </c>
      <c r="H5947" s="147">
        <v>0</v>
      </c>
      <c r="I5947" s="729"/>
      <c r="J5947" s="147">
        <v>14.91793</v>
      </c>
      <c r="K5947" s="147">
        <v>0</v>
      </c>
      <c r="L5947" s="147">
        <v>219.48462000000001</v>
      </c>
      <c r="M5947" s="729"/>
      <c r="N5947" s="147">
        <v>219.48462000000001</v>
      </c>
      <c r="O5947" s="147">
        <v>0</v>
      </c>
      <c r="P5947" s="147">
        <v>124.59441</v>
      </c>
      <c r="Q5947" s="147">
        <v>94.890209999999996</v>
      </c>
      <c r="R5947" s="147">
        <v>76.159283550522048</v>
      </c>
    </row>
    <row r="5948" spans="2:18" ht="15.75" hidden="1" thickBot="1" x14ac:dyDescent="0.3">
      <c r="B5948" s="723" t="s">
        <v>862</v>
      </c>
      <c r="C5948" s="722" t="s">
        <v>61</v>
      </c>
      <c r="D5948" t="s">
        <v>62</v>
      </c>
      <c r="E5948" s="148">
        <v>51.97748</v>
      </c>
      <c r="F5948" s="148">
        <v>62.20411</v>
      </c>
      <c r="G5948" s="148">
        <v>-10.22663</v>
      </c>
      <c r="H5948" s="148">
        <v>-16.440440993368444</v>
      </c>
      <c r="I5948" s="728"/>
      <c r="J5948" s="148">
        <v>51.97748</v>
      </c>
      <c r="K5948" s="148">
        <v>0</v>
      </c>
      <c r="L5948" s="148">
        <v>619.18011000000001</v>
      </c>
      <c r="M5948" s="148">
        <v>742.53330000000005</v>
      </c>
      <c r="N5948" s="148">
        <v>-123.35319</v>
      </c>
      <c r="O5948" s="148">
        <v>-16.61247919790264</v>
      </c>
      <c r="P5948" s="148">
        <v>310.92304000000001</v>
      </c>
      <c r="Q5948" s="148">
        <v>308.25707</v>
      </c>
      <c r="R5948" s="148">
        <v>99.142562738354798</v>
      </c>
    </row>
    <row r="5949" spans="2:18" ht="15.75" hidden="1" thickBot="1" x14ac:dyDescent="0.3">
      <c r="B5949" s="723" t="s">
        <v>862</v>
      </c>
      <c r="C5949" s="722" t="s">
        <v>63</v>
      </c>
      <c r="D5949" t="s">
        <v>64</v>
      </c>
      <c r="E5949" s="147">
        <v>35.45288</v>
      </c>
      <c r="F5949" s="147">
        <v>74.8001</v>
      </c>
      <c r="G5949" s="147">
        <v>-39.34722</v>
      </c>
      <c r="H5949" s="147">
        <v>-52.603164969030793</v>
      </c>
      <c r="I5949" s="729"/>
      <c r="J5949" s="147">
        <v>35.45288</v>
      </c>
      <c r="K5949" s="147">
        <v>0</v>
      </c>
      <c r="L5949" s="147">
        <v>495.35638</v>
      </c>
      <c r="M5949" s="147">
        <v>892.89224000000002</v>
      </c>
      <c r="N5949" s="147">
        <v>-397.53586000000001</v>
      </c>
      <c r="O5949" s="147">
        <v>-44.522266203142273</v>
      </c>
      <c r="P5949" s="147">
        <v>276.22251999999997</v>
      </c>
      <c r="Q5949" s="147">
        <v>219.13386</v>
      </c>
      <c r="R5949" s="147">
        <v>79.332365804207413</v>
      </c>
    </row>
    <row r="5950" spans="2:18" ht="15.75" hidden="1" thickBot="1" x14ac:dyDescent="0.3">
      <c r="B5950" s="723" t="s">
        <v>862</v>
      </c>
      <c r="C5950" s="722" t="s">
        <v>570</v>
      </c>
      <c r="D5950" t="s">
        <v>571</v>
      </c>
      <c r="E5950" s="148">
        <v>210.03560999999999</v>
      </c>
      <c r="F5950" s="148">
        <v>229.857</v>
      </c>
      <c r="G5950" s="148">
        <v>-19.821390000000001</v>
      </c>
      <c r="H5950" s="148">
        <v>-8.6233571307378067</v>
      </c>
      <c r="I5950" s="728"/>
      <c r="J5950" s="148">
        <v>210.03560999999999</v>
      </c>
      <c r="K5950" s="148">
        <v>0</v>
      </c>
      <c r="L5950" s="148">
        <v>2447.3810199999998</v>
      </c>
      <c r="M5950" s="148">
        <v>2743.81358</v>
      </c>
      <c r="N5950" s="148">
        <v>-296.43256000000002</v>
      </c>
      <c r="O5950" s="148">
        <v>-10.80366983240895</v>
      </c>
      <c r="P5950" s="148">
        <v>1196.80765</v>
      </c>
      <c r="Q5950" s="148">
        <v>1250.5733700000001</v>
      </c>
      <c r="R5950" s="148">
        <v>104.49242783499922</v>
      </c>
    </row>
    <row r="5951" spans="2:18" ht="15.75" hidden="1" thickBot="1" x14ac:dyDescent="0.3">
      <c r="B5951" s="723" t="s">
        <v>862</v>
      </c>
      <c r="C5951" s="722" t="s">
        <v>180</v>
      </c>
      <c r="D5951" t="s">
        <v>181</v>
      </c>
      <c r="E5951" s="729"/>
      <c r="F5951" s="147">
        <v>0</v>
      </c>
      <c r="G5951" s="147">
        <v>0</v>
      </c>
      <c r="H5951" s="147">
        <v>0</v>
      </c>
      <c r="I5951" s="729"/>
      <c r="J5951" s="729"/>
      <c r="K5951" s="729"/>
      <c r="L5951" s="729"/>
      <c r="M5951" s="147">
        <v>0</v>
      </c>
      <c r="N5951" s="147">
        <v>0</v>
      </c>
      <c r="O5951" s="147">
        <v>0</v>
      </c>
      <c r="P5951" s="729"/>
      <c r="Q5951" s="729"/>
      <c r="R5951" s="729"/>
    </row>
    <row r="5952" spans="2:18" ht="15.75" hidden="1" thickBot="1" x14ac:dyDescent="0.3">
      <c r="B5952" s="723" t="s">
        <v>862</v>
      </c>
      <c r="C5952" s="722" t="s">
        <v>65</v>
      </c>
      <c r="D5952" t="s">
        <v>66</v>
      </c>
      <c r="E5952" s="148">
        <v>-71.449560000000005</v>
      </c>
      <c r="F5952" s="148">
        <v>-130.54640000000001</v>
      </c>
      <c r="G5952" s="148">
        <v>59.09684</v>
      </c>
      <c r="H5952" s="148">
        <v>45.268839278601327</v>
      </c>
      <c r="I5952" s="728"/>
      <c r="J5952" s="148">
        <v>-71.449560000000005</v>
      </c>
      <c r="K5952" s="148">
        <v>0</v>
      </c>
      <c r="L5952" s="148">
        <v>-843.06227000000001</v>
      </c>
      <c r="M5952" s="148">
        <v>-1558.3383799999999</v>
      </c>
      <c r="N5952" s="148">
        <v>715.27611000000002</v>
      </c>
      <c r="O5952" s="148">
        <v>45.899922582924511</v>
      </c>
      <c r="P5952" s="148">
        <v>-476.65190000000001</v>
      </c>
      <c r="Q5952" s="148">
        <v>-366.41037</v>
      </c>
      <c r="R5952" s="148">
        <v>-76.871689801299439</v>
      </c>
    </row>
    <row r="5953" spans="2:18" ht="15.75" hidden="1" thickBot="1" x14ac:dyDescent="0.3">
      <c r="B5953" s="723" t="s">
        <v>862</v>
      </c>
      <c r="C5953" s="149" t="s">
        <v>67</v>
      </c>
      <c r="D5953" t="s">
        <v>68</v>
      </c>
      <c r="E5953" s="147">
        <v>524.70842000000005</v>
      </c>
      <c r="F5953" s="147">
        <v>637.63161000000002</v>
      </c>
      <c r="G5953" s="147">
        <v>-112.92319000000001</v>
      </c>
      <c r="H5953" s="147">
        <v>-17.709785435511893</v>
      </c>
      <c r="I5953" s="729"/>
      <c r="J5953" s="147">
        <v>524.70842000000005</v>
      </c>
      <c r="K5953" s="147">
        <v>0</v>
      </c>
      <c r="L5953" s="147">
        <v>6974.3883100000003</v>
      </c>
      <c r="M5953" s="147">
        <v>7611.4378399999996</v>
      </c>
      <c r="N5953" s="147">
        <v>-637.04953</v>
      </c>
      <c r="O5953" s="147">
        <v>-8.3696345341237137</v>
      </c>
      <c r="P5953" s="147">
        <v>3553.87887</v>
      </c>
      <c r="Q5953" s="147">
        <v>3420.5094399999998</v>
      </c>
      <c r="R5953" s="147">
        <v>96.247215088678587</v>
      </c>
    </row>
    <row r="5954" spans="2:18" ht="15.75" hidden="1" thickBot="1" x14ac:dyDescent="0.3">
      <c r="B5954" s="723" t="s">
        <v>862</v>
      </c>
      <c r="C5954" s="722" t="s">
        <v>69</v>
      </c>
      <c r="D5954" t="s">
        <v>70</v>
      </c>
      <c r="E5954" s="148">
        <v>0.125</v>
      </c>
      <c r="F5954" s="148">
        <v>0.755</v>
      </c>
      <c r="G5954" s="148">
        <v>-0.63</v>
      </c>
      <c r="H5954" s="148">
        <v>-83.443708609271525</v>
      </c>
      <c r="I5954" s="728"/>
      <c r="J5954" s="148">
        <v>0.125</v>
      </c>
      <c r="K5954" s="148">
        <v>0</v>
      </c>
      <c r="L5954" s="148">
        <v>3.468</v>
      </c>
      <c r="M5954" s="148">
        <v>6.32</v>
      </c>
      <c r="N5954" s="148">
        <v>-2.8519999999999999</v>
      </c>
      <c r="O5954" s="148">
        <v>-45.12658227848101</v>
      </c>
      <c r="P5954" s="148">
        <v>3.343</v>
      </c>
      <c r="Q5954" s="148">
        <v>0.125</v>
      </c>
      <c r="R5954" s="148">
        <v>3.7391564463057136</v>
      </c>
    </row>
    <row r="5955" spans="2:18" ht="15.75" hidden="1" thickBot="1" x14ac:dyDescent="0.3">
      <c r="B5955" s="723" t="s">
        <v>862</v>
      </c>
      <c r="C5955" s="722" t="s">
        <v>582</v>
      </c>
      <c r="D5955" t="s">
        <v>583</v>
      </c>
      <c r="E5955" s="729"/>
      <c r="F5955" s="147">
        <v>0</v>
      </c>
      <c r="G5955" s="147">
        <v>0</v>
      </c>
      <c r="H5955" s="147">
        <v>0</v>
      </c>
      <c r="I5955" s="729"/>
      <c r="J5955" s="729"/>
      <c r="K5955" s="729"/>
      <c r="L5955" s="147">
        <v>0.10238</v>
      </c>
      <c r="M5955" s="147">
        <v>0</v>
      </c>
      <c r="N5955" s="147">
        <v>0.10238</v>
      </c>
      <c r="O5955" s="147">
        <v>0</v>
      </c>
      <c r="P5955" s="147">
        <v>0.10238</v>
      </c>
      <c r="Q5955" s="147">
        <v>0</v>
      </c>
      <c r="R5955" s="147">
        <v>0</v>
      </c>
    </row>
    <row r="5956" spans="2:18" ht="15.75" hidden="1" thickBot="1" x14ac:dyDescent="0.3">
      <c r="B5956" s="723" t="s">
        <v>862</v>
      </c>
      <c r="C5956" s="722" t="s">
        <v>165</v>
      </c>
      <c r="D5956" t="s">
        <v>166</v>
      </c>
      <c r="E5956" s="728"/>
      <c r="F5956" s="728"/>
      <c r="G5956" s="728"/>
      <c r="H5956" s="728"/>
      <c r="I5956" s="728"/>
      <c r="J5956" s="728"/>
      <c r="K5956" s="728"/>
      <c r="L5956" s="148">
        <v>0.1046</v>
      </c>
      <c r="M5956" s="728"/>
      <c r="N5956" s="148">
        <v>0.1046</v>
      </c>
      <c r="O5956" s="148">
        <v>0</v>
      </c>
      <c r="P5956" s="728"/>
      <c r="Q5956" s="148">
        <v>0.1046</v>
      </c>
      <c r="R5956" s="148">
        <v>0</v>
      </c>
    </row>
    <row r="5957" spans="2:18" ht="15.75" hidden="1" thickBot="1" x14ac:dyDescent="0.3">
      <c r="B5957" s="723" t="s">
        <v>862</v>
      </c>
      <c r="C5957" s="722" t="s">
        <v>137</v>
      </c>
      <c r="D5957" t="s">
        <v>138</v>
      </c>
      <c r="E5957" s="147">
        <v>1.5447500000000001</v>
      </c>
      <c r="F5957" s="147">
        <v>0.65837000000000001</v>
      </c>
      <c r="G5957" s="147">
        <v>0.88637999999999995</v>
      </c>
      <c r="H5957" s="147">
        <v>134.63250148093019</v>
      </c>
      <c r="I5957" s="729"/>
      <c r="J5957" s="147">
        <v>1.5447500000000001</v>
      </c>
      <c r="K5957" s="147">
        <v>0</v>
      </c>
      <c r="L5957" s="147">
        <v>11.66081</v>
      </c>
      <c r="M5957" s="147">
        <v>8.4747299999999992</v>
      </c>
      <c r="N5957" s="147">
        <v>3.18608</v>
      </c>
      <c r="O5957" s="147">
        <v>37.595062025574855</v>
      </c>
      <c r="P5957" s="147">
        <v>4.7367699999999999</v>
      </c>
      <c r="Q5957" s="147">
        <v>6.9240399999999998</v>
      </c>
      <c r="R5957" s="147">
        <v>146.17640290746647</v>
      </c>
    </row>
    <row r="5958" spans="2:18" ht="15.75" hidden="1" thickBot="1" x14ac:dyDescent="0.3">
      <c r="B5958" s="723" t="s">
        <v>862</v>
      </c>
      <c r="C5958" s="722" t="s">
        <v>190</v>
      </c>
      <c r="D5958" t="s">
        <v>191</v>
      </c>
      <c r="E5958" s="728"/>
      <c r="F5958" s="728"/>
      <c r="G5958" s="728"/>
      <c r="H5958" s="728"/>
      <c r="I5958" s="728"/>
      <c r="J5958" s="728"/>
      <c r="K5958" s="728"/>
      <c r="L5958" s="148">
        <v>0.13075000000000001</v>
      </c>
      <c r="M5958" s="728"/>
      <c r="N5958" s="148">
        <v>0.13075000000000001</v>
      </c>
      <c r="O5958" s="148">
        <v>0</v>
      </c>
      <c r="P5958" s="148">
        <v>2.24E-2</v>
      </c>
      <c r="Q5958" s="148">
        <v>0.10835</v>
      </c>
      <c r="R5958" s="148">
        <v>483.70535714285717</v>
      </c>
    </row>
    <row r="5959" spans="2:18" ht="15.75" hidden="1" thickBot="1" x14ac:dyDescent="0.3">
      <c r="B5959" s="723" t="s">
        <v>862</v>
      </c>
      <c r="C5959" s="722" t="s">
        <v>139</v>
      </c>
      <c r="D5959" t="s">
        <v>140</v>
      </c>
      <c r="E5959" s="147">
        <v>11.695</v>
      </c>
      <c r="F5959" s="147">
        <v>4.5992100000000002</v>
      </c>
      <c r="G5959" s="147">
        <v>7.09579</v>
      </c>
      <c r="H5959" s="147">
        <v>154.28280074186654</v>
      </c>
      <c r="I5959" s="729"/>
      <c r="J5959" s="147">
        <v>11.695</v>
      </c>
      <c r="K5959" s="147">
        <v>0</v>
      </c>
      <c r="L5959" s="147">
        <v>45.71</v>
      </c>
      <c r="M5959" s="147">
        <v>53.690080000000002</v>
      </c>
      <c r="N5959" s="147">
        <v>-7.9800800000000001</v>
      </c>
      <c r="O5959" s="147">
        <v>-14.863229855496582</v>
      </c>
      <c r="P5959" s="147">
        <v>24.033999999999999</v>
      </c>
      <c r="Q5959" s="147">
        <v>21.675999999999998</v>
      </c>
      <c r="R5959" s="147">
        <v>90.188899059665474</v>
      </c>
    </row>
    <row r="5960" spans="2:18" ht="15.75" hidden="1" thickBot="1" x14ac:dyDescent="0.3">
      <c r="B5960" s="723" t="s">
        <v>862</v>
      </c>
      <c r="C5960" s="722" t="s">
        <v>169</v>
      </c>
      <c r="D5960" t="s">
        <v>170</v>
      </c>
      <c r="E5960" s="728"/>
      <c r="F5960" s="148">
        <v>0.37874999999999998</v>
      </c>
      <c r="G5960" s="148">
        <v>-0.37874999999999998</v>
      </c>
      <c r="H5960" s="148">
        <v>-100</v>
      </c>
      <c r="I5960" s="728"/>
      <c r="J5960" s="728"/>
      <c r="K5960" s="728"/>
      <c r="L5960" s="148">
        <v>9.1464999999999996</v>
      </c>
      <c r="M5960" s="148">
        <v>1.5149999999999999</v>
      </c>
      <c r="N5960" s="148">
        <v>7.6315</v>
      </c>
      <c r="O5960" s="148">
        <v>503.7293729372937</v>
      </c>
      <c r="P5960" s="148">
        <v>7.6124999999999998</v>
      </c>
      <c r="Q5960" s="148">
        <v>1.534</v>
      </c>
      <c r="R5960" s="148">
        <v>20.151067323481115</v>
      </c>
    </row>
    <row r="5961" spans="2:18" ht="15.75" hidden="1" thickBot="1" x14ac:dyDescent="0.3">
      <c r="B5961" s="723" t="s">
        <v>862</v>
      </c>
      <c r="C5961" s="722" t="s">
        <v>101</v>
      </c>
      <c r="D5961" t="s">
        <v>102</v>
      </c>
      <c r="E5961" s="147">
        <v>0.49928</v>
      </c>
      <c r="F5961" s="147">
        <v>5.1262499999999998</v>
      </c>
      <c r="G5961" s="147">
        <v>-4.62697</v>
      </c>
      <c r="H5961" s="147">
        <v>-90.260326749573281</v>
      </c>
      <c r="I5961" s="729"/>
      <c r="J5961" s="147">
        <v>0.49928</v>
      </c>
      <c r="K5961" s="147">
        <v>0</v>
      </c>
      <c r="L5961" s="147">
        <v>10.07145</v>
      </c>
      <c r="M5961" s="147">
        <v>10.122</v>
      </c>
      <c r="N5961" s="147">
        <v>-5.0549999999999998E-2</v>
      </c>
      <c r="O5961" s="147">
        <v>-0.499407231772377</v>
      </c>
      <c r="P5961" s="147">
        <v>4.43893</v>
      </c>
      <c r="Q5961" s="147">
        <v>5.6325200000000004</v>
      </c>
      <c r="R5961" s="147">
        <v>126.8891376975983</v>
      </c>
    </row>
    <row r="5962" spans="2:18" ht="15.75" hidden="1" thickBot="1" x14ac:dyDescent="0.3">
      <c r="B5962" s="723" t="s">
        <v>862</v>
      </c>
      <c r="C5962" s="722" t="s">
        <v>464</v>
      </c>
      <c r="D5962" t="s">
        <v>465</v>
      </c>
      <c r="E5962" s="728"/>
      <c r="F5962" s="728"/>
      <c r="G5962" s="728"/>
      <c r="H5962" s="728"/>
      <c r="I5962" s="728"/>
      <c r="J5962" s="728"/>
      <c r="K5962" s="728"/>
      <c r="L5962" s="148">
        <v>0.50734999999999997</v>
      </c>
      <c r="M5962" s="728"/>
      <c r="N5962" s="148">
        <v>0.50734999999999997</v>
      </c>
      <c r="O5962" s="148">
        <v>0</v>
      </c>
      <c r="P5962" s="728"/>
      <c r="Q5962" s="148">
        <v>0.50734999999999997</v>
      </c>
      <c r="R5962" s="148">
        <v>0</v>
      </c>
    </row>
    <row r="5963" spans="2:18" ht="15.75" hidden="1" thickBot="1" x14ac:dyDescent="0.3">
      <c r="B5963" s="723" t="s">
        <v>862</v>
      </c>
      <c r="C5963" s="722" t="s">
        <v>103</v>
      </c>
      <c r="D5963" t="s">
        <v>104</v>
      </c>
      <c r="E5963" s="147">
        <v>0.72775000000000001</v>
      </c>
      <c r="F5963" s="729"/>
      <c r="G5963" s="147">
        <v>0.72775000000000001</v>
      </c>
      <c r="H5963" s="147">
        <v>0</v>
      </c>
      <c r="I5963" s="729"/>
      <c r="J5963" s="147">
        <v>0.72775000000000001</v>
      </c>
      <c r="K5963" s="147">
        <v>0</v>
      </c>
      <c r="L5963" s="147">
        <v>1.3353999999999999</v>
      </c>
      <c r="M5963" s="729"/>
      <c r="N5963" s="147">
        <v>1.3353999999999999</v>
      </c>
      <c r="O5963" s="147">
        <v>0</v>
      </c>
      <c r="P5963" s="147">
        <v>0.27415</v>
      </c>
      <c r="Q5963" s="147">
        <v>1.06125</v>
      </c>
      <c r="R5963" s="147">
        <v>387.10559912456682</v>
      </c>
    </row>
    <row r="5964" spans="2:18" ht="15.75" hidden="1" thickBot="1" x14ac:dyDescent="0.3">
      <c r="B5964" s="723" t="s">
        <v>862</v>
      </c>
      <c r="C5964" s="722" t="s">
        <v>71</v>
      </c>
      <c r="D5964" t="s">
        <v>72</v>
      </c>
      <c r="E5964" s="728"/>
      <c r="F5964" s="728"/>
      <c r="G5964" s="728"/>
      <c r="H5964" s="728"/>
      <c r="I5964" s="728"/>
      <c r="J5964" s="728"/>
      <c r="K5964" s="728"/>
      <c r="L5964" s="148">
        <v>0</v>
      </c>
      <c r="M5964" s="728"/>
      <c r="N5964" s="148">
        <v>0</v>
      </c>
      <c r="O5964" s="148">
        <v>0</v>
      </c>
      <c r="P5964" s="728"/>
      <c r="Q5964" s="148">
        <v>0</v>
      </c>
      <c r="R5964" s="148">
        <v>0</v>
      </c>
    </row>
    <row r="5965" spans="2:18" ht="15.75" hidden="1" thickBot="1" x14ac:dyDescent="0.3">
      <c r="B5965" s="723" t="s">
        <v>862</v>
      </c>
      <c r="C5965" s="722" t="s">
        <v>109</v>
      </c>
      <c r="D5965" t="s">
        <v>110</v>
      </c>
      <c r="E5965" s="147">
        <v>0.56974999999999998</v>
      </c>
      <c r="F5965" s="147">
        <v>7.0000000000000007E-2</v>
      </c>
      <c r="G5965" s="147">
        <v>0.49975000000000003</v>
      </c>
      <c r="H5965" s="147">
        <v>713.92857142857144</v>
      </c>
      <c r="I5965" s="729"/>
      <c r="J5965" s="147">
        <v>0.56974999999999998</v>
      </c>
      <c r="K5965" s="147">
        <v>0</v>
      </c>
      <c r="L5965" s="147">
        <v>1.7519499999999999</v>
      </c>
      <c r="M5965" s="147">
        <v>0.87</v>
      </c>
      <c r="N5965" s="147">
        <v>0.88195000000000001</v>
      </c>
      <c r="O5965" s="147">
        <v>101.3735632183908</v>
      </c>
      <c r="P5965" s="147">
        <v>0.53136000000000005</v>
      </c>
      <c r="Q5965" s="147">
        <v>1.2205900000000001</v>
      </c>
      <c r="R5965" s="147">
        <v>229.71055404998495</v>
      </c>
    </row>
    <row r="5966" spans="2:18" ht="15.75" hidden="1" thickBot="1" x14ac:dyDescent="0.3">
      <c r="B5966" s="723" t="s">
        <v>862</v>
      </c>
      <c r="C5966" s="722" t="s">
        <v>73</v>
      </c>
      <c r="D5966" t="s">
        <v>74</v>
      </c>
      <c r="E5966" s="148">
        <v>4.3829900000000004</v>
      </c>
      <c r="F5966" s="148">
        <v>1.8749999999999999E-2</v>
      </c>
      <c r="G5966" s="148">
        <v>4.3642399999999997</v>
      </c>
      <c r="H5966" s="148">
        <v>23275.946666666667</v>
      </c>
      <c r="I5966" s="728"/>
      <c r="J5966" s="148">
        <v>4.3829900000000004</v>
      </c>
      <c r="K5966" s="148">
        <v>0</v>
      </c>
      <c r="L5966" s="148">
        <v>20.52458</v>
      </c>
      <c r="M5966" s="148">
        <v>0.22500000000000001</v>
      </c>
      <c r="N5966" s="148">
        <v>20.299579999999999</v>
      </c>
      <c r="O5966" s="148">
        <v>9022.0355555555561</v>
      </c>
      <c r="P5966" s="148">
        <v>10.86002</v>
      </c>
      <c r="Q5966" s="148">
        <v>9.6645599999999998</v>
      </c>
      <c r="R5966" s="148">
        <v>88.99210130368084</v>
      </c>
    </row>
    <row r="5967" spans="2:18" ht="15.75" hidden="1" thickBot="1" x14ac:dyDescent="0.3">
      <c r="B5967" s="723" t="s">
        <v>862</v>
      </c>
      <c r="C5967" s="722" t="s">
        <v>111</v>
      </c>
      <c r="D5967" t="s">
        <v>112</v>
      </c>
      <c r="E5967" s="147">
        <v>6.2579999999999997E-2</v>
      </c>
      <c r="F5967" s="729"/>
      <c r="G5967" s="147">
        <v>6.2579999999999997E-2</v>
      </c>
      <c r="H5967" s="147">
        <v>0</v>
      </c>
      <c r="I5967" s="729"/>
      <c r="J5967" s="147">
        <v>6.2579999999999997E-2</v>
      </c>
      <c r="K5967" s="147">
        <v>0</v>
      </c>
      <c r="L5967" s="147">
        <v>1.7480800000000001</v>
      </c>
      <c r="M5967" s="729"/>
      <c r="N5967" s="147">
        <v>1.7480800000000001</v>
      </c>
      <c r="O5967" s="147">
        <v>0</v>
      </c>
      <c r="P5967" s="147">
        <v>0.71292999999999995</v>
      </c>
      <c r="Q5967" s="147">
        <v>1.03515</v>
      </c>
      <c r="R5967" s="147">
        <v>145.1965831147518</v>
      </c>
    </row>
    <row r="5968" spans="2:18" ht="15.75" hidden="1" thickBot="1" x14ac:dyDescent="0.3">
      <c r="B5968" s="723" t="s">
        <v>862</v>
      </c>
      <c r="C5968" s="722" t="s">
        <v>141</v>
      </c>
      <c r="D5968" t="s">
        <v>142</v>
      </c>
      <c r="E5968" s="148">
        <v>0.45989999999999998</v>
      </c>
      <c r="F5968" s="148">
        <v>0.16667000000000001</v>
      </c>
      <c r="G5968" s="148">
        <v>0.29322999999999999</v>
      </c>
      <c r="H5968" s="148">
        <v>175.9344813103738</v>
      </c>
      <c r="I5968" s="728"/>
      <c r="J5968" s="148">
        <v>0.45989999999999998</v>
      </c>
      <c r="K5968" s="148">
        <v>0</v>
      </c>
      <c r="L5968" s="148">
        <v>8.7365200000000005</v>
      </c>
      <c r="M5968" s="148">
        <v>2.1000399999999999</v>
      </c>
      <c r="N5968" s="148">
        <v>6.6364799999999997</v>
      </c>
      <c r="O5968" s="148">
        <v>316.01683777451859</v>
      </c>
      <c r="P5968" s="148">
        <v>5.8712600000000004</v>
      </c>
      <c r="Q5968" s="148">
        <v>2.8652600000000001</v>
      </c>
      <c r="R5968" s="148">
        <v>48.801449773983776</v>
      </c>
    </row>
    <row r="5969" spans="2:18" ht="15.75" hidden="1" thickBot="1" x14ac:dyDescent="0.3">
      <c r="B5969" s="723" t="s">
        <v>862</v>
      </c>
      <c r="C5969" s="722" t="s">
        <v>113</v>
      </c>
      <c r="D5969" t="s">
        <v>114</v>
      </c>
      <c r="E5969" s="147">
        <v>0.74156</v>
      </c>
      <c r="F5969" s="729"/>
      <c r="G5969" s="147">
        <v>0.74156</v>
      </c>
      <c r="H5969" s="147">
        <v>0</v>
      </c>
      <c r="I5969" s="729"/>
      <c r="J5969" s="147">
        <v>0.74156</v>
      </c>
      <c r="K5969" s="147">
        <v>0</v>
      </c>
      <c r="L5969" s="147">
        <v>6.9249900000000002</v>
      </c>
      <c r="M5969" s="147">
        <v>0.217</v>
      </c>
      <c r="N5969" s="147">
        <v>6.7079899999999997</v>
      </c>
      <c r="O5969" s="147">
        <v>3091.2396313364056</v>
      </c>
      <c r="P5969" s="147">
        <v>1.37934</v>
      </c>
      <c r="Q5969" s="147">
        <v>5.5456500000000002</v>
      </c>
      <c r="R5969" s="147">
        <v>402.05098090391056</v>
      </c>
    </row>
    <row r="5970" spans="2:18" ht="15.75" hidden="1" thickBot="1" x14ac:dyDescent="0.3">
      <c r="B5970" s="723" t="s">
        <v>862</v>
      </c>
      <c r="C5970" s="722" t="s">
        <v>633</v>
      </c>
      <c r="D5970" t="s">
        <v>634</v>
      </c>
      <c r="E5970" s="728"/>
      <c r="F5970" s="728"/>
      <c r="G5970" s="728"/>
      <c r="H5970" s="728"/>
      <c r="I5970" s="728"/>
      <c r="J5970" s="728"/>
      <c r="K5970" s="728"/>
      <c r="L5970" s="148">
        <v>0.10299999999999999</v>
      </c>
      <c r="M5970" s="148">
        <v>1.35</v>
      </c>
      <c r="N5970" s="148">
        <v>-1.2470000000000001</v>
      </c>
      <c r="O5970" s="148">
        <v>-92.370370370370367</v>
      </c>
      <c r="P5970" s="148">
        <v>2.5000000000000001E-2</v>
      </c>
      <c r="Q5970" s="148">
        <v>7.8E-2</v>
      </c>
      <c r="R5970" s="148">
        <v>312</v>
      </c>
    </row>
    <row r="5971" spans="2:18" ht="15.75" hidden="1" thickBot="1" x14ac:dyDescent="0.3">
      <c r="B5971" s="723" t="s">
        <v>862</v>
      </c>
      <c r="C5971" s="722" t="s">
        <v>145</v>
      </c>
      <c r="D5971" t="s">
        <v>146</v>
      </c>
      <c r="E5971" s="147">
        <v>0.49769999999999998</v>
      </c>
      <c r="F5971" s="147">
        <v>0.46250000000000002</v>
      </c>
      <c r="G5971" s="147">
        <v>3.5200000000000002E-2</v>
      </c>
      <c r="H5971" s="147">
        <v>7.6108108108108112</v>
      </c>
      <c r="I5971" s="729"/>
      <c r="J5971" s="147">
        <v>0.49769999999999998</v>
      </c>
      <c r="K5971" s="147">
        <v>0</v>
      </c>
      <c r="L5971" s="147">
        <v>5.24946</v>
      </c>
      <c r="M5971" s="147">
        <v>3.96387</v>
      </c>
      <c r="N5971" s="147">
        <v>1.28559</v>
      </c>
      <c r="O5971" s="147">
        <v>32.432698347826744</v>
      </c>
      <c r="P5971" s="147">
        <v>3.0400399999999999</v>
      </c>
      <c r="Q5971" s="147">
        <v>2.2094200000000002</v>
      </c>
      <c r="R5971" s="147">
        <v>72.677333192984307</v>
      </c>
    </row>
    <row r="5972" spans="2:18" ht="15.75" hidden="1" thickBot="1" x14ac:dyDescent="0.3">
      <c r="B5972" s="723" t="s">
        <v>862</v>
      </c>
      <c r="C5972" s="722" t="s">
        <v>147</v>
      </c>
      <c r="D5972" t="s">
        <v>148</v>
      </c>
      <c r="E5972" s="148">
        <v>1.9E-2</v>
      </c>
      <c r="F5972" s="728"/>
      <c r="G5972" s="148">
        <v>1.9E-2</v>
      </c>
      <c r="H5972" s="148">
        <v>0</v>
      </c>
      <c r="I5972" s="728"/>
      <c r="J5972" s="148">
        <v>1.9E-2</v>
      </c>
      <c r="K5972" s="148">
        <v>0</v>
      </c>
      <c r="L5972" s="148">
        <v>0.92071999999999998</v>
      </c>
      <c r="M5972" s="728"/>
      <c r="N5972" s="148">
        <v>0.92071999999999998</v>
      </c>
      <c r="O5972" s="148">
        <v>0</v>
      </c>
      <c r="P5972" s="148">
        <v>0.59167999999999998</v>
      </c>
      <c r="Q5972" s="148">
        <v>0.32904</v>
      </c>
      <c r="R5972" s="148">
        <v>55.61114115738237</v>
      </c>
    </row>
    <row r="5973" spans="2:18" ht="15.75" hidden="1" thickBot="1" x14ac:dyDescent="0.3">
      <c r="B5973" s="723" t="s">
        <v>862</v>
      </c>
      <c r="C5973" s="722" t="s">
        <v>203</v>
      </c>
      <c r="D5973" t="s">
        <v>204</v>
      </c>
      <c r="E5973" s="729"/>
      <c r="F5973" s="729"/>
      <c r="G5973" s="729"/>
      <c r="H5973" s="729"/>
      <c r="I5973" s="729"/>
      <c r="J5973" s="729"/>
      <c r="K5973" s="729"/>
      <c r="L5973" s="147">
        <v>0.185</v>
      </c>
      <c r="M5973" s="729"/>
      <c r="N5973" s="147">
        <v>0.185</v>
      </c>
      <c r="O5973" s="147">
        <v>0</v>
      </c>
      <c r="P5973" s="147">
        <v>0.185</v>
      </c>
      <c r="Q5973" s="147">
        <v>0</v>
      </c>
      <c r="R5973" s="147">
        <v>0</v>
      </c>
    </row>
    <row r="5974" spans="2:18" ht="15.75" hidden="1" thickBot="1" x14ac:dyDescent="0.3">
      <c r="B5974" s="723" t="s">
        <v>862</v>
      </c>
      <c r="C5974" s="722" t="s">
        <v>643</v>
      </c>
      <c r="D5974" t="s">
        <v>644</v>
      </c>
      <c r="E5974" s="728"/>
      <c r="F5974" s="728"/>
      <c r="G5974" s="728"/>
      <c r="H5974" s="728"/>
      <c r="I5974" s="728"/>
      <c r="J5974" s="728"/>
      <c r="K5974" s="728"/>
      <c r="L5974" s="148">
        <v>0</v>
      </c>
      <c r="M5974" s="728"/>
      <c r="N5974" s="148">
        <v>0</v>
      </c>
      <c r="O5974" s="148">
        <v>0</v>
      </c>
      <c r="P5974" s="728"/>
      <c r="Q5974" s="148">
        <v>0</v>
      </c>
      <c r="R5974" s="148">
        <v>0</v>
      </c>
    </row>
    <row r="5975" spans="2:18" ht="15.75" hidden="1" thickBot="1" x14ac:dyDescent="0.3">
      <c r="B5975" s="723" t="s">
        <v>862</v>
      </c>
      <c r="C5975" s="722" t="s">
        <v>149</v>
      </c>
      <c r="D5975" t="s">
        <v>150</v>
      </c>
      <c r="E5975" s="729"/>
      <c r="F5975" s="147">
        <v>21.827120000000001</v>
      </c>
      <c r="G5975" s="147">
        <v>-21.827120000000001</v>
      </c>
      <c r="H5975" s="147">
        <v>-100</v>
      </c>
      <c r="I5975" s="729"/>
      <c r="J5975" s="729"/>
      <c r="K5975" s="729"/>
      <c r="L5975" s="147">
        <v>127.06224</v>
      </c>
      <c r="M5975" s="147">
        <v>125.425</v>
      </c>
      <c r="N5975" s="147">
        <v>1.63724</v>
      </c>
      <c r="O5975" s="147">
        <v>1.3053537970898943</v>
      </c>
      <c r="P5975" s="147">
        <v>75.287239999999997</v>
      </c>
      <c r="Q5975" s="147">
        <v>51.774999999999999</v>
      </c>
      <c r="R5975" s="147">
        <v>68.769953580447364</v>
      </c>
    </row>
    <row r="5976" spans="2:18" ht="15.75" hidden="1" thickBot="1" x14ac:dyDescent="0.3">
      <c r="B5976" s="723" t="s">
        <v>862</v>
      </c>
      <c r="C5976" s="722" t="s">
        <v>481</v>
      </c>
      <c r="D5976" t="s">
        <v>482</v>
      </c>
      <c r="E5976" s="148">
        <v>0.24229999999999999</v>
      </c>
      <c r="F5976" s="148">
        <v>1.0410000000000001E-2</v>
      </c>
      <c r="G5976" s="148">
        <v>0.23189000000000001</v>
      </c>
      <c r="H5976" s="148">
        <v>2227.5696445725266</v>
      </c>
      <c r="I5976" s="728"/>
      <c r="J5976" s="148">
        <v>0.24229999999999999</v>
      </c>
      <c r="K5976" s="148">
        <v>0</v>
      </c>
      <c r="L5976" s="148">
        <v>2.7771499999999998</v>
      </c>
      <c r="M5976" s="148">
        <v>0.125</v>
      </c>
      <c r="N5976" s="148">
        <v>2.6521499999999998</v>
      </c>
      <c r="O5976" s="148">
        <v>2121.7199999999998</v>
      </c>
      <c r="P5976" s="148">
        <v>1.37503</v>
      </c>
      <c r="Q5976" s="148">
        <v>1.40212</v>
      </c>
      <c r="R5976" s="148">
        <v>101.97013883333454</v>
      </c>
    </row>
    <row r="5977" spans="2:18" ht="15.75" hidden="1" thickBot="1" x14ac:dyDescent="0.3">
      <c r="B5977" s="723" t="s">
        <v>862</v>
      </c>
      <c r="C5977" s="722" t="s">
        <v>153</v>
      </c>
      <c r="D5977" t="s">
        <v>154</v>
      </c>
      <c r="E5977" s="729"/>
      <c r="F5977" s="147">
        <v>0</v>
      </c>
      <c r="G5977" s="147">
        <v>0</v>
      </c>
      <c r="H5977" s="147">
        <v>0</v>
      </c>
      <c r="I5977" s="729"/>
      <c r="J5977" s="729"/>
      <c r="K5977" s="729"/>
      <c r="L5977" s="147">
        <v>2.5</v>
      </c>
      <c r="M5977" s="147">
        <v>3</v>
      </c>
      <c r="N5977" s="147">
        <v>-0.5</v>
      </c>
      <c r="O5977" s="147">
        <v>-16.666666666666668</v>
      </c>
      <c r="P5977" s="147">
        <v>2.5</v>
      </c>
      <c r="Q5977" s="147">
        <v>0</v>
      </c>
      <c r="R5977" s="147">
        <v>0</v>
      </c>
    </row>
    <row r="5978" spans="2:18" ht="15.75" hidden="1" thickBot="1" x14ac:dyDescent="0.3">
      <c r="B5978" s="723" t="s">
        <v>862</v>
      </c>
      <c r="C5978" s="722" t="s">
        <v>75</v>
      </c>
      <c r="D5978" t="s">
        <v>76</v>
      </c>
      <c r="E5978" s="148">
        <v>22.497820000000001</v>
      </c>
      <c r="F5978" s="148">
        <v>6.9542400000000004</v>
      </c>
      <c r="G5978" s="148">
        <v>15.54358</v>
      </c>
      <c r="H5978" s="148">
        <v>223.51227452604454</v>
      </c>
      <c r="I5978" s="728"/>
      <c r="J5978" s="148">
        <v>22.497820000000001</v>
      </c>
      <c r="K5978" s="148">
        <v>0</v>
      </c>
      <c r="L5978" s="148">
        <v>119.55476</v>
      </c>
      <c r="M5978" s="148">
        <v>76.832080000000005</v>
      </c>
      <c r="N5978" s="148">
        <v>42.722679999999997</v>
      </c>
      <c r="O5978" s="148">
        <v>55.605262801683878</v>
      </c>
      <c r="P5978" s="148">
        <v>52.674610000000001</v>
      </c>
      <c r="Q5978" s="148">
        <v>66.88015</v>
      </c>
      <c r="R5978" s="148">
        <v>126.96847684301791</v>
      </c>
    </row>
    <row r="5979" spans="2:18" ht="15.75" hidden="1" thickBot="1" x14ac:dyDescent="0.3">
      <c r="B5979" s="723" t="s">
        <v>862</v>
      </c>
      <c r="C5979" s="722" t="s">
        <v>121</v>
      </c>
      <c r="D5979" t="s">
        <v>122</v>
      </c>
      <c r="E5979" s="147">
        <v>0.75439000000000001</v>
      </c>
      <c r="F5979" s="147">
        <v>2.3300399999999999</v>
      </c>
      <c r="G5979" s="147">
        <v>-1.57565</v>
      </c>
      <c r="H5979" s="147">
        <v>-67.623302604247144</v>
      </c>
      <c r="I5979" s="729"/>
      <c r="J5979" s="147">
        <v>0.75439000000000001</v>
      </c>
      <c r="K5979" s="147">
        <v>0</v>
      </c>
      <c r="L5979" s="147">
        <v>8.2157999999999998</v>
      </c>
      <c r="M5979" s="147">
        <v>49.050040000000003</v>
      </c>
      <c r="N5979" s="147">
        <v>-40.834240000000001</v>
      </c>
      <c r="O5979" s="147">
        <v>-83.250166564594039</v>
      </c>
      <c r="P5979" s="147">
        <v>6.14696</v>
      </c>
      <c r="Q5979" s="147">
        <v>2.0688399999999998</v>
      </c>
      <c r="R5979" s="147">
        <v>33.656311412470558</v>
      </c>
    </row>
    <row r="5980" spans="2:18" ht="15.75" hidden="1" thickBot="1" x14ac:dyDescent="0.3">
      <c r="B5980" s="723" t="s">
        <v>862</v>
      </c>
      <c r="C5980" s="722" t="s">
        <v>77</v>
      </c>
      <c r="D5980" t="s">
        <v>78</v>
      </c>
      <c r="E5980" s="148">
        <v>2.1047799999999999</v>
      </c>
      <c r="F5980" s="148">
        <v>5.0358000000000001</v>
      </c>
      <c r="G5980" s="148">
        <v>-2.9310200000000002</v>
      </c>
      <c r="H5980" s="148">
        <v>-58.203661781643433</v>
      </c>
      <c r="I5980" s="728"/>
      <c r="J5980" s="148">
        <v>2.1047799999999999</v>
      </c>
      <c r="K5980" s="148">
        <v>0</v>
      </c>
      <c r="L5980" s="148">
        <v>70.683660000000003</v>
      </c>
      <c r="M5980" s="148">
        <v>74.423829999999995</v>
      </c>
      <c r="N5980" s="148">
        <v>-3.74017</v>
      </c>
      <c r="O5980" s="148">
        <v>-5.0255005688366214</v>
      </c>
      <c r="P5980" s="148">
        <v>46.999749999999999</v>
      </c>
      <c r="Q5980" s="148">
        <v>23.683910000000001</v>
      </c>
      <c r="R5980" s="148">
        <v>50.391565912584639</v>
      </c>
    </row>
    <row r="5981" spans="2:18" ht="15.75" hidden="1" thickBot="1" x14ac:dyDescent="0.3">
      <c r="B5981" s="723" t="s">
        <v>862</v>
      </c>
      <c r="C5981" s="722" t="s">
        <v>79</v>
      </c>
      <c r="D5981" t="s">
        <v>80</v>
      </c>
      <c r="E5981" s="147">
        <v>12.6746</v>
      </c>
      <c r="F5981" s="147">
        <v>8.9625000000000004</v>
      </c>
      <c r="G5981" s="147">
        <v>3.7121</v>
      </c>
      <c r="H5981" s="147">
        <v>41.41813110181311</v>
      </c>
      <c r="I5981" s="729"/>
      <c r="J5981" s="147">
        <v>12.6746</v>
      </c>
      <c r="K5981" s="147">
        <v>0</v>
      </c>
      <c r="L5981" s="147">
        <v>92.450620000000001</v>
      </c>
      <c r="M5981" s="147">
        <v>107.85353000000001</v>
      </c>
      <c r="N5981" s="147">
        <v>-15.40291</v>
      </c>
      <c r="O5981" s="147">
        <v>-14.281322085609993</v>
      </c>
      <c r="P5981" s="147">
        <v>42.559649999999998</v>
      </c>
      <c r="Q5981" s="147">
        <v>49.890970000000003</v>
      </c>
      <c r="R5981" s="147">
        <v>117.22598752574328</v>
      </c>
    </row>
    <row r="5982" spans="2:18" ht="15.75" hidden="1" thickBot="1" x14ac:dyDescent="0.3">
      <c r="B5982" s="723" t="s">
        <v>862</v>
      </c>
      <c r="C5982" s="722" t="s">
        <v>81</v>
      </c>
      <c r="D5982" t="s">
        <v>82</v>
      </c>
      <c r="E5982" s="148">
        <v>18.959070000000001</v>
      </c>
      <c r="F5982" s="148">
        <v>1.80837</v>
      </c>
      <c r="G5982" s="148">
        <v>17.150700000000001</v>
      </c>
      <c r="H5982" s="148">
        <v>948.40657608785807</v>
      </c>
      <c r="I5982" s="728"/>
      <c r="J5982" s="148">
        <v>18.959070000000001</v>
      </c>
      <c r="K5982" s="148">
        <v>0</v>
      </c>
      <c r="L5982" s="148">
        <v>37.61497</v>
      </c>
      <c r="M5982" s="148">
        <v>12.3</v>
      </c>
      <c r="N5982" s="148">
        <v>25.314969999999999</v>
      </c>
      <c r="O5982" s="148">
        <v>205.81276422764228</v>
      </c>
      <c r="P5982" s="148">
        <v>9.2369599999999998</v>
      </c>
      <c r="Q5982" s="148">
        <v>28.37801</v>
      </c>
      <c r="R5982" s="148">
        <v>307.22239784517848</v>
      </c>
    </row>
    <row r="5983" spans="2:18" ht="15.75" hidden="1" thickBot="1" x14ac:dyDescent="0.3">
      <c r="B5983" s="723" t="s">
        <v>862</v>
      </c>
      <c r="C5983" s="722" t="s">
        <v>123</v>
      </c>
      <c r="D5983" t="s">
        <v>124</v>
      </c>
      <c r="E5983" s="147">
        <v>12.26304</v>
      </c>
      <c r="F5983" s="147">
        <v>1</v>
      </c>
      <c r="G5983" s="147">
        <v>11.26304</v>
      </c>
      <c r="H5983" s="147">
        <v>1126.3040000000001</v>
      </c>
      <c r="I5983" s="729"/>
      <c r="J5983" s="147">
        <v>12.26304</v>
      </c>
      <c r="K5983" s="147">
        <v>0</v>
      </c>
      <c r="L5983" s="147">
        <v>16.669830000000001</v>
      </c>
      <c r="M5983" s="147">
        <v>2</v>
      </c>
      <c r="N5983" s="147">
        <v>14.669829999999999</v>
      </c>
      <c r="O5983" s="147">
        <v>733.49149999999997</v>
      </c>
      <c r="P5983" s="147">
        <v>2.8278099999999999</v>
      </c>
      <c r="Q5983" s="147">
        <v>13.84202</v>
      </c>
      <c r="R5983" s="147">
        <v>489.49611183212448</v>
      </c>
    </row>
    <row r="5984" spans="2:18" ht="15.75" hidden="1" thickBot="1" x14ac:dyDescent="0.3">
      <c r="B5984" s="723" t="s">
        <v>862</v>
      </c>
      <c r="C5984" s="722" t="s">
        <v>125</v>
      </c>
      <c r="D5984" t="s">
        <v>126</v>
      </c>
      <c r="E5984" s="148">
        <v>0.63997999999999999</v>
      </c>
      <c r="F5984" s="728"/>
      <c r="G5984" s="148">
        <v>0.63997999999999999</v>
      </c>
      <c r="H5984" s="148">
        <v>0</v>
      </c>
      <c r="I5984" s="728"/>
      <c r="J5984" s="148">
        <v>0.63997999999999999</v>
      </c>
      <c r="K5984" s="148">
        <v>0</v>
      </c>
      <c r="L5984" s="148">
        <v>1.14392</v>
      </c>
      <c r="M5984" s="728"/>
      <c r="N5984" s="148">
        <v>1.14392</v>
      </c>
      <c r="O5984" s="148">
        <v>0</v>
      </c>
      <c r="P5984" s="148">
        <v>0.37894</v>
      </c>
      <c r="Q5984" s="148">
        <v>0.76497999999999999</v>
      </c>
      <c r="R5984" s="148">
        <v>201.87364754314666</v>
      </c>
    </row>
    <row r="5985" spans="2:18" ht="15.75" hidden="1" thickBot="1" x14ac:dyDescent="0.3">
      <c r="B5985" s="723" t="s">
        <v>862</v>
      </c>
      <c r="C5985" s="722" t="s">
        <v>695</v>
      </c>
      <c r="D5985" t="s">
        <v>696</v>
      </c>
      <c r="E5985" s="729"/>
      <c r="F5985" s="729"/>
      <c r="G5985" s="729"/>
      <c r="H5985" s="729"/>
      <c r="I5985" s="729"/>
      <c r="J5985" s="729"/>
      <c r="K5985" s="729"/>
      <c r="L5985" s="147">
        <v>0</v>
      </c>
      <c r="M5985" s="729"/>
      <c r="N5985" s="147">
        <v>0</v>
      </c>
      <c r="O5985" s="147">
        <v>0</v>
      </c>
      <c r="P5985" s="729"/>
      <c r="Q5985" s="147">
        <v>0</v>
      </c>
      <c r="R5985" s="147">
        <v>0</v>
      </c>
    </row>
    <row r="5986" spans="2:18" ht="15.75" hidden="1" thickBot="1" x14ac:dyDescent="0.3">
      <c r="B5986" s="723" t="s">
        <v>862</v>
      </c>
      <c r="C5986" s="722" t="s">
        <v>83</v>
      </c>
      <c r="D5986" t="s">
        <v>84</v>
      </c>
      <c r="E5986" s="728"/>
      <c r="F5986" s="148">
        <v>9.7375699999999998</v>
      </c>
      <c r="G5986" s="148">
        <v>-9.7375699999999998</v>
      </c>
      <c r="H5986" s="148">
        <v>-100</v>
      </c>
      <c r="I5986" s="728"/>
      <c r="J5986" s="728"/>
      <c r="K5986" s="728"/>
      <c r="L5986" s="728"/>
      <c r="M5986" s="148">
        <v>117.676</v>
      </c>
      <c r="N5986" s="148">
        <v>-117.676</v>
      </c>
      <c r="O5986" s="148">
        <v>-100</v>
      </c>
      <c r="P5986" s="728"/>
      <c r="Q5986" s="728"/>
      <c r="R5986" s="728"/>
    </row>
    <row r="5987" spans="2:18" ht="15.75" hidden="1" thickBot="1" x14ac:dyDescent="0.3">
      <c r="B5987" s="723" t="s">
        <v>862</v>
      </c>
      <c r="C5987" s="149" t="s">
        <v>85</v>
      </c>
      <c r="D5987" t="s">
        <v>86</v>
      </c>
      <c r="E5987" s="147">
        <v>91.461240000000004</v>
      </c>
      <c r="F5987" s="147">
        <v>69.90155</v>
      </c>
      <c r="G5987" s="147">
        <v>21.55969</v>
      </c>
      <c r="H5987" s="147">
        <v>30.84293552861131</v>
      </c>
      <c r="I5987" s="729"/>
      <c r="J5987" s="147">
        <v>91.461240000000004</v>
      </c>
      <c r="K5987" s="147">
        <v>0</v>
      </c>
      <c r="L5987" s="147">
        <v>607.05448999999999</v>
      </c>
      <c r="M5987" s="147">
        <v>657.53319999999997</v>
      </c>
      <c r="N5987" s="147">
        <v>-50.47871</v>
      </c>
      <c r="O5987" s="147">
        <v>-7.6769826983641281</v>
      </c>
      <c r="P5987" s="147">
        <v>307.74770999999998</v>
      </c>
      <c r="Q5987" s="147">
        <v>299.30678</v>
      </c>
      <c r="R5987" s="147">
        <v>97.257191613221096</v>
      </c>
    </row>
    <row r="5988" spans="2:18" ht="15.75" hidden="1" thickBot="1" x14ac:dyDescent="0.3">
      <c r="B5988" s="723" t="s">
        <v>862</v>
      </c>
      <c r="C5988" s="144" t="s">
        <v>87</v>
      </c>
      <c r="D5988" t="s">
        <v>87</v>
      </c>
      <c r="E5988" s="148">
        <v>616.16966000000002</v>
      </c>
      <c r="F5988" s="148">
        <v>707.53315999999995</v>
      </c>
      <c r="G5988" s="148">
        <v>-91.363500000000002</v>
      </c>
      <c r="H5988" s="148">
        <v>-12.912963683567849</v>
      </c>
      <c r="I5988" s="728"/>
      <c r="J5988" s="148">
        <v>616.16966000000002</v>
      </c>
      <c r="K5988" s="148">
        <v>0</v>
      </c>
      <c r="L5988" s="148">
        <v>7581.4427999999998</v>
      </c>
      <c r="M5988" s="148">
        <v>8268.9710400000004</v>
      </c>
      <c r="N5988" s="148">
        <v>-687.52823999999998</v>
      </c>
      <c r="O5988" s="148">
        <v>-8.3145561482097055</v>
      </c>
      <c r="P5988" s="148">
        <v>3861.6265800000001</v>
      </c>
      <c r="Q5988" s="148">
        <v>3719.8162200000002</v>
      </c>
      <c r="R5988" s="148">
        <v>96.327703959402513</v>
      </c>
    </row>
    <row r="5989" spans="2:18" ht="15.75" hidden="1" thickBot="1" x14ac:dyDescent="0.3">
      <c r="B5989" s="724" t="s">
        <v>863</v>
      </c>
      <c r="C5989" s="722" t="s">
        <v>69</v>
      </c>
      <c r="D5989" t="s">
        <v>70</v>
      </c>
      <c r="E5989" s="729"/>
      <c r="F5989" s="729"/>
      <c r="G5989" s="729"/>
      <c r="H5989" s="729"/>
      <c r="I5989" s="729"/>
      <c r="J5989" s="729"/>
      <c r="K5989" s="729"/>
      <c r="L5989" s="729"/>
      <c r="M5989" s="147">
        <v>0</v>
      </c>
      <c r="N5989" s="147">
        <v>0</v>
      </c>
      <c r="O5989" s="147">
        <v>0</v>
      </c>
      <c r="P5989" s="729"/>
      <c r="Q5989" s="729"/>
      <c r="R5989" s="729"/>
    </row>
    <row r="5990" spans="2:18" ht="15.75" hidden="1" thickBot="1" x14ac:dyDescent="0.3">
      <c r="B5990" s="724" t="s">
        <v>863</v>
      </c>
      <c r="C5990" s="722" t="s">
        <v>101</v>
      </c>
      <c r="D5990" t="s">
        <v>102</v>
      </c>
      <c r="E5990" s="728"/>
      <c r="F5990" s="728"/>
      <c r="G5990" s="728"/>
      <c r="H5990" s="728"/>
      <c r="I5990" s="728"/>
      <c r="J5990" s="728"/>
      <c r="K5990" s="728"/>
      <c r="L5990" s="148">
        <v>0.38588</v>
      </c>
      <c r="M5990" s="728"/>
      <c r="N5990" s="148">
        <v>0.38588</v>
      </c>
      <c r="O5990" s="148">
        <v>0</v>
      </c>
      <c r="P5990" s="148">
        <v>0.38588</v>
      </c>
      <c r="Q5990" s="148">
        <v>0</v>
      </c>
      <c r="R5990" s="148">
        <v>0</v>
      </c>
    </row>
    <row r="5991" spans="2:18" ht="15.75" hidden="1" thickBot="1" x14ac:dyDescent="0.3">
      <c r="B5991" s="724" t="s">
        <v>863</v>
      </c>
      <c r="C5991" s="722" t="s">
        <v>633</v>
      </c>
      <c r="D5991" t="s">
        <v>634</v>
      </c>
      <c r="E5991" s="729"/>
      <c r="F5991" s="729"/>
      <c r="G5991" s="729"/>
      <c r="H5991" s="729"/>
      <c r="I5991" s="729"/>
      <c r="J5991" s="729"/>
      <c r="K5991" s="729"/>
      <c r="L5991" s="729"/>
      <c r="M5991" s="147">
        <v>0</v>
      </c>
      <c r="N5991" s="147">
        <v>0</v>
      </c>
      <c r="O5991" s="147">
        <v>0</v>
      </c>
      <c r="P5991" s="729"/>
      <c r="Q5991" s="729"/>
      <c r="R5991" s="729"/>
    </row>
    <row r="5992" spans="2:18" ht="15.75" hidden="1" thickBot="1" x14ac:dyDescent="0.3">
      <c r="B5992" s="724" t="s">
        <v>863</v>
      </c>
      <c r="C5992" s="722" t="s">
        <v>147</v>
      </c>
      <c r="D5992" t="s">
        <v>148</v>
      </c>
      <c r="E5992" s="728"/>
      <c r="F5992" s="728"/>
      <c r="G5992" s="728"/>
      <c r="H5992" s="728"/>
      <c r="I5992" s="728"/>
      <c r="J5992" s="728"/>
      <c r="K5992" s="728"/>
      <c r="L5992" s="148">
        <v>5.8999999999999997E-2</v>
      </c>
      <c r="M5992" s="728"/>
      <c r="N5992" s="148">
        <v>5.8999999999999997E-2</v>
      </c>
      <c r="O5992" s="148">
        <v>0</v>
      </c>
      <c r="P5992" s="148">
        <v>5.8999999999999997E-2</v>
      </c>
      <c r="Q5992" s="148">
        <v>0</v>
      </c>
      <c r="R5992" s="148">
        <v>0</v>
      </c>
    </row>
    <row r="5993" spans="2:18" ht="15.75" hidden="1" thickBot="1" x14ac:dyDescent="0.3">
      <c r="B5993" s="724" t="s">
        <v>863</v>
      </c>
      <c r="C5993" s="722" t="s">
        <v>75</v>
      </c>
      <c r="D5993" t="s">
        <v>76</v>
      </c>
      <c r="E5993" s="729"/>
      <c r="F5993" s="147">
        <v>0</v>
      </c>
      <c r="G5993" s="147">
        <v>0</v>
      </c>
      <c r="H5993" s="147">
        <v>0</v>
      </c>
      <c r="I5993" s="729"/>
      <c r="J5993" s="729"/>
      <c r="K5993" s="729"/>
      <c r="L5993" s="147">
        <v>0.17019999999999999</v>
      </c>
      <c r="M5993" s="147">
        <v>5</v>
      </c>
      <c r="N5993" s="147">
        <v>-4.8297999999999996</v>
      </c>
      <c r="O5993" s="147">
        <v>-96.596000000000004</v>
      </c>
      <c r="P5993" s="147">
        <v>0.17019999999999999</v>
      </c>
      <c r="Q5993" s="147">
        <v>0</v>
      </c>
      <c r="R5993" s="147">
        <v>0</v>
      </c>
    </row>
    <row r="5994" spans="2:18" ht="15.75" hidden="1" thickBot="1" x14ac:dyDescent="0.3">
      <c r="B5994" s="724" t="s">
        <v>863</v>
      </c>
      <c r="C5994" s="722" t="s">
        <v>121</v>
      </c>
      <c r="D5994" t="s">
        <v>122</v>
      </c>
      <c r="E5994" s="728"/>
      <c r="F5994" s="148">
        <v>0</v>
      </c>
      <c r="G5994" s="148">
        <v>0</v>
      </c>
      <c r="H5994" s="148">
        <v>0</v>
      </c>
      <c r="I5994" s="728"/>
      <c r="J5994" s="728"/>
      <c r="K5994" s="728"/>
      <c r="L5994" s="728"/>
      <c r="M5994" s="148">
        <v>0</v>
      </c>
      <c r="N5994" s="148">
        <v>0</v>
      </c>
      <c r="O5994" s="148">
        <v>0</v>
      </c>
      <c r="P5994" s="728"/>
      <c r="Q5994" s="728"/>
      <c r="R5994" s="728"/>
    </row>
    <row r="5995" spans="2:18" ht="15.75" hidden="1" thickBot="1" x14ac:dyDescent="0.3">
      <c r="B5995" s="724" t="s">
        <v>863</v>
      </c>
      <c r="C5995" s="722" t="s">
        <v>79</v>
      </c>
      <c r="D5995" t="s">
        <v>80</v>
      </c>
      <c r="E5995" s="729"/>
      <c r="F5995" s="147">
        <v>0</v>
      </c>
      <c r="G5995" s="147">
        <v>0</v>
      </c>
      <c r="H5995" s="147">
        <v>0</v>
      </c>
      <c r="I5995" s="729"/>
      <c r="J5995" s="729"/>
      <c r="K5995" s="729"/>
      <c r="L5995" s="729"/>
      <c r="M5995" s="147">
        <v>0</v>
      </c>
      <c r="N5995" s="147">
        <v>0</v>
      </c>
      <c r="O5995" s="147">
        <v>0</v>
      </c>
      <c r="P5995" s="729"/>
      <c r="Q5995" s="729"/>
      <c r="R5995" s="729"/>
    </row>
    <row r="5996" spans="2:18" ht="15.75" hidden="1" thickBot="1" x14ac:dyDescent="0.3">
      <c r="B5996" s="724" t="s">
        <v>863</v>
      </c>
      <c r="C5996" s="722" t="s">
        <v>81</v>
      </c>
      <c r="D5996" t="s">
        <v>82</v>
      </c>
      <c r="E5996" s="728"/>
      <c r="F5996" s="728"/>
      <c r="G5996" s="728"/>
      <c r="H5996" s="728"/>
      <c r="I5996" s="728"/>
      <c r="J5996" s="728"/>
      <c r="K5996" s="728"/>
      <c r="L5996" s="148">
        <v>2.0099999999999998</v>
      </c>
      <c r="M5996" s="728"/>
      <c r="N5996" s="148">
        <v>2.0099999999999998</v>
      </c>
      <c r="O5996" s="148">
        <v>0</v>
      </c>
      <c r="P5996" s="148">
        <v>2.0099999999999998</v>
      </c>
      <c r="Q5996" s="148">
        <v>0</v>
      </c>
      <c r="R5996" s="148">
        <v>0</v>
      </c>
    </row>
    <row r="5997" spans="2:18" ht="15.75" hidden="1" thickBot="1" x14ac:dyDescent="0.3">
      <c r="B5997" s="724" t="s">
        <v>863</v>
      </c>
      <c r="C5997" s="722" t="s">
        <v>123</v>
      </c>
      <c r="D5997" t="s">
        <v>124</v>
      </c>
      <c r="E5997" s="729"/>
      <c r="F5997" s="729"/>
      <c r="G5997" s="729"/>
      <c r="H5997" s="729"/>
      <c r="I5997" s="729"/>
      <c r="J5997" s="729"/>
      <c r="K5997" s="729"/>
      <c r="L5997" s="147">
        <v>1.2926</v>
      </c>
      <c r="M5997" s="729"/>
      <c r="N5997" s="147">
        <v>1.2926</v>
      </c>
      <c r="O5997" s="147">
        <v>0</v>
      </c>
      <c r="P5997" s="147">
        <v>1.2926</v>
      </c>
      <c r="Q5997" s="147">
        <v>0</v>
      </c>
      <c r="R5997" s="147">
        <v>0</v>
      </c>
    </row>
    <row r="5998" spans="2:18" ht="15.75" hidden="1" thickBot="1" x14ac:dyDescent="0.3">
      <c r="B5998" s="724" t="s">
        <v>863</v>
      </c>
      <c r="C5998" s="722" t="s">
        <v>83</v>
      </c>
      <c r="D5998" t="s">
        <v>84</v>
      </c>
      <c r="E5998" s="728"/>
      <c r="F5998" s="148">
        <v>0</v>
      </c>
      <c r="G5998" s="148">
        <v>0</v>
      </c>
      <c r="H5998" s="148">
        <v>0</v>
      </c>
      <c r="I5998" s="728"/>
      <c r="J5998" s="728"/>
      <c r="K5998" s="728"/>
      <c r="L5998" s="728"/>
      <c r="M5998" s="148">
        <v>0</v>
      </c>
      <c r="N5998" s="148">
        <v>0</v>
      </c>
      <c r="O5998" s="148">
        <v>0</v>
      </c>
      <c r="P5998" s="728"/>
      <c r="Q5998" s="728"/>
      <c r="R5998" s="728"/>
    </row>
    <row r="5999" spans="2:18" ht="15.75" hidden="1" thickBot="1" x14ac:dyDescent="0.3">
      <c r="B5999" s="724" t="s">
        <v>863</v>
      </c>
      <c r="C5999" s="149" t="s">
        <v>85</v>
      </c>
      <c r="D5999" t="s">
        <v>86</v>
      </c>
      <c r="E5999" s="729"/>
      <c r="F5999" s="147">
        <v>0</v>
      </c>
      <c r="G5999" s="147">
        <v>0</v>
      </c>
      <c r="H5999" s="147">
        <v>0</v>
      </c>
      <c r="I5999" s="729"/>
      <c r="J5999" s="729"/>
      <c r="K5999" s="729"/>
      <c r="L5999" s="147">
        <v>3.9176799999999998</v>
      </c>
      <c r="M5999" s="147">
        <v>5</v>
      </c>
      <c r="N5999" s="147">
        <v>-1.0823199999999999</v>
      </c>
      <c r="O5999" s="147">
        <v>-21.6464</v>
      </c>
      <c r="P5999" s="147">
        <v>3.9176799999999998</v>
      </c>
      <c r="Q5999" s="147">
        <v>0</v>
      </c>
      <c r="R5999" s="147">
        <v>0</v>
      </c>
    </row>
    <row r="6000" spans="2:18" ht="15.75" hidden="1" thickBot="1" x14ac:dyDescent="0.3">
      <c r="B6000" s="724" t="s">
        <v>863</v>
      </c>
      <c r="C6000" s="144" t="s">
        <v>87</v>
      </c>
      <c r="D6000" t="s">
        <v>87</v>
      </c>
      <c r="E6000" s="728"/>
      <c r="F6000" s="148">
        <v>0</v>
      </c>
      <c r="G6000" s="148">
        <v>0</v>
      </c>
      <c r="H6000" s="148">
        <v>0</v>
      </c>
      <c r="I6000" s="728"/>
      <c r="J6000" s="728"/>
      <c r="K6000" s="728"/>
      <c r="L6000" s="148">
        <v>3.9176799999999998</v>
      </c>
      <c r="M6000" s="148">
        <v>5</v>
      </c>
      <c r="N6000" s="148">
        <v>-1.0823199999999999</v>
      </c>
      <c r="O6000" s="148">
        <v>-21.6464</v>
      </c>
      <c r="P6000" s="148">
        <v>3.9176799999999998</v>
      </c>
      <c r="Q6000" s="148">
        <v>0</v>
      </c>
      <c r="R6000" s="148">
        <v>0</v>
      </c>
    </row>
    <row r="6001" spans="2:18" ht="15.75" hidden="1" thickBot="1" x14ac:dyDescent="0.3">
      <c r="B6001" s="724" t="s">
        <v>864</v>
      </c>
      <c r="C6001" s="722" t="s">
        <v>137</v>
      </c>
      <c r="D6001" t="s">
        <v>138</v>
      </c>
      <c r="E6001" s="147">
        <v>0.91903000000000001</v>
      </c>
      <c r="F6001" s="147">
        <v>0.375</v>
      </c>
      <c r="G6001" s="147">
        <v>0.54403000000000001</v>
      </c>
      <c r="H6001" s="147">
        <v>145.07466666666667</v>
      </c>
      <c r="I6001" s="729"/>
      <c r="J6001" s="147">
        <v>0.91903000000000001</v>
      </c>
      <c r="K6001" s="147">
        <v>0</v>
      </c>
      <c r="L6001" s="147">
        <v>3.1047400000000001</v>
      </c>
      <c r="M6001" s="147">
        <v>2.7747299999999999</v>
      </c>
      <c r="N6001" s="147">
        <v>0.33001000000000003</v>
      </c>
      <c r="O6001" s="147">
        <v>11.893409448847276</v>
      </c>
      <c r="P6001" s="147">
        <v>0.66761000000000004</v>
      </c>
      <c r="Q6001" s="147">
        <v>2.4371299999999998</v>
      </c>
      <c r="R6001" s="147">
        <v>365.05295007564297</v>
      </c>
    </row>
    <row r="6002" spans="2:18" ht="15.75" hidden="1" thickBot="1" x14ac:dyDescent="0.3">
      <c r="B6002" s="724" t="s">
        <v>864</v>
      </c>
      <c r="C6002" s="722" t="s">
        <v>139</v>
      </c>
      <c r="D6002" t="s">
        <v>140</v>
      </c>
      <c r="E6002" s="728"/>
      <c r="F6002" s="728"/>
      <c r="G6002" s="728"/>
      <c r="H6002" s="728"/>
      <c r="I6002" s="728"/>
      <c r="J6002" s="728"/>
      <c r="K6002" s="728"/>
      <c r="L6002" s="148">
        <v>1.121</v>
      </c>
      <c r="M6002" s="728"/>
      <c r="N6002" s="148">
        <v>1.121</v>
      </c>
      <c r="O6002" s="148">
        <v>0</v>
      </c>
      <c r="P6002" s="148">
        <v>0.29499999999999998</v>
      </c>
      <c r="Q6002" s="148">
        <v>0.82599999999999996</v>
      </c>
      <c r="R6002" s="148">
        <v>280</v>
      </c>
    </row>
    <row r="6003" spans="2:18" ht="15.75" hidden="1" thickBot="1" x14ac:dyDescent="0.3">
      <c r="B6003" s="724" t="s">
        <v>864</v>
      </c>
      <c r="C6003" s="722" t="s">
        <v>103</v>
      </c>
      <c r="D6003" t="s">
        <v>104</v>
      </c>
      <c r="E6003" s="729"/>
      <c r="F6003" s="729"/>
      <c r="G6003" s="729"/>
      <c r="H6003" s="729"/>
      <c r="I6003" s="729"/>
      <c r="J6003" s="729"/>
      <c r="K6003" s="729"/>
      <c r="L6003" s="147">
        <v>2.5000000000000001E-2</v>
      </c>
      <c r="M6003" s="729"/>
      <c r="N6003" s="147">
        <v>2.5000000000000001E-2</v>
      </c>
      <c r="O6003" s="147">
        <v>0</v>
      </c>
      <c r="P6003" s="729"/>
      <c r="Q6003" s="147">
        <v>2.5000000000000001E-2</v>
      </c>
      <c r="R6003" s="147">
        <v>0</v>
      </c>
    </row>
    <row r="6004" spans="2:18" ht="15.75" hidden="1" thickBot="1" x14ac:dyDescent="0.3">
      <c r="B6004" s="724" t="s">
        <v>864</v>
      </c>
      <c r="C6004" s="722" t="s">
        <v>73</v>
      </c>
      <c r="D6004" t="s">
        <v>74</v>
      </c>
      <c r="E6004" s="728"/>
      <c r="F6004" s="728"/>
      <c r="G6004" s="728"/>
      <c r="H6004" s="728"/>
      <c r="I6004" s="728"/>
      <c r="J6004" s="728"/>
      <c r="K6004" s="728"/>
      <c r="L6004" s="148">
        <v>0.10173</v>
      </c>
      <c r="M6004" s="728"/>
      <c r="N6004" s="148">
        <v>0.10173</v>
      </c>
      <c r="O6004" s="148">
        <v>0</v>
      </c>
      <c r="P6004" s="728"/>
      <c r="Q6004" s="148">
        <v>0.10173</v>
      </c>
      <c r="R6004" s="148">
        <v>0</v>
      </c>
    </row>
    <row r="6005" spans="2:18" ht="15.75" hidden="1" thickBot="1" x14ac:dyDescent="0.3">
      <c r="B6005" s="724" t="s">
        <v>864</v>
      </c>
      <c r="C6005" s="722" t="s">
        <v>141</v>
      </c>
      <c r="D6005" t="s">
        <v>142</v>
      </c>
      <c r="E6005" s="147">
        <v>4.999E-2</v>
      </c>
      <c r="F6005" s="729"/>
      <c r="G6005" s="147">
        <v>4.999E-2</v>
      </c>
      <c r="H6005" s="147">
        <v>0</v>
      </c>
      <c r="I6005" s="729"/>
      <c r="J6005" s="147">
        <v>4.999E-2</v>
      </c>
      <c r="K6005" s="147">
        <v>0</v>
      </c>
      <c r="L6005" s="147">
        <v>0.59486000000000006</v>
      </c>
      <c r="M6005" s="729"/>
      <c r="N6005" s="147">
        <v>0.59486000000000006</v>
      </c>
      <c r="O6005" s="147">
        <v>0</v>
      </c>
      <c r="P6005" s="147">
        <v>0.40987000000000001</v>
      </c>
      <c r="Q6005" s="147">
        <v>0.18498999999999999</v>
      </c>
      <c r="R6005" s="147">
        <v>45.133822919462268</v>
      </c>
    </row>
    <row r="6006" spans="2:18" ht="15.75" hidden="1" thickBot="1" x14ac:dyDescent="0.3">
      <c r="B6006" s="724" t="s">
        <v>864</v>
      </c>
      <c r="C6006" s="722" t="s">
        <v>145</v>
      </c>
      <c r="D6006" t="s">
        <v>146</v>
      </c>
      <c r="E6006" s="148">
        <v>0.1084</v>
      </c>
      <c r="F6006" s="148">
        <v>0.375</v>
      </c>
      <c r="G6006" s="148">
        <v>-0.2666</v>
      </c>
      <c r="H6006" s="148">
        <v>-71.093333333333334</v>
      </c>
      <c r="I6006" s="728"/>
      <c r="J6006" s="148">
        <v>0.1084</v>
      </c>
      <c r="K6006" s="148">
        <v>0</v>
      </c>
      <c r="L6006" s="148">
        <v>1.2515499999999999</v>
      </c>
      <c r="M6006" s="148">
        <v>2.71387</v>
      </c>
      <c r="N6006" s="148">
        <v>-1.4623200000000001</v>
      </c>
      <c r="O6006" s="148">
        <v>-53.883200005895638</v>
      </c>
      <c r="P6006" s="148">
        <v>0.66444999999999999</v>
      </c>
      <c r="Q6006" s="148">
        <v>0.58709999999999996</v>
      </c>
      <c r="R6006" s="148">
        <v>88.358792986680712</v>
      </c>
    </row>
    <row r="6007" spans="2:18" ht="15.75" hidden="1" thickBot="1" x14ac:dyDescent="0.3">
      <c r="B6007" s="724" t="s">
        <v>864</v>
      </c>
      <c r="C6007" s="722" t="s">
        <v>147</v>
      </c>
      <c r="D6007" t="s">
        <v>148</v>
      </c>
      <c r="E6007" s="729"/>
      <c r="F6007" s="729"/>
      <c r="G6007" s="729"/>
      <c r="H6007" s="729"/>
      <c r="I6007" s="729"/>
      <c r="J6007" s="729"/>
      <c r="K6007" s="729"/>
      <c r="L6007" s="147">
        <v>1.7999999999999999E-2</v>
      </c>
      <c r="M6007" s="729"/>
      <c r="N6007" s="147">
        <v>1.7999999999999999E-2</v>
      </c>
      <c r="O6007" s="147">
        <v>0</v>
      </c>
      <c r="P6007" s="147">
        <v>1.7999999999999999E-2</v>
      </c>
      <c r="Q6007" s="147">
        <v>0</v>
      </c>
      <c r="R6007" s="147">
        <v>0</v>
      </c>
    </row>
    <row r="6008" spans="2:18" ht="15.75" hidden="1" thickBot="1" x14ac:dyDescent="0.3">
      <c r="B6008" s="724" t="s">
        <v>864</v>
      </c>
      <c r="C6008" s="722" t="s">
        <v>481</v>
      </c>
      <c r="D6008" t="s">
        <v>482</v>
      </c>
      <c r="E6008" s="148">
        <v>4.9950000000000001E-2</v>
      </c>
      <c r="F6008" s="728"/>
      <c r="G6008" s="148">
        <v>4.9950000000000001E-2</v>
      </c>
      <c r="H6008" s="148">
        <v>0</v>
      </c>
      <c r="I6008" s="728"/>
      <c r="J6008" s="148">
        <v>4.9950000000000001E-2</v>
      </c>
      <c r="K6008" s="148">
        <v>0</v>
      </c>
      <c r="L6008" s="148">
        <v>0.54049999999999998</v>
      </c>
      <c r="M6008" s="728"/>
      <c r="N6008" s="148">
        <v>0.54049999999999998</v>
      </c>
      <c r="O6008" s="148">
        <v>0</v>
      </c>
      <c r="P6008" s="148">
        <v>0.17574999999999999</v>
      </c>
      <c r="Q6008" s="148">
        <v>0.36475000000000002</v>
      </c>
      <c r="R6008" s="148">
        <v>207.53911806543385</v>
      </c>
    </row>
    <row r="6009" spans="2:18" ht="15.75" hidden="1" thickBot="1" x14ac:dyDescent="0.3">
      <c r="B6009" s="724" t="s">
        <v>864</v>
      </c>
      <c r="C6009" s="722" t="s">
        <v>75</v>
      </c>
      <c r="D6009" t="s">
        <v>76</v>
      </c>
      <c r="E6009" s="147">
        <v>8.1133600000000001</v>
      </c>
      <c r="F6009" s="147">
        <v>1.5</v>
      </c>
      <c r="G6009" s="147">
        <v>6.6133600000000001</v>
      </c>
      <c r="H6009" s="147">
        <v>440.89066666666668</v>
      </c>
      <c r="I6009" s="729"/>
      <c r="J6009" s="147">
        <v>8.1133600000000001</v>
      </c>
      <c r="K6009" s="147">
        <v>0</v>
      </c>
      <c r="L6009" s="147">
        <v>19.541219999999999</v>
      </c>
      <c r="M6009" s="147">
        <v>13.534079999999999</v>
      </c>
      <c r="N6009" s="147">
        <v>6.0071399999999997</v>
      </c>
      <c r="O6009" s="147">
        <v>44.385285146829339</v>
      </c>
      <c r="P6009" s="147">
        <v>4.0568799999999996</v>
      </c>
      <c r="Q6009" s="147">
        <v>15.48434</v>
      </c>
      <c r="R6009" s="147">
        <v>381.6809962335588</v>
      </c>
    </row>
    <row r="6010" spans="2:18" ht="15.75" hidden="1" thickBot="1" x14ac:dyDescent="0.3">
      <c r="B6010" s="724" t="s">
        <v>864</v>
      </c>
      <c r="C6010" s="722" t="s">
        <v>121</v>
      </c>
      <c r="D6010" t="s">
        <v>122</v>
      </c>
      <c r="E6010" s="148">
        <v>0.65500000000000003</v>
      </c>
      <c r="F6010" s="148">
        <v>0.5</v>
      </c>
      <c r="G6010" s="148">
        <v>0.155</v>
      </c>
      <c r="H6010" s="148">
        <v>31</v>
      </c>
      <c r="I6010" s="728"/>
      <c r="J6010" s="148">
        <v>0.65500000000000003</v>
      </c>
      <c r="K6010" s="148">
        <v>0</v>
      </c>
      <c r="L6010" s="148">
        <v>2.7619400000000001</v>
      </c>
      <c r="M6010" s="148">
        <v>4.3499999999999996</v>
      </c>
      <c r="N6010" s="148">
        <v>-1.58806</v>
      </c>
      <c r="O6010" s="148">
        <v>-36.507126436781611</v>
      </c>
      <c r="P6010" s="148">
        <v>1.9465399999999999</v>
      </c>
      <c r="Q6010" s="148">
        <v>0.81540000000000001</v>
      </c>
      <c r="R6010" s="148">
        <v>41.889712001808334</v>
      </c>
    </row>
    <row r="6011" spans="2:18" ht="15.75" hidden="1" thickBot="1" x14ac:dyDescent="0.3">
      <c r="B6011" s="724" t="s">
        <v>864</v>
      </c>
      <c r="C6011" s="722" t="s">
        <v>77</v>
      </c>
      <c r="D6011" t="s">
        <v>78</v>
      </c>
      <c r="E6011" s="147">
        <v>0.56089999999999995</v>
      </c>
      <c r="F6011" s="147">
        <v>1.5</v>
      </c>
      <c r="G6011" s="147">
        <v>-0.93910000000000005</v>
      </c>
      <c r="H6011" s="147">
        <v>-62.606666666666669</v>
      </c>
      <c r="I6011" s="729"/>
      <c r="J6011" s="147">
        <v>0.56089999999999995</v>
      </c>
      <c r="K6011" s="147">
        <v>0</v>
      </c>
      <c r="L6011" s="147">
        <v>8.4408399999999997</v>
      </c>
      <c r="M6011" s="147">
        <v>13.12379</v>
      </c>
      <c r="N6011" s="147">
        <v>-4.6829499999999999</v>
      </c>
      <c r="O6011" s="147">
        <v>-35.682908671961378</v>
      </c>
      <c r="P6011" s="147">
        <v>1.8463000000000001</v>
      </c>
      <c r="Q6011" s="147">
        <v>6.5945400000000003</v>
      </c>
      <c r="R6011" s="147">
        <v>357.17597356875916</v>
      </c>
    </row>
    <row r="6012" spans="2:18" ht="15.75" hidden="1" thickBot="1" x14ac:dyDescent="0.3">
      <c r="B6012" s="724" t="s">
        <v>864</v>
      </c>
      <c r="C6012" s="722" t="s">
        <v>79</v>
      </c>
      <c r="D6012" t="s">
        <v>80</v>
      </c>
      <c r="E6012" s="148">
        <v>2.6606000000000001</v>
      </c>
      <c r="F6012" s="148">
        <v>2.5</v>
      </c>
      <c r="G6012" s="148">
        <v>0.16059999999999999</v>
      </c>
      <c r="H6012" s="148">
        <v>6.4240000000000004</v>
      </c>
      <c r="I6012" s="728"/>
      <c r="J6012" s="148">
        <v>2.6606000000000001</v>
      </c>
      <c r="K6012" s="148">
        <v>0</v>
      </c>
      <c r="L6012" s="148">
        <v>13.70336</v>
      </c>
      <c r="M6012" s="148">
        <v>23.503530000000001</v>
      </c>
      <c r="N6012" s="148">
        <v>-9.8001699999999996</v>
      </c>
      <c r="O6012" s="148">
        <v>-41.696587704059773</v>
      </c>
      <c r="P6012" s="148">
        <v>7.0436399999999999</v>
      </c>
      <c r="Q6012" s="148">
        <v>6.6597200000000001</v>
      </c>
      <c r="R6012" s="148">
        <v>94.549409112333962</v>
      </c>
    </row>
    <row r="6013" spans="2:18" ht="15.75" hidden="1" thickBot="1" x14ac:dyDescent="0.3">
      <c r="B6013" s="724" t="s">
        <v>864</v>
      </c>
      <c r="C6013" s="722" t="s">
        <v>81</v>
      </c>
      <c r="D6013" t="s">
        <v>82</v>
      </c>
      <c r="E6013" s="147">
        <v>3.8469500000000001</v>
      </c>
      <c r="F6013" s="729"/>
      <c r="G6013" s="147">
        <v>3.8469500000000001</v>
      </c>
      <c r="H6013" s="147">
        <v>0</v>
      </c>
      <c r="I6013" s="729"/>
      <c r="J6013" s="147">
        <v>3.8469500000000001</v>
      </c>
      <c r="K6013" s="147">
        <v>0</v>
      </c>
      <c r="L6013" s="147">
        <v>3.8469500000000001</v>
      </c>
      <c r="M6013" s="729"/>
      <c r="N6013" s="147">
        <v>3.8469500000000001</v>
      </c>
      <c r="O6013" s="147">
        <v>0</v>
      </c>
      <c r="P6013" s="729"/>
      <c r="Q6013" s="147">
        <v>3.8469500000000001</v>
      </c>
      <c r="R6013" s="147">
        <v>0</v>
      </c>
    </row>
    <row r="6014" spans="2:18" ht="15.75" hidden="1" thickBot="1" x14ac:dyDescent="0.3">
      <c r="B6014" s="724" t="s">
        <v>864</v>
      </c>
      <c r="C6014" s="722" t="s">
        <v>123</v>
      </c>
      <c r="D6014" t="s">
        <v>124</v>
      </c>
      <c r="E6014" s="728"/>
      <c r="F6014" s="148">
        <v>0</v>
      </c>
      <c r="G6014" s="148">
        <v>0</v>
      </c>
      <c r="H6014" s="148">
        <v>0</v>
      </c>
      <c r="I6014" s="728"/>
      <c r="J6014" s="728"/>
      <c r="K6014" s="728"/>
      <c r="L6014" s="728"/>
      <c r="M6014" s="148">
        <v>0</v>
      </c>
      <c r="N6014" s="148">
        <v>0</v>
      </c>
      <c r="O6014" s="148">
        <v>0</v>
      </c>
      <c r="P6014" s="728"/>
      <c r="Q6014" s="728"/>
      <c r="R6014" s="728"/>
    </row>
    <row r="6015" spans="2:18" ht="15.75" hidden="1" thickBot="1" x14ac:dyDescent="0.3">
      <c r="B6015" s="724" t="s">
        <v>864</v>
      </c>
      <c r="C6015" s="722" t="s">
        <v>83</v>
      </c>
      <c r="D6015" t="s">
        <v>84</v>
      </c>
      <c r="E6015" s="729"/>
      <c r="F6015" s="147">
        <v>0</v>
      </c>
      <c r="G6015" s="147">
        <v>0</v>
      </c>
      <c r="H6015" s="147">
        <v>0</v>
      </c>
      <c r="I6015" s="729"/>
      <c r="J6015" s="729"/>
      <c r="K6015" s="729"/>
      <c r="L6015" s="729"/>
      <c r="M6015" s="147">
        <v>0</v>
      </c>
      <c r="N6015" s="147">
        <v>0</v>
      </c>
      <c r="O6015" s="147">
        <v>0</v>
      </c>
      <c r="P6015" s="729"/>
      <c r="Q6015" s="729"/>
      <c r="R6015" s="729"/>
    </row>
    <row r="6016" spans="2:18" ht="15.75" hidden="1" thickBot="1" x14ac:dyDescent="0.3">
      <c r="B6016" s="724" t="s">
        <v>864</v>
      </c>
      <c r="C6016" s="149" t="s">
        <v>85</v>
      </c>
      <c r="D6016" t="s">
        <v>86</v>
      </c>
      <c r="E6016" s="148">
        <v>16.964179999999999</v>
      </c>
      <c r="F6016" s="148">
        <v>6.75</v>
      </c>
      <c r="G6016" s="148">
        <v>10.214180000000001</v>
      </c>
      <c r="H6016" s="148">
        <v>151.32118518518519</v>
      </c>
      <c r="I6016" s="728"/>
      <c r="J6016" s="148">
        <v>16.964179999999999</v>
      </c>
      <c r="K6016" s="148">
        <v>0</v>
      </c>
      <c r="L6016" s="148">
        <v>55.051690000000001</v>
      </c>
      <c r="M6016" s="148">
        <v>60</v>
      </c>
      <c r="N6016" s="148">
        <v>-4.9483100000000002</v>
      </c>
      <c r="O6016" s="148">
        <v>-8.247183333333334</v>
      </c>
      <c r="P6016" s="148">
        <v>17.124040000000001</v>
      </c>
      <c r="Q6016" s="148">
        <v>37.92765</v>
      </c>
      <c r="R6016" s="148">
        <v>221.48774471444821</v>
      </c>
    </row>
    <row r="6017" spans="2:18" ht="15.75" hidden="1" thickBot="1" x14ac:dyDescent="0.3">
      <c r="B6017" s="724" t="s">
        <v>864</v>
      </c>
      <c r="C6017" s="144" t="s">
        <v>87</v>
      </c>
      <c r="D6017" t="s">
        <v>87</v>
      </c>
      <c r="E6017" s="147">
        <v>16.964179999999999</v>
      </c>
      <c r="F6017" s="147">
        <v>6.75</v>
      </c>
      <c r="G6017" s="147">
        <v>10.214180000000001</v>
      </c>
      <c r="H6017" s="147">
        <v>151.32118518518519</v>
      </c>
      <c r="I6017" s="729"/>
      <c r="J6017" s="147">
        <v>16.964179999999999</v>
      </c>
      <c r="K6017" s="147">
        <v>0</v>
      </c>
      <c r="L6017" s="147">
        <v>55.051690000000001</v>
      </c>
      <c r="M6017" s="147">
        <v>60</v>
      </c>
      <c r="N6017" s="147">
        <v>-4.9483100000000002</v>
      </c>
      <c r="O6017" s="147">
        <v>-8.247183333333334</v>
      </c>
      <c r="P6017" s="147">
        <v>17.124040000000001</v>
      </c>
      <c r="Q6017" s="147">
        <v>37.92765</v>
      </c>
      <c r="R6017" s="147">
        <v>221.48774471444821</v>
      </c>
    </row>
    <row r="6018" spans="2:18" ht="15.75" hidden="1" thickBot="1" x14ac:dyDescent="0.3">
      <c r="B6018" s="724" t="s">
        <v>865</v>
      </c>
      <c r="C6018" s="722" t="s">
        <v>75</v>
      </c>
      <c r="D6018" t="s">
        <v>76</v>
      </c>
      <c r="E6018" s="728"/>
      <c r="F6018" s="728"/>
      <c r="G6018" s="728"/>
      <c r="H6018" s="728"/>
      <c r="I6018" s="728"/>
      <c r="J6018" s="728"/>
      <c r="K6018" s="728"/>
      <c r="L6018" s="148">
        <v>1.35E-2</v>
      </c>
      <c r="M6018" s="728"/>
      <c r="N6018" s="148">
        <v>1.35E-2</v>
      </c>
      <c r="O6018" s="148">
        <v>0</v>
      </c>
      <c r="P6018" s="728"/>
      <c r="Q6018" s="148">
        <v>1.35E-2</v>
      </c>
      <c r="R6018" s="148">
        <v>0</v>
      </c>
    </row>
    <row r="6019" spans="2:18" ht="15.75" hidden="1" thickBot="1" x14ac:dyDescent="0.3">
      <c r="B6019" s="724" t="s">
        <v>865</v>
      </c>
      <c r="C6019" s="722" t="s">
        <v>79</v>
      </c>
      <c r="D6019" t="s">
        <v>80</v>
      </c>
      <c r="E6019" s="729"/>
      <c r="F6019" s="729"/>
      <c r="G6019" s="729"/>
      <c r="H6019" s="729"/>
      <c r="I6019" s="729"/>
      <c r="J6019" s="729"/>
      <c r="K6019" s="729"/>
      <c r="L6019" s="147">
        <v>7.1209999999999996E-2</v>
      </c>
      <c r="M6019" s="729"/>
      <c r="N6019" s="147">
        <v>7.1209999999999996E-2</v>
      </c>
      <c r="O6019" s="147">
        <v>0</v>
      </c>
      <c r="P6019" s="147">
        <v>7.1209999999999996E-2</v>
      </c>
      <c r="Q6019" s="147">
        <v>0</v>
      </c>
      <c r="R6019" s="147">
        <v>0</v>
      </c>
    </row>
    <row r="6020" spans="2:18" ht="15.75" hidden="1" thickBot="1" x14ac:dyDescent="0.3">
      <c r="B6020" s="724" t="s">
        <v>865</v>
      </c>
      <c r="C6020" s="149" t="s">
        <v>85</v>
      </c>
      <c r="D6020" t="s">
        <v>86</v>
      </c>
      <c r="E6020" s="728"/>
      <c r="F6020" s="728"/>
      <c r="G6020" s="728"/>
      <c r="H6020" s="728"/>
      <c r="I6020" s="728"/>
      <c r="J6020" s="728"/>
      <c r="K6020" s="728"/>
      <c r="L6020" s="148">
        <v>8.4709999999999994E-2</v>
      </c>
      <c r="M6020" s="728"/>
      <c r="N6020" s="148">
        <v>8.4709999999999994E-2</v>
      </c>
      <c r="O6020" s="148">
        <v>0</v>
      </c>
      <c r="P6020" s="148">
        <v>7.1209999999999996E-2</v>
      </c>
      <c r="Q6020" s="148">
        <v>1.35E-2</v>
      </c>
      <c r="R6020" s="148">
        <v>18.958011515236624</v>
      </c>
    </row>
    <row r="6021" spans="2:18" ht="15.75" hidden="1" thickBot="1" x14ac:dyDescent="0.3">
      <c r="B6021" s="724" t="s">
        <v>865</v>
      </c>
      <c r="C6021" s="144" t="s">
        <v>87</v>
      </c>
      <c r="D6021" t="s">
        <v>87</v>
      </c>
      <c r="E6021" s="729"/>
      <c r="F6021" s="729"/>
      <c r="G6021" s="729"/>
      <c r="H6021" s="729"/>
      <c r="I6021" s="729"/>
      <c r="J6021" s="729"/>
      <c r="K6021" s="729"/>
      <c r="L6021" s="147">
        <v>8.4709999999999994E-2</v>
      </c>
      <c r="M6021" s="729"/>
      <c r="N6021" s="147">
        <v>8.4709999999999994E-2</v>
      </c>
      <c r="O6021" s="147">
        <v>0</v>
      </c>
      <c r="P6021" s="147">
        <v>7.1209999999999996E-2</v>
      </c>
      <c r="Q6021" s="147">
        <v>1.35E-2</v>
      </c>
      <c r="R6021" s="147">
        <v>18.958011515236624</v>
      </c>
    </row>
    <row r="6022" spans="2:18" ht="15.75" hidden="1" thickBot="1" x14ac:dyDescent="0.3">
      <c r="B6022" s="724" t="s">
        <v>866</v>
      </c>
      <c r="C6022" s="722" t="s">
        <v>137</v>
      </c>
      <c r="D6022" t="s">
        <v>138</v>
      </c>
      <c r="E6022" s="148">
        <v>0.40749999999999997</v>
      </c>
      <c r="F6022" s="728"/>
      <c r="G6022" s="148">
        <v>0.40749999999999997</v>
      </c>
      <c r="H6022" s="148">
        <v>0</v>
      </c>
      <c r="I6022" s="728"/>
      <c r="J6022" s="148">
        <v>0.40749999999999997</v>
      </c>
      <c r="K6022" s="148">
        <v>0</v>
      </c>
      <c r="L6022" s="148">
        <v>2.4194599999999999</v>
      </c>
      <c r="M6022" s="148">
        <v>4</v>
      </c>
      <c r="N6022" s="148">
        <v>-1.5805400000000001</v>
      </c>
      <c r="O6022" s="148">
        <v>-39.513500000000001</v>
      </c>
      <c r="P6022" s="148">
        <v>1.3698399999999999</v>
      </c>
      <c r="Q6022" s="148">
        <v>1.04962</v>
      </c>
      <c r="R6022" s="148">
        <v>76.623547275594234</v>
      </c>
    </row>
    <row r="6023" spans="2:18" ht="15.75" hidden="1" thickBot="1" x14ac:dyDescent="0.3">
      <c r="B6023" s="724" t="s">
        <v>866</v>
      </c>
      <c r="C6023" s="722" t="s">
        <v>139</v>
      </c>
      <c r="D6023" t="s">
        <v>140</v>
      </c>
      <c r="E6023" s="729"/>
      <c r="F6023" s="729"/>
      <c r="G6023" s="729"/>
      <c r="H6023" s="729"/>
      <c r="I6023" s="729"/>
      <c r="J6023" s="729"/>
      <c r="K6023" s="729"/>
      <c r="L6023" s="729"/>
      <c r="M6023" s="147">
        <v>1</v>
      </c>
      <c r="N6023" s="147">
        <v>-1</v>
      </c>
      <c r="O6023" s="147">
        <v>-100</v>
      </c>
      <c r="P6023" s="729"/>
      <c r="Q6023" s="729"/>
      <c r="R6023" s="729"/>
    </row>
    <row r="6024" spans="2:18" ht="15.75" hidden="1" thickBot="1" x14ac:dyDescent="0.3">
      <c r="B6024" s="724" t="s">
        <v>866</v>
      </c>
      <c r="C6024" s="722" t="s">
        <v>101</v>
      </c>
      <c r="D6024" t="s">
        <v>102</v>
      </c>
      <c r="E6024" s="728"/>
      <c r="F6024" s="728"/>
      <c r="G6024" s="728"/>
      <c r="H6024" s="728"/>
      <c r="I6024" s="728"/>
      <c r="J6024" s="728"/>
      <c r="K6024" s="728"/>
      <c r="L6024" s="148">
        <v>0.43180000000000002</v>
      </c>
      <c r="M6024" s="728"/>
      <c r="N6024" s="148">
        <v>0.43180000000000002</v>
      </c>
      <c r="O6024" s="148">
        <v>0</v>
      </c>
      <c r="P6024" s="148">
        <v>0.43180000000000002</v>
      </c>
      <c r="Q6024" s="148">
        <v>0</v>
      </c>
      <c r="R6024" s="148">
        <v>0</v>
      </c>
    </row>
    <row r="6025" spans="2:18" ht="15.75" hidden="1" thickBot="1" x14ac:dyDescent="0.3">
      <c r="B6025" s="724" t="s">
        <v>866</v>
      </c>
      <c r="C6025" s="722" t="s">
        <v>109</v>
      </c>
      <c r="D6025" t="s">
        <v>110</v>
      </c>
      <c r="E6025" s="729"/>
      <c r="F6025" s="729"/>
      <c r="G6025" s="729"/>
      <c r="H6025" s="729"/>
      <c r="I6025" s="729"/>
      <c r="J6025" s="729"/>
      <c r="K6025" s="729"/>
      <c r="L6025" s="147">
        <v>2.5409999999999999E-2</v>
      </c>
      <c r="M6025" s="729"/>
      <c r="N6025" s="147">
        <v>2.5409999999999999E-2</v>
      </c>
      <c r="O6025" s="147">
        <v>0</v>
      </c>
      <c r="P6025" s="147">
        <v>2.5409999999999999E-2</v>
      </c>
      <c r="Q6025" s="147">
        <v>0</v>
      </c>
      <c r="R6025" s="147">
        <v>0</v>
      </c>
    </row>
    <row r="6026" spans="2:18" ht="15.75" hidden="1" thickBot="1" x14ac:dyDescent="0.3">
      <c r="B6026" s="724" t="s">
        <v>866</v>
      </c>
      <c r="C6026" s="722" t="s">
        <v>141</v>
      </c>
      <c r="D6026" t="s">
        <v>142</v>
      </c>
      <c r="E6026" s="728"/>
      <c r="F6026" s="148">
        <v>0.05</v>
      </c>
      <c r="G6026" s="148">
        <v>-0.05</v>
      </c>
      <c r="H6026" s="148">
        <v>-100</v>
      </c>
      <c r="I6026" s="728"/>
      <c r="J6026" s="728"/>
      <c r="K6026" s="728"/>
      <c r="L6026" s="148">
        <v>4.752E-2</v>
      </c>
      <c r="M6026" s="148">
        <v>0.6</v>
      </c>
      <c r="N6026" s="148">
        <v>-0.55247999999999997</v>
      </c>
      <c r="O6026" s="148">
        <v>-92.08</v>
      </c>
      <c r="P6026" s="148">
        <v>4.752E-2</v>
      </c>
      <c r="Q6026" s="148">
        <v>0</v>
      </c>
      <c r="R6026" s="148">
        <v>0</v>
      </c>
    </row>
    <row r="6027" spans="2:18" ht="15.75" hidden="1" thickBot="1" x14ac:dyDescent="0.3">
      <c r="B6027" s="724" t="s">
        <v>866</v>
      </c>
      <c r="C6027" s="722" t="s">
        <v>113</v>
      </c>
      <c r="D6027" t="s">
        <v>114</v>
      </c>
      <c r="E6027" s="729"/>
      <c r="F6027" s="729"/>
      <c r="G6027" s="729"/>
      <c r="H6027" s="729"/>
      <c r="I6027" s="729"/>
      <c r="J6027" s="729"/>
      <c r="K6027" s="729"/>
      <c r="L6027" s="147">
        <v>9.3229999999999993E-2</v>
      </c>
      <c r="M6027" s="729"/>
      <c r="N6027" s="147">
        <v>9.3229999999999993E-2</v>
      </c>
      <c r="O6027" s="147">
        <v>0</v>
      </c>
      <c r="P6027" s="147">
        <v>7.7850000000000003E-2</v>
      </c>
      <c r="Q6027" s="147">
        <v>1.538E-2</v>
      </c>
      <c r="R6027" s="147">
        <v>19.755940912010278</v>
      </c>
    </row>
    <row r="6028" spans="2:18" ht="15.75" hidden="1" thickBot="1" x14ac:dyDescent="0.3">
      <c r="B6028" s="724" t="s">
        <v>866</v>
      </c>
      <c r="C6028" s="722" t="s">
        <v>145</v>
      </c>
      <c r="D6028" t="s">
        <v>146</v>
      </c>
      <c r="E6028" s="148">
        <v>1.6400000000000001E-2</v>
      </c>
      <c r="F6028" s="148">
        <v>0.05</v>
      </c>
      <c r="G6028" s="148">
        <v>-3.3599999999999998E-2</v>
      </c>
      <c r="H6028" s="148">
        <v>-67.2</v>
      </c>
      <c r="I6028" s="728"/>
      <c r="J6028" s="148">
        <v>1.6400000000000001E-2</v>
      </c>
      <c r="K6028" s="148">
        <v>0</v>
      </c>
      <c r="L6028" s="148">
        <v>0.73128000000000004</v>
      </c>
      <c r="M6028" s="148">
        <v>0.8</v>
      </c>
      <c r="N6028" s="148">
        <v>-6.8720000000000003E-2</v>
      </c>
      <c r="O6028" s="148">
        <v>-8.59</v>
      </c>
      <c r="P6028" s="148">
        <v>0.42718</v>
      </c>
      <c r="Q6028" s="148">
        <v>0.30409999999999998</v>
      </c>
      <c r="R6028" s="148">
        <v>71.187789690528589</v>
      </c>
    </row>
    <row r="6029" spans="2:18" ht="15.75" hidden="1" thickBot="1" x14ac:dyDescent="0.3">
      <c r="B6029" s="724" t="s">
        <v>866</v>
      </c>
      <c r="C6029" s="722" t="s">
        <v>147</v>
      </c>
      <c r="D6029" t="s">
        <v>148</v>
      </c>
      <c r="E6029" s="729"/>
      <c r="F6029" s="729"/>
      <c r="G6029" s="729"/>
      <c r="H6029" s="729"/>
      <c r="I6029" s="729"/>
      <c r="J6029" s="729"/>
      <c r="K6029" s="729"/>
      <c r="L6029" s="147">
        <v>6.5000000000000002E-2</v>
      </c>
      <c r="M6029" s="729"/>
      <c r="N6029" s="147">
        <v>6.5000000000000002E-2</v>
      </c>
      <c r="O6029" s="147">
        <v>0</v>
      </c>
      <c r="P6029" s="147">
        <v>6.5000000000000002E-2</v>
      </c>
      <c r="Q6029" s="147">
        <v>0</v>
      </c>
      <c r="R6029" s="147">
        <v>0</v>
      </c>
    </row>
    <row r="6030" spans="2:18" ht="15.75" hidden="1" thickBot="1" x14ac:dyDescent="0.3">
      <c r="B6030" s="724" t="s">
        <v>866</v>
      </c>
      <c r="C6030" s="722" t="s">
        <v>153</v>
      </c>
      <c r="D6030" t="s">
        <v>154</v>
      </c>
      <c r="E6030" s="728"/>
      <c r="F6030" s="148">
        <v>0</v>
      </c>
      <c r="G6030" s="148">
        <v>0</v>
      </c>
      <c r="H6030" s="148">
        <v>0</v>
      </c>
      <c r="I6030" s="728"/>
      <c r="J6030" s="728"/>
      <c r="K6030" s="728"/>
      <c r="L6030" s="728"/>
      <c r="M6030" s="148">
        <v>2.5</v>
      </c>
      <c r="N6030" s="148">
        <v>-2.5</v>
      </c>
      <c r="O6030" s="148">
        <v>-100</v>
      </c>
      <c r="P6030" s="728"/>
      <c r="Q6030" s="728"/>
      <c r="R6030" s="728"/>
    </row>
    <row r="6031" spans="2:18" ht="15.75" hidden="1" thickBot="1" x14ac:dyDescent="0.3">
      <c r="B6031" s="724" t="s">
        <v>866</v>
      </c>
      <c r="C6031" s="722" t="s">
        <v>75</v>
      </c>
      <c r="D6031" t="s">
        <v>76</v>
      </c>
      <c r="E6031" s="147">
        <v>0.42181999999999997</v>
      </c>
      <c r="F6031" s="147">
        <v>0.4</v>
      </c>
      <c r="G6031" s="147">
        <v>2.1819999999999999E-2</v>
      </c>
      <c r="H6031" s="147">
        <v>5.4550000000000001</v>
      </c>
      <c r="I6031" s="729"/>
      <c r="J6031" s="147">
        <v>0.42181999999999997</v>
      </c>
      <c r="K6031" s="147">
        <v>0</v>
      </c>
      <c r="L6031" s="147">
        <v>11.53327</v>
      </c>
      <c r="M6031" s="147">
        <v>5.6</v>
      </c>
      <c r="N6031" s="147">
        <v>5.9332700000000003</v>
      </c>
      <c r="O6031" s="147">
        <v>105.95125</v>
      </c>
      <c r="P6031" s="147">
        <v>6.89513</v>
      </c>
      <c r="Q6031" s="147">
        <v>4.6381399999999999</v>
      </c>
      <c r="R6031" s="147">
        <v>67.266897070831149</v>
      </c>
    </row>
    <row r="6032" spans="2:18" ht="15.75" hidden="1" thickBot="1" x14ac:dyDescent="0.3">
      <c r="B6032" s="724" t="s">
        <v>866</v>
      </c>
      <c r="C6032" s="722" t="s">
        <v>121</v>
      </c>
      <c r="D6032" t="s">
        <v>122</v>
      </c>
      <c r="E6032" s="728"/>
      <c r="F6032" s="148">
        <v>0.1</v>
      </c>
      <c r="G6032" s="148">
        <v>-0.1</v>
      </c>
      <c r="H6032" s="148">
        <v>-100</v>
      </c>
      <c r="I6032" s="728"/>
      <c r="J6032" s="728"/>
      <c r="K6032" s="728"/>
      <c r="L6032" s="148">
        <v>0.50682000000000005</v>
      </c>
      <c r="M6032" s="148">
        <v>1.2</v>
      </c>
      <c r="N6032" s="148">
        <v>-0.69318000000000002</v>
      </c>
      <c r="O6032" s="148">
        <v>-57.765000000000001</v>
      </c>
      <c r="P6032" s="148">
        <v>0.24739</v>
      </c>
      <c r="Q6032" s="148">
        <v>0.25942999999999999</v>
      </c>
      <c r="R6032" s="148">
        <v>104.86680949108695</v>
      </c>
    </row>
    <row r="6033" spans="2:18" ht="15.75" hidden="1" thickBot="1" x14ac:dyDescent="0.3">
      <c r="B6033" s="724" t="s">
        <v>866</v>
      </c>
      <c r="C6033" s="722" t="s">
        <v>77</v>
      </c>
      <c r="D6033" t="s">
        <v>78</v>
      </c>
      <c r="E6033" s="729"/>
      <c r="F6033" s="147">
        <v>0</v>
      </c>
      <c r="G6033" s="147">
        <v>0</v>
      </c>
      <c r="H6033" s="147">
        <v>0</v>
      </c>
      <c r="I6033" s="729"/>
      <c r="J6033" s="729"/>
      <c r="K6033" s="729"/>
      <c r="L6033" s="147">
        <v>2.52413</v>
      </c>
      <c r="M6033" s="147">
        <v>7.2</v>
      </c>
      <c r="N6033" s="147">
        <v>-4.6758699999999997</v>
      </c>
      <c r="O6033" s="147">
        <v>-64.942638888888894</v>
      </c>
      <c r="P6033" s="147">
        <v>1.6039699999999999</v>
      </c>
      <c r="Q6033" s="147">
        <v>0.92015999999999998</v>
      </c>
      <c r="R6033" s="147">
        <v>57.36765650230366</v>
      </c>
    </row>
    <row r="6034" spans="2:18" ht="15.75" hidden="1" thickBot="1" x14ac:dyDescent="0.3">
      <c r="B6034" s="724" t="s">
        <v>866</v>
      </c>
      <c r="C6034" s="722" t="s">
        <v>79</v>
      </c>
      <c r="D6034" t="s">
        <v>80</v>
      </c>
      <c r="E6034" s="728"/>
      <c r="F6034" s="148">
        <v>0.8</v>
      </c>
      <c r="G6034" s="148">
        <v>-0.8</v>
      </c>
      <c r="H6034" s="148">
        <v>-100</v>
      </c>
      <c r="I6034" s="728"/>
      <c r="J6034" s="728"/>
      <c r="K6034" s="728"/>
      <c r="L6034" s="148">
        <v>4.1443500000000002</v>
      </c>
      <c r="M6034" s="148">
        <v>9.6</v>
      </c>
      <c r="N6034" s="148">
        <v>-5.4556500000000003</v>
      </c>
      <c r="O6034" s="148">
        <v>-56.829687499999999</v>
      </c>
      <c r="P6034" s="148">
        <v>1.9561500000000001</v>
      </c>
      <c r="Q6034" s="148">
        <v>2.1882000000000001</v>
      </c>
      <c r="R6034" s="148">
        <v>111.86258722490606</v>
      </c>
    </row>
    <row r="6035" spans="2:18" ht="15.75" hidden="1" thickBot="1" x14ac:dyDescent="0.3">
      <c r="B6035" s="724" t="s">
        <v>866</v>
      </c>
      <c r="C6035" s="722" t="s">
        <v>81</v>
      </c>
      <c r="D6035" t="s">
        <v>82</v>
      </c>
      <c r="E6035" s="729"/>
      <c r="F6035" s="147">
        <v>1</v>
      </c>
      <c r="G6035" s="147">
        <v>-1</v>
      </c>
      <c r="H6035" s="147">
        <v>-100</v>
      </c>
      <c r="I6035" s="729"/>
      <c r="J6035" s="729"/>
      <c r="K6035" s="729"/>
      <c r="L6035" s="147">
        <v>4.01</v>
      </c>
      <c r="M6035" s="147">
        <v>2.5</v>
      </c>
      <c r="N6035" s="147">
        <v>1.51</v>
      </c>
      <c r="O6035" s="147">
        <v>60.4</v>
      </c>
      <c r="P6035" s="147">
        <v>2.0099999999999998</v>
      </c>
      <c r="Q6035" s="147">
        <v>2</v>
      </c>
      <c r="R6035" s="147">
        <v>99.50248756218906</v>
      </c>
    </row>
    <row r="6036" spans="2:18" ht="15.75" hidden="1" thickBot="1" x14ac:dyDescent="0.3">
      <c r="B6036" s="724" t="s">
        <v>866</v>
      </c>
      <c r="C6036" s="722" t="s">
        <v>123</v>
      </c>
      <c r="D6036" t="s">
        <v>124</v>
      </c>
      <c r="E6036" s="148">
        <v>3.4916499999999999</v>
      </c>
      <c r="F6036" s="148">
        <v>1</v>
      </c>
      <c r="G6036" s="148">
        <v>2.4916499999999999</v>
      </c>
      <c r="H6036" s="148">
        <v>249.16499999999999</v>
      </c>
      <c r="I6036" s="728"/>
      <c r="J6036" s="148">
        <v>3.4916499999999999</v>
      </c>
      <c r="K6036" s="148">
        <v>0</v>
      </c>
      <c r="L6036" s="148">
        <v>3.4916499999999999</v>
      </c>
      <c r="M6036" s="148">
        <v>2</v>
      </c>
      <c r="N6036" s="148">
        <v>1.4916499999999999</v>
      </c>
      <c r="O6036" s="148">
        <v>74.582499999999996</v>
      </c>
      <c r="P6036" s="728"/>
      <c r="Q6036" s="148">
        <v>3.4916499999999999</v>
      </c>
      <c r="R6036" s="148">
        <v>0</v>
      </c>
    </row>
    <row r="6037" spans="2:18" ht="15.75" hidden="1" thickBot="1" x14ac:dyDescent="0.3">
      <c r="B6037" s="724" t="s">
        <v>866</v>
      </c>
      <c r="C6037" s="722" t="s">
        <v>83</v>
      </c>
      <c r="D6037" t="s">
        <v>84</v>
      </c>
      <c r="E6037" s="729"/>
      <c r="F6037" s="147">
        <v>0</v>
      </c>
      <c r="G6037" s="147">
        <v>0</v>
      </c>
      <c r="H6037" s="147">
        <v>0</v>
      </c>
      <c r="I6037" s="729"/>
      <c r="J6037" s="729"/>
      <c r="K6037" s="729"/>
      <c r="L6037" s="729"/>
      <c r="M6037" s="147">
        <v>0</v>
      </c>
      <c r="N6037" s="147">
        <v>0</v>
      </c>
      <c r="O6037" s="147">
        <v>0</v>
      </c>
      <c r="P6037" s="729"/>
      <c r="Q6037" s="729"/>
      <c r="R6037" s="729"/>
    </row>
    <row r="6038" spans="2:18" ht="15.75" hidden="1" thickBot="1" x14ac:dyDescent="0.3">
      <c r="B6038" s="724" t="s">
        <v>866</v>
      </c>
      <c r="C6038" s="149" t="s">
        <v>85</v>
      </c>
      <c r="D6038" t="s">
        <v>86</v>
      </c>
      <c r="E6038" s="148">
        <v>4.3373699999999999</v>
      </c>
      <c r="F6038" s="148">
        <v>3.4</v>
      </c>
      <c r="G6038" s="148">
        <v>0.93737000000000004</v>
      </c>
      <c r="H6038" s="148">
        <v>27.569705882352942</v>
      </c>
      <c r="I6038" s="728"/>
      <c r="J6038" s="148">
        <v>4.3373699999999999</v>
      </c>
      <c r="K6038" s="148">
        <v>0</v>
      </c>
      <c r="L6038" s="148">
        <v>30.02392</v>
      </c>
      <c r="M6038" s="148">
        <v>37</v>
      </c>
      <c r="N6038" s="148">
        <v>-6.9760799999999996</v>
      </c>
      <c r="O6038" s="148">
        <v>-18.85427027027027</v>
      </c>
      <c r="P6038" s="148">
        <v>15.15724</v>
      </c>
      <c r="Q6038" s="148">
        <v>14.866680000000001</v>
      </c>
      <c r="R6038" s="148">
        <v>98.083028308583891</v>
      </c>
    </row>
    <row r="6039" spans="2:18" ht="15.75" hidden="1" thickBot="1" x14ac:dyDescent="0.3">
      <c r="B6039" s="724" t="s">
        <v>866</v>
      </c>
      <c r="C6039" s="144" t="s">
        <v>87</v>
      </c>
      <c r="D6039" t="s">
        <v>87</v>
      </c>
      <c r="E6039" s="147">
        <v>4.3373699999999999</v>
      </c>
      <c r="F6039" s="147">
        <v>3.4</v>
      </c>
      <c r="G6039" s="147">
        <v>0.93737000000000004</v>
      </c>
      <c r="H6039" s="147">
        <v>27.569705882352942</v>
      </c>
      <c r="I6039" s="729"/>
      <c r="J6039" s="147">
        <v>4.3373699999999999</v>
      </c>
      <c r="K6039" s="147">
        <v>0</v>
      </c>
      <c r="L6039" s="147">
        <v>30.02392</v>
      </c>
      <c r="M6039" s="147">
        <v>37</v>
      </c>
      <c r="N6039" s="147">
        <v>-6.9760799999999996</v>
      </c>
      <c r="O6039" s="147">
        <v>-18.85427027027027</v>
      </c>
      <c r="P6039" s="147">
        <v>15.15724</v>
      </c>
      <c r="Q6039" s="147">
        <v>14.866680000000001</v>
      </c>
      <c r="R6039" s="147">
        <v>98.083028308583891</v>
      </c>
    </row>
    <row r="6040" spans="2:18" ht="15.75" hidden="1" thickBot="1" x14ac:dyDescent="0.3">
      <c r="B6040" s="724" t="s">
        <v>867</v>
      </c>
      <c r="C6040" s="722" t="s">
        <v>69</v>
      </c>
      <c r="D6040" t="s">
        <v>70</v>
      </c>
      <c r="E6040" s="728"/>
      <c r="F6040" s="728"/>
      <c r="G6040" s="728"/>
      <c r="H6040" s="728"/>
      <c r="I6040" s="728"/>
      <c r="J6040" s="728"/>
      <c r="K6040" s="728"/>
      <c r="L6040" s="148">
        <v>0.19500000000000001</v>
      </c>
      <c r="M6040" s="728"/>
      <c r="N6040" s="148">
        <v>0.19500000000000001</v>
      </c>
      <c r="O6040" s="148">
        <v>0</v>
      </c>
      <c r="P6040" s="148">
        <v>0.19500000000000001</v>
      </c>
      <c r="Q6040" s="148">
        <v>0</v>
      </c>
      <c r="R6040" s="148">
        <v>0</v>
      </c>
    </row>
    <row r="6041" spans="2:18" ht="15.75" hidden="1" thickBot="1" x14ac:dyDescent="0.3">
      <c r="B6041" s="724" t="s">
        <v>867</v>
      </c>
      <c r="C6041" s="722" t="s">
        <v>137</v>
      </c>
      <c r="D6041" t="s">
        <v>138</v>
      </c>
      <c r="E6041" s="729"/>
      <c r="F6041" s="729"/>
      <c r="G6041" s="729"/>
      <c r="H6041" s="729"/>
      <c r="I6041" s="729"/>
      <c r="J6041" s="729"/>
      <c r="K6041" s="729"/>
      <c r="L6041" s="147">
        <v>0.28355000000000002</v>
      </c>
      <c r="M6041" s="729"/>
      <c r="N6041" s="147">
        <v>0.28355000000000002</v>
      </c>
      <c r="O6041" s="147">
        <v>0</v>
      </c>
      <c r="P6041" s="147">
        <v>0.28355000000000002</v>
      </c>
      <c r="Q6041" s="147">
        <v>0</v>
      </c>
      <c r="R6041" s="147">
        <v>0</v>
      </c>
    </row>
    <row r="6042" spans="2:18" ht="15.75" hidden="1" thickBot="1" x14ac:dyDescent="0.3">
      <c r="B6042" s="724" t="s">
        <v>867</v>
      </c>
      <c r="C6042" s="722" t="s">
        <v>101</v>
      </c>
      <c r="D6042" t="s">
        <v>102</v>
      </c>
      <c r="E6042" s="728"/>
      <c r="F6042" s="728"/>
      <c r="G6042" s="728"/>
      <c r="H6042" s="728"/>
      <c r="I6042" s="728"/>
      <c r="J6042" s="728"/>
      <c r="K6042" s="728"/>
      <c r="L6042" s="148">
        <v>0.56228</v>
      </c>
      <c r="M6042" s="728"/>
      <c r="N6042" s="148">
        <v>0.56228</v>
      </c>
      <c r="O6042" s="148">
        <v>0</v>
      </c>
      <c r="P6042" s="148">
        <v>0.31237999999999999</v>
      </c>
      <c r="Q6042" s="148">
        <v>0.24990000000000001</v>
      </c>
      <c r="R6042" s="148">
        <v>79.998719508291188</v>
      </c>
    </row>
    <row r="6043" spans="2:18" ht="15.75" hidden="1" thickBot="1" x14ac:dyDescent="0.3">
      <c r="B6043" s="724" t="s">
        <v>867</v>
      </c>
      <c r="C6043" s="722" t="s">
        <v>73</v>
      </c>
      <c r="D6043" t="s">
        <v>74</v>
      </c>
      <c r="E6043" s="147">
        <v>9.8330000000000001E-2</v>
      </c>
      <c r="F6043" s="729"/>
      <c r="G6043" s="147">
        <v>9.8330000000000001E-2</v>
      </c>
      <c r="H6043" s="147">
        <v>0</v>
      </c>
      <c r="I6043" s="729"/>
      <c r="J6043" s="147">
        <v>9.8330000000000001E-2</v>
      </c>
      <c r="K6043" s="147">
        <v>0</v>
      </c>
      <c r="L6043" s="147">
        <v>0.33201999999999998</v>
      </c>
      <c r="M6043" s="729"/>
      <c r="N6043" s="147">
        <v>0.33201999999999998</v>
      </c>
      <c r="O6043" s="147">
        <v>0</v>
      </c>
      <c r="P6043" s="147">
        <v>0.21423</v>
      </c>
      <c r="Q6043" s="147">
        <v>0.11779000000000001</v>
      </c>
      <c r="R6043" s="147">
        <v>54.982962236848245</v>
      </c>
    </row>
    <row r="6044" spans="2:18" ht="15.75" hidden="1" thickBot="1" x14ac:dyDescent="0.3">
      <c r="B6044" s="724" t="s">
        <v>867</v>
      </c>
      <c r="C6044" s="722" t="s">
        <v>111</v>
      </c>
      <c r="D6044" t="s">
        <v>112</v>
      </c>
      <c r="E6044" s="728"/>
      <c r="F6044" s="728"/>
      <c r="G6044" s="728"/>
      <c r="H6044" s="728"/>
      <c r="I6044" s="728"/>
      <c r="J6044" s="728"/>
      <c r="K6044" s="728"/>
      <c r="L6044" s="148">
        <v>6.4000000000000001E-2</v>
      </c>
      <c r="M6044" s="728"/>
      <c r="N6044" s="148">
        <v>6.4000000000000001E-2</v>
      </c>
      <c r="O6044" s="148">
        <v>0</v>
      </c>
      <c r="P6044" s="148">
        <v>6.4000000000000001E-2</v>
      </c>
      <c r="Q6044" s="148">
        <v>0</v>
      </c>
      <c r="R6044" s="148">
        <v>0</v>
      </c>
    </row>
    <row r="6045" spans="2:18" ht="15.75" hidden="1" thickBot="1" x14ac:dyDescent="0.3">
      <c r="B6045" s="724" t="s">
        <v>867</v>
      </c>
      <c r="C6045" s="722" t="s">
        <v>141</v>
      </c>
      <c r="D6045" t="s">
        <v>142</v>
      </c>
      <c r="E6045" s="147">
        <v>5.3129999999999997E-2</v>
      </c>
      <c r="F6045" s="729"/>
      <c r="G6045" s="147">
        <v>5.3129999999999997E-2</v>
      </c>
      <c r="H6045" s="147">
        <v>0</v>
      </c>
      <c r="I6045" s="729"/>
      <c r="J6045" s="147">
        <v>5.3129999999999997E-2</v>
      </c>
      <c r="K6045" s="147">
        <v>0</v>
      </c>
      <c r="L6045" s="147">
        <v>1.6357200000000001</v>
      </c>
      <c r="M6045" s="729"/>
      <c r="N6045" s="147">
        <v>1.6357200000000001</v>
      </c>
      <c r="O6045" s="147">
        <v>0</v>
      </c>
      <c r="P6045" s="147">
        <v>1.03813</v>
      </c>
      <c r="Q6045" s="147">
        <v>0.59758999999999995</v>
      </c>
      <c r="R6045" s="147">
        <v>57.564081569745603</v>
      </c>
    </row>
    <row r="6046" spans="2:18" ht="15.75" hidden="1" thickBot="1" x14ac:dyDescent="0.3">
      <c r="B6046" s="724" t="s">
        <v>867</v>
      </c>
      <c r="C6046" s="722" t="s">
        <v>145</v>
      </c>
      <c r="D6046" t="s">
        <v>146</v>
      </c>
      <c r="E6046" s="148">
        <v>0.12095</v>
      </c>
      <c r="F6046" s="728"/>
      <c r="G6046" s="148">
        <v>0.12095</v>
      </c>
      <c r="H6046" s="148">
        <v>0</v>
      </c>
      <c r="I6046" s="728"/>
      <c r="J6046" s="148">
        <v>0.12095</v>
      </c>
      <c r="K6046" s="148">
        <v>0</v>
      </c>
      <c r="L6046" s="148">
        <v>0.49697000000000002</v>
      </c>
      <c r="M6046" s="728"/>
      <c r="N6046" s="148">
        <v>0.49697000000000002</v>
      </c>
      <c r="O6046" s="148">
        <v>0</v>
      </c>
      <c r="P6046" s="148">
        <v>0.28405000000000002</v>
      </c>
      <c r="Q6046" s="148">
        <v>0.21292</v>
      </c>
      <c r="R6046" s="148">
        <v>74.95863404330224</v>
      </c>
    </row>
    <row r="6047" spans="2:18" ht="15.75" hidden="1" thickBot="1" x14ac:dyDescent="0.3">
      <c r="B6047" s="724" t="s">
        <v>867</v>
      </c>
      <c r="C6047" s="722" t="s">
        <v>147</v>
      </c>
      <c r="D6047" t="s">
        <v>148</v>
      </c>
      <c r="E6047" s="729"/>
      <c r="F6047" s="729"/>
      <c r="G6047" s="729"/>
      <c r="H6047" s="729"/>
      <c r="I6047" s="729"/>
      <c r="J6047" s="729"/>
      <c r="K6047" s="729"/>
      <c r="L6047" s="147">
        <v>0.10581</v>
      </c>
      <c r="M6047" s="729"/>
      <c r="N6047" s="147">
        <v>0.10581</v>
      </c>
      <c r="O6047" s="147">
        <v>0</v>
      </c>
      <c r="P6047" s="147">
        <v>9.3810000000000004E-2</v>
      </c>
      <c r="Q6047" s="147">
        <v>1.2E-2</v>
      </c>
      <c r="R6047" s="147">
        <v>12.791813239526704</v>
      </c>
    </row>
    <row r="6048" spans="2:18" ht="15.75" hidden="1" thickBot="1" x14ac:dyDescent="0.3">
      <c r="B6048" s="724" t="s">
        <v>867</v>
      </c>
      <c r="C6048" s="722" t="s">
        <v>149</v>
      </c>
      <c r="D6048" t="s">
        <v>150</v>
      </c>
      <c r="E6048" s="728"/>
      <c r="F6048" s="728"/>
      <c r="G6048" s="728"/>
      <c r="H6048" s="728"/>
      <c r="I6048" s="728"/>
      <c r="J6048" s="728"/>
      <c r="K6048" s="728"/>
      <c r="L6048" s="148">
        <v>13</v>
      </c>
      <c r="M6048" s="728"/>
      <c r="N6048" s="148">
        <v>13</v>
      </c>
      <c r="O6048" s="148">
        <v>0</v>
      </c>
      <c r="P6048" s="148">
        <v>13</v>
      </c>
      <c r="Q6048" s="148">
        <v>0</v>
      </c>
      <c r="R6048" s="148">
        <v>0</v>
      </c>
    </row>
    <row r="6049" spans="2:18" ht="15.75" hidden="1" thickBot="1" x14ac:dyDescent="0.3">
      <c r="B6049" s="724" t="s">
        <v>867</v>
      </c>
      <c r="C6049" s="722" t="s">
        <v>481</v>
      </c>
      <c r="D6049" t="s">
        <v>482</v>
      </c>
      <c r="E6049" s="729"/>
      <c r="F6049" s="729"/>
      <c r="G6049" s="729"/>
      <c r="H6049" s="729"/>
      <c r="I6049" s="729"/>
      <c r="J6049" s="729"/>
      <c r="K6049" s="729"/>
      <c r="L6049" s="147">
        <v>7.2230000000000003E-2</v>
      </c>
      <c r="M6049" s="729"/>
      <c r="N6049" s="147">
        <v>7.2230000000000003E-2</v>
      </c>
      <c r="O6049" s="147">
        <v>0</v>
      </c>
      <c r="P6049" s="147">
        <v>4.4850000000000001E-2</v>
      </c>
      <c r="Q6049" s="147">
        <v>2.7380000000000002E-2</v>
      </c>
      <c r="R6049" s="147">
        <v>61.047937569676698</v>
      </c>
    </row>
    <row r="6050" spans="2:18" ht="15.75" hidden="1" thickBot="1" x14ac:dyDescent="0.3">
      <c r="B6050" s="724" t="s">
        <v>867</v>
      </c>
      <c r="C6050" s="722" t="s">
        <v>75</v>
      </c>
      <c r="D6050" t="s">
        <v>76</v>
      </c>
      <c r="E6050" s="148">
        <v>7.3770000000000002E-2</v>
      </c>
      <c r="F6050" s="728"/>
      <c r="G6050" s="148">
        <v>7.3770000000000002E-2</v>
      </c>
      <c r="H6050" s="148">
        <v>0</v>
      </c>
      <c r="I6050" s="728"/>
      <c r="J6050" s="148">
        <v>7.3770000000000002E-2</v>
      </c>
      <c r="K6050" s="148">
        <v>0</v>
      </c>
      <c r="L6050" s="148">
        <v>5.0542600000000002</v>
      </c>
      <c r="M6050" s="728"/>
      <c r="N6050" s="148">
        <v>5.0542600000000002</v>
      </c>
      <c r="O6050" s="148">
        <v>0</v>
      </c>
      <c r="P6050" s="148">
        <v>2.67733</v>
      </c>
      <c r="Q6050" s="148">
        <v>2.3769300000000002</v>
      </c>
      <c r="R6050" s="148">
        <v>88.779866508797937</v>
      </c>
    </row>
    <row r="6051" spans="2:18" ht="15.75" hidden="1" thickBot="1" x14ac:dyDescent="0.3">
      <c r="B6051" s="724" t="s">
        <v>867</v>
      </c>
      <c r="C6051" s="722" t="s">
        <v>121</v>
      </c>
      <c r="D6051" t="s">
        <v>122</v>
      </c>
      <c r="E6051" s="729"/>
      <c r="F6051" s="147">
        <v>1.6666700000000001</v>
      </c>
      <c r="G6051" s="147">
        <v>-1.6666700000000001</v>
      </c>
      <c r="H6051" s="147">
        <v>-100</v>
      </c>
      <c r="I6051" s="729"/>
      <c r="J6051" s="729"/>
      <c r="K6051" s="729"/>
      <c r="L6051" s="147">
        <v>1.0912500000000001</v>
      </c>
      <c r="M6051" s="147">
        <v>20.000039999999998</v>
      </c>
      <c r="N6051" s="147">
        <v>-18.90879</v>
      </c>
      <c r="O6051" s="147">
        <v>-94.543760912478177</v>
      </c>
      <c r="P6051" s="147">
        <v>0.86677999999999999</v>
      </c>
      <c r="Q6051" s="147">
        <v>0.22447</v>
      </c>
      <c r="R6051" s="147">
        <v>25.896998084865825</v>
      </c>
    </row>
    <row r="6052" spans="2:18" ht="15.75" hidden="1" thickBot="1" x14ac:dyDescent="0.3">
      <c r="B6052" s="724" t="s">
        <v>867</v>
      </c>
      <c r="C6052" s="722" t="s">
        <v>77</v>
      </c>
      <c r="D6052" t="s">
        <v>78</v>
      </c>
      <c r="E6052" s="148">
        <v>0.94887999999999995</v>
      </c>
      <c r="F6052" s="728"/>
      <c r="G6052" s="148">
        <v>0.94887999999999995</v>
      </c>
      <c r="H6052" s="148">
        <v>0</v>
      </c>
      <c r="I6052" s="728"/>
      <c r="J6052" s="148">
        <v>0.94887999999999995</v>
      </c>
      <c r="K6052" s="148">
        <v>0</v>
      </c>
      <c r="L6052" s="148">
        <v>11.823689999999999</v>
      </c>
      <c r="M6052" s="728"/>
      <c r="N6052" s="148">
        <v>11.823689999999999</v>
      </c>
      <c r="O6052" s="148">
        <v>0</v>
      </c>
      <c r="P6052" s="148">
        <v>7.1624100000000004</v>
      </c>
      <c r="Q6052" s="148">
        <v>4.6612799999999996</v>
      </c>
      <c r="R6052" s="148">
        <v>65.079770635861394</v>
      </c>
    </row>
    <row r="6053" spans="2:18" ht="15.75" hidden="1" thickBot="1" x14ac:dyDescent="0.3">
      <c r="B6053" s="724" t="s">
        <v>867</v>
      </c>
      <c r="C6053" s="722" t="s">
        <v>79</v>
      </c>
      <c r="D6053" t="s">
        <v>80</v>
      </c>
      <c r="E6053" s="147">
        <v>0.63304000000000005</v>
      </c>
      <c r="F6053" s="729"/>
      <c r="G6053" s="147">
        <v>0.63304000000000005</v>
      </c>
      <c r="H6053" s="147">
        <v>0</v>
      </c>
      <c r="I6053" s="729"/>
      <c r="J6053" s="147">
        <v>0.63304000000000005</v>
      </c>
      <c r="K6053" s="147">
        <v>0</v>
      </c>
      <c r="L6053" s="147">
        <v>2.5027900000000001</v>
      </c>
      <c r="M6053" s="729"/>
      <c r="N6053" s="147">
        <v>2.5027900000000001</v>
      </c>
      <c r="O6053" s="147">
        <v>0</v>
      </c>
      <c r="P6053" s="147">
        <v>1.0442199999999999</v>
      </c>
      <c r="Q6053" s="147">
        <v>1.4585699999999999</v>
      </c>
      <c r="R6053" s="147">
        <v>139.68033556147171</v>
      </c>
    </row>
    <row r="6054" spans="2:18" ht="15.75" hidden="1" thickBot="1" x14ac:dyDescent="0.3">
      <c r="B6054" s="724" t="s">
        <v>867</v>
      </c>
      <c r="C6054" s="722" t="s">
        <v>81</v>
      </c>
      <c r="D6054" t="s">
        <v>82</v>
      </c>
      <c r="E6054" s="148">
        <v>0.44683</v>
      </c>
      <c r="F6054" s="728"/>
      <c r="G6054" s="148">
        <v>0.44683</v>
      </c>
      <c r="H6054" s="148">
        <v>0</v>
      </c>
      <c r="I6054" s="728"/>
      <c r="J6054" s="148">
        <v>0.44683</v>
      </c>
      <c r="K6054" s="148">
        <v>0</v>
      </c>
      <c r="L6054" s="148">
        <v>1.41825</v>
      </c>
      <c r="M6054" s="728"/>
      <c r="N6054" s="148">
        <v>1.41825</v>
      </c>
      <c r="O6054" s="148">
        <v>0</v>
      </c>
      <c r="P6054" s="148">
        <v>0.85141999999999995</v>
      </c>
      <c r="Q6054" s="148">
        <v>0.56682999999999995</v>
      </c>
      <c r="R6054" s="148">
        <v>66.574663503323862</v>
      </c>
    </row>
    <row r="6055" spans="2:18" ht="15.75" hidden="1" thickBot="1" x14ac:dyDescent="0.3">
      <c r="B6055" s="724" t="s">
        <v>867</v>
      </c>
      <c r="C6055" s="722" t="s">
        <v>123</v>
      </c>
      <c r="D6055" t="s">
        <v>124</v>
      </c>
      <c r="E6055" s="729"/>
      <c r="F6055" s="729"/>
      <c r="G6055" s="729"/>
      <c r="H6055" s="729"/>
      <c r="I6055" s="729"/>
      <c r="J6055" s="729"/>
      <c r="K6055" s="729"/>
      <c r="L6055" s="147">
        <v>7.4999999999999997E-2</v>
      </c>
      <c r="M6055" s="729"/>
      <c r="N6055" s="147">
        <v>7.4999999999999997E-2</v>
      </c>
      <c r="O6055" s="147">
        <v>0</v>
      </c>
      <c r="P6055" s="147">
        <v>7.4999999999999997E-2</v>
      </c>
      <c r="Q6055" s="147">
        <v>0</v>
      </c>
      <c r="R6055" s="147">
        <v>0</v>
      </c>
    </row>
    <row r="6056" spans="2:18" ht="15.75" hidden="1" thickBot="1" x14ac:dyDescent="0.3">
      <c r="B6056" s="724" t="s">
        <v>867</v>
      </c>
      <c r="C6056" s="722" t="s">
        <v>83</v>
      </c>
      <c r="D6056" t="s">
        <v>84</v>
      </c>
      <c r="E6056" s="728"/>
      <c r="F6056" s="148">
        <v>0.625</v>
      </c>
      <c r="G6056" s="148">
        <v>-0.625</v>
      </c>
      <c r="H6056" s="148">
        <v>-100</v>
      </c>
      <c r="I6056" s="728"/>
      <c r="J6056" s="728"/>
      <c r="K6056" s="728"/>
      <c r="L6056" s="728"/>
      <c r="M6056" s="148">
        <v>7.5</v>
      </c>
      <c r="N6056" s="148">
        <v>-7.5</v>
      </c>
      <c r="O6056" s="148">
        <v>-100</v>
      </c>
      <c r="P6056" s="728"/>
      <c r="Q6056" s="728"/>
      <c r="R6056" s="728"/>
    </row>
    <row r="6057" spans="2:18" ht="15.75" hidden="1" thickBot="1" x14ac:dyDescent="0.3">
      <c r="B6057" s="724" t="s">
        <v>867</v>
      </c>
      <c r="C6057" s="149" t="s">
        <v>85</v>
      </c>
      <c r="D6057" t="s">
        <v>86</v>
      </c>
      <c r="E6057" s="147">
        <v>2.37493</v>
      </c>
      <c r="F6057" s="147">
        <v>2.2916699999999999</v>
      </c>
      <c r="G6057" s="147">
        <v>8.3260000000000001E-2</v>
      </c>
      <c r="H6057" s="147">
        <v>3.6331583517696702</v>
      </c>
      <c r="I6057" s="729"/>
      <c r="J6057" s="147">
        <v>2.37493</v>
      </c>
      <c r="K6057" s="147">
        <v>0</v>
      </c>
      <c r="L6057" s="147">
        <v>38.712820000000001</v>
      </c>
      <c r="M6057" s="147">
        <v>27.500039999999998</v>
      </c>
      <c r="N6057" s="147">
        <v>11.21278</v>
      </c>
      <c r="O6057" s="147">
        <v>40.773686147365602</v>
      </c>
      <c r="P6057" s="147">
        <v>28.207159999999998</v>
      </c>
      <c r="Q6057" s="147">
        <v>10.505660000000001</v>
      </c>
      <c r="R6057" s="147">
        <v>37.244657030342651</v>
      </c>
    </row>
    <row r="6058" spans="2:18" ht="15.75" hidden="1" thickBot="1" x14ac:dyDescent="0.3">
      <c r="B6058" s="724" t="s">
        <v>867</v>
      </c>
      <c r="C6058" s="144" t="s">
        <v>87</v>
      </c>
      <c r="D6058" t="s">
        <v>87</v>
      </c>
      <c r="E6058" s="148">
        <v>2.37493</v>
      </c>
      <c r="F6058" s="148">
        <v>2.2916699999999999</v>
      </c>
      <c r="G6058" s="148">
        <v>8.3260000000000001E-2</v>
      </c>
      <c r="H6058" s="148">
        <v>3.6331583517696702</v>
      </c>
      <c r="I6058" s="728"/>
      <c r="J6058" s="148">
        <v>2.37493</v>
      </c>
      <c r="K6058" s="148">
        <v>0</v>
      </c>
      <c r="L6058" s="148">
        <v>38.712820000000001</v>
      </c>
      <c r="M6058" s="148">
        <v>27.500039999999998</v>
      </c>
      <c r="N6058" s="148">
        <v>11.21278</v>
      </c>
      <c r="O6058" s="148">
        <v>40.773686147365602</v>
      </c>
      <c r="P6058" s="148">
        <v>28.207159999999998</v>
      </c>
      <c r="Q6058" s="148">
        <v>10.505660000000001</v>
      </c>
      <c r="R6058" s="148">
        <v>37.244657030342651</v>
      </c>
    </row>
    <row r="6059" spans="2:18" ht="15.75" hidden="1" thickBot="1" x14ac:dyDescent="0.3">
      <c r="B6059" s="724" t="s">
        <v>868</v>
      </c>
      <c r="C6059" s="722" t="s">
        <v>69</v>
      </c>
      <c r="D6059" t="s">
        <v>70</v>
      </c>
      <c r="E6059" s="729"/>
      <c r="F6059" s="729"/>
      <c r="G6059" s="729"/>
      <c r="H6059" s="729"/>
      <c r="I6059" s="729"/>
      <c r="J6059" s="729"/>
      <c r="K6059" s="729"/>
      <c r="L6059" s="147">
        <v>2.5249999999999999</v>
      </c>
      <c r="M6059" s="729"/>
      <c r="N6059" s="147">
        <v>2.5249999999999999</v>
      </c>
      <c r="O6059" s="147">
        <v>0</v>
      </c>
      <c r="P6059" s="147">
        <v>2.5249999999999999</v>
      </c>
      <c r="Q6059" s="147">
        <v>0</v>
      </c>
      <c r="R6059" s="147">
        <v>0</v>
      </c>
    </row>
    <row r="6060" spans="2:18" ht="15.75" hidden="1" thickBot="1" x14ac:dyDescent="0.3">
      <c r="B6060" s="724" t="s">
        <v>868</v>
      </c>
      <c r="C6060" s="722" t="s">
        <v>137</v>
      </c>
      <c r="D6060" t="s">
        <v>138</v>
      </c>
      <c r="E6060" s="148">
        <v>0.19893</v>
      </c>
      <c r="F6060" s="148">
        <v>0.2</v>
      </c>
      <c r="G6060" s="148">
        <v>-1.07E-3</v>
      </c>
      <c r="H6060" s="148">
        <v>-0.53500000000000003</v>
      </c>
      <c r="I6060" s="728"/>
      <c r="J6060" s="148">
        <v>0.19893</v>
      </c>
      <c r="K6060" s="148">
        <v>0</v>
      </c>
      <c r="L6060" s="148">
        <v>0.73411999999999999</v>
      </c>
      <c r="M6060" s="148">
        <v>0.6</v>
      </c>
      <c r="N6060" s="148">
        <v>0.13411999999999999</v>
      </c>
      <c r="O6060" s="148">
        <v>22.353333333333332</v>
      </c>
      <c r="P6060" s="148">
        <v>0.24415999999999999</v>
      </c>
      <c r="Q6060" s="148">
        <v>0.48996000000000001</v>
      </c>
      <c r="R6060" s="148">
        <v>200.67169069462648</v>
      </c>
    </row>
    <row r="6061" spans="2:18" ht="15.75" hidden="1" thickBot="1" x14ac:dyDescent="0.3">
      <c r="B6061" s="724" t="s">
        <v>868</v>
      </c>
      <c r="C6061" s="722" t="s">
        <v>139</v>
      </c>
      <c r="D6061" t="s">
        <v>140</v>
      </c>
      <c r="E6061" s="729"/>
      <c r="F6061" s="147">
        <v>0.1</v>
      </c>
      <c r="G6061" s="147">
        <v>-0.1</v>
      </c>
      <c r="H6061" s="147">
        <v>-100</v>
      </c>
      <c r="I6061" s="729"/>
      <c r="J6061" s="729"/>
      <c r="K6061" s="729"/>
      <c r="L6061" s="729"/>
      <c r="M6061" s="147">
        <v>1</v>
      </c>
      <c r="N6061" s="147">
        <v>-1</v>
      </c>
      <c r="O6061" s="147">
        <v>-100</v>
      </c>
      <c r="P6061" s="729"/>
      <c r="Q6061" s="729"/>
      <c r="R6061" s="729"/>
    </row>
    <row r="6062" spans="2:18" ht="15.75" hidden="1" thickBot="1" x14ac:dyDescent="0.3">
      <c r="B6062" s="724" t="s">
        <v>868</v>
      </c>
      <c r="C6062" s="722" t="s">
        <v>101</v>
      </c>
      <c r="D6062" t="s">
        <v>102</v>
      </c>
      <c r="E6062" s="728"/>
      <c r="F6062" s="148">
        <v>5</v>
      </c>
      <c r="G6062" s="148">
        <v>-5</v>
      </c>
      <c r="H6062" s="148">
        <v>-100</v>
      </c>
      <c r="I6062" s="728"/>
      <c r="J6062" s="728"/>
      <c r="K6062" s="728"/>
      <c r="L6062" s="148">
        <v>0.39217999999999997</v>
      </c>
      <c r="M6062" s="148">
        <v>8.6069999999999993</v>
      </c>
      <c r="N6062" s="148">
        <v>-8.2148199999999996</v>
      </c>
      <c r="O6062" s="148">
        <v>-95.443476240269547</v>
      </c>
      <c r="P6062" s="148">
        <v>0.33407999999999999</v>
      </c>
      <c r="Q6062" s="148">
        <v>5.8099999999999999E-2</v>
      </c>
      <c r="R6062" s="148">
        <v>17.391044061302683</v>
      </c>
    </row>
    <row r="6063" spans="2:18" ht="15.75" hidden="1" thickBot="1" x14ac:dyDescent="0.3">
      <c r="B6063" s="724" t="s">
        <v>868</v>
      </c>
      <c r="C6063" s="722" t="s">
        <v>103</v>
      </c>
      <c r="D6063" t="s">
        <v>104</v>
      </c>
      <c r="E6063" s="729"/>
      <c r="F6063" s="729"/>
      <c r="G6063" s="729"/>
      <c r="H6063" s="729"/>
      <c r="I6063" s="729"/>
      <c r="J6063" s="729"/>
      <c r="K6063" s="729"/>
      <c r="L6063" s="147">
        <v>6.6979999999999998E-2</v>
      </c>
      <c r="M6063" s="729"/>
      <c r="N6063" s="147">
        <v>6.6979999999999998E-2</v>
      </c>
      <c r="O6063" s="147">
        <v>0</v>
      </c>
      <c r="P6063" s="147">
        <v>6.6979999999999998E-2</v>
      </c>
      <c r="Q6063" s="147">
        <v>0</v>
      </c>
      <c r="R6063" s="147">
        <v>0</v>
      </c>
    </row>
    <row r="6064" spans="2:18" ht="15.75" hidden="1" thickBot="1" x14ac:dyDescent="0.3">
      <c r="B6064" s="724" t="s">
        <v>868</v>
      </c>
      <c r="C6064" s="722" t="s">
        <v>73</v>
      </c>
      <c r="D6064" t="s">
        <v>74</v>
      </c>
      <c r="E6064" s="728"/>
      <c r="F6064" s="728"/>
      <c r="G6064" s="728"/>
      <c r="H6064" s="728"/>
      <c r="I6064" s="728"/>
      <c r="J6064" s="728"/>
      <c r="K6064" s="728"/>
      <c r="L6064" s="148">
        <v>5.6950000000000001E-2</v>
      </c>
      <c r="M6064" s="728"/>
      <c r="N6064" s="148">
        <v>5.6950000000000001E-2</v>
      </c>
      <c r="O6064" s="148">
        <v>0</v>
      </c>
      <c r="P6064" s="148">
        <v>5.6950000000000001E-2</v>
      </c>
      <c r="Q6064" s="148">
        <v>0</v>
      </c>
      <c r="R6064" s="148">
        <v>0</v>
      </c>
    </row>
    <row r="6065" spans="2:18" ht="15.75" hidden="1" thickBot="1" x14ac:dyDescent="0.3">
      <c r="B6065" s="724" t="s">
        <v>868</v>
      </c>
      <c r="C6065" s="722" t="s">
        <v>141</v>
      </c>
      <c r="D6065" t="s">
        <v>142</v>
      </c>
      <c r="E6065" s="729"/>
      <c r="F6065" s="729"/>
      <c r="G6065" s="729"/>
      <c r="H6065" s="729"/>
      <c r="I6065" s="729"/>
      <c r="J6065" s="729"/>
      <c r="K6065" s="729"/>
      <c r="L6065" s="147">
        <v>7.1340000000000001E-2</v>
      </c>
      <c r="M6065" s="729"/>
      <c r="N6065" s="147">
        <v>7.1340000000000001E-2</v>
      </c>
      <c r="O6065" s="147">
        <v>0</v>
      </c>
      <c r="P6065" s="147">
        <v>7.1340000000000001E-2</v>
      </c>
      <c r="Q6065" s="147">
        <v>0</v>
      </c>
      <c r="R6065" s="147">
        <v>0</v>
      </c>
    </row>
    <row r="6066" spans="2:18" ht="15.75" hidden="1" thickBot="1" x14ac:dyDescent="0.3">
      <c r="B6066" s="724" t="s">
        <v>868</v>
      </c>
      <c r="C6066" s="722" t="s">
        <v>113</v>
      </c>
      <c r="D6066" t="s">
        <v>114</v>
      </c>
      <c r="E6066" s="148">
        <v>8.9999999999999993E-3</v>
      </c>
      <c r="F6066" s="728"/>
      <c r="G6066" s="148">
        <v>8.9999999999999993E-3</v>
      </c>
      <c r="H6066" s="148">
        <v>0</v>
      </c>
      <c r="I6066" s="728"/>
      <c r="J6066" s="148">
        <v>8.9999999999999993E-3</v>
      </c>
      <c r="K6066" s="148">
        <v>0</v>
      </c>
      <c r="L6066" s="148">
        <v>0.15565000000000001</v>
      </c>
      <c r="M6066" s="148">
        <v>0.2</v>
      </c>
      <c r="N6066" s="148">
        <v>-4.4350000000000001E-2</v>
      </c>
      <c r="O6066" s="148">
        <v>-22.175000000000001</v>
      </c>
      <c r="P6066" s="148">
        <v>6.5979999999999997E-2</v>
      </c>
      <c r="Q6066" s="148">
        <v>8.967E-2</v>
      </c>
      <c r="R6066" s="148">
        <v>135.90481964231586</v>
      </c>
    </row>
    <row r="6067" spans="2:18" ht="15.75" hidden="1" thickBot="1" x14ac:dyDescent="0.3">
      <c r="B6067" s="724" t="s">
        <v>868</v>
      </c>
      <c r="C6067" s="722" t="s">
        <v>633</v>
      </c>
      <c r="D6067" t="s">
        <v>634</v>
      </c>
      <c r="E6067" s="729"/>
      <c r="F6067" s="729"/>
      <c r="G6067" s="729"/>
      <c r="H6067" s="729"/>
      <c r="I6067" s="729"/>
      <c r="J6067" s="729"/>
      <c r="K6067" s="729"/>
      <c r="L6067" s="729"/>
      <c r="M6067" s="147">
        <v>1.35</v>
      </c>
      <c r="N6067" s="147">
        <v>-1.35</v>
      </c>
      <c r="O6067" s="147">
        <v>-100</v>
      </c>
      <c r="P6067" s="729"/>
      <c r="Q6067" s="729"/>
      <c r="R6067" s="729"/>
    </row>
    <row r="6068" spans="2:18" ht="15.75" hidden="1" thickBot="1" x14ac:dyDescent="0.3">
      <c r="B6068" s="724" t="s">
        <v>868</v>
      </c>
      <c r="C6068" s="722" t="s">
        <v>145</v>
      </c>
      <c r="D6068" t="s">
        <v>146</v>
      </c>
      <c r="E6068" s="148">
        <v>2.5500000000000002E-3</v>
      </c>
      <c r="F6068" s="728"/>
      <c r="G6068" s="148">
        <v>2.5500000000000002E-3</v>
      </c>
      <c r="H6068" s="148">
        <v>0</v>
      </c>
      <c r="I6068" s="728"/>
      <c r="J6068" s="148">
        <v>2.5500000000000002E-3</v>
      </c>
      <c r="K6068" s="148">
        <v>0</v>
      </c>
      <c r="L6068" s="148">
        <v>0.16919999999999999</v>
      </c>
      <c r="M6068" s="728"/>
      <c r="N6068" s="148">
        <v>0.16919999999999999</v>
      </c>
      <c r="O6068" s="148">
        <v>0</v>
      </c>
      <c r="P6068" s="148">
        <v>9.6949999999999995E-2</v>
      </c>
      <c r="Q6068" s="148">
        <v>7.2249999999999995E-2</v>
      </c>
      <c r="R6068" s="148">
        <v>74.522949974213518</v>
      </c>
    </row>
    <row r="6069" spans="2:18" ht="15.75" hidden="1" thickBot="1" x14ac:dyDescent="0.3">
      <c r="B6069" s="724" t="s">
        <v>868</v>
      </c>
      <c r="C6069" s="722" t="s">
        <v>147</v>
      </c>
      <c r="D6069" t="s">
        <v>148</v>
      </c>
      <c r="E6069" s="729"/>
      <c r="F6069" s="729"/>
      <c r="G6069" s="729"/>
      <c r="H6069" s="729"/>
      <c r="I6069" s="729"/>
      <c r="J6069" s="729"/>
      <c r="K6069" s="729"/>
      <c r="L6069" s="147">
        <v>6.6650000000000001E-2</v>
      </c>
      <c r="M6069" s="729"/>
      <c r="N6069" s="147">
        <v>6.6650000000000001E-2</v>
      </c>
      <c r="O6069" s="147">
        <v>0</v>
      </c>
      <c r="P6069" s="147">
        <v>2.3949999999999999E-2</v>
      </c>
      <c r="Q6069" s="147">
        <v>4.2700000000000002E-2</v>
      </c>
      <c r="R6069" s="147">
        <v>178.28810020876827</v>
      </c>
    </row>
    <row r="6070" spans="2:18" ht="15.75" hidden="1" thickBot="1" x14ac:dyDescent="0.3">
      <c r="B6070" s="724" t="s">
        <v>868</v>
      </c>
      <c r="C6070" s="722" t="s">
        <v>153</v>
      </c>
      <c r="D6070" t="s">
        <v>154</v>
      </c>
      <c r="E6070" s="728"/>
      <c r="F6070" s="728"/>
      <c r="G6070" s="728"/>
      <c r="H6070" s="728"/>
      <c r="I6070" s="728"/>
      <c r="J6070" s="728"/>
      <c r="K6070" s="728"/>
      <c r="L6070" s="728"/>
      <c r="M6070" s="148">
        <v>0.5</v>
      </c>
      <c r="N6070" s="148">
        <v>-0.5</v>
      </c>
      <c r="O6070" s="148">
        <v>-100</v>
      </c>
      <c r="P6070" s="728"/>
      <c r="Q6070" s="728"/>
      <c r="R6070" s="728"/>
    </row>
    <row r="6071" spans="2:18" ht="15.75" hidden="1" thickBot="1" x14ac:dyDescent="0.3">
      <c r="B6071" s="724" t="s">
        <v>868</v>
      </c>
      <c r="C6071" s="722" t="s">
        <v>75</v>
      </c>
      <c r="D6071" t="s">
        <v>76</v>
      </c>
      <c r="E6071" s="147">
        <v>0.56025999999999998</v>
      </c>
      <c r="F6071" s="147">
        <v>1.45</v>
      </c>
      <c r="G6071" s="147">
        <v>-0.88973999999999998</v>
      </c>
      <c r="H6071" s="147">
        <v>-61.36137931034483</v>
      </c>
      <c r="I6071" s="729"/>
      <c r="J6071" s="147">
        <v>0.56025999999999998</v>
      </c>
      <c r="K6071" s="147">
        <v>0</v>
      </c>
      <c r="L6071" s="147">
        <v>5.3771800000000001</v>
      </c>
      <c r="M6071" s="147">
        <v>11.24</v>
      </c>
      <c r="N6071" s="147">
        <v>-5.8628200000000001</v>
      </c>
      <c r="O6071" s="147">
        <v>-52.160320284697512</v>
      </c>
      <c r="P6071" s="147">
        <v>1.59538</v>
      </c>
      <c r="Q6071" s="147">
        <v>3.7818000000000001</v>
      </c>
      <c r="R6071" s="147">
        <v>237.0469731349271</v>
      </c>
    </row>
    <row r="6072" spans="2:18" ht="15.75" hidden="1" thickBot="1" x14ac:dyDescent="0.3">
      <c r="B6072" s="724" t="s">
        <v>868</v>
      </c>
      <c r="C6072" s="722" t="s">
        <v>121</v>
      </c>
      <c r="D6072" t="s">
        <v>122</v>
      </c>
      <c r="E6072" s="728"/>
      <c r="F6072" s="728"/>
      <c r="G6072" s="728"/>
      <c r="H6072" s="728"/>
      <c r="I6072" s="728"/>
      <c r="J6072" s="728"/>
      <c r="K6072" s="728"/>
      <c r="L6072" s="148">
        <v>1.056E-2</v>
      </c>
      <c r="M6072" s="148">
        <v>1.0249999999999999</v>
      </c>
      <c r="N6072" s="148">
        <v>-1.01444</v>
      </c>
      <c r="O6072" s="148">
        <v>-98.969756097560975</v>
      </c>
      <c r="P6072" s="728"/>
      <c r="Q6072" s="148">
        <v>1.056E-2</v>
      </c>
      <c r="R6072" s="148">
        <v>0</v>
      </c>
    </row>
    <row r="6073" spans="2:18" ht="15.75" hidden="1" thickBot="1" x14ac:dyDescent="0.3">
      <c r="B6073" s="724" t="s">
        <v>868</v>
      </c>
      <c r="C6073" s="722" t="s">
        <v>77</v>
      </c>
      <c r="D6073" t="s">
        <v>78</v>
      </c>
      <c r="E6073" s="729"/>
      <c r="F6073" s="729"/>
      <c r="G6073" s="729"/>
      <c r="H6073" s="729"/>
      <c r="I6073" s="729"/>
      <c r="J6073" s="729"/>
      <c r="K6073" s="729"/>
      <c r="L6073" s="147">
        <v>3.9280499999999998</v>
      </c>
      <c r="M6073" s="147">
        <v>8.27</v>
      </c>
      <c r="N6073" s="147">
        <v>-4.3419499999999998</v>
      </c>
      <c r="O6073" s="147">
        <v>-52.502418379685608</v>
      </c>
      <c r="P6073" s="147">
        <v>3.22078</v>
      </c>
      <c r="Q6073" s="147">
        <v>0.70726999999999995</v>
      </c>
      <c r="R6073" s="147">
        <v>21.959587429132075</v>
      </c>
    </row>
    <row r="6074" spans="2:18" ht="15.75" hidden="1" thickBot="1" x14ac:dyDescent="0.3">
      <c r="B6074" s="724" t="s">
        <v>868</v>
      </c>
      <c r="C6074" s="722" t="s">
        <v>79</v>
      </c>
      <c r="D6074" t="s">
        <v>80</v>
      </c>
      <c r="E6074" s="728"/>
      <c r="F6074" s="728"/>
      <c r="G6074" s="728"/>
      <c r="H6074" s="728"/>
      <c r="I6074" s="728"/>
      <c r="J6074" s="728"/>
      <c r="K6074" s="728"/>
      <c r="L6074" s="148">
        <v>6.6092300000000002</v>
      </c>
      <c r="M6074" s="148">
        <v>1</v>
      </c>
      <c r="N6074" s="148">
        <v>5.6092300000000002</v>
      </c>
      <c r="O6074" s="148">
        <v>560.923</v>
      </c>
      <c r="P6074" s="148">
        <v>3.83717</v>
      </c>
      <c r="Q6074" s="148">
        <v>2.7720600000000002</v>
      </c>
      <c r="R6074" s="148">
        <v>72.242303572685074</v>
      </c>
    </row>
    <row r="6075" spans="2:18" ht="15.75" hidden="1" thickBot="1" x14ac:dyDescent="0.3">
      <c r="B6075" s="724" t="s">
        <v>868</v>
      </c>
      <c r="C6075" s="722" t="s">
        <v>81</v>
      </c>
      <c r="D6075" t="s">
        <v>82</v>
      </c>
      <c r="E6075" s="729"/>
      <c r="F6075" s="729"/>
      <c r="G6075" s="729"/>
      <c r="H6075" s="729"/>
      <c r="I6075" s="729"/>
      <c r="J6075" s="729"/>
      <c r="K6075" s="729"/>
      <c r="L6075" s="147">
        <v>3.2540200000000001</v>
      </c>
      <c r="M6075" s="147">
        <v>3</v>
      </c>
      <c r="N6075" s="147">
        <v>0.25402000000000002</v>
      </c>
      <c r="O6075" s="147">
        <v>8.4673333333333325</v>
      </c>
      <c r="P6075" s="147">
        <v>0.99</v>
      </c>
      <c r="Q6075" s="147">
        <v>2.2640199999999999</v>
      </c>
      <c r="R6075" s="147">
        <v>228.6888888888889</v>
      </c>
    </row>
    <row r="6076" spans="2:18" ht="15.75" hidden="1" thickBot="1" x14ac:dyDescent="0.3">
      <c r="B6076" s="724" t="s">
        <v>868</v>
      </c>
      <c r="C6076" s="722" t="s">
        <v>123</v>
      </c>
      <c r="D6076" t="s">
        <v>124</v>
      </c>
      <c r="E6076" s="148">
        <v>3.4916700000000001</v>
      </c>
      <c r="F6076" s="728"/>
      <c r="G6076" s="148">
        <v>3.4916700000000001</v>
      </c>
      <c r="H6076" s="148">
        <v>0</v>
      </c>
      <c r="I6076" s="728"/>
      <c r="J6076" s="148">
        <v>3.4916700000000001</v>
      </c>
      <c r="K6076" s="148">
        <v>0</v>
      </c>
      <c r="L6076" s="148">
        <v>3.4916700000000001</v>
      </c>
      <c r="M6076" s="728"/>
      <c r="N6076" s="148">
        <v>3.4916700000000001</v>
      </c>
      <c r="O6076" s="148">
        <v>0</v>
      </c>
      <c r="P6076" s="728"/>
      <c r="Q6076" s="148">
        <v>3.4916700000000001</v>
      </c>
      <c r="R6076" s="148">
        <v>0</v>
      </c>
    </row>
    <row r="6077" spans="2:18" ht="15.75" hidden="1" thickBot="1" x14ac:dyDescent="0.3">
      <c r="B6077" s="724" t="s">
        <v>868</v>
      </c>
      <c r="C6077" s="722" t="s">
        <v>83</v>
      </c>
      <c r="D6077" t="s">
        <v>84</v>
      </c>
      <c r="E6077" s="729"/>
      <c r="F6077" s="147">
        <v>0.25800000000000001</v>
      </c>
      <c r="G6077" s="147">
        <v>-0.25800000000000001</v>
      </c>
      <c r="H6077" s="147">
        <v>-100</v>
      </c>
      <c r="I6077" s="729"/>
      <c r="J6077" s="729"/>
      <c r="K6077" s="729"/>
      <c r="L6077" s="729"/>
      <c r="M6077" s="147">
        <v>5.2080000000000002</v>
      </c>
      <c r="N6077" s="147">
        <v>-5.2080000000000002</v>
      </c>
      <c r="O6077" s="147">
        <v>-100</v>
      </c>
      <c r="P6077" s="729"/>
      <c r="Q6077" s="729"/>
      <c r="R6077" s="729"/>
    </row>
    <row r="6078" spans="2:18" ht="15.75" hidden="1" thickBot="1" x14ac:dyDescent="0.3">
      <c r="B6078" s="724" t="s">
        <v>868</v>
      </c>
      <c r="C6078" s="149" t="s">
        <v>85</v>
      </c>
      <c r="D6078" t="s">
        <v>86</v>
      </c>
      <c r="E6078" s="148">
        <v>4.26241</v>
      </c>
      <c r="F6078" s="148">
        <v>7.008</v>
      </c>
      <c r="G6078" s="148">
        <v>-2.74559</v>
      </c>
      <c r="H6078" s="148">
        <v>-39.177939497716892</v>
      </c>
      <c r="I6078" s="728"/>
      <c r="J6078" s="148">
        <v>4.26241</v>
      </c>
      <c r="K6078" s="148">
        <v>0</v>
      </c>
      <c r="L6078" s="148">
        <v>26.90878</v>
      </c>
      <c r="M6078" s="148">
        <v>42</v>
      </c>
      <c r="N6078" s="148">
        <v>-15.09122</v>
      </c>
      <c r="O6078" s="148">
        <v>-35.931476190476189</v>
      </c>
      <c r="P6078" s="148">
        <v>13.12872</v>
      </c>
      <c r="Q6078" s="148">
        <v>13.780060000000001</v>
      </c>
      <c r="R6078" s="148">
        <v>104.96118433480187</v>
      </c>
    </row>
    <row r="6079" spans="2:18" ht="15.75" hidden="1" thickBot="1" x14ac:dyDescent="0.3">
      <c r="B6079" s="724" t="s">
        <v>868</v>
      </c>
      <c r="C6079" s="144" t="s">
        <v>87</v>
      </c>
      <c r="D6079" t="s">
        <v>87</v>
      </c>
      <c r="E6079" s="147">
        <v>4.26241</v>
      </c>
      <c r="F6079" s="147">
        <v>7.008</v>
      </c>
      <c r="G6079" s="147">
        <v>-2.74559</v>
      </c>
      <c r="H6079" s="147">
        <v>-39.177939497716892</v>
      </c>
      <c r="I6079" s="729"/>
      <c r="J6079" s="147">
        <v>4.26241</v>
      </c>
      <c r="K6079" s="147">
        <v>0</v>
      </c>
      <c r="L6079" s="147">
        <v>26.90878</v>
      </c>
      <c r="M6079" s="147">
        <v>42</v>
      </c>
      <c r="N6079" s="147">
        <v>-15.09122</v>
      </c>
      <c r="O6079" s="147">
        <v>-35.931476190476189</v>
      </c>
      <c r="P6079" s="147">
        <v>13.12872</v>
      </c>
      <c r="Q6079" s="147">
        <v>13.780060000000001</v>
      </c>
      <c r="R6079" s="147">
        <v>104.96118433480187</v>
      </c>
    </row>
    <row r="6080" spans="2:18" ht="15.75" hidden="1" thickBot="1" x14ac:dyDescent="0.3">
      <c r="B6080" s="724" t="s">
        <v>869</v>
      </c>
      <c r="C6080" s="722" t="s">
        <v>69</v>
      </c>
      <c r="D6080" t="s">
        <v>70</v>
      </c>
      <c r="E6080" s="148">
        <v>0.125</v>
      </c>
      <c r="F6080" s="148">
        <v>0.25</v>
      </c>
      <c r="G6080" s="148">
        <v>-0.125</v>
      </c>
      <c r="H6080" s="148">
        <v>-50</v>
      </c>
      <c r="I6080" s="728"/>
      <c r="J6080" s="148">
        <v>0.125</v>
      </c>
      <c r="K6080" s="148">
        <v>0</v>
      </c>
      <c r="L6080" s="148">
        <v>0.27400000000000002</v>
      </c>
      <c r="M6080" s="148">
        <v>3</v>
      </c>
      <c r="N6080" s="148">
        <v>-2.726</v>
      </c>
      <c r="O6080" s="148">
        <v>-90.86666666666666</v>
      </c>
      <c r="P6080" s="148">
        <v>0.14899999999999999</v>
      </c>
      <c r="Q6080" s="148">
        <v>0.125</v>
      </c>
      <c r="R6080" s="148">
        <v>83.892617449664428</v>
      </c>
    </row>
    <row r="6081" spans="2:18" ht="15.75" hidden="1" thickBot="1" x14ac:dyDescent="0.3">
      <c r="B6081" s="724" t="s">
        <v>869</v>
      </c>
      <c r="C6081" s="722" t="s">
        <v>165</v>
      </c>
      <c r="D6081" t="s">
        <v>166</v>
      </c>
      <c r="E6081" s="729"/>
      <c r="F6081" s="729"/>
      <c r="G6081" s="729"/>
      <c r="H6081" s="729"/>
      <c r="I6081" s="729"/>
      <c r="J6081" s="729"/>
      <c r="K6081" s="729"/>
      <c r="L6081" s="147">
        <v>0.1046</v>
      </c>
      <c r="M6081" s="729"/>
      <c r="N6081" s="147">
        <v>0.1046</v>
      </c>
      <c r="O6081" s="147">
        <v>0</v>
      </c>
      <c r="P6081" s="729"/>
      <c r="Q6081" s="147">
        <v>0.1046</v>
      </c>
      <c r="R6081" s="147">
        <v>0</v>
      </c>
    </row>
    <row r="6082" spans="2:18" ht="15.75" hidden="1" thickBot="1" x14ac:dyDescent="0.3">
      <c r="B6082" s="724" t="s">
        <v>869</v>
      </c>
      <c r="C6082" s="722" t="s">
        <v>137</v>
      </c>
      <c r="D6082" t="s">
        <v>138</v>
      </c>
      <c r="E6082" s="728"/>
      <c r="F6082" s="148">
        <v>0</v>
      </c>
      <c r="G6082" s="148">
        <v>0</v>
      </c>
      <c r="H6082" s="148">
        <v>0</v>
      </c>
      <c r="I6082" s="728"/>
      <c r="J6082" s="728"/>
      <c r="K6082" s="728"/>
      <c r="L6082" s="148">
        <v>0.11401</v>
      </c>
      <c r="M6082" s="148">
        <v>0.1</v>
      </c>
      <c r="N6082" s="148">
        <v>1.401E-2</v>
      </c>
      <c r="O6082" s="148">
        <v>14.01</v>
      </c>
      <c r="P6082" s="728"/>
      <c r="Q6082" s="148">
        <v>0.11401</v>
      </c>
      <c r="R6082" s="148">
        <v>0</v>
      </c>
    </row>
    <row r="6083" spans="2:18" ht="15.75" hidden="1" thickBot="1" x14ac:dyDescent="0.3">
      <c r="B6083" s="724" t="s">
        <v>869</v>
      </c>
      <c r="C6083" s="722" t="s">
        <v>190</v>
      </c>
      <c r="D6083" t="s">
        <v>191</v>
      </c>
      <c r="E6083" s="729"/>
      <c r="F6083" s="729"/>
      <c r="G6083" s="729"/>
      <c r="H6083" s="729"/>
      <c r="I6083" s="729"/>
      <c r="J6083" s="729"/>
      <c r="K6083" s="729"/>
      <c r="L6083" s="147">
        <v>0.13075000000000001</v>
      </c>
      <c r="M6083" s="729"/>
      <c r="N6083" s="147">
        <v>0.13075000000000001</v>
      </c>
      <c r="O6083" s="147">
        <v>0</v>
      </c>
      <c r="P6083" s="147">
        <v>2.24E-2</v>
      </c>
      <c r="Q6083" s="147">
        <v>0.10835</v>
      </c>
      <c r="R6083" s="147">
        <v>483.70535714285717</v>
      </c>
    </row>
    <row r="6084" spans="2:18" ht="15.75" hidden="1" thickBot="1" x14ac:dyDescent="0.3">
      <c r="B6084" s="724" t="s">
        <v>869</v>
      </c>
      <c r="C6084" s="722" t="s">
        <v>139</v>
      </c>
      <c r="D6084" t="s">
        <v>140</v>
      </c>
      <c r="E6084" s="148">
        <v>11.43</v>
      </c>
      <c r="F6084" s="148">
        <v>1.1666700000000001</v>
      </c>
      <c r="G6084" s="148">
        <v>10.26333</v>
      </c>
      <c r="H6084" s="148">
        <v>879.71148653860985</v>
      </c>
      <c r="I6084" s="728"/>
      <c r="J6084" s="148">
        <v>11.43</v>
      </c>
      <c r="K6084" s="148">
        <v>0</v>
      </c>
      <c r="L6084" s="148">
        <v>18.689</v>
      </c>
      <c r="M6084" s="148">
        <v>14.00004</v>
      </c>
      <c r="N6084" s="148">
        <v>4.6889599999999998</v>
      </c>
      <c r="O6084" s="148">
        <v>33.492475735783614</v>
      </c>
      <c r="P6084" s="148">
        <v>0.65400000000000003</v>
      </c>
      <c r="Q6084" s="148">
        <v>18.035</v>
      </c>
      <c r="R6084" s="148">
        <v>2757.6452599388381</v>
      </c>
    </row>
    <row r="6085" spans="2:18" ht="15.75" hidden="1" thickBot="1" x14ac:dyDescent="0.3">
      <c r="B6085" s="724" t="s">
        <v>869</v>
      </c>
      <c r="C6085" s="722" t="s">
        <v>101</v>
      </c>
      <c r="D6085" t="s">
        <v>102</v>
      </c>
      <c r="E6085" s="729"/>
      <c r="F6085" s="729"/>
      <c r="G6085" s="729"/>
      <c r="H6085" s="729"/>
      <c r="I6085" s="729"/>
      <c r="J6085" s="729"/>
      <c r="K6085" s="729"/>
      <c r="L6085" s="729"/>
      <c r="M6085" s="147">
        <v>0</v>
      </c>
      <c r="N6085" s="147">
        <v>0</v>
      </c>
      <c r="O6085" s="147">
        <v>0</v>
      </c>
      <c r="P6085" s="729"/>
      <c r="Q6085" s="729"/>
      <c r="R6085" s="729"/>
    </row>
    <row r="6086" spans="2:18" ht="15.75" hidden="1" thickBot="1" x14ac:dyDescent="0.3">
      <c r="B6086" s="724" t="s">
        <v>869</v>
      </c>
      <c r="C6086" s="722" t="s">
        <v>109</v>
      </c>
      <c r="D6086" t="s">
        <v>110</v>
      </c>
      <c r="E6086" s="728"/>
      <c r="F6086" s="148">
        <v>0</v>
      </c>
      <c r="G6086" s="148">
        <v>0</v>
      </c>
      <c r="H6086" s="148">
        <v>0</v>
      </c>
      <c r="I6086" s="728"/>
      <c r="J6086" s="728"/>
      <c r="K6086" s="728"/>
      <c r="L6086" s="728"/>
      <c r="M6086" s="148">
        <v>0.03</v>
      </c>
      <c r="N6086" s="148">
        <v>-0.03</v>
      </c>
      <c r="O6086" s="148">
        <v>-100</v>
      </c>
      <c r="P6086" s="728"/>
      <c r="Q6086" s="728"/>
      <c r="R6086" s="728"/>
    </row>
    <row r="6087" spans="2:18" ht="15.75" hidden="1" thickBot="1" x14ac:dyDescent="0.3">
      <c r="B6087" s="724" t="s">
        <v>869</v>
      </c>
      <c r="C6087" s="722" t="s">
        <v>73</v>
      </c>
      <c r="D6087" t="s">
        <v>74</v>
      </c>
      <c r="E6087" s="147">
        <v>6.9989999999999997E-2</v>
      </c>
      <c r="F6087" s="729"/>
      <c r="G6087" s="147">
        <v>6.9989999999999997E-2</v>
      </c>
      <c r="H6087" s="147">
        <v>0</v>
      </c>
      <c r="I6087" s="729"/>
      <c r="J6087" s="147">
        <v>6.9989999999999997E-2</v>
      </c>
      <c r="K6087" s="147">
        <v>0</v>
      </c>
      <c r="L6087" s="147">
        <v>0.17549000000000001</v>
      </c>
      <c r="M6087" s="729"/>
      <c r="N6087" s="147">
        <v>0.17549000000000001</v>
      </c>
      <c r="O6087" s="147">
        <v>0</v>
      </c>
      <c r="P6087" s="729"/>
      <c r="Q6087" s="147">
        <v>0.17549000000000001</v>
      </c>
      <c r="R6087" s="147">
        <v>0</v>
      </c>
    </row>
    <row r="6088" spans="2:18" ht="15.75" hidden="1" thickBot="1" x14ac:dyDescent="0.3">
      <c r="B6088" s="724" t="s">
        <v>869</v>
      </c>
      <c r="C6088" s="722" t="s">
        <v>141</v>
      </c>
      <c r="D6088" t="s">
        <v>142</v>
      </c>
      <c r="E6088" s="728"/>
      <c r="F6088" s="148">
        <v>0.11667</v>
      </c>
      <c r="G6088" s="148">
        <v>-0.11667</v>
      </c>
      <c r="H6088" s="148">
        <v>-100</v>
      </c>
      <c r="I6088" s="728"/>
      <c r="J6088" s="728"/>
      <c r="K6088" s="728"/>
      <c r="L6088" s="148">
        <v>1.2070000000000001</v>
      </c>
      <c r="M6088" s="148">
        <v>1.40004</v>
      </c>
      <c r="N6088" s="148">
        <v>-0.19303999999999999</v>
      </c>
      <c r="O6088" s="148">
        <v>-13.788177480643411</v>
      </c>
      <c r="P6088" s="148">
        <v>0.214</v>
      </c>
      <c r="Q6088" s="148">
        <v>0.99299999999999999</v>
      </c>
      <c r="R6088" s="148">
        <v>464.01869158878503</v>
      </c>
    </row>
    <row r="6089" spans="2:18" ht="15.75" hidden="1" thickBot="1" x14ac:dyDescent="0.3">
      <c r="B6089" s="724" t="s">
        <v>869</v>
      </c>
      <c r="C6089" s="722" t="s">
        <v>113</v>
      </c>
      <c r="D6089" t="s">
        <v>114</v>
      </c>
      <c r="E6089" s="729"/>
      <c r="F6089" s="729"/>
      <c r="G6089" s="729"/>
      <c r="H6089" s="729"/>
      <c r="I6089" s="729"/>
      <c r="J6089" s="729"/>
      <c r="K6089" s="729"/>
      <c r="L6089" s="147">
        <v>0.18798000000000001</v>
      </c>
      <c r="M6089" s="729"/>
      <c r="N6089" s="147">
        <v>0.18798000000000001</v>
      </c>
      <c r="O6089" s="147">
        <v>0</v>
      </c>
      <c r="P6089" s="147">
        <v>1.4999999999999999E-2</v>
      </c>
      <c r="Q6089" s="147">
        <v>0.17297999999999999</v>
      </c>
      <c r="R6089" s="147">
        <v>1153.2</v>
      </c>
    </row>
    <row r="6090" spans="2:18" ht="15.75" hidden="1" thickBot="1" x14ac:dyDescent="0.3">
      <c r="B6090" s="724" t="s">
        <v>869</v>
      </c>
      <c r="C6090" s="722" t="s">
        <v>145</v>
      </c>
      <c r="D6090" t="s">
        <v>146</v>
      </c>
      <c r="E6090" s="148">
        <v>3.9399999999999998E-2</v>
      </c>
      <c r="F6090" s="148">
        <v>0.02</v>
      </c>
      <c r="G6090" s="148">
        <v>1.9400000000000001E-2</v>
      </c>
      <c r="H6090" s="148">
        <v>97</v>
      </c>
      <c r="I6090" s="728"/>
      <c r="J6090" s="148">
        <v>3.9399999999999998E-2</v>
      </c>
      <c r="K6090" s="148">
        <v>0</v>
      </c>
      <c r="L6090" s="148">
        <v>0.11876</v>
      </c>
      <c r="M6090" s="148">
        <v>0.24</v>
      </c>
      <c r="N6090" s="148">
        <v>-0.12124</v>
      </c>
      <c r="O6090" s="148">
        <v>-50.516666666666666</v>
      </c>
      <c r="P6090" s="148">
        <v>4.3360000000000003E-2</v>
      </c>
      <c r="Q6090" s="148">
        <v>7.5399999999999995E-2</v>
      </c>
      <c r="R6090" s="148">
        <v>173.8929889298893</v>
      </c>
    </row>
    <row r="6091" spans="2:18" ht="15.75" hidden="1" thickBot="1" x14ac:dyDescent="0.3">
      <c r="B6091" s="724" t="s">
        <v>869</v>
      </c>
      <c r="C6091" s="722" t="s">
        <v>149</v>
      </c>
      <c r="D6091" t="s">
        <v>150</v>
      </c>
      <c r="E6091" s="729"/>
      <c r="F6091" s="147">
        <v>1.25</v>
      </c>
      <c r="G6091" s="147">
        <v>-1.25</v>
      </c>
      <c r="H6091" s="147">
        <v>-100</v>
      </c>
      <c r="I6091" s="729"/>
      <c r="J6091" s="729"/>
      <c r="K6091" s="729"/>
      <c r="L6091" s="147">
        <v>32.131399999999999</v>
      </c>
      <c r="M6091" s="147">
        <v>15</v>
      </c>
      <c r="N6091" s="147">
        <v>17.131399999999999</v>
      </c>
      <c r="O6091" s="147">
        <v>114.20933333333333</v>
      </c>
      <c r="P6091" s="147">
        <v>8.1064000000000007</v>
      </c>
      <c r="Q6091" s="147">
        <v>24.024999999999999</v>
      </c>
      <c r="R6091" s="147">
        <v>296.37076877528864</v>
      </c>
    </row>
    <row r="6092" spans="2:18" ht="15.75" hidden="1" thickBot="1" x14ac:dyDescent="0.3">
      <c r="B6092" s="724" t="s">
        <v>869</v>
      </c>
      <c r="C6092" s="722" t="s">
        <v>481</v>
      </c>
      <c r="D6092" t="s">
        <v>482</v>
      </c>
      <c r="E6092" s="148">
        <v>1.4500000000000001E-2</v>
      </c>
      <c r="F6092" s="728"/>
      <c r="G6092" s="148">
        <v>1.4500000000000001E-2</v>
      </c>
      <c r="H6092" s="148">
        <v>0</v>
      </c>
      <c r="I6092" s="728"/>
      <c r="J6092" s="148">
        <v>1.4500000000000001E-2</v>
      </c>
      <c r="K6092" s="148">
        <v>0</v>
      </c>
      <c r="L6092" s="148">
        <v>9.4399999999999998E-2</v>
      </c>
      <c r="M6092" s="148">
        <v>0</v>
      </c>
      <c r="N6092" s="148">
        <v>9.4399999999999998E-2</v>
      </c>
      <c r="O6092" s="148">
        <v>0</v>
      </c>
      <c r="P6092" s="728"/>
      <c r="Q6092" s="148">
        <v>9.4399999999999998E-2</v>
      </c>
      <c r="R6092" s="148">
        <v>0</v>
      </c>
    </row>
    <row r="6093" spans="2:18" ht="15.75" hidden="1" thickBot="1" x14ac:dyDescent="0.3">
      <c r="B6093" s="724" t="s">
        <v>869</v>
      </c>
      <c r="C6093" s="722" t="s">
        <v>75</v>
      </c>
      <c r="D6093" t="s">
        <v>76</v>
      </c>
      <c r="E6093" s="147">
        <v>5.382E-2</v>
      </c>
      <c r="F6093" s="147">
        <v>0.20899999999999999</v>
      </c>
      <c r="G6093" s="147">
        <v>-0.15518000000000001</v>
      </c>
      <c r="H6093" s="147">
        <v>-74.248803827751203</v>
      </c>
      <c r="I6093" s="729"/>
      <c r="J6093" s="147">
        <v>5.382E-2</v>
      </c>
      <c r="K6093" s="147">
        <v>0</v>
      </c>
      <c r="L6093" s="147">
        <v>2.0085700000000002</v>
      </c>
      <c r="M6093" s="147">
        <v>2.508</v>
      </c>
      <c r="N6093" s="147">
        <v>-0.49942999999999999</v>
      </c>
      <c r="O6093" s="147">
        <v>-19.913476874003191</v>
      </c>
      <c r="P6093" s="147">
        <v>0.55286000000000002</v>
      </c>
      <c r="Q6093" s="147">
        <v>1.4557100000000001</v>
      </c>
      <c r="R6093" s="147">
        <v>263.30535759505119</v>
      </c>
    </row>
    <row r="6094" spans="2:18" ht="15.75" hidden="1" thickBot="1" x14ac:dyDescent="0.3">
      <c r="B6094" s="724" t="s">
        <v>869</v>
      </c>
      <c r="C6094" s="722" t="s">
        <v>121</v>
      </c>
      <c r="D6094" t="s">
        <v>122</v>
      </c>
      <c r="E6094" s="728"/>
      <c r="F6094" s="728"/>
      <c r="G6094" s="728"/>
      <c r="H6094" s="728"/>
      <c r="I6094" s="728"/>
      <c r="J6094" s="728"/>
      <c r="K6094" s="728"/>
      <c r="L6094" s="148">
        <v>0.60987999999999998</v>
      </c>
      <c r="M6094" s="728"/>
      <c r="N6094" s="148">
        <v>0.60987999999999998</v>
      </c>
      <c r="O6094" s="148">
        <v>0</v>
      </c>
      <c r="P6094" s="148">
        <v>0.60987999999999998</v>
      </c>
      <c r="Q6094" s="148">
        <v>0</v>
      </c>
      <c r="R6094" s="148">
        <v>0</v>
      </c>
    </row>
    <row r="6095" spans="2:18" ht="15.75" hidden="1" thickBot="1" x14ac:dyDescent="0.3">
      <c r="B6095" s="724" t="s">
        <v>869</v>
      </c>
      <c r="C6095" s="722" t="s">
        <v>77</v>
      </c>
      <c r="D6095" t="s">
        <v>78</v>
      </c>
      <c r="E6095" s="729"/>
      <c r="F6095" s="147">
        <v>0.36917</v>
      </c>
      <c r="G6095" s="147">
        <v>-0.36917</v>
      </c>
      <c r="H6095" s="147">
        <v>-100</v>
      </c>
      <c r="I6095" s="729"/>
      <c r="J6095" s="729"/>
      <c r="K6095" s="729"/>
      <c r="L6095" s="147">
        <v>2.7900000000000001E-2</v>
      </c>
      <c r="M6095" s="147">
        <v>4.43004</v>
      </c>
      <c r="N6095" s="147">
        <v>-4.4021400000000002</v>
      </c>
      <c r="O6095" s="147">
        <v>-99.370208846872714</v>
      </c>
      <c r="P6095" s="729"/>
      <c r="Q6095" s="147">
        <v>2.7900000000000001E-2</v>
      </c>
      <c r="R6095" s="147">
        <v>0</v>
      </c>
    </row>
    <row r="6096" spans="2:18" ht="15.75" hidden="1" thickBot="1" x14ac:dyDescent="0.3">
      <c r="B6096" s="724" t="s">
        <v>869</v>
      </c>
      <c r="C6096" s="722" t="s">
        <v>79</v>
      </c>
      <c r="D6096" t="s">
        <v>80</v>
      </c>
      <c r="E6096" s="148">
        <v>0.42398000000000002</v>
      </c>
      <c r="F6096" s="148">
        <v>0</v>
      </c>
      <c r="G6096" s="148">
        <v>0.42398000000000002</v>
      </c>
      <c r="H6096" s="148">
        <v>0</v>
      </c>
      <c r="I6096" s="728"/>
      <c r="J6096" s="148">
        <v>0.42398000000000002</v>
      </c>
      <c r="K6096" s="148">
        <v>0</v>
      </c>
      <c r="L6096" s="148">
        <v>3.3540700000000001</v>
      </c>
      <c r="M6096" s="148">
        <v>0</v>
      </c>
      <c r="N6096" s="148">
        <v>3.3540700000000001</v>
      </c>
      <c r="O6096" s="148">
        <v>0</v>
      </c>
      <c r="P6096" s="728"/>
      <c r="Q6096" s="148">
        <v>3.3540700000000001</v>
      </c>
      <c r="R6096" s="148">
        <v>0</v>
      </c>
    </row>
    <row r="6097" spans="2:18" ht="15.75" hidden="1" thickBot="1" x14ac:dyDescent="0.3">
      <c r="B6097" s="724" t="s">
        <v>869</v>
      </c>
      <c r="C6097" s="722" t="s">
        <v>81</v>
      </c>
      <c r="D6097" t="s">
        <v>82</v>
      </c>
      <c r="E6097" s="147">
        <v>1.3357000000000001</v>
      </c>
      <c r="F6097" s="147">
        <v>0.1</v>
      </c>
      <c r="G6097" s="147">
        <v>1.2357</v>
      </c>
      <c r="H6097" s="147">
        <v>1235.7</v>
      </c>
      <c r="I6097" s="729"/>
      <c r="J6097" s="147">
        <v>1.3357000000000001</v>
      </c>
      <c r="K6097" s="147">
        <v>0</v>
      </c>
      <c r="L6097" s="147">
        <v>1.5745</v>
      </c>
      <c r="M6097" s="147">
        <v>0.5</v>
      </c>
      <c r="N6097" s="147">
        <v>1.0745</v>
      </c>
      <c r="O6097" s="147">
        <v>214.9</v>
      </c>
      <c r="P6097" s="729"/>
      <c r="Q6097" s="147">
        <v>1.5745</v>
      </c>
      <c r="R6097" s="147">
        <v>0</v>
      </c>
    </row>
    <row r="6098" spans="2:18" ht="15.75" hidden="1" thickBot="1" x14ac:dyDescent="0.3">
      <c r="B6098" s="724" t="s">
        <v>869</v>
      </c>
      <c r="C6098" s="722" t="s">
        <v>125</v>
      </c>
      <c r="D6098" t="s">
        <v>126</v>
      </c>
      <c r="E6098" s="728"/>
      <c r="F6098" s="728"/>
      <c r="G6098" s="728"/>
      <c r="H6098" s="728"/>
      <c r="I6098" s="728"/>
      <c r="J6098" s="728"/>
      <c r="K6098" s="728"/>
      <c r="L6098" s="148">
        <v>0.112</v>
      </c>
      <c r="M6098" s="728"/>
      <c r="N6098" s="148">
        <v>0.112</v>
      </c>
      <c r="O6098" s="148">
        <v>0</v>
      </c>
      <c r="P6098" s="148">
        <v>0.112</v>
      </c>
      <c r="Q6098" s="148">
        <v>0</v>
      </c>
      <c r="R6098" s="148">
        <v>0</v>
      </c>
    </row>
    <row r="6099" spans="2:18" ht="15.75" hidden="1" thickBot="1" x14ac:dyDescent="0.3">
      <c r="B6099" s="724" t="s">
        <v>869</v>
      </c>
      <c r="C6099" s="149" t="s">
        <v>85</v>
      </c>
      <c r="D6099" t="s">
        <v>86</v>
      </c>
      <c r="E6099" s="147">
        <v>13.49239</v>
      </c>
      <c r="F6099" s="147">
        <v>3.4815100000000001</v>
      </c>
      <c r="G6099" s="147">
        <v>10.01088</v>
      </c>
      <c r="H6099" s="147">
        <v>287.54419777625225</v>
      </c>
      <c r="I6099" s="729"/>
      <c r="J6099" s="147">
        <v>13.49239</v>
      </c>
      <c r="K6099" s="147">
        <v>0</v>
      </c>
      <c r="L6099" s="147">
        <v>60.91431</v>
      </c>
      <c r="M6099" s="147">
        <v>41.208120000000001</v>
      </c>
      <c r="N6099" s="147">
        <v>19.706189999999999</v>
      </c>
      <c r="O6099" s="147">
        <v>47.821133310619366</v>
      </c>
      <c r="P6099" s="147">
        <v>10.478899999999999</v>
      </c>
      <c r="Q6099" s="147">
        <v>50.435409999999997</v>
      </c>
      <c r="R6099" s="147">
        <v>481.30443080857725</v>
      </c>
    </row>
    <row r="6100" spans="2:18" ht="15.75" hidden="1" thickBot="1" x14ac:dyDescent="0.3">
      <c r="B6100" s="724" t="s">
        <v>869</v>
      </c>
      <c r="C6100" s="144" t="s">
        <v>87</v>
      </c>
      <c r="D6100" t="s">
        <v>87</v>
      </c>
      <c r="E6100" s="148">
        <v>13.49239</v>
      </c>
      <c r="F6100" s="148">
        <v>3.4815100000000001</v>
      </c>
      <c r="G6100" s="148">
        <v>10.01088</v>
      </c>
      <c r="H6100" s="148">
        <v>287.54419777625225</v>
      </c>
      <c r="I6100" s="728"/>
      <c r="J6100" s="148">
        <v>13.49239</v>
      </c>
      <c r="K6100" s="148">
        <v>0</v>
      </c>
      <c r="L6100" s="148">
        <v>60.91431</v>
      </c>
      <c r="M6100" s="148">
        <v>41.208120000000001</v>
      </c>
      <c r="N6100" s="148">
        <v>19.706189999999999</v>
      </c>
      <c r="O6100" s="148">
        <v>47.821133310619366</v>
      </c>
      <c r="P6100" s="148">
        <v>10.478899999999999</v>
      </c>
      <c r="Q6100" s="148">
        <v>50.435409999999997</v>
      </c>
      <c r="R6100" s="148">
        <v>481.30443080857725</v>
      </c>
    </row>
    <row r="6101" spans="2:18" ht="15.75" hidden="1" thickBot="1" x14ac:dyDescent="0.3">
      <c r="B6101" s="724" t="s">
        <v>870</v>
      </c>
      <c r="C6101" s="722" t="s">
        <v>137</v>
      </c>
      <c r="D6101" t="s">
        <v>138</v>
      </c>
      <c r="E6101" s="729"/>
      <c r="F6101" s="729"/>
      <c r="G6101" s="729"/>
      <c r="H6101" s="729"/>
      <c r="I6101" s="729"/>
      <c r="J6101" s="729"/>
      <c r="K6101" s="729"/>
      <c r="L6101" s="147">
        <v>0.57704999999999995</v>
      </c>
      <c r="M6101" s="729"/>
      <c r="N6101" s="147">
        <v>0.57704999999999995</v>
      </c>
      <c r="O6101" s="147">
        <v>0</v>
      </c>
      <c r="P6101" s="147">
        <v>0.1211</v>
      </c>
      <c r="Q6101" s="147">
        <v>0.45595000000000002</v>
      </c>
      <c r="R6101" s="147">
        <v>376.50701899256813</v>
      </c>
    </row>
    <row r="6102" spans="2:18" ht="15.75" hidden="1" thickBot="1" x14ac:dyDescent="0.3">
      <c r="B6102" s="724" t="s">
        <v>870</v>
      </c>
      <c r="C6102" s="722" t="s">
        <v>139</v>
      </c>
      <c r="D6102" t="s">
        <v>140</v>
      </c>
      <c r="E6102" s="728"/>
      <c r="F6102" s="728"/>
      <c r="G6102" s="728"/>
      <c r="H6102" s="728"/>
      <c r="I6102" s="728"/>
      <c r="J6102" s="728"/>
      <c r="K6102" s="728"/>
      <c r="L6102" s="148">
        <v>0.29499999999999998</v>
      </c>
      <c r="M6102" s="728"/>
      <c r="N6102" s="148">
        <v>0.29499999999999998</v>
      </c>
      <c r="O6102" s="148">
        <v>0</v>
      </c>
      <c r="P6102" s="148">
        <v>0.29499999999999998</v>
      </c>
      <c r="Q6102" s="148">
        <v>0</v>
      </c>
      <c r="R6102" s="148">
        <v>0</v>
      </c>
    </row>
    <row r="6103" spans="2:18" ht="15.75" hidden="1" thickBot="1" x14ac:dyDescent="0.3">
      <c r="B6103" s="724" t="s">
        <v>870</v>
      </c>
      <c r="C6103" s="722" t="s">
        <v>73</v>
      </c>
      <c r="D6103" t="s">
        <v>74</v>
      </c>
      <c r="E6103" s="729"/>
      <c r="F6103" s="729"/>
      <c r="G6103" s="729"/>
      <c r="H6103" s="729"/>
      <c r="I6103" s="729"/>
      <c r="J6103" s="729"/>
      <c r="K6103" s="729"/>
      <c r="L6103" s="147">
        <v>0.21798000000000001</v>
      </c>
      <c r="M6103" s="729"/>
      <c r="N6103" s="147">
        <v>0.21798000000000001</v>
      </c>
      <c r="O6103" s="147">
        <v>0</v>
      </c>
      <c r="P6103" s="147">
        <v>4.3110000000000002E-2</v>
      </c>
      <c r="Q6103" s="147">
        <v>0.17487</v>
      </c>
      <c r="R6103" s="147">
        <v>405.63674321503129</v>
      </c>
    </row>
    <row r="6104" spans="2:18" ht="15.75" hidden="1" thickBot="1" x14ac:dyDescent="0.3">
      <c r="B6104" s="724" t="s">
        <v>870</v>
      </c>
      <c r="C6104" s="722" t="s">
        <v>141</v>
      </c>
      <c r="D6104" t="s">
        <v>142</v>
      </c>
      <c r="E6104" s="148">
        <v>0.11697</v>
      </c>
      <c r="F6104" s="728"/>
      <c r="G6104" s="148">
        <v>0.11697</v>
      </c>
      <c r="H6104" s="148">
        <v>0</v>
      </c>
      <c r="I6104" s="728"/>
      <c r="J6104" s="148">
        <v>0.11697</v>
      </c>
      <c r="K6104" s="148">
        <v>0</v>
      </c>
      <c r="L6104" s="148">
        <v>0.11697</v>
      </c>
      <c r="M6104" s="728"/>
      <c r="N6104" s="148">
        <v>0.11697</v>
      </c>
      <c r="O6104" s="148">
        <v>0</v>
      </c>
      <c r="P6104" s="728"/>
      <c r="Q6104" s="148">
        <v>0.11697</v>
      </c>
      <c r="R6104" s="148">
        <v>0</v>
      </c>
    </row>
    <row r="6105" spans="2:18" ht="15.75" hidden="1" thickBot="1" x14ac:dyDescent="0.3">
      <c r="B6105" s="724" t="s">
        <v>870</v>
      </c>
      <c r="C6105" s="722" t="s">
        <v>113</v>
      </c>
      <c r="D6105" t="s">
        <v>114</v>
      </c>
      <c r="E6105" s="147">
        <v>1.342E-2</v>
      </c>
      <c r="F6105" s="729"/>
      <c r="G6105" s="147">
        <v>1.342E-2</v>
      </c>
      <c r="H6105" s="147">
        <v>0</v>
      </c>
      <c r="I6105" s="729"/>
      <c r="J6105" s="147">
        <v>1.342E-2</v>
      </c>
      <c r="K6105" s="147">
        <v>0</v>
      </c>
      <c r="L6105" s="147">
        <v>0.23816999999999999</v>
      </c>
      <c r="M6105" s="729"/>
      <c r="N6105" s="147">
        <v>0.23816999999999999</v>
      </c>
      <c r="O6105" s="147">
        <v>0</v>
      </c>
      <c r="P6105" s="147">
        <v>0.12927</v>
      </c>
      <c r="Q6105" s="147">
        <v>0.1089</v>
      </c>
      <c r="R6105" s="147">
        <v>84.24228359248086</v>
      </c>
    </row>
    <row r="6106" spans="2:18" ht="15.75" hidden="1" thickBot="1" x14ac:dyDescent="0.3">
      <c r="B6106" s="724" t="s">
        <v>870</v>
      </c>
      <c r="C6106" s="722" t="s">
        <v>145</v>
      </c>
      <c r="D6106" t="s">
        <v>146</v>
      </c>
      <c r="E6106" s="148">
        <v>8.8000000000000005E-3</v>
      </c>
      <c r="F6106" s="728"/>
      <c r="G6106" s="148">
        <v>8.8000000000000005E-3</v>
      </c>
      <c r="H6106" s="148">
        <v>0</v>
      </c>
      <c r="I6106" s="728"/>
      <c r="J6106" s="148">
        <v>8.8000000000000005E-3</v>
      </c>
      <c r="K6106" s="148">
        <v>0</v>
      </c>
      <c r="L6106" s="148">
        <v>0.65010000000000001</v>
      </c>
      <c r="M6106" s="728"/>
      <c r="N6106" s="148">
        <v>0.65010000000000001</v>
      </c>
      <c r="O6106" s="148">
        <v>0</v>
      </c>
      <c r="P6106" s="148">
        <v>0.43569999999999998</v>
      </c>
      <c r="Q6106" s="148">
        <v>0.21440000000000001</v>
      </c>
      <c r="R6106" s="148">
        <v>49.20817075969704</v>
      </c>
    </row>
    <row r="6107" spans="2:18" ht="15.75" hidden="1" thickBot="1" x14ac:dyDescent="0.3">
      <c r="B6107" s="724" t="s">
        <v>870</v>
      </c>
      <c r="C6107" s="722" t="s">
        <v>149</v>
      </c>
      <c r="D6107" t="s">
        <v>150</v>
      </c>
      <c r="E6107" s="729"/>
      <c r="F6107" s="147">
        <v>13.75</v>
      </c>
      <c r="G6107" s="147">
        <v>-13.75</v>
      </c>
      <c r="H6107" s="147">
        <v>-100</v>
      </c>
      <c r="I6107" s="729"/>
      <c r="J6107" s="729"/>
      <c r="K6107" s="729"/>
      <c r="L6107" s="729"/>
      <c r="M6107" s="147">
        <v>55</v>
      </c>
      <c r="N6107" s="147">
        <v>-55</v>
      </c>
      <c r="O6107" s="147">
        <v>-100</v>
      </c>
      <c r="P6107" s="729"/>
      <c r="Q6107" s="729"/>
      <c r="R6107" s="729"/>
    </row>
    <row r="6108" spans="2:18" ht="15.75" hidden="1" thickBot="1" x14ac:dyDescent="0.3">
      <c r="B6108" s="724" t="s">
        <v>870</v>
      </c>
      <c r="C6108" s="722" t="s">
        <v>481</v>
      </c>
      <c r="D6108" t="s">
        <v>482</v>
      </c>
      <c r="E6108" s="148">
        <v>4.9950000000000001E-2</v>
      </c>
      <c r="F6108" s="728"/>
      <c r="G6108" s="148">
        <v>4.9950000000000001E-2</v>
      </c>
      <c r="H6108" s="148">
        <v>0</v>
      </c>
      <c r="I6108" s="728"/>
      <c r="J6108" s="148">
        <v>4.9950000000000001E-2</v>
      </c>
      <c r="K6108" s="148">
        <v>0</v>
      </c>
      <c r="L6108" s="148">
        <v>0.85868999999999995</v>
      </c>
      <c r="M6108" s="728"/>
      <c r="N6108" s="148">
        <v>0.85868999999999995</v>
      </c>
      <c r="O6108" s="148">
        <v>0</v>
      </c>
      <c r="P6108" s="148">
        <v>0.49898999999999999</v>
      </c>
      <c r="Q6108" s="148">
        <v>0.35970000000000002</v>
      </c>
      <c r="R6108" s="148">
        <v>72.085612938135029</v>
      </c>
    </row>
    <row r="6109" spans="2:18" ht="15.75" hidden="1" thickBot="1" x14ac:dyDescent="0.3">
      <c r="B6109" s="724" t="s">
        <v>870</v>
      </c>
      <c r="C6109" s="722" t="s">
        <v>75</v>
      </c>
      <c r="D6109" t="s">
        <v>76</v>
      </c>
      <c r="E6109" s="147">
        <v>0.10588</v>
      </c>
      <c r="F6109" s="147">
        <v>0.33337</v>
      </c>
      <c r="G6109" s="147">
        <v>-0.22749</v>
      </c>
      <c r="H6109" s="147">
        <v>-68.239493655697871</v>
      </c>
      <c r="I6109" s="729"/>
      <c r="J6109" s="147">
        <v>0.10588</v>
      </c>
      <c r="K6109" s="147">
        <v>0</v>
      </c>
      <c r="L6109" s="147">
        <v>2.5197500000000002</v>
      </c>
      <c r="M6109" s="147">
        <v>4</v>
      </c>
      <c r="N6109" s="147">
        <v>-1.4802500000000001</v>
      </c>
      <c r="O6109" s="147">
        <v>-37.006250000000001</v>
      </c>
      <c r="P6109" s="147">
        <v>1.6571899999999999</v>
      </c>
      <c r="Q6109" s="147">
        <v>0.86255999999999999</v>
      </c>
      <c r="R6109" s="147">
        <v>52.049553762694678</v>
      </c>
    </row>
    <row r="6110" spans="2:18" ht="15.75" hidden="1" thickBot="1" x14ac:dyDescent="0.3">
      <c r="B6110" s="724" t="s">
        <v>870</v>
      </c>
      <c r="C6110" s="722" t="s">
        <v>121</v>
      </c>
      <c r="D6110" t="s">
        <v>122</v>
      </c>
      <c r="E6110" s="148">
        <v>1.5010000000000001E-2</v>
      </c>
      <c r="F6110" s="728"/>
      <c r="G6110" s="148">
        <v>1.5010000000000001E-2</v>
      </c>
      <c r="H6110" s="148">
        <v>0</v>
      </c>
      <c r="I6110" s="728"/>
      <c r="J6110" s="148">
        <v>1.5010000000000001E-2</v>
      </c>
      <c r="K6110" s="148">
        <v>0</v>
      </c>
      <c r="L6110" s="148">
        <v>1.5010000000000001E-2</v>
      </c>
      <c r="M6110" s="728"/>
      <c r="N6110" s="148">
        <v>1.5010000000000001E-2</v>
      </c>
      <c r="O6110" s="148">
        <v>0</v>
      </c>
      <c r="P6110" s="728"/>
      <c r="Q6110" s="148">
        <v>1.5010000000000001E-2</v>
      </c>
      <c r="R6110" s="148">
        <v>0</v>
      </c>
    </row>
    <row r="6111" spans="2:18" ht="15.75" hidden="1" thickBot="1" x14ac:dyDescent="0.3">
      <c r="B6111" s="724" t="s">
        <v>870</v>
      </c>
      <c r="C6111" s="722" t="s">
        <v>77</v>
      </c>
      <c r="D6111" t="s">
        <v>78</v>
      </c>
      <c r="E6111" s="729"/>
      <c r="F6111" s="147">
        <v>0.4</v>
      </c>
      <c r="G6111" s="147">
        <v>-0.4</v>
      </c>
      <c r="H6111" s="147">
        <v>-100</v>
      </c>
      <c r="I6111" s="729"/>
      <c r="J6111" s="729"/>
      <c r="K6111" s="729"/>
      <c r="L6111" s="147">
        <v>6.0134999999999996</v>
      </c>
      <c r="M6111" s="147">
        <v>4</v>
      </c>
      <c r="N6111" s="147">
        <v>2.0135000000000001</v>
      </c>
      <c r="O6111" s="147">
        <v>50.337499999999999</v>
      </c>
      <c r="P6111" s="147">
        <v>3.21394</v>
      </c>
      <c r="Q6111" s="147">
        <v>2.79956</v>
      </c>
      <c r="R6111" s="147">
        <v>87.106791041525355</v>
      </c>
    </row>
    <row r="6112" spans="2:18" ht="15.75" hidden="1" thickBot="1" x14ac:dyDescent="0.3">
      <c r="B6112" s="724" t="s">
        <v>870</v>
      </c>
      <c r="C6112" s="722" t="s">
        <v>79</v>
      </c>
      <c r="D6112" t="s">
        <v>80</v>
      </c>
      <c r="E6112" s="148">
        <v>2.9288099999999999</v>
      </c>
      <c r="F6112" s="148">
        <v>1</v>
      </c>
      <c r="G6112" s="148">
        <v>1.9288099999999999</v>
      </c>
      <c r="H6112" s="148">
        <v>192.881</v>
      </c>
      <c r="I6112" s="728"/>
      <c r="J6112" s="148">
        <v>2.9288099999999999</v>
      </c>
      <c r="K6112" s="148">
        <v>0</v>
      </c>
      <c r="L6112" s="148">
        <v>15.22208</v>
      </c>
      <c r="M6112" s="148">
        <v>13</v>
      </c>
      <c r="N6112" s="148">
        <v>2.2220800000000001</v>
      </c>
      <c r="O6112" s="148">
        <v>17.092923076923078</v>
      </c>
      <c r="P6112" s="148">
        <v>5.7384399999999998</v>
      </c>
      <c r="Q6112" s="148">
        <v>9.4836399999999994</v>
      </c>
      <c r="R6112" s="148">
        <v>165.26512431950147</v>
      </c>
    </row>
    <row r="6113" spans="2:18" ht="15.75" hidden="1" thickBot="1" x14ac:dyDescent="0.3">
      <c r="B6113" s="724" t="s">
        <v>870</v>
      </c>
      <c r="C6113" s="722" t="s">
        <v>81</v>
      </c>
      <c r="D6113" t="s">
        <v>82</v>
      </c>
      <c r="E6113" s="729"/>
      <c r="F6113" s="147">
        <v>0</v>
      </c>
      <c r="G6113" s="147">
        <v>0</v>
      </c>
      <c r="H6113" s="147">
        <v>0</v>
      </c>
      <c r="I6113" s="729"/>
      <c r="J6113" s="729"/>
      <c r="K6113" s="729"/>
      <c r="L6113" s="147">
        <v>0.26401999999999998</v>
      </c>
      <c r="M6113" s="147">
        <v>0</v>
      </c>
      <c r="N6113" s="147">
        <v>0.26401999999999998</v>
      </c>
      <c r="O6113" s="147">
        <v>0</v>
      </c>
      <c r="P6113" s="147">
        <v>0.1</v>
      </c>
      <c r="Q6113" s="147">
        <v>0.16402</v>
      </c>
      <c r="R6113" s="147">
        <v>164.02</v>
      </c>
    </row>
    <row r="6114" spans="2:18" ht="15.75" hidden="1" thickBot="1" x14ac:dyDescent="0.3">
      <c r="B6114" s="724" t="s">
        <v>870</v>
      </c>
      <c r="C6114" s="722" t="s">
        <v>123</v>
      </c>
      <c r="D6114" t="s">
        <v>124</v>
      </c>
      <c r="E6114" s="728"/>
      <c r="F6114" s="728"/>
      <c r="G6114" s="728"/>
      <c r="H6114" s="728"/>
      <c r="I6114" s="728"/>
      <c r="J6114" s="728"/>
      <c r="K6114" s="728"/>
      <c r="L6114" s="148">
        <v>0.35543999999999998</v>
      </c>
      <c r="M6114" s="728"/>
      <c r="N6114" s="148">
        <v>0.35543999999999998</v>
      </c>
      <c r="O6114" s="148">
        <v>0</v>
      </c>
      <c r="P6114" s="148">
        <v>0.35543999999999998</v>
      </c>
      <c r="Q6114" s="148">
        <v>0</v>
      </c>
      <c r="R6114" s="148">
        <v>0</v>
      </c>
    </row>
    <row r="6115" spans="2:18" ht="15.75" hidden="1" thickBot="1" x14ac:dyDescent="0.3">
      <c r="B6115" s="724" t="s">
        <v>870</v>
      </c>
      <c r="C6115" s="722" t="s">
        <v>695</v>
      </c>
      <c r="D6115" t="s">
        <v>696</v>
      </c>
      <c r="E6115" s="729"/>
      <c r="F6115" s="729"/>
      <c r="G6115" s="729"/>
      <c r="H6115" s="729"/>
      <c r="I6115" s="729"/>
      <c r="J6115" s="729"/>
      <c r="K6115" s="729"/>
      <c r="L6115" s="147">
        <v>0</v>
      </c>
      <c r="M6115" s="729"/>
      <c r="N6115" s="147">
        <v>0</v>
      </c>
      <c r="O6115" s="147">
        <v>0</v>
      </c>
      <c r="P6115" s="729"/>
      <c r="Q6115" s="147">
        <v>0</v>
      </c>
      <c r="R6115" s="147">
        <v>0</v>
      </c>
    </row>
    <row r="6116" spans="2:18" ht="15.75" hidden="1" thickBot="1" x14ac:dyDescent="0.3">
      <c r="B6116" s="724" t="s">
        <v>870</v>
      </c>
      <c r="C6116" s="722" t="s">
        <v>83</v>
      </c>
      <c r="D6116" t="s">
        <v>84</v>
      </c>
      <c r="E6116" s="728"/>
      <c r="F6116" s="148">
        <v>0.58337000000000006</v>
      </c>
      <c r="G6116" s="148">
        <v>-0.58337000000000006</v>
      </c>
      <c r="H6116" s="148">
        <v>-100</v>
      </c>
      <c r="I6116" s="728"/>
      <c r="J6116" s="728"/>
      <c r="K6116" s="728"/>
      <c r="L6116" s="728"/>
      <c r="M6116" s="148">
        <v>7</v>
      </c>
      <c r="N6116" s="148">
        <v>-7</v>
      </c>
      <c r="O6116" s="148">
        <v>-100</v>
      </c>
      <c r="P6116" s="728"/>
      <c r="Q6116" s="728"/>
      <c r="R6116" s="728"/>
    </row>
    <row r="6117" spans="2:18" ht="15.75" hidden="1" thickBot="1" x14ac:dyDescent="0.3">
      <c r="B6117" s="724" t="s">
        <v>870</v>
      </c>
      <c r="C6117" s="149" t="s">
        <v>85</v>
      </c>
      <c r="D6117" t="s">
        <v>86</v>
      </c>
      <c r="E6117" s="147">
        <v>3.2388400000000002</v>
      </c>
      <c r="F6117" s="147">
        <v>16.066739999999999</v>
      </c>
      <c r="G6117" s="147">
        <v>-12.8279</v>
      </c>
      <c r="H6117" s="147">
        <v>-79.84133682377383</v>
      </c>
      <c r="I6117" s="729"/>
      <c r="J6117" s="147">
        <v>3.2388400000000002</v>
      </c>
      <c r="K6117" s="147">
        <v>0</v>
      </c>
      <c r="L6117" s="147">
        <v>27.34376</v>
      </c>
      <c r="M6117" s="147">
        <v>83</v>
      </c>
      <c r="N6117" s="147">
        <v>-55.656239999999997</v>
      </c>
      <c r="O6117" s="147">
        <v>-67.05571084337349</v>
      </c>
      <c r="P6117" s="147">
        <v>12.588179999999999</v>
      </c>
      <c r="Q6117" s="147">
        <v>14.75558</v>
      </c>
      <c r="R6117" s="147">
        <v>117.2177391807235</v>
      </c>
    </row>
    <row r="6118" spans="2:18" ht="15.75" hidden="1" thickBot="1" x14ac:dyDescent="0.3">
      <c r="B6118" s="724" t="s">
        <v>870</v>
      </c>
      <c r="C6118" s="144" t="s">
        <v>87</v>
      </c>
      <c r="D6118" t="s">
        <v>87</v>
      </c>
      <c r="E6118" s="148">
        <v>3.2388400000000002</v>
      </c>
      <c r="F6118" s="148">
        <v>16.066739999999999</v>
      </c>
      <c r="G6118" s="148">
        <v>-12.8279</v>
      </c>
      <c r="H6118" s="148">
        <v>-79.84133682377383</v>
      </c>
      <c r="I6118" s="728"/>
      <c r="J6118" s="148">
        <v>3.2388400000000002</v>
      </c>
      <c r="K6118" s="148">
        <v>0</v>
      </c>
      <c r="L6118" s="148">
        <v>27.34376</v>
      </c>
      <c r="M6118" s="148">
        <v>83</v>
      </c>
      <c r="N6118" s="148">
        <v>-55.656239999999997</v>
      </c>
      <c r="O6118" s="148">
        <v>-67.05571084337349</v>
      </c>
      <c r="P6118" s="148">
        <v>12.588179999999999</v>
      </c>
      <c r="Q6118" s="148">
        <v>14.75558</v>
      </c>
      <c r="R6118" s="148">
        <v>117.2177391807235</v>
      </c>
    </row>
    <row r="6119" spans="2:18" ht="15.75" hidden="1" thickBot="1" x14ac:dyDescent="0.3">
      <c r="B6119" s="724" t="s">
        <v>871</v>
      </c>
      <c r="C6119" s="722" t="s">
        <v>69</v>
      </c>
      <c r="D6119" t="s">
        <v>70</v>
      </c>
      <c r="E6119" s="729"/>
      <c r="F6119" s="729"/>
      <c r="G6119" s="729"/>
      <c r="H6119" s="729"/>
      <c r="I6119" s="729"/>
      <c r="J6119" s="729"/>
      <c r="K6119" s="729"/>
      <c r="L6119" s="147">
        <v>0.32900000000000001</v>
      </c>
      <c r="M6119" s="147">
        <v>1.3</v>
      </c>
      <c r="N6119" s="147">
        <v>-0.97099999999999997</v>
      </c>
      <c r="O6119" s="147">
        <v>-74.692307692307693</v>
      </c>
      <c r="P6119" s="147">
        <v>0.32900000000000001</v>
      </c>
      <c r="Q6119" s="147">
        <v>0</v>
      </c>
      <c r="R6119" s="147">
        <v>0</v>
      </c>
    </row>
    <row r="6120" spans="2:18" ht="15.75" hidden="1" thickBot="1" x14ac:dyDescent="0.3">
      <c r="B6120" s="724" t="s">
        <v>871</v>
      </c>
      <c r="C6120" s="722" t="s">
        <v>139</v>
      </c>
      <c r="D6120" t="s">
        <v>140</v>
      </c>
      <c r="E6120" s="728"/>
      <c r="F6120" s="148">
        <v>0.3</v>
      </c>
      <c r="G6120" s="148">
        <v>-0.3</v>
      </c>
      <c r="H6120" s="148">
        <v>-100</v>
      </c>
      <c r="I6120" s="728"/>
      <c r="J6120" s="728"/>
      <c r="K6120" s="728"/>
      <c r="L6120" s="148">
        <v>13.42</v>
      </c>
      <c r="M6120" s="148">
        <v>1.3</v>
      </c>
      <c r="N6120" s="148">
        <v>12.12</v>
      </c>
      <c r="O6120" s="148">
        <v>932.30769230769226</v>
      </c>
      <c r="P6120" s="148">
        <v>12.7</v>
      </c>
      <c r="Q6120" s="148">
        <v>0.72</v>
      </c>
      <c r="R6120" s="148">
        <v>5.6692913385826769</v>
      </c>
    </row>
    <row r="6121" spans="2:18" ht="15.75" hidden="1" thickBot="1" x14ac:dyDescent="0.3">
      <c r="B6121" s="724" t="s">
        <v>871</v>
      </c>
      <c r="C6121" s="722" t="s">
        <v>101</v>
      </c>
      <c r="D6121" t="s">
        <v>102</v>
      </c>
      <c r="E6121" s="729"/>
      <c r="F6121" s="729"/>
      <c r="G6121" s="729"/>
      <c r="H6121" s="729"/>
      <c r="I6121" s="729"/>
      <c r="J6121" s="729"/>
      <c r="K6121" s="729"/>
      <c r="L6121" s="147">
        <v>1.0178499999999999</v>
      </c>
      <c r="M6121" s="729"/>
      <c r="N6121" s="147">
        <v>1.0178499999999999</v>
      </c>
      <c r="O6121" s="147">
        <v>0</v>
      </c>
      <c r="P6121" s="147">
        <v>0.61004999999999998</v>
      </c>
      <c r="Q6121" s="147">
        <v>0.4078</v>
      </c>
      <c r="R6121" s="147">
        <v>66.846979755757729</v>
      </c>
    </row>
    <row r="6122" spans="2:18" ht="15.75" hidden="1" thickBot="1" x14ac:dyDescent="0.3">
      <c r="B6122" s="724" t="s">
        <v>871</v>
      </c>
      <c r="C6122" s="722" t="s">
        <v>109</v>
      </c>
      <c r="D6122" t="s">
        <v>110</v>
      </c>
      <c r="E6122" s="148">
        <v>0.12778999999999999</v>
      </c>
      <c r="F6122" s="728"/>
      <c r="G6122" s="148">
        <v>0.12778999999999999</v>
      </c>
      <c r="H6122" s="148">
        <v>0</v>
      </c>
      <c r="I6122" s="728"/>
      <c r="J6122" s="148">
        <v>0.12778999999999999</v>
      </c>
      <c r="K6122" s="148">
        <v>0</v>
      </c>
      <c r="L6122" s="148">
        <v>0.12778999999999999</v>
      </c>
      <c r="M6122" s="728"/>
      <c r="N6122" s="148">
        <v>0.12778999999999999</v>
      </c>
      <c r="O6122" s="148">
        <v>0</v>
      </c>
      <c r="P6122" s="728"/>
      <c r="Q6122" s="148">
        <v>0.12778999999999999</v>
      </c>
      <c r="R6122" s="148">
        <v>0</v>
      </c>
    </row>
    <row r="6123" spans="2:18" ht="15.75" hidden="1" thickBot="1" x14ac:dyDescent="0.3">
      <c r="B6123" s="724" t="s">
        <v>871</v>
      </c>
      <c r="C6123" s="722" t="s">
        <v>141</v>
      </c>
      <c r="D6123" t="s">
        <v>142</v>
      </c>
      <c r="E6123" s="729"/>
      <c r="F6123" s="729"/>
      <c r="G6123" s="729"/>
      <c r="H6123" s="729"/>
      <c r="I6123" s="729"/>
      <c r="J6123" s="729"/>
      <c r="K6123" s="729"/>
      <c r="L6123" s="147">
        <v>0.23394000000000001</v>
      </c>
      <c r="M6123" s="147">
        <v>0.1</v>
      </c>
      <c r="N6123" s="147">
        <v>0.13394</v>
      </c>
      <c r="O6123" s="147">
        <v>133.94</v>
      </c>
      <c r="P6123" s="147">
        <v>0.23394000000000001</v>
      </c>
      <c r="Q6123" s="147">
        <v>0</v>
      </c>
      <c r="R6123" s="147">
        <v>0</v>
      </c>
    </row>
    <row r="6124" spans="2:18" ht="15.75" hidden="1" thickBot="1" x14ac:dyDescent="0.3">
      <c r="B6124" s="724" t="s">
        <v>871</v>
      </c>
      <c r="C6124" s="722" t="s">
        <v>113</v>
      </c>
      <c r="D6124" t="s">
        <v>114</v>
      </c>
      <c r="E6124" s="148">
        <v>7.4999999999999997E-3</v>
      </c>
      <c r="F6124" s="728"/>
      <c r="G6124" s="148">
        <v>7.4999999999999997E-3</v>
      </c>
      <c r="H6124" s="148">
        <v>0</v>
      </c>
      <c r="I6124" s="728"/>
      <c r="J6124" s="148">
        <v>7.4999999999999997E-3</v>
      </c>
      <c r="K6124" s="148">
        <v>0</v>
      </c>
      <c r="L6124" s="148">
        <v>9.1389999999999999E-2</v>
      </c>
      <c r="M6124" s="728"/>
      <c r="N6124" s="148">
        <v>9.1389999999999999E-2</v>
      </c>
      <c r="O6124" s="148">
        <v>0</v>
      </c>
      <c r="P6124" s="148">
        <v>2.7490000000000001E-2</v>
      </c>
      <c r="Q6124" s="148">
        <v>6.3899999999999998E-2</v>
      </c>
      <c r="R6124" s="148">
        <v>232.44816296835214</v>
      </c>
    </row>
    <row r="6125" spans="2:18" ht="15.75" hidden="1" thickBot="1" x14ac:dyDescent="0.3">
      <c r="B6125" s="724" t="s">
        <v>871</v>
      </c>
      <c r="C6125" s="722" t="s">
        <v>145</v>
      </c>
      <c r="D6125" t="s">
        <v>146</v>
      </c>
      <c r="E6125" s="147">
        <v>9.6000000000000002E-2</v>
      </c>
      <c r="F6125" s="729"/>
      <c r="G6125" s="147">
        <v>9.6000000000000002E-2</v>
      </c>
      <c r="H6125" s="147">
        <v>0</v>
      </c>
      <c r="I6125" s="729"/>
      <c r="J6125" s="147">
        <v>9.6000000000000002E-2</v>
      </c>
      <c r="K6125" s="147">
        <v>0</v>
      </c>
      <c r="L6125" s="147">
        <v>0.51100000000000001</v>
      </c>
      <c r="M6125" s="729"/>
      <c r="N6125" s="147">
        <v>0.51100000000000001</v>
      </c>
      <c r="O6125" s="147">
        <v>0</v>
      </c>
      <c r="P6125" s="147">
        <v>0.41499999999999998</v>
      </c>
      <c r="Q6125" s="147">
        <v>9.6000000000000002E-2</v>
      </c>
      <c r="R6125" s="147">
        <v>23.132530120481928</v>
      </c>
    </row>
    <row r="6126" spans="2:18" ht="15.75" hidden="1" thickBot="1" x14ac:dyDescent="0.3">
      <c r="B6126" s="724" t="s">
        <v>871</v>
      </c>
      <c r="C6126" s="722" t="s">
        <v>147</v>
      </c>
      <c r="D6126" t="s">
        <v>148</v>
      </c>
      <c r="E6126" s="728"/>
      <c r="F6126" s="728"/>
      <c r="G6126" s="728"/>
      <c r="H6126" s="728"/>
      <c r="I6126" s="728"/>
      <c r="J6126" s="728"/>
      <c r="K6126" s="728"/>
      <c r="L6126" s="148">
        <v>0.22878000000000001</v>
      </c>
      <c r="M6126" s="728"/>
      <c r="N6126" s="148">
        <v>0.22878000000000001</v>
      </c>
      <c r="O6126" s="148">
        <v>0</v>
      </c>
      <c r="P6126" s="148">
        <v>0.13586000000000001</v>
      </c>
      <c r="Q6126" s="148">
        <v>9.2920000000000003E-2</v>
      </c>
      <c r="R6126" s="148">
        <v>68.393934933019281</v>
      </c>
    </row>
    <row r="6127" spans="2:18" ht="15.75" hidden="1" thickBot="1" x14ac:dyDescent="0.3">
      <c r="B6127" s="724" t="s">
        <v>871</v>
      </c>
      <c r="C6127" s="722" t="s">
        <v>481</v>
      </c>
      <c r="D6127" t="s">
        <v>482</v>
      </c>
      <c r="E6127" s="147">
        <v>3.9949999999999999E-2</v>
      </c>
      <c r="F6127" s="729"/>
      <c r="G6127" s="147">
        <v>3.9949999999999999E-2</v>
      </c>
      <c r="H6127" s="147">
        <v>0</v>
      </c>
      <c r="I6127" s="729"/>
      <c r="J6127" s="147">
        <v>3.9949999999999999E-2</v>
      </c>
      <c r="K6127" s="147">
        <v>0</v>
      </c>
      <c r="L6127" s="147">
        <v>5.5899999999999998E-2</v>
      </c>
      <c r="M6127" s="729"/>
      <c r="N6127" s="147">
        <v>5.5899999999999998E-2</v>
      </c>
      <c r="O6127" s="147">
        <v>0</v>
      </c>
      <c r="P6127" s="147">
        <v>1.5949999999999999E-2</v>
      </c>
      <c r="Q6127" s="147">
        <v>3.9949999999999999E-2</v>
      </c>
      <c r="R6127" s="147">
        <v>250.47021943573668</v>
      </c>
    </row>
    <row r="6128" spans="2:18" ht="15.75" hidden="1" thickBot="1" x14ac:dyDescent="0.3">
      <c r="B6128" s="724" t="s">
        <v>871</v>
      </c>
      <c r="C6128" s="722" t="s">
        <v>153</v>
      </c>
      <c r="D6128" t="s">
        <v>154</v>
      </c>
      <c r="E6128" s="728"/>
      <c r="F6128" s="728"/>
      <c r="G6128" s="728"/>
      <c r="H6128" s="728"/>
      <c r="I6128" s="728"/>
      <c r="J6128" s="728"/>
      <c r="K6128" s="728"/>
      <c r="L6128" s="148">
        <v>2.5</v>
      </c>
      <c r="M6128" s="728"/>
      <c r="N6128" s="148">
        <v>2.5</v>
      </c>
      <c r="O6128" s="148">
        <v>0</v>
      </c>
      <c r="P6128" s="148">
        <v>2.5</v>
      </c>
      <c r="Q6128" s="148">
        <v>0</v>
      </c>
      <c r="R6128" s="148">
        <v>0</v>
      </c>
    </row>
    <row r="6129" spans="2:18" ht="15.75" hidden="1" thickBot="1" x14ac:dyDescent="0.3">
      <c r="B6129" s="724" t="s">
        <v>871</v>
      </c>
      <c r="C6129" s="722" t="s">
        <v>75</v>
      </c>
      <c r="D6129" t="s">
        <v>76</v>
      </c>
      <c r="E6129" s="147">
        <v>0.50051000000000001</v>
      </c>
      <c r="F6129" s="147">
        <v>0.6</v>
      </c>
      <c r="G6129" s="147">
        <v>-9.9489999999999995E-2</v>
      </c>
      <c r="H6129" s="147">
        <v>-16.581666666666667</v>
      </c>
      <c r="I6129" s="729"/>
      <c r="J6129" s="147">
        <v>0.50051000000000001</v>
      </c>
      <c r="K6129" s="147">
        <v>0</v>
      </c>
      <c r="L6129" s="147">
        <v>7.6112500000000001</v>
      </c>
      <c r="M6129" s="147">
        <v>5.4</v>
      </c>
      <c r="N6129" s="147">
        <v>2.2112500000000002</v>
      </c>
      <c r="O6129" s="147">
        <v>40.949074074074076</v>
      </c>
      <c r="P6129" s="147">
        <v>2.1837300000000002</v>
      </c>
      <c r="Q6129" s="147">
        <v>5.4275200000000003</v>
      </c>
      <c r="R6129" s="147">
        <v>248.54354705023056</v>
      </c>
    </row>
    <row r="6130" spans="2:18" ht="15.75" hidden="1" thickBot="1" x14ac:dyDescent="0.3">
      <c r="B6130" s="724" t="s">
        <v>871</v>
      </c>
      <c r="C6130" s="722" t="s">
        <v>121</v>
      </c>
      <c r="D6130" t="s">
        <v>122</v>
      </c>
      <c r="E6130" s="728"/>
      <c r="F6130" s="728"/>
      <c r="G6130" s="728"/>
      <c r="H6130" s="728"/>
      <c r="I6130" s="728"/>
      <c r="J6130" s="728"/>
      <c r="K6130" s="728"/>
      <c r="L6130" s="148">
        <v>0.62</v>
      </c>
      <c r="M6130" s="728"/>
      <c r="N6130" s="148">
        <v>0.62</v>
      </c>
      <c r="O6130" s="148">
        <v>0</v>
      </c>
      <c r="P6130" s="148">
        <v>0.62</v>
      </c>
      <c r="Q6130" s="148">
        <v>0</v>
      </c>
      <c r="R6130" s="148">
        <v>0</v>
      </c>
    </row>
    <row r="6131" spans="2:18" ht="15.75" hidden="1" thickBot="1" x14ac:dyDescent="0.3">
      <c r="B6131" s="724" t="s">
        <v>871</v>
      </c>
      <c r="C6131" s="722" t="s">
        <v>77</v>
      </c>
      <c r="D6131" t="s">
        <v>78</v>
      </c>
      <c r="E6131" s="729"/>
      <c r="F6131" s="147">
        <v>1</v>
      </c>
      <c r="G6131" s="147">
        <v>-1</v>
      </c>
      <c r="H6131" s="147">
        <v>-100</v>
      </c>
      <c r="I6131" s="729"/>
      <c r="J6131" s="729"/>
      <c r="K6131" s="729"/>
      <c r="L6131" s="147">
        <v>9.2697000000000003</v>
      </c>
      <c r="M6131" s="147">
        <v>4.2</v>
      </c>
      <c r="N6131" s="147">
        <v>5.0697000000000001</v>
      </c>
      <c r="O6131" s="147">
        <v>120.70714285714286</v>
      </c>
      <c r="P6131" s="147">
        <v>8.9334399999999992</v>
      </c>
      <c r="Q6131" s="147">
        <v>0.33626</v>
      </c>
      <c r="R6131" s="147">
        <v>3.7640595336175089</v>
      </c>
    </row>
    <row r="6132" spans="2:18" ht="15.75" hidden="1" thickBot="1" x14ac:dyDescent="0.3">
      <c r="B6132" s="724" t="s">
        <v>871</v>
      </c>
      <c r="C6132" s="722" t="s">
        <v>79</v>
      </c>
      <c r="D6132" t="s">
        <v>80</v>
      </c>
      <c r="E6132" s="148">
        <v>1.4512</v>
      </c>
      <c r="F6132" s="148">
        <v>1</v>
      </c>
      <c r="G6132" s="148">
        <v>0.45119999999999999</v>
      </c>
      <c r="H6132" s="148">
        <v>45.12</v>
      </c>
      <c r="I6132" s="728"/>
      <c r="J6132" s="148">
        <v>1.4512</v>
      </c>
      <c r="K6132" s="148">
        <v>0</v>
      </c>
      <c r="L6132" s="148">
        <v>8.3166600000000006</v>
      </c>
      <c r="M6132" s="148">
        <v>5.8</v>
      </c>
      <c r="N6132" s="148">
        <v>2.5166599999999999</v>
      </c>
      <c r="O6132" s="148">
        <v>43.390689655172416</v>
      </c>
      <c r="P6132" s="148">
        <v>2.6324999999999998</v>
      </c>
      <c r="Q6132" s="148">
        <v>5.6841600000000003</v>
      </c>
      <c r="R6132" s="148">
        <v>215.92250712250711</v>
      </c>
    </row>
    <row r="6133" spans="2:18" ht="15.75" hidden="1" thickBot="1" x14ac:dyDescent="0.3">
      <c r="B6133" s="724" t="s">
        <v>871</v>
      </c>
      <c r="C6133" s="722" t="s">
        <v>81</v>
      </c>
      <c r="D6133" t="s">
        <v>82</v>
      </c>
      <c r="E6133" s="147">
        <v>9.9949999999999997E-2</v>
      </c>
      <c r="F6133" s="729"/>
      <c r="G6133" s="147">
        <v>9.9949999999999997E-2</v>
      </c>
      <c r="H6133" s="147">
        <v>0</v>
      </c>
      <c r="I6133" s="729"/>
      <c r="J6133" s="147">
        <v>9.9949999999999997E-2</v>
      </c>
      <c r="K6133" s="147">
        <v>0</v>
      </c>
      <c r="L6133" s="147">
        <v>1.2127699999999999</v>
      </c>
      <c r="M6133" s="729"/>
      <c r="N6133" s="147">
        <v>1.2127699999999999</v>
      </c>
      <c r="O6133" s="147">
        <v>0</v>
      </c>
      <c r="P6133" s="147">
        <v>0.94879999999999998</v>
      </c>
      <c r="Q6133" s="147">
        <v>0.26396999999999998</v>
      </c>
      <c r="R6133" s="147">
        <v>27.821458684654299</v>
      </c>
    </row>
    <row r="6134" spans="2:18" ht="15.75" hidden="1" thickBot="1" x14ac:dyDescent="0.3">
      <c r="B6134" s="724" t="s">
        <v>871</v>
      </c>
      <c r="C6134" s="722" t="s">
        <v>123</v>
      </c>
      <c r="D6134" t="s">
        <v>124</v>
      </c>
      <c r="E6134" s="148">
        <v>4.6999500000000003</v>
      </c>
      <c r="F6134" s="728"/>
      <c r="G6134" s="148">
        <v>4.6999500000000003</v>
      </c>
      <c r="H6134" s="148">
        <v>0</v>
      </c>
      <c r="I6134" s="728"/>
      <c r="J6134" s="148">
        <v>4.6999500000000003</v>
      </c>
      <c r="K6134" s="148">
        <v>0</v>
      </c>
      <c r="L6134" s="148">
        <v>4.6999500000000003</v>
      </c>
      <c r="M6134" s="728"/>
      <c r="N6134" s="148">
        <v>4.6999500000000003</v>
      </c>
      <c r="O6134" s="148">
        <v>0</v>
      </c>
      <c r="P6134" s="728"/>
      <c r="Q6134" s="148">
        <v>4.6999500000000003</v>
      </c>
      <c r="R6134" s="148">
        <v>0</v>
      </c>
    </row>
    <row r="6135" spans="2:18" ht="15.75" hidden="1" thickBot="1" x14ac:dyDescent="0.3">
      <c r="B6135" s="724" t="s">
        <v>871</v>
      </c>
      <c r="C6135" s="722" t="s">
        <v>83</v>
      </c>
      <c r="D6135" t="s">
        <v>84</v>
      </c>
      <c r="E6135" s="729"/>
      <c r="F6135" s="147">
        <v>0.3</v>
      </c>
      <c r="G6135" s="147">
        <v>-0.3</v>
      </c>
      <c r="H6135" s="147">
        <v>-100</v>
      </c>
      <c r="I6135" s="729"/>
      <c r="J6135" s="729"/>
      <c r="K6135" s="729"/>
      <c r="L6135" s="729"/>
      <c r="M6135" s="147">
        <v>3.6</v>
      </c>
      <c r="N6135" s="147">
        <v>-3.6</v>
      </c>
      <c r="O6135" s="147">
        <v>-100</v>
      </c>
      <c r="P6135" s="729"/>
      <c r="Q6135" s="729"/>
      <c r="R6135" s="729"/>
    </row>
    <row r="6136" spans="2:18" ht="15.75" hidden="1" thickBot="1" x14ac:dyDescent="0.3">
      <c r="B6136" s="724" t="s">
        <v>871</v>
      </c>
      <c r="C6136" s="149" t="s">
        <v>85</v>
      </c>
      <c r="D6136" t="s">
        <v>86</v>
      </c>
      <c r="E6136" s="148">
        <v>7.02285</v>
      </c>
      <c r="F6136" s="148">
        <v>3.2</v>
      </c>
      <c r="G6136" s="148">
        <v>3.8228499999999999</v>
      </c>
      <c r="H6136" s="148">
        <v>119.4640625</v>
      </c>
      <c r="I6136" s="728"/>
      <c r="J6136" s="148">
        <v>7.02285</v>
      </c>
      <c r="K6136" s="148">
        <v>0</v>
      </c>
      <c r="L6136" s="148">
        <v>50.245980000000003</v>
      </c>
      <c r="M6136" s="148">
        <v>21.7</v>
      </c>
      <c r="N6136" s="148">
        <v>28.54598</v>
      </c>
      <c r="O6136" s="148">
        <v>131.54829493087558</v>
      </c>
      <c r="P6136" s="148">
        <v>32.285760000000003</v>
      </c>
      <c r="Q6136" s="148">
        <v>17.96022</v>
      </c>
      <c r="R6136" s="148">
        <v>55.628921233385867</v>
      </c>
    </row>
    <row r="6137" spans="2:18" ht="15.75" hidden="1" thickBot="1" x14ac:dyDescent="0.3">
      <c r="B6137" s="724" t="s">
        <v>871</v>
      </c>
      <c r="C6137" s="144" t="s">
        <v>87</v>
      </c>
      <c r="D6137" t="s">
        <v>87</v>
      </c>
      <c r="E6137" s="147">
        <v>7.02285</v>
      </c>
      <c r="F6137" s="147">
        <v>3.2</v>
      </c>
      <c r="G6137" s="147">
        <v>3.8228499999999999</v>
      </c>
      <c r="H6137" s="147">
        <v>119.4640625</v>
      </c>
      <c r="I6137" s="729"/>
      <c r="J6137" s="147">
        <v>7.02285</v>
      </c>
      <c r="K6137" s="147">
        <v>0</v>
      </c>
      <c r="L6137" s="147">
        <v>50.245980000000003</v>
      </c>
      <c r="M6137" s="147">
        <v>21.7</v>
      </c>
      <c r="N6137" s="147">
        <v>28.54598</v>
      </c>
      <c r="O6137" s="147">
        <v>131.54829493087558</v>
      </c>
      <c r="P6137" s="147">
        <v>32.285760000000003</v>
      </c>
      <c r="Q6137" s="147">
        <v>17.96022</v>
      </c>
      <c r="R6137" s="147">
        <v>55.628921233385867</v>
      </c>
    </row>
    <row r="6138" spans="2:18" ht="15.75" hidden="1" thickBot="1" x14ac:dyDescent="0.3">
      <c r="B6138" s="724" t="s">
        <v>872</v>
      </c>
      <c r="C6138" s="722" t="s">
        <v>75</v>
      </c>
      <c r="D6138" t="s">
        <v>76</v>
      </c>
      <c r="E6138" s="728"/>
      <c r="F6138" s="728"/>
      <c r="G6138" s="728"/>
      <c r="H6138" s="728"/>
      <c r="I6138" s="728"/>
      <c r="J6138" s="728"/>
      <c r="K6138" s="728"/>
      <c r="L6138" s="148">
        <v>0.03</v>
      </c>
      <c r="M6138" s="728"/>
      <c r="N6138" s="148">
        <v>0.03</v>
      </c>
      <c r="O6138" s="148">
        <v>0</v>
      </c>
      <c r="P6138" s="728"/>
      <c r="Q6138" s="148">
        <v>0.03</v>
      </c>
      <c r="R6138" s="148">
        <v>0</v>
      </c>
    </row>
    <row r="6139" spans="2:18" ht="15.75" hidden="1" thickBot="1" x14ac:dyDescent="0.3">
      <c r="B6139" s="724" t="s">
        <v>872</v>
      </c>
      <c r="C6139" s="722" t="s">
        <v>79</v>
      </c>
      <c r="D6139" t="s">
        <v>80</v>
      </c>
      <c r="E6139" s="729"/>
      <c r="F6139" s="729"/>
      <c r="G6139" s="729"/>
      <c r="H6139" s="729"/>
      <c r="I6139" s="729"/>
      <c r="J6139" s="729"/>
      <c r="K6139" s="729"/>
      <c r="L6139" s="147">
        <v>0.64785999999999999</v>
      </c>
      <c r="M6139" s="729"/>
      <c r="N6139" s="147">
        <v>0.64785999999999999</v>
      </c>
      <c r="O6139" s="147">
        <v>0</v>
      </c>
      <c r="P6139" s="729"/>
      <c r="Q6139" s="147">
        <v>0.64785999999999999</v>
      </c>
      <c r="R6139" s="147">
        <v>0</v>
      </c>
    </row>
    <row r="6140" spans="2:18" ht="15.75" hidden="1" thickBot="1" x14ac:dyDescent="0.3">
      <c r="B6140" s="724" t="s">
        <v>872</v>
      </c>
      <c r="C6140" s="722" t="s">
        <v>81</v>
      </c>
      <c r="D6140" t="s">
        <v>82</v>
      </c>
      <c r="E6140" s="728"/>
      <c r="F6140" s="728"/>
      <c r="G6140" s="728"/>
      <c r="H6140" s="728"/>
      <c r="I6140" s="728"/>
      <c r="J6140" s="728"/>
      <c r="K6140" s="728"/>
      <c r="L6140" s="148">
        <v>0.16402</v>
      </c>
      <c r="M6140" s="728"/>
      <c r="N6140" s="148">
        <v>0.16402</v>
      </c>
      <c r="O6140" s="148">
        <v>0</v>
      </c>
      <c r="P6140" s="728"/>
      <c r="Q6140" s="148">
        <v>0.16402</v>
      </c>
      <c r="R6140" s="148">
        <v>0</v>
      </c>
    </row>
    <row r="6141" spans="2:18" ht="15.75" hidden="1" thickBot="1" x14ac:dyDescent="0.3">
      <c r="B6141" s="724" t="s">
        <v>872</v>
      </c>
      <c r="C6141" s="149" t="s">
        <v>85</v>
      </c>
      <c r="D6141" t="s">
        <v>86</v>
      </c>
      <c r="E6141" s="729"/>
      <c r="F6141" s="729"/>
      <c r="G6141" s="729"/>
      <c r="H6141" s="729"/>
      <c r="I6141" s="729"/>
      <c r="J6141" s="729"/>
      <c r="K6141" s="729"/>
      <c r="L6141" s="147">
        <v>0.84187999999999996</v>
      </c>
      <c r="M6141" s="729"/>
      <c r="N6141" s="147">
        <v>0.84187999999999996</v>
      </c>
      <c r="O6141" s="147">
        <v>0</v>
      </c>
      <c r="P6141" s="729"/>
      <c r="Q6141" s="147">
        <v>0.84187999999999996</v>
      </c>
      <c r="R6141" s="147">
        <v>0</v>
      </c>
    </row>
    <row r="6142" spans="2:18" ht="15.75" hidden="1" thickBot="1" x14ac:dyDescent="0.3">
      <c r="B6142" s="724" t="s">
        <v>872</v>
      </c>
      <c r="C6142" s="144" t="s">
        <v>87</v>
      </c>
      <c r="D6142" t="s">
        <v>87</v>
      </c>
      <c r="E6142" s="728"/>
      <c r="F6142" s="728"/>
      <c r="G6142" s="728"/>
      <c r="H6142" s="728"/>
      <c r="I6142" s="728"/>
      <c r="J6142" s="728"/>
      <c r="K6142" s="728"/>
      <c r="L6142" s="148">
        <v>0.84187999999999996</v>
      </c>
      <c r="M6142" s="728"/>
      <c r="N6142" s="148">
        <v>0.84187999999999996</v>
      </c>
      <c r="O6142" s="148">
        <v>0</v>
      </c>
      <c r="P6142" s="728"/>
      <c r="Q6142" s="148">
        <v>0.84187999999999996</v>
      </c>
      <c r="R6142" s="148">
        <v>0</v>
      </c>
    </row>
    <row r="6143" spans="2:18" ht="15.75" hidden="1" thickBot="1" x14ac:dyDescent="0.3">
      <c r="B6143" s="724" t="s">
        <v>873</v>
      </c>
      <c r="C6143" s="722" t="s">
        <v>137</v>
      </c>
      <c r="D6143" t="s">
        <v>138</v>
      </c>
      <c r="E6143" s="729"/>
      <c r="F6143" s="729"/>
      <c r="G6143" s="729"/>
      <c r="H6143" s="729"/>
      <c r="I6143" s="729"/>
      <c r="J6143" s="729"/>
      <c r="K6143" s="729"/>
      <c r="L6143" s="147">
        <v>0.19045999999999999</v>
      </c>
      <c r="M6143" s="729"/>
      <c r="N6143" s="147">
        <v>0.19045999999999999</v>
      </c>
      <c r="O6143" s="147">
        <v>0</v>
      </c>
      <c r="P6143" s="729"/>
      <c r="Q6143" s="147">
        <v>0.19045999999999999</v>
      </c>
      <c r="R6143" s="147">
        <v>0</v>
      </c>
    </row>
    <row r="6144" spans="2:18" ht="15.75" hidden="1" thickBot="1" x14ac:dyDescent="0.3">
      <c r="B6144" s="724" t="s">
        <v>873</v>
      </c>
      <c r="C6144" s="722" t="s">
        <v>101</v>
      </c>
      <c r="D6144" t="s">
        <v>102</v>
      </c>
      <c r="E6144" s="148">
        <v>0.13500000000000001</v>
      </c>
      <c r="F6144" s="728"/>
      <c r="G6144" s="148">
        <v>0.13500000000000001</v>
      </c>
      <c r="H6144" s="148">
        <v>0</v>
      </c>
      <c r="I6144" s="728"/>
      <c r="J6144" s="148">
        <v>0.13500000000000001</v>
      </c>
      <c r="K6144" s="148">
        <v>0</v>
      </c>
      <c r="L6144" s="148">
        <v>0.67671000000000003</v>
      </c>
      <c r="M6144" s="728"/>
      <c r="N6144" s="148">
        <v>0.67671000000000003</v>
      </c>
      <c r="O6144" s="148">
        <v>0</v>
      </c>
      <c r="P6144" s="148">
        <v>0.33407999999999999</v>
      </c>
      <c r="Q6144" s="148">
        <v>0.34262999999999999</v>
      </c>
      <c r="R6144" s="148">
        <v>102.55926724137932</v>
      </c>
    </row>
    <row r="6145" spans="2:18" ht="15.75" hidden="1" thickBot="1" x14ac:dyDescent="0.3">
      <c r="B6145" s="724" t="s">
        <v>873</v>
      </c>
      <c r="C6145" s="722" t="s">
        <v>73</v>
      </c>
      <c r="D6145" t="s">
        <v>74</v>
      </c>
      <c r="E6145" s="729"/>
      <c r="F6145" s="729"/>
      <c r="G6145" s="729"/>
      <c r="H6145" s="729"/>
      <c r="I6145" s="729"/>
      <c r="J6145" s="729"/>
      <c r="K6145" s="729"/>
      <c r="L6145" s="147">
        <v>0.30581000000000003</v>
      </c>
      <c r="M6145" s="729"/>
      <c r="N6145" s="147">
        <v>0.30581000000000003</v>
      </c>
      <c r="O6145" s="147">
        <v>0</v>
      </c>
      <c r="P6145" s="147">
        <v>0.27882000000000001</v>
      </c>
      <c r="Q6145" s="147">
        <v>2.699E-2</v>
      </c>
      <c r="R6145" s="147">
        <v>9.6800803385696863</v>
      </c>
    </row>
    <row r="6146" spans="2:18" ht="15.75" hidden="1" thickBot="1" x14ac:dyDescent="0.3">
      <c r="B6146" s="724" t="s">
        <v>873</v>
      </c>
      <c r="C6146" s="722" t="s">
        <v>141</v>
      </c>
      <c r="D6146" t="s">
        <v>142</v>
      </c>
      <c r="E6146" s="728"/>
      <c r="F6146" s="728"/>
      <c r="G6146" s="728"/>
      <c r="H6146" s="728"/>
      <c r="I6146" s="728"/>
      <c r="J6146" s="728"/>
      <c r="K6146" s="728"/>
      <c r="L6146" s="148">
        <v>0.25405</v>
      </c>
      <c r="M6146" s="728"/>
      <c r="N6146" s="148">
        <v>0.25405</v>
      </c>
      <c r="O6146" s="148">
        <v>0</v>
      </c>
      <c r="P6146" s="148">
        <v>0.15285000000000001</v>
      </c>
      <c r="Q6146" s="148">
        <v>0.1012</v>
      </c>
      <c r="R6146" s="148">
        <v>66.208701341184167</v>
      </c>
    </row>
    <row r="6147" spans="2:18" ht="15.75" hidden="1" thickBot="1" x14ac:dyDescent="0.3">
      <c r="B6147" s="724" t="s">
        <v>873</v>
      </c>
      <c r="C6147" s="722" t="s">
        <v>113</v>
      </c>
      <c r="D6147" t="s">
        <v>114</v>
      </c>
      <c r="E6147" s="729"/>
      <c r="F6147" s="729"/>
      <c r="G6147" s="729"/>
      <c r="H6147" s="729"/>
      <c r="I6147" s="729"/>
      <c r="J6147" s="729"/>
      <c r="K6147" s="729"/>
      <c r="L6147" s="147">
        <v>0.16550000000000001</v>
      </c>
      <c r="M6147" s="729"/>
      <c r="N6147" s="147">
        <v>0.16550000000000001</v>
      </c>
      <c r="O6147" s="147">
        <v>0</v>
      </c>
      <c r="P6147" s="147">
        <v>2.1999999999999999E-2</v>
      </c>
      <c r="Q6147" s="147">
        <v>0.14349999999999999</v>
      </c>
      <c r="R6147" s="147">
        <v>652.27272727272725</v>
      </c>
    </row>
    <row r="6148" spans="2:18" ht="15.75" hidden="1" thickBot="1" x14ac:dyDescent="0.3">
      <c r="B6148" s="724" t="s">
        <v>873</v>
      </c>
      <c r="C6148" s="722" t="s">
        <v>145</v>
      </c>
      <c r="D6148" t="s">
        <v>146</v>
      </c>
      <c r="E6148" s="148">
        <v>7.4999999999999997E-3</v>
      </c>
      <c r="F6148" s="728"/>
      <c r="G6148" s="148">
        <v>7.4999999999999997E-3</v>
      </c>
      <c r="H6148" s="148">
        <v>0</v>
      </c>
      <c r="I6148" s="728"/>
      <c r="J6148" s="148">
        <v>7.4999999999999997E-3</v>
      </c>
      <c r="K6148" s="148">
        <v>0</v>
      </c>
      <c r="L6148" s="148">
        <v>0.20100000000000001</v>
      </c>
      <c r="M6148" s="728"/>
      <c r="N6148" s="148">
        <v>0.20100000000000001</v>
      </c>
      <c r="O6148" s="148">
        <v>0</v>
      </c>
      <c r="P6148" s="148">
        <v>3.5999999999999997E-2</v>
      </c>
      <c r="Q6148" s="148">
        <v>0.16500000000000001</v>
      </c>
      <c r="R6148" s="148">
        <v>458.33333333333331</v>
      </c>
    </row>
    <row r="6149" spans="2:18" ht="15.75" hidden="1" thickBot="1" x14ac:dyDescent="0.3">
      <c r="B6149" s="724" t="s">
        <v>873</v>
      </c>
      <c r="C6149" s="722" t="s">
        <v>147</v>
      </c>
      <c r="D6149" t="s">
        <v>148</v>
      </c>
      <c r="E6149" s="147">
        <v>1.9E-2</v>
      </c>
      <c r="F6149" s="729"/>
      <c r="G6149" s="147">
        <v>1.9E-2</v>
      </c>
      <c r="H6149" s="147">
        <v>0</v>
      </c>
      <c r="I6149" s="729"/>
      <c r="J6149" s="147">
        <v>1.9E-2</v>
      </c>
      <c r="K6149" s="147">
        <v>0</v>
      </c>
      <c r="L6149" s="147">
        <v>0.19943</v>
      </c>
      <c r="M6149" s="729"/>
      <c r="N6149" s="147">
        <v>0.19943</v>
      </c>
      <c r="O6149" s="147">
        <v>0</v>
      </c>
      <c r="P6149" s="147">
        <v>8.201E-2</v>
      </c>
      <c r="Q6149" s="147">
        <v>0.11742</v>
      </c>
      <c r="R6149" s="147">
        <v>143.17766126082185</v>
      </c>
    </row>
    <row r="6150" spans="2:18" ht="15.75" hidden="1" thickBot="1" x14ac:dyDescent="0.3">
      <c r="B6150" s="724" t="s">
        <v>873</v>
      </c>
      <c r="C6150" s="722" t="s">
        <v>149</v>
      </c>
      <c r="D6150" t="s">
        <v>150</v>
      </c>
      <c r="E6150" s="728"/>
      <c r="F6150" s="728"/>
      <c r="G6150" s="728"/>
      <c r="H6150" s="728"/>
      <c r="I6150" s="728"/>
      <c r="J6150" s="728"/>
      <c r="K6150" s="728"/>
      <c r="L6150" s="148">
        <v>42.514429999999997</v>
      </c>
      <c r="M6150" s="728"/>
      <c r="N6150" s="148">
        <v>42.514429999999997</v>
      </c>
      <c r="O6150" s="148">
        <v>0</v>
      </c>
      <c r="P6150" s="148">
        <v>38.764429999999997</v>
      </c>
      <c r="Q6150" s="148">
        <v>3.75</v>
      </c>
      <c r="R6150" s="148">
        <v>9.6738169502298881</v>
      </c>
    </row>
    <row r="6151" spans="2:18" ht="15.75" hidden="1" thickBot="1" x14ac:dyDescent="0.3">
      <c r="B6151" s="724" t="s">
        <v>873</v>
      </c>
      <c r="C6151" s="722" t="s">
        <v>75</v>
      </c>
      <c r="D6151" t="s">
        <v>76</v>
      </c>
      <c r="E6151" s="147">
        <v>1.1591</v>
      </c>
      <c r="F6151" s="147">
        <v>0.41666999999999998</v>
      </c>
      <c r="G6151" s="147">
        <v>0.74243000000000003</v>
      </c>
      <c r="H6151" s="147">
        <v>178.18177454580362</v>
      </c>
      <c r="I6151" s="729"/>
      <c r="J6151" s="147">
        <v>1.1591</v>
      </c>
      <c r="K6151" s="147">
        <v>0</v>
      </c>
      <c r="L6151" s="147">
        <v>6.2763999999999998</v>
      </c>
      <c r="M6151" s="147">
        <v>5</v>
      </c>
      <c r="N6151" s="147">
        <v>1.2764</v>
      </c>
      <c r="O6151" s="147">
        <v>25.527999999999999</v>
      </c>
      <c r="P6151" s="147">
        <v>2.0105499999999998</v>
      </c>
      <c r="Q6151" s="147">
        <v>4.2658500000000004</v>
      </c>
      <c r="R6151" s="147">
        <v>212.17328591678893</v>
      </c>
    </row>
    <row r="6152" spans="2:18" ht="15.75" hidden="1" thickBot="1" x14ac:dyDescent="0.3">
      <c r="B6152" s="724" t="s">
        <v>873</v>
      </c>
      <c r="C6152" s="722" t="s">
        <v>121</v>
      </c>
      <c r="D6152" t="s">
        <v>122</v>
      </c>
      <c r="E6152" s="728"/>
      <c r="F6152" s="148">
        <v>0</v>
      </c>
      <c r="G6152" s="148">
        <v>0</v>
      </c>
      <c r="H6152" s="148">
        <v>0</v>
      </c>
      <c r="I6152" s="728"/>
      <c r="J6152" s="728"/>
      <c r="K6152" s="728"/>
      <c r="L6152" s="148">
        <v>7.77E-3</v>
      </c>
      <c r="M6152" s="148">
        <v>0</v>
      </c>
      <c r="N6152" s="148">
        <v>7.77E-3</v>
      </c>
      <c r="O6152" s="148">
        <v>0</v>
      </c>
      <c r="P6152" s="728"/>
      <c r="Q6152" s="148">
        <v>7.77E-3</v>
      </c>
      <c r="R6152" s="148">
        <v>0</v>
      </c>
    </row>
    <row r="6153" spans="2:18" ht="15.75" hidden="1" thickBot="1" x14ac:dyDescent="0.3">
      <c r="B6153" s="724" t="s">
        <v>873</v>
      </c>
      <c r="C6153" s="722" t="s">
        <v>77</v>
      </c>
      <c r="D6153" t="s">
        <v>78</v>
      </c>
      <c r="E6153" s="729"/>
      <c r="F6153" s="147">
        <v>0</v>
      </c>
      <c r="G6153" s="147">
        <v>0</v>
      </c>
      <c r="H6153" s="147">
        <v>0</v>
      </c>
      <c r="I6153" s="729"/>
      <c r="J6153" s="729"/>
      <c r="K6153" s="729"/>
      <c r="L6153" s="147">
        <v>9.9579299999999993</v>
      </c>
      <c r="M6153" s="147">
        <v>0</v>
      </c>
      <c r="N6153" s="147">
        <v>9.9579299999999993</v>
      </c>
      <c r="O6153" s="147">
        <v>0</v>
      </c>
      <c r="P6153" s="147">
        <v>5.6409000000000002</v>
      </c>
      <c r="Q6153" s="147">
        <v>4.3170299999999999</v>
      </c>
      <c r="R6153" s="147">
        <v>76.530872733074503</v>
      </c>
    </row>
    <row r="6154" spans="2:18" ht="15.75" hidden="1" thickBot="1" x14ac:dyDescent="0.3">
      <c r="B6154" s="724" t="s">
        <v>873</v>
      </c>
      <c r="C6154" s="722" t="s">
        <v>79</v>
      </c>
      <c r="D6154" t="s">
        <v>80</v>
      </c>
      <c r="E6154" s="728"/>
      <c r="F6154" s="148">
        <v>0.89163000000000003</v>
      </c>
      <c r="G6154" s="148">
        <v>-0.89163000000000003</v>
      </c>
      <c r="H6154" s="148">
        <v>-100</v>
      </c>
      <c r="I6154" s="728"/>
      <c r="J6154" s="728"/>
      <c r="K6154" s="728"/>
      <c r="L6154" s="148">
        <v>2.4582899999999999</v>
      </c>
      <c r="M6154" s="148">
        <v>10.7</v>
      </c>
      <c r="N6154" s="148">
        <v>-8.2417099999999994</v>
      </c>
      <c r="O6154" s="148">
        <v>-77.025327102803743</v>
      </c>
      <c r="P6154" s="148">
        <v>0.58631999999999995</v>
      </c>
      <c r="Q6154" s="148">
        <v>1.8719699999999999</v>
      </c>
      <c r="R6154" s="148">
        <v>319.27445763405649</v>
      </c>
    </row>
    <row r="6155" spans="2:18" ht="15.75" hidden="1" thickBot="1" x14ac:dyDescent="0.3">
      <c r="B6155" s="724" t="s">
        <v>873</v>
      </c>
      <c r="C6155" s="722" t="s">
        <v>81</v>
      </c>
      <c r="D6155" t="s">
        <v>82</v>
      </c>
      <c r="E6155" s="147">
        <v>1.3999299999999999</v>
      </c>
      <c r="F6155" s="729"/>
      <c r="G6155" s="147">
        <v>1.3999299999999999</v>
      </c>
      <c r="H6155" s="147">
        <v>0</v>
      </c>
      <c r="I6155" s="729"/>
      <c r="J6155" s="147">
        <v>1.3999299999999999</v>
      </c>
      <c r="K6155" s="147">
        <v>0</v>
      </c>
      <c r="L6155" s="147">
        <v>2.9491299999999998</v>
      </c>
      <c r="M6155" s="147">
        <v>2.8</v>
      </c>
      <c r="N6155" s="147">
        <v>0.14913000000000001</v>
      </c>
      <c r="O6155" s="147">
        <v>5.3260714285714288</v>
      </c>
      <c r="P6155" s="147">
        <v>1.06819</v>
      </c>
      <c r="Q6155" s="147">
        <v>1.8809400000000001</v>
      </c>
      <c r="R6155" s="147">
        <v>176.08665125118191</v>
      </c>
    </row>
    <row r="6156" spans="2:18" ht="15.75" hidden="1" thickBot="1" x14ac:dyDescent="0.3">
      <c r="B6156" s="724" t="s">
        <v>873</v>
      </c>
      <c r="C6156" s="722" t="s">
        <v>123</v>
      </c>
      <c r="D6156" t="s">
        <v>124</v>
      </c>
      <c r="E6156" s="728"/>
      <c r="F6156" s="728"/>
      <c r="G6156" s="728"/>
      <c r="H6156" s="728"/>
      <c r="I6156" s="728"/>
      <c r="J6156" s="728"/>
      <c r="K6156" s="728"/>
      <c r="L6156" s="148">
        <v>0.33812999999999999</v>
      </c>
      <c r="M6156" s="728"/>
      <c r="N6156" s="148">
        <v>0.33812999999999999</v>
      </c>
      <c r="O6156" s="148">
        <v>0</v>
      </c>
      <c r="P6156" s="148">
        <v>0.13915</v>
      </c>
      <c r="Q6156" s="148">
        <v>0.19897999999999999</v>
      </c>
      <c r="R6156" s="148">
        <v>142.99676607977003</v>
      </c>
    </row>
    <row r="6157" spans="2:18" ht="15.75" hidden="1" thickBot="1" x14ac:dyDescent="0.3">
      <c r="B6157" s="724" t="s">
        <v>873</v>
      </c>
      <c r="C6157" s="722" t="s">
        <v>83</v>
      </c>
      <c r="D6157" t="s">
        <v>84</v>
      </c>
      <c r="E6157" s="729"/>
      <c r="F6157" s="147">
        <v>0.47499999999999998</v>
      </c>
      <c r="G6157" s="147">
        <v>-0.47499999999999998</v>
      </c>
      <c r="H6157" s="147">
        <v>-100</v>
      </c>
      <c r="I6157" s="729"/>
      <c r="J6157" s="729"/>
      <c r="K6157" s="729"/>
      <c r="L6157" s="729"/>
      <c r="M6157" s="147">
        <v>7.35</v>
      </c>
      <c r="N6157" s="147">
        <v>-7.35</v>
      </c>
      <c r="O6157" s="147">
        <v>-100</v>
      </c>
      <c r="P6157" s="729"/>
      <c r="Q6157" s="729"/>
      <c r="R6157" s="729"/>
    </row>
    <row r="6158" spans="2:18" ht="15.75" hidden="1" thickBot="1" x14ac:dyDescent="0.3">
      <c r="B6158" s="724" t="s">
        <v>873</v>
      </c>
      <c r="C6158" s="149" t="s">
        <v>85</v>
      </c>
      <c r="D6158" t="s">
        <v>86</v>
      </c>
      <c r="E6158" s="148">
        <v>2.7205300000000001</v>
      </c>
      <c r="F6158" s="148">
        <v>1.7833000000000001</v>
      </c>
      <c r="G6158" s="148">
        <v>0.93723000000000001</v>
      </c>
      <c r="H6158" s="148">
        <v>52.555935624964953</v>
      </c>
      <c r="I6158" s="728"/>
      <c r="J6158" s="148">
        <v>2.7205300000000001</v>
      </c>
      <c r="K6158" s="148">
        <v>0</v>
      </c>
      <c r="L6158" s="148">
        <v>66.495040000000003</v>
      </c>
      <c r="M6158" s="148">
        <v>25.85</v>
      </c>
      <c r="N6158" s="148">
        <v>40.645040000000002</v>
      </c>
      <c r="O6158" s="148">
        <v>157.23419729206964</v>
      </c>
      <c r="P6158" s="148">
        <v>49.115299999999998</v>
      </c>
      <c r="Q6158" s="148">
        <v>17.379740000000002</v>
      </c>
      <c r="R6158" s="148">
        <v>35.38559267682372</v>
      </c>
    </row>
    <row r="6159" spans="2:18" ht="15.75" hidden="1" thickBot="1" x14ac:dyDescent="0.3">
      <c r="B6159" s="724" t="s">
        <v>873</v>
      </c>
      <c r="C6159" s="144" t="s">
        <v>87</v>
      </c>
      <c r="D6159" t="s">
        <v>87</v>
      </c>
      <c r="E6159" s="147">
        <v>2.7205300000000001</v>
      </c>
      <c r="F6159" s="147">
        <v>1.7833000000000001</v>
      </c>
      <c r="G6159" s="147">
        <v>0.93723000000000001</v>
      </c>
      <c r="H6159" s="147">
        <v>52.555935624964953</v>
      </c>
      <c r="I6159" s="729"/>
      <c r="J6159" s="147">
        <v>2.7205300000000001</v>
      </c>
      <c r="K6159" s="147">
        <v>0</v>
      </c>
      <c r="L6159" s="147">
        <v>66.495040000000003</v>
      </c>
      <c r="M6159" s="147">
        <v>25.85</v>
      </c>
      <c r="N6159" s="147">
        <v>40.645040000000002</v>
      </c>
      <c r="O6159" s="147">
        <v>157.23419729206964</v>
      </c>
      <c r="P6159" s="147">
        <v>49.115299999999998</v>
      </c>
      <c r="Q6159" s="147">
        <v>17.379740000000002</v>
      </c>
      <c r="R6159" s="147">
        <v>35.38559267682372</v>
      </c>
    </row>
    <row r="6160" spans="2:18" ht="15.75" hidden="1" thickBot="1" x14ac:dyDescent="0.3">
      <c r="B6160" s="724" t="s">
        <v>874</v>
      </c>
      <c r="C6160" s="722" t="s">
        <v>137</v>
      </c>
      <c r="D6160" t="s">
        <v>138</v>
      </c>
      <c r="E6160" s="728"/>
      <c r="F6160" s="728"/>
      <c r="G6160" s="728"/>
      <c r="H6160" s="728"/>
      <c r="I6160" s="728"/>
      <c r="J6160" s="728"/>
      <c r="K6160" s="728"/>
      <c r="L6160" s="148">
        <v>1.3317600000000001</v>
      </c>
      <c r="M6160" s="728"/>
      <c r="N6160" s="148">
        <v>1.3317600000000001</v>
      </c>
      <c r="O6160" s="148">
        <v>0</v>
      </c>
      <c r="P6160" s="148">
        <v>0.66239000000000003</v>
      </c>
      <c r="Q6160" s="148">
        <v>0.66937000000000002</v>
      </c>
      <c r="R6160" s="148">
        <v>101.05375986956325</v>
      </c>
    </row>
    <row r="6161" spans="2:18" ht="15.75" hidden="1" thickBot="1" x14ac:dyDescent="0.3">
      <c r="B6161" s="724" t="s">
        <v>874</v>
      </c>
      <c r="C6161" s="722" t="s">
        <v>139</v>
      </c>
      <c r="D6161" t="s">
        <v>140</v>
      </c>
      <c r="E6161" s="729"/>
      <c r="F6161" s="729"/>
      <c r="G6161" s="729"/>
      <c r="H6161" s="729"/>
      <c r="I6161" s="729"/>
      <c r="J6161" s="729"/>
      <c r="K6161" s="729"/>
      <c r="L6161" s="147">
        <v>0.29499999999999998</v>
      </c>
      <c r="M6161" s="729"/>
      <c r="N6161" s="147">
        <v>0.29499999999999998</v>
      </c>
      <c r="O6161" s="147">
        <v>0</v>
      </c>
      <c r="P6161" s="147">
        <v>0.29499999999999998</v>
      </c>
      <c r="Q6161" s="147">
        <v>0</v>
      </c>
      <c r="R6161" s="147">
        <v>0</v>
      </c>
    </row>
    <row r="6162" spans="2:18" ht="15.75" hidden="1" thickBot="1" x14ac:dyDescent="0.3">
      <c r="B6162" s="724" t="s">
        <v>874</v>
      </c>
      <c r="C6162" s="722" t="s">
        <v>73</v>
      </c>
      <c r="D6162" t="s">
        <v>74</v>
      </c>
      <c r="E6162" s="728"/>
      <c r="F6162" s="728"/>
      <c r="G6162" s="728"/>
      <c r="H6162" s="728"/>
      <c r="I6162" s="728"/>
      <c r="J6162" s="728"/>
      <c r="K6162" s="728"/>
      <c r="L6162" s="148">
        <v>9.8820000000000005E-2</v>
      </c>
      <c r="M6162" s="728"/>
      <c r="N6162" s="148">
        <v>9.8820000000000005E-2</v>
      </c>
      <c r="O6162" s="148">
        <v>0</v>
      </c>
      <c r="P6162" s="148">
        <v>9.8820000000000005E-2</v>
      </c>
      <c r="Q6162" s="148">
        <v>0</v>
      </c>
      <c r="R6162" s="148">
        <v>0</v>
      </c>
    </row>
    <row r="6163" spans="2:18" ht="15.75" hidden="1" thickBot="1" x14ac:dyDescent="0.3">
      <c r="B6163" s="724" t="s">
        <v>874</v>
      </c>
      <c r="C6163" s="722" t="s">
        <v>141</v>
      </c>
      <c r="D6163" t="s">
        <v>142</v>
      </c>
      <c r="E6163" s="147">
        <v>9.7000000000000003E-2</v>
      </c>
      <c r="F6163" s="729"/>
      <c r="G6163" s="147">
        <v>9.7000000000000003E-2</v>
      </c>
      <c r="H6163" s="147">
        <v>0</v>
      </c>
      <c r="I6163" s="729"/>
      <c r="J6163" s="147">
        <v>9.7000000000000003E-2</v>
      </c>
      <c r="K6163" s="147">
        <v>0</v>
      </c>
      <c r="L6163" s="147">
        <v>0.97709999999999997</v>
      </c>
      <c r="M6163" s="729"/>
      <c r="N6163" s="147">
        <v>0.97709999999999997</v>
      </c>
      <c r="O6163" s="147">
        <v>0</v>
      </c>
      <c r="P6163" s="147">
        <v>0.53656000000000004</v>
      </c>
      <c r="Q6163" s="147">
        <v>0.44053999999999999</v>
      </c>
      <c r="R6163" s="147">
        <v>82.104517668107945</v>
      </c>
    </row>
    <row r="6164" spans="2:18" ht="15.75" hidden="1" thickBot="1" x14ac:dyDescent="0.3">
      <c r="B6164" s="724" t="s">
        <v>874</v>
      </c>
      <c r="C6164" s="722" t="s">
        <v>113</v>
      </c>
      <c r="D6164" t="s">
        <v>114</v>
      </c>
      <c r="E6164" s="728"/>
      <c r="F6164" s="728"/>
      <c r="G6164" s="728"/>
      <c r="H6164" s="728"/>
      <c r="I6164" s="728"/>
      <c r="J6164" s="728"/>
      <c r="K6164" s="728"/>
      <c r="L6164" s="148">
        <v>7.6799999999999993E-2</v>
      </c>
      <c r="M6164" s="728"/>
      <c r="N6164" s="148">
        <v>7.6799999999999993E-2</v>
      </c>
      <c r="O6164" s="148">
        <v>0</v>
      </c>
      <c r="P6164" s="148">
        <v>5.0700000000000002E-2</v>
      </c>
      <c r="Q6164" s="148">
        <v>2.6100000000000002E-2</v>
      </c>
      <c r="R6164" s="148">
        <v>51.479289940828401</v>
      </c>
    </row>
    <row r="6165" spans="2:18" ht="15.75" hidden="1" thickBot="1" x14ac:dyDescent="0.3">
      <c r="B6165" s="724" t="s">
        <v>874</v>
      </c>
      <c r="C6165" s="722" t="s">
        <v>145</v>
      </c>
      <c r="D6165" t="s">
        <v>146</v>
      </c>
      <c r="E6165" s="147">
        <v>3.9699999999999999E-2</v>
      </c>
      <c r="F6165" s="729"/>
      <c r="G6165" s="147">
        <v>3.9699999999999999E-2</v>
      </c>
      <c r="H6165" s="147">
        <v>0</v>
      </c>
      <c r="I6165" s="729"/>
      <c r="J6165" s="147">
        <v>3.9699999999999999E-2</v>
      </c>
      <c r="K6165" s="147">
        <v>0</v>
      </c>
      <c r="L6165" s="147">
        <v>0.185</v>
      </c>
      <c r="M6165" s="729"/>
      <c r="N6165" s="147">
        <v>0.185</v>
      </c>
      <c r="O6165" s="147">
        <v>0</v>
      </c>
      <c r="P6165" s="147">
        <v>9.74E-2</v>
      </c>
      <c r="Q6165" s="147">
        <v>8.7599999999999997E-2</v>
      </c>
      <c r="R6165" s="147">
        <v>89.938398357289529</v>
      </c>
    </row>
    <row r="6166" spans="2:18" ht="15.75" hidden="1" thickBot="1" x14ac:dyDescent="0.3">
      <c r="B6166" s="724" t="s">
        <v>874</v>
      </c>
      <c r="C6166" s="722" t="s">
        <v>203</v>
      </c>
      <c r="D6166" t="s">
        <v>204</v>
      </c>
      <c r="E6166" s="728"/>
      <c r="F6166" s="728"/>
      <c r="G6166" s="728"/>
      <c r="H6166" s="728"/>
      <c r="I6166" s="728"/>
      <c r="J6166" s="728"/>
      <c r="K6166" s="728"/>
      <c r="L6166" s="148">
        <v>0.185</v>
      </c>
      <c r="M6166" s="728"/>
      <c r="N6166" s="148">
        <v>0.185</v>
      </c>
      <c r="O6166" s="148">
        <v>0</v>
      </c>
      <c r="P6166" s="148">
        <v>0.185</v>
      </c>
      <c r="Q6166" s="148">
        <v>0</v>
      </c>
      <c r="R6166" s="148">
        <v>0</v>
      </c>
    </row>
    <row r="6167" spans="2:18" ht="15.75" hidden="1" thickBot="1" x14ac:dyDescent="0.3">
      <c r="B6167" s="724" t="s">
        <v>874</v>
      </c>
      <c r="C6167" s="722" t="s">
        <v>481</v>
      </c>
      <c r="D6167" t="s">
        <v>482</v>
      </c>
      <c r="E6167" s="147">
        <v>3.7999999999999999E-2</v>
      </c>
      <c r="F6167" s="729"/>
      <c r="G6167" s="147">
        <v>3.7999999999999999E-2</v>
      </c>
      <c r="H6167" s="147">
        <v>0</v>
      </c>
      <c r="I6167" s="729"/>
      <c r="J6167" s="147">
        <v>3.7999999999999999E-2</v>
      </c>
      <c r="K6167" s="147">
        <v>0</v>
      </c>
      <c r="L6167" s="147">
        <v>0.34200000000000003</v>
      </c>
      <c r="M6167" s="729"/>
      <c r="N6167" s="147">
        <v>0.34200000000000003</v>
      </c>
      <c r="O6167" s="147">
        <v>0</v>
      </c>
      <c r="P6167" s="147">
        <v>0.20899999999999999</v>
      </c>
      <c r="Q6167" s="147">
        <v>0.13300000000000001</v>
      </c>
      <c r="R6167" s="147">
        <v>63.636363636363633</v>
      </c>
    </row>
    <row r="6168" spans="2:18" ht="15.75" hidden="1" thickBot="1" x14ac:dyDescent="0.3">
      <c r="B6168" s="724" t="s">
        <v>874</v>
      </c>
      <c r="C6168" s="722" t="s">
        <v>75</v>
      </c>
      <c r="D6168" t="s">
        <v>76</v>
      </c>
      <c r="E6168" s="148">
        <v>2.2122000000000002</v>
      </c>
      <c r="F6168" s="148">
        <v>0.33300000000000002</v>
      </c>
      <c r="G6168" s="148">
        <v>1.8792</v>
      </c>
      <c r="H6168" s="148">
        <v>564.32432432432438</v>
      </c>
      <c r="I6168" s="728"/>
      <c r="J6168" s="148">
        <v>2.2122000000000002</v>
      </c>
      <c r="K6168" s="148">
        <v>0</v>
      </c>
      <c r="L6168" s="148">
        <v>8.2543900000000008</v>
      </c>
      <c r="M6168" s="148">
        <v>4</v>
      </c>
      <c r="N6168" s="148">
        <v>4.2543899999999999</v>
      </c>
      <c r="O6168" s="148">
        <v>106.35975000000001</v>
      </c>
      <c r="P6168" s="148">
        <v>3.9556900000000002</v>
      </c>
      <c r="Q6168" s="148">
        <v>4.2987000000000002</v>
      </c>
      <c r="R6168" s="148">
        <v>108.67130639660843</v>
      </c>
    </row>
    <row r="6169" spans="2:18" ht="15.75" hidden="1" thickBot="1" x14ac:dyDescent="0.3">
      <c r="B6169" s="724" t="s">
        <v>874</v>
      </c>
      <c r="C6169" s="722" t="s">
        <v>121</v>
      </c>
      <c r="D6169" t="s">
        <v>122</v>
      </c>
      <c r="E6169" s="147">
        <v>5.8999999999999999E-3</v>
      </c>
      <c r="F6169" s="729"/>
      <c r="G6169" s="147">
        <v>5.8999999999999999E-3</v>
      </c>
      <c r="H6169" s="147">
        <v>0</v>
      </c>
      <c r="I6169" s="729"/>
      <c r="J6169" s="147">
        <v>5.8999999999999999E-3</v>
      </c>
      <c r="K6169" s="147">
        <v>0</v>
      </c>
      <c r="L6169" s="147">
        <v>0.45276</v>
      </c>
      <c r="M6169" s="729"/>
      <c r="N6169" s="147">
        <v>0.45276</v>
      </c>
      <c r="O6169" s="147">
        <v>0</v>
      </c>
      <c r="P6169" s="147">
        <v>0.44685999999999998</v>
      </c>
      <c r="Q6169" s="147">
        <v>5.8999999999999999E-3</v>
      </c>
      <c r="R6169" s="147">
        <v>1.3203240388488564</v>
      </c>
    </row>
    <row r="6170" spans="2:18" ht="15.75" hidden="1" thickBot="1" x14ac:dyDescent="0.3">
      <c r="B6170" s="724" t="s">
        <v>874</v>
      </c>
      <c r="C6170" s="722" t="s">
        <v>77</v>
      </c>
      <c r="D6170" t="s">
        <v>78</v>
      </c>
      <c r="E6170" s="728"/>
      <c r="F6170" s="728"/>
      <c r="G6170" s="728"/>
      <c r="H6170" s="728"/>
      <c r="I6170" s="728"/>
      <c r="J6170" s="728"/>
      <c r="K6170" s="728"/>
      <c r="L6170" s="728"/>
      <c r="M6170" s="148">
        <v>4.5</v>
      </c>
      <c r="N6170" s="148">
        <v>-4.5</v>
      </c>
      <c r="O6170" s="148">
        <v>-100</v>
      </c>
      <c r="P6170" s="728"/>
      <c r="Q6170" s="728"/>
      <c r="R6170" s="728"/>
    </row>
    <row r="6171" spans="2:18" ht="15.75" hidden="1" thickBot="1" x14ac:dyDescent="0.3">
      <c r="B6171" s="724" t="s">
        <v>874</v>
      </c>
      <c r="C6171" s="722" t="s">
        <v>79</v>
      </c>
      <c r="D6171" t="s">
        <v>80</v>
      </c>
      <c r="E6171" s="147">
        <v>1.64628</v>
      </c>
      <c r="F6171" s="147">
        <v>0.5</v>
      </c>
      <c r="G6171" s="147">
        <v>1.14628</v>
      </c>
      <c r="H6171" s="147">
        <v>229.256</v>
      </c>
      <c r="I6171" s="729"/>
      <c r="J6171" s="147">
        <v>1.64628</v>
      </c>
      <c r="K6171" s="147">
        <v>0</v>
      </c>
      <c r="L6171" s="147">
        <v>13.92252</v>
      </c>
      <c r="M6171" s="147">
        <v>12</v>
      </c>
      <c r="N6171" s="147">
        <v>1.92252</v>
      </c>
      <c r="O6171" s="147">
        <v>16.021000000000001</v>
      </c>
      <c r="P6171" s="147">
        <v>8.5864200000000004</v>
      </c>
      <c r="Q6171" s="147">
        <v>5.3361000000000001</v>
      </c>
      <c r="R6171" s="147">
        <v>62.145806983585707</v>
      </c>
    </row>
    <row r="6172" spans="2:18" ht="15.75" hidden="1" thickBot="1" x14ac:dyDescent="0.3">
      <c r="B6172" s="724" t="s">
        <v>874</v>
      </c>
      <c r="C6172" s="722" t="s">
        <v>81</v>
      </c>
      <c r="D6172" t="s">
        <v>82</v>
      </c>
      <c r="E6172" s="728"/>
      <c r="F6172" s="728"/>
      <c r="G6172" s="728"/>
      <c r="H6172" s="728"/>
      <c r="I6172" s="728"/>
      <c r="J6172" s="728"/>
      <c r="K6172" s="728"/>
      <c r="L6172" s="148">
        <v>0.1</v>
      </c>
      <c r="M6172" s="728"/>
      <c r="N6172" s="148">
        <v>0.1</v>
      </c>
      <c r="O6172" s="148">
        <v>0</v>
      </c>
      <c r="P6172" s="148">
        <v>0.1</v>
      </c>
      <c r="Q6172" s="148">
        <v>0</v>
      </c>
      <c r="R6172" s="148">
        <v>0</v>
      </c>
    </row>
    <row r="6173" spans="2:18" ht="15.75" hidden="1" thickBot="1" x14ac:dyDescent="0.3">
      <c r="B6173" s="724" t="s">
        <v>874</v>
      </c>
      <c r="C6173" s="722" t="s">
        <v>123</v>
      </c>
      <c r="D6173" t="s">
        <v>124</v>
      </c>
      <c r="E6173" s="729"/>
      <c r="F6173" s="729"/>
      <c r="G6173" s="729"/>
      <c r="H6173" s="729"/>
      <c r="I6173" s="729"/>
      <c r="J6173" s="729"/>
      <c r="K6173" s="729"/>
      <c r="L6173" s="147">
        <v>0.4</v>
      </c>
      <c r="M6173" s="729"/>
      <c r="N6173" s="147">
        <v>0.4</v>
      </c>
      <c r="O6173" s="147">
        <v>0</v>
      </c>
      <c r="P6173" s="729"/>
      <c r="Q6173" s="147">
        <v>0.4</v>
      </c>
      <c r="R6173" s="147">
        <v>0</v>
      </c>
    </row>
    <row r="6174" spans="2:18" ht="15.75" hidden="1" thickBot="1" x14ac:dyDescent="0.3">
      <c r="B6174" s="724" t="s">
        <v>874</v>
      </c>
      <c r="C6174" s="722" t="s">
        <v>83</v>
      </c>
      <c r="D6174" t="s">
        <v>84</v>
      </c>
      <c r="E6174" s="728"/>
      <c r="F6174" s="148">
        <v>0.58299999999999996</v>
      </c>
      <c r="G6174" s="148">
        <v>-0.58299999999999996</v>
      </c>
      <c r="H6174" s="148">
        <v>-100</v>
      </c>
      <c r="I6174" s="728"/>
      <c r="J6174" s="728"/>
      <c r="K6174" s="728"/>
      <c r="L6174" s="728"/>
      <c r="M6174" s="148">
        <v>7</v>
      </c>
      <c r="N6174" s="148">
        <v>-7</v>
      </c>
      <c r="O6174" s="148">
        <v>-100</v>
      </c>
      <c r="P6174" s="728"/>
      <c r="Q6174" s="728"/>
      <c r="R6174" s="728"/>
    </row>
    <row r="6175" spans="2:18" ht="15.75" hidden="1" thickBot="1" x14ac:dyDescent="0.3">
      <c r="B6175" s="724" t="s">
        <v>874</v>
      </c>
      <c r="C6175" s="149" t="s">
        <v>85</v>
      </c>
      <c r="D6175" t="s">
        <v>86</v>
      </c>
      <c r="E6175" s="147">
        <v>4.0390800000000002</v>
      </c>
      <c r="F6175" s="147">
        <v>1.4159999999999999</v>
      </c>
      <c r="G6175" s="147">
        <v>2.6230799999999999</v>
      </c>
      <c r="H6175" s="147">
        <v>185.24576271186442</v>
      </c>
      <c r="I6175" s="729"/>
      <c r="J6175" s="147">
        <v>4.0390800000000002</v>
      </c>
      <c r="K6175" s="147">
        <v>0</v>
      </c>
      <c r="L6175" s="147">
        <v>26.62115</v>
      </c>
      <c r="M6175" s="147">
        <v>27.5</v>
      </c>
      <c r="N6175" s="147">
        <v>-0.87885000000000002</v>
      </c>
      <c r="O6175" s="147">
        <v>-3.1958181818181819</v>
      </c>
      <c r="P6175" s="147">
        <v>15.223839999999999</v>
      </c>
      <c r="Q6175" s="147">
        <v>11.397309999999999</v>
      </c>
      <c r="R6175" s="147">
        <v>74.864882973021267</v>
      </c>
    </row>
    <row r="6176" spans="2:18" ht="15.75" hidden="1" thickBot="1" x14ac:dyDescent="0.3">
      <c r="B6176" s="724" t="s">
        <v>874</v>
      </c>
      <c r="C6176" s="144" t="s">
        <v>87</v>
      </c>
      <c r="D6176" t="s">
        <v>87</v>
      </c>
      <c r="E6176" s="148">
        <v>4.0390800000000002</v>
      </c>
      <c r="F6176" s="148">
        <v>1.4159999999999999</v>
      </c>
      <c r="G6176" s="148">
        <v>2.6230799999999999</v>
      </c>
      <c r="H6176" s="148">
        <v>185.24576271186442</v>
      </c>
      <c r="I6176" s="728"/>
      <c r="J6176" s="148">
        <v>4.0390800000000002</v>
      </c>
      <c r="K6176" s="148">
        <v>0</v>
      </c>
      <c r="L6176" s="148">
        <v>26.62115</v>
      </c>
      <c r="M6176" s="148">
        <v>27.5</v>
      </c>
      <c r="N6176" s="148">
        <v>-0.87885000000000002</v>
      </c>
      <c r="O6176" s="148">
        <v>-3.1958181818181819</v>
      </c>
      <c r="P6176" s="148">
        <v>15.223839999999999</v>
      </c>
      <c r="Q6176" s="148">
        <v>11.397309999999999</v>
      </c>
      <c r="R6176" s="148">
        <v>74.864882973021267</v>
      </c>
    </row>
    <row r="6177" spans="2:18" ht="15.75" hidden="1" thickBot="1" x14ac:dyDescent="0.3">
      <c r="B6177" s="724" t="s">
        <v>875</v>
      </c>
      <c r="C6177" s="722" t="s">
        <v>69</v>
      </c>
      <c r="D6177" t="s">
        <v>70</v>
      </c>
      <c r="E6177" s="729"/>
      <c r="F6177" s="729"/>
      <c r="G6177" s="729"/>
      <c r="H6177" s="729"/>
      <c r="I6177" s="729"/>
      <c r="J6177" s="729"/>
      <c r="K6177" s="729"/>
      <c r="L6177" s="147">
        <v>0.14499999999999999</v>
      </c>
      <c r="M6177" s="729"/>
      <c r="N6177" s="147">
        <v>0.14499999999999999</v>
      </c>
      <c r="O6177" s="147">
        <v>0</v>
      </c>
      <c r="P6177" s="147">
        <v>0.14499999999999999</v>
      </c>
      <c r="Q6177" s="147">
        <v>0</v>
      </c>
      <c r="R6177" s="147">
        <v>0</v>
      </c>
    </row>
    <row r="6178" spans="2:18" ht="15.75" hidden="1" thickBot="1" x14ac:dyDescent="0.3">
      <c r="B6178" s="724" t="s">
        <v>875</v>
      </c>
      <c r="C6178" s="722" t="s">
        <v>137</v>
      </c>
      <c r="D6178" t="s">
        <v>138</v>
      </c>
      <c r="E6178" s="728"/>
      <c r="F6178" s="728"/>
      <c r="G6178" s="728"/>
      <c r="H6178" s="728"/>
      <c r="I6178" s="728"/>
      <c r="J6178" s="728"/>
      <c r="K6178" s="728"/>
      <c r="L6178" s="148">
        <v>0.42799999999999999</v>
      </c>
      <c r="M6178" s="728"/>
      <c r="N6178" s="148">
        <v>0.42799999999999999</v>
      </c>
      <c r="O6178" s="148">
        <v>0</v>
      </c>
      <c r="P6178" s="148">
        <v>0.42799999999999999</v>
      </c>
      <c r="Q6178" s="148">
        <v>0</v>
      </c>
      <c r="R6178" s="148">
        <v>0</v>
      </c>
    </row>
    <row r="6179" spans="2:18" ht="15.75" hidden="1" thickBot="1" x14ac:dyDescent="0.3">
      <c r="B6179" s="724" t="s">
        <v>875</v>
      </c>
      <c r="C6179" s="722" t="s">
        <v>139</v>
      </c>
      <c r="D6179" t="s">
        <v>140</v>
      </c>
      <c r="E6179" s="729"/>
      <c r="F6179" s="147">
        <v>2.9166699999999999</v>
      </c>
      <c r="G6179" s="147">
        <v>-2.9166699999999999</v>
      </c>
      <c r="H6179" s="147">
        <v>-100</v>
      </c>
      <c r="I6179" s="729"/>
      <c r="J6179" s="729"/>
      <c r="K6179" s="729"/>
      <c r="L6179" s="147">
        <v>11.42</v>
      </c>
      <c r="M6179" s="147">
        <v>35.000039999999998</v>
      </c>
      <c r="N6179" s="147">
        <v>-23.58004</v>
      </c>
      <c r="O6179" s="147">
        <v>-67.371465861181875</v>
      </c>
      <c r="P6179" s="147">
        <v>9.7949999999999999</v>
      </c>
      <c r="Q6179" s="147">
        <v>1.625</v>
      </c>
      <c r="R6179" s="147">
        <v>16.590096988259315</v>
      </c>
    </row>
    <row r="6180" spans="2:18" ht="15.75" hidden="1" thickBot="1" x14ac:dyDescent="0.3">
      <c r="B6180" s="724" t="s">
        <v>875</v>
      </c>
      <c r="C6180" s="722" t="s">
        <v>101</v>
      </c>
      <c r="D6180" t="s">
        <v>102</v>
      </c>
      <c r="E6180" s="728"/>
      <c r="F6180" s="728"/>
      <c r="G6180" s="728"/>
      <c r="H6180" s="728"/>
      <c r="I6180" s="728"/>
      <c r="J6180" s="728"/>
      <c r="K6180" s="728"/>
      <c r="L6180" s="148">
        <v>2.9992999999999999</v>
      </c>
      <c r="M6180" s="728"/>
      <c r="N6180" s="148">
        <v>2.9992999999999999</v>
      </c>
      <c r="O6180" s="148">
        <v>0</v>
      </c>
      <c r="P6180" s="148">
        <v>0.89929999999999999</v>
      </c>
      <c r="Q6180" s="148">
        <v>2.1</v>
      </c>
      <c r="R6180" s="148">
        <v>233.51495607694875</v>
      </c>
    </row>
    <row r="6181" spans="2:18" ht="15.75" hidden="1" thickBot="1" x14ac:dyDescent="0.3">
      <c r="B6181" s="724" t="s">
        <v>875</v>
      </c>
      <c r="C6181" s="722" t="s">
        <v>109</v>
      </c>
      <c r="D6181" t="s">
        <v>110</v>
      </c>
      <c r="E6181" s="147">
        <v>0.10599</v>
      </c>
      <c r="F6181" s="729"/>
      <c r="G6181" s="147">
        <v>0.10599</v>
      </c>
      <c r="H6181" s="147">
        <v>0</v>
      </c>
      <c r="I6181" s="729"/>
      <c r="J6181" s="147">
        <v>0.10599</v>
      </c>
      <c r="K6181" s="147">
        <v>0</v>
      </c>
      <c r="L6181" s="147">
        <v>0.19628999999999999</v>
      </c>
      <c r="M6181" s="729"/>
      <c r="N6181" s="147">
        <v>0.19628999999999999</v>
      </c>
      <c r="O6181" s="147">
        <v>0</v>
      </c>
      <c r="P6181" s="147">
        <v>1.0800000000000001E-2</v>
      </c>
      <c r="Q6181" s="147">
        <v>0.18548999999999999</v>
      </c>
      <c r="R6181" s="147">
        <v>1717.5</v>
      </c>
    </row>
    <row r="6182" spans="2:18" ht="15.75" hidden="1" thickBot="1" x14ac:dyDescent="0.3">
      <c r="B6182" s="724" t="s">
        <v>875</v>
      </c>
      <c r="C6182" s="722" t="s">
        <v>73</v>
      </c>
      <c r="D6182" t="s">
        <v>74</v>
      </c>
      <c r="E6182" s="148">
        <v>9.8330000000000001E-2</v>
      </c>
      <c r="F6182" s="728"/>
      <c r="G6182" s="148">
        <v>9.8330000000000001E-2</v>
      </c>
      <c r="H6182" s="148">
        <v>0</v>
      </c>
      <c r="I6182" s="728"/>
      <c r="J6182" s="148">
        <v>9.8330000000000001E-2</v>
      </c>
      <c r="K6182" s="148">
        <v>0</v>
      </c>
      <c r="L6182" s="148">
        <v>0.48300999999999999</v>
      </c>
      <c r="M6182" s="728"/>
      <c r="N6182" s="148">
        <v>0.48300999999999999</v>
      </c>
      <c r="O6182" s="148">
        <v>0</v>
      </c>
      <c r="P6182" s="148">
        <v>4.7989999999999998E-2</v>
      </c>
      <c r="Q6182" s="148">
        <v>0.43502000000000002</v>
      </c>
      <c r="R6182" s="148">
        <v>906.48051677432795</v>
      </c>
    </row>
    <row r="6183" spans="2:18" ht="15.75" hidden="1" thickBot="1" x14ac:dyDescent="0.3">
      <c r="B6183" s="724" t="s">
        <v>875</v>
      </c>
      <c r="C6183" s="722" t="s">
        <v>113</v>
      </c>
      <c r="D6183" t="s">
        <v>114</v>
      </c>
      <c r="E6183" s="729"/>
      <c r="F6183" s="729"/>
      <c r="G6183" s="729"/>
      <c r="H6183" s="729"/>
      <c r="I6183" s="729"/>
      <c r="J6183" s="729"/>
      <c r="K6183" s="729"/>
      <c r="L6183" s="147">
        <v>4.6309999999999997E-2</v>
      </c>
      <c r="M6183" s="729"/>
      <c r="N6183" s="147">
        <v>4.6309999999999997E-2</v>
      </c>
      <c r="O6183" s="147">
        <v>0</v>
      </c>
      <c r="P6183" s="147">
        <v>1.5810000000000001E-2</v>
      </c>
      <c r="Q6183" s="147">
        <v>3.0499999999999999E-2</v>
      </c>
      <c r="R6183" s="147">
        <v>192.91587602783048</v>
      </c>
    </row>
    <row r="6184" spans="2:18" ht="15.75" hidden="1" thickBot="1" x14ac:dyDescent="0.3">
      <c r="B6184" s="724" t="s">
        <v>875</v>
      </c>
      <c r="C6184" s="722" t="s">
        <v>145</v>
      </c>
      <c r="D6184" t="s">
        <v>146</v>
      </c>
      <c r="E6184" s="148">
        <v>6.0000000000000001E-3</v>
      </c>
      <c r="F6184" s="728"/>
      <c r="G6184" s="148">
        <v>6.0000000000000001E-3</v>
      </c>
      <c r="H6184" s="148">
        <v>0</v>
      </c>
      <c r="I6184" s="728"/>
      <c r="J6184" s="148">
        <v>6.0000000000000001E-3</v>
      </c>
      <c r="K6184" s="148">
        <v>0</v>
      </c>
      <c r="L6184" s="148">
        <v>0.40529999999999999</v>
      </c>
      <c r="M6184" s="728"/>
      <c r="N6184" s="148">
        <v>0.40529999999999999</v>
      </c>
      <c r="O6184" s="148">
        <v>0</v>
      </c>
      <c r="P6184" s="148">
        <v>0.19070000000000001</v>
      </c>
      <c r="Q6184" s="148">
        <v>0.21460000000000001</v>
      </c>
      <c r="R6184" s="148">
        <v>112.5327739905611</v>
      </c>
    </row>
    <row r="6185" spans="2:18" ht="15.75" hidden="1" thickBot="1" x14ac:dyDescent="0.3">
      <c r="B6185" s="724" t="s">
        <v>875</v>
      </c>
      <c r="C6185" s="722" t="s">
        <v>147</v>
      </c>
      <c r="D6185" t="s">
        <v>148</v>
      </c>
      <c r="E6185" s="729"/>
      <c r="F6185" s="729"/>
      <c r="G6185" s="729"/>
      <c r="H6185" s="729"/>
      <c r="I6185" s="729"/>
      <c r="J6185" s="729"/>
      <c r="K6185" s="729"/>
      <c r="L6185" s="147">
        <v>8.3000000000000004E-2</v>
      </c>
      <c r="M6185" s="729"/>
      <c r="N6185" s="147">
        <v>8.3000000000000004E-2</v>
      </c>
      <c r="O6185" s="147">
        <v>0</v>
      </c>
      <c r="P6185" s="147">
        <v>5.7000000000000002E-2</v>
      </c>
      <c r="Q6185" s="147">
        <v>2.5999999999999999E-2</v>
      </c>
      <c r="R6185" s="147">
        <v>45.614035087719301</v>
      </c>
    </row>
    <row r="6186" spans="2:18" ht="15.75" hidden="1" thickBot="1" x14ac:dyDescent="0.3">
      <c r="B6186" s="724" t="s">
        <v>875</v>
      </c>
      <c r="C6186" s="722" t="s">
        <v>643</v>
      </c>
      <c r="D6186" t="s">
        <v>644</v>
      </c>
      <c r="E6186" s="728"/>
      <c r="F6186" s="728"/>
      <c r="G6186" s="728"/>
      <c r="H6186" s="728"/>
      <c r="I6186" s="728"/>
      <c r="J6186" s="728"/>
      <c r="K6186" s="728"/>
      <c r="L6186" s="148">
        <v>0</v>
      </c>
      <c r="M6186" s="728"/>
      <c r="N6186" s="148">
        <v>0</v>
      </c>
      <c r="O6186" s="148">
        <v>0</v>
      </c>
      <c r="P6186" s="728"/>
      <c r="Q6186" s="148">
        <v>0</v>
      </c>
      <c r="R6186" s="148">
        <v>0</v>
      </c>
    </row>
    <row r="6187" spans="2:18" ht="15.75" hidden="1" thickBot="1" x14ac:dyDescent="0.3">
      <c r="B6187" s="724" t="s">
        <v>875</v>
      </c>
      <c r="C6187" s="722" t="s">
        <v>149</v>
      </c>
      <c r="D6187" t="s">
        <v>150</v>
      </c>
      <c r="E6187" s="729"/>
      <c r="F6187" s="147">
        <v>6.4</v>
      </c>
      <c r="G6187" s="147">
        <v>-6.4</v>
      </c>
      <c r="H6187" s="147">
        <v>-100</v>
      </c>
      <c r="I6187" s="729"/>
      <c r="J6187" s="729"/>
      <c r="K6187" s="729"/>
      <c r="L6187" s="147">
        <v>37.89141</v>
      </c>
      <c r="M6187" s="147">
        <v>50.3</v>
      </c>
      <c r="N6187" s="147">
        <v>-12.40859</v>
      </c>
      <c r="O6187" s="147">
        <v>-24.669165009940357</v>
      </c>
      <c r="P6187" s="147">
        <v>13.89141</v>
      </c>
      <c r="Q6187" s="147">
        <v>24</v>
      </c>
      <c r="R6187" s="147">
        <v>172.76863903664207</v>
      </c>
    </row>
    <row r="6188" spans="2:18" ht="15.75" hidden="1" thickBot="1" x14ac:dyDescent="0.3">
      <c r="B6188" s="724" t="s">
        <v>875</v>
      </c>
      <c r="C6188" s="722" t="s">
        <v>481</v>
      </c>
      <c r="D6188" t="s">
        <v>482</v>
      </c>
      <c r="E6188" s="728"/>
      <c r="F6188" s="728"/>
      <c r="G6188" s="728"/>
      <c r="H6188" s="728"/>
      <c r="I6188" s="728"/>
      <c r="J6188" s="728"/>
      <c r="K6188" s="728"/>
      <c r="L6188" s="148">
        <v>0.11985</v>
      </c>
      <c r="M6188" s="728"/>
      <c r="N6188" s="148">
        <v>0.11985</v>
      </c>
      <c r="O6188" s="148">
        <v>0</v>
      </c>
      <c r="P6188" s="148">
        <v>7.9899999999999999E-2</v>
      </c>
      <c r="Q6188" s="148">
        <v>3.9949999999999999E-2</v>
      </c>
      <c r="R6188" s="148">
        <v>50</v>
      </c>
    </row>
    <row r="6189" spans="2:18" ht="15.75" hidden="1" thickBot="1" x14ac:dyDescent="0.3">
      <c r="B6189" s="724" t="s">
        <v>875</v>
      </c>
      <c r="C6189" s="722" t="s">
        <v>75</v>
      </c>
      <c r="D6189" t="s">
        <v>76</v>
      </c>
      <c r="E6189" s="147">
        <v>0.72897999999999996</v>
      </c>
      <c r="F6189" s="147">
        <v>0.3</v>
      </c>
      <c r="G6189" s="147">
        <v>0.42897999999999997</v>
      </c>
      <c r="H6189" s="147">
        <v>142.99333333333334</v>
      </c>
      <c r="I6189" s="729"/>
      <c r="J6189" s="147">
        <v>0.72897999999999996</v>
      </c>
      <c r="K6189" s="147">
        <v>0</v>
      </c>
      <c r="L6189" s="147">
        <v>13.846780000000001</v>
      </c>
      <c r="M6189" s="147">
        <v>3.6</v>
      </c>
      <c r="N6189" s="147">
        <v>10.246779999999999</v>
      </c>
      <c r="O6189" s="147">
        <v>284.63277777777779</v>
      </c>
      <c r="P6189" s="147">
        <v>11.37688</v>
      </c>
      <c r="Q6189" s="147">
        <v>2.4699</v>
      </c>
      <c r="R6189" s="147">
        <v>21.709818509116737</v>
      </c>
    </row>
    <row r="6190" spans="2:18" ht="15.75" hidden="1" thickBot="1" x14ac:dyDescent="0.3">
      <c r="B6190" s="724" t="s">
        <v>875</v>
      </c>
      <c r="C6190" s="722" t="s">
        <v>121</v>
      </c>
      <c r="D6190" t="s">
        <v>122</v>
      </c>
      <c r="E6190" s="148">
        <v>6.0490000000000002E-2</v>
      </c>
      <c r="F6190" s="728"/>
      <c r="G6190" s="148">
        <v>6.0490000000000002E-2</v>
      </c>
      <c r="H6190" s="148">
        <v>0</v>
      </c>
      <c r="I6190" s="728"/>
      <c r="J6190" s="148">
        <v>6.0490000000000002E-2</v>
      </c>
      <c r="K6190" s="148">
        <v>0</v>
      </c>
      <c r="L6190" s="148">
        <v>0.89922999999999997</v>
      </c>
      <c r="M6190" s="728"/>
      <c r="N6190" s="148">
        <v>0.89922999999999997</v>
      </c>
      <c r="O6190" s="148">
        <v>0</v>
      </c>
      <c r="P6190" s="148">
        <v>0.61426999999999998</v>
      </c>
      <c r="Q6190" s="148">
        <v>0.28495999999999999</v>
      </c>
      <c r="R6190" s="148">
        <v>46.390023930844741</v>
      </c>
    </row>
    <row r="6191" spans="2:18" ht="15.75" hidden="1" thickBot="1" x14ac:dyDescent="0.3">
      <c r="B6191" s="724" t="s">
        <v>875</v>
      </c>
      <c r="C6191" s="722" t="s">
        <v>77</v>
      </c>
      <c r="D6191" t="s">
        <v>78</v>
      </c>
      <c r="E6191" s="147">
        <v>0.59499999999999997</v>
      </c>
      <c r="F6191" s="147">
        <v>0.5</v>
      </c>
      <c r="G6191" s="147">
        <v>9.5000000000000001E-2</v>
      </c>
      <c r="H6191" s="147">
        <v>19</v>
      </c>
      <c r="I6191" s="729"/>
      <c r="J6191" s="147">
        <v>0.59499999999999997</v>
      </c>
      <c r="K6191" s="147">
        <v>0</v>
      </c>
      <c r="L6191" s="147">
        <v>10.86004</v>
      </c>
      <c r="M6191" s="147">
        <v>9</v>
      </c>
      <c r="N6191" s="147">
        <v>1.8600399999999999</v>
      </c>
      <c r="O6191" s="147">
        <v>20.667111111111112</v>
      </c>
      <c r="P6191" s="147">
        <v>8.2764799999999994</v>
      </c>
      <c r="Q6191" s="147">
        <v>2.5835599999999999</v>
      </c>
      <c r="R6191" s="147">
        <v>31.215685895453138</v>
      </c>
    </row>
    <row r="6192" spans="2:18" ht="15.75" hidden="1" thickBot="1" x14ac:dyDescent="0.3">
      <c r="B6192" s="724" t="s">
        <v>875</v>
      </c>
      <c r="C6192" s="722" t="s">
        <v>79</v>
      </c>
      <c r="D6192" t="s">
        <v>80</v>
      </c>
      <c r="E6192" s="148">
        <v>0.42296</v>
      </c>
      <c r="F6192" s="728"/>
      <c r="G6192" s="148">
        <v>0.42296</v>
      </c>
      <c r="H6192" s="148">
        <v>0</v>
      </c>
      <c r="I6192" s="728"/>
      <c r="J6192" s="148">
        <v>0.42296</v>
      </c>
      <c r="K6192" s="148">
        <v>0</v>
      </c>
      <c r="L6192" s="148">
        <v>6.2631800000000002</v>
      </c>
      <c r="M6192" s="148">
        <v>5</v>
      </c>
      <c r="N6192" s="148">
        <v>1.26318</v>
      </c>
      <c r="O6192" s="148">
        <v>25.2636</v>
      </c>
      <c r="P6192" s="148">
        <v>4.0923299999999996</v>
      </c>
      <c r="Q6192" s="148">
        <v>2.1708500000000002</v>
      </c>
      <c r="R6192" s="148">
        <v>53.046797301292905</v>
      </c>
    </row>
    <row r="6193" spans="2:18" ht="15.75" hidden="1" thickBot="1" x14ac:dyDescent="0.3">
      <c r="B6193" s="724" t="s">
        <v>875</v>
      </c>
      <c r="C6193" s="722" t="s">
        <v>81</v>
      </c>
      <c r="D6193" t="s">
        <v>82</v>
      </c>
      <c r="E6193" s="147">
        <v>2.3384</v>
      </c>
      <c r="F6193" s="147">
        <v>0.5</v>
      </c>
      <c r="G6193" s="147">
        <v>1.8384</v>
      </c>
      <c r="H6193" s="147">
        <v>367.68</v>
      </c>
      <c r="I6193" s="729"/>
      <c r="J6193" s="147">
        <v>2.3384</v>
      </c>
      <c r="K6193" s="147">
        <v>0</v>
      </c>
      <c r="L6193" s="147">
        <v>4.8255100000000004</v>
      </c>
      <c r="M6193" s="147">
        <v>1</v>
      </c>
      <c r="N6193" s="147">
        <v>3.82551</v>
      </c>
      <c r="O6193" s="147">
        <v>382.55099999999999</v>
      </c>
      <c r="P6193" s="147">
        <v>0.85141</v>
      </c>
      <c r="Q6193" s="147">
        <v>3.9741</v>
      </c>
      <c r="R6193" s="147">
        <v>466.76689256644858</v>
      </c>
    </row>
    <row r="6194" spans="2:18" ht="15.75" hidden="1" thickBot="1" x14ac:dyDescent="0.3">
      <c r="B6194" s="724" t="s">
        <v>875</v>
      </c>
      <c r="C6194" s="722" t="s">
        <v>123</v>
      </c>
      <c r="D6194" t="s">
        <v>124</v>
      </c>
      <c r="E6194" s="728"/>
      <c r="F6194" s="728"/>
      <c r="G6194" s="728"/>
      <c r="H6194" s="728"/>
      <c r="I6194" s="728"/>
      <c r="J6194" s="728"/>
      <c r="K6194" s="728"/>
      <c r="L6194" s="148">
        <v>0.85387000000000002</v>
      </c>
      <c r="M6194" s="728"/>
      <c r="N6194" s="148">
        <v>0.85387000000000002</v>
      </c>
      <c r="O6194" s="148">
        <v>0</v>
      </c>
      <c r="P6194" s="148">
        <v>0.68886999999999998</v>
      </c>
      <c r="Q6194" s="148">
        <v>0.16500000000000001</v>
      </c>
      <c r="R6194" s="148">
        <v>23.952269659006781</v>
      </c>
    </row>
    <row r="6195" spans="2:18" ht="15.75" hidden="1" thickBot="1" x14ac:dyDescent="0.3">
      <c r="B6195" s="724" t="s">
        <v>875</v>
      </c>
      <c r="C6195" s="722" t="s">
        <v>125</v>
      </c>
      <c r="D6195" t="s">
        <v>126</v>
      </c>
      <c r="E6195" s="729"/>
      <c r="F6195" s="729"/>
      <c r="G6195" s="729"/>
      <c r="H6195" s="729"/>
      <c r="I6195" s="729"/>
      <c r="J6195" s="729"/>
      <c r="K6195" s="729"/>
      <c r="L6195" s="147">
        <v>0.18396999999999999</v>
      </c>
      <c r="M6195" s="729"/>
      <c r="N6195" s="147">
        <v>0.18396999999999999</v>
      </c>
      <c r="O6195" s="147">
        <v>0</v>
      </c>
      <c r="P6195" s="147">
        <v>0.18396999999999999</v>
      </c>
      <c r="Q6195" s="147">
        <v>0</v>
      </c>
      <c r="R6195" s="147">
        <v>0</v>
      </c>
    </row>
    <row r="6196" spans="2:18" ht="15.75" hidden="1" thickBot="1" x14ac:dyDescent="0.3">
      <c r="B6196" s="724" t="s">
        <v>875</v>
      </c>
      <c r="C6196" s="722" t="s">
        <v>83</v>
      </c>
      <c r="D6196" t="s">
        <v>84</v>
      </c>
      <c r="E6196" s="728"/>
      <c r="F6196" s="148">
        <v>0.25</v>
      </c>
      <c r="G6196" s="148">
        <v>-0.25</v>
      </c>
      <c r="H6196" s="148">
        <v>-100</v>
      </c>
      <c r="I6196" s="728"/>
      <c r="J6196" s="728"/>
      <c r="K6196" s="728"/>
      <c r="L6196" s="728"/>
      <c r="M6196" s="148">
        <v>0.5</v>
      </c>
      <c r="N6196" s="148">
        <v>-0.5</v>
      </c>
      <c r="O6196" s="148">
        <v>-100</v>
      </c>
      <c r="P6196" s="728"/>
      <c r="Q6196" s="728"/>
      <c r="R6196" s="728"/>
    </row>
    <row r="6197" spans="2:18" ht="15.75" hidden="1" thickBot="1" x14ac:dyDescent="0.3">
      <c r="B6197" s="724" t="s">
        <v>875</v>
      </c>
      <c r="C6197" s="149" t="s">
        <v>85</v>
      </c>
      <c r="D6197" t="s">
        <v>86</v>
      </c>
      <c r="E6197" s="147">
        <v>4.3561500000000004</v>
      </c>
      <c r="F6197" s="147">
        <v>10.866669999999999</v>
      </c>
      <c r="G6197" s="147">
        <v>-6.5105199999999996</v>
      </c>
      <c r="H6197" s="147">
        <v>-59.912742358054494</v>
      </c>
      <c r="I6197" s="729"/>
      <c r="J6197" s="147">
        <v>4.3561500000000004</v>
      </c>
      <c r="K6197" s="147">
        <v>0</v>
      </c>
      <c r="L6197" s="147">
        <v>91.950050000000005</v>
      </c>
      <c r="M6197" s="147">
        <v>104.40004</v>
      </c>
      <c r="N6197" s="147">
        <v>-12.44999</v>
      </c>
      <c r="O6197" s="147">
        <v>-11.925273208707583</v>
      </c>
      <c r="P6197" s="147">
        <v>51.645119999999999</v>
      </c>
      <c r="Q6197" s="147">
        <v>40.304929999999999</v>
      </c>
      <c r="R6197" s="147">
        <v>78.042088003668113</v>
      </c>
    </row>
    <row r="6198" spans="2:18" ht="15.75" hidden="1" thickBot="1" x14ac:dyDescent="0.3">
      <c r="B6198" s="724" t="s">
        <v>875</v>
      </c>
      <c r="C6198" s="144" t="s">
        <v>87</v>
      </c>
      <c r="D6198" t="s">
        <v>87</v>
      </c>
      <c r="E6198" s="148">
        <v>4.3561500000000004</v>
      </c>
      <c r="F6198" s="148">
        <v>10.866669999999999</v>
      </c>
      <c r="G6198" s="148">
        <v>-6.5105199999999996</v>
      </c>
      <c r="H6198" s="148">
        <v>-59.912742358054494</v>
      </c>
      <c r="I6198" s="728"/>
      <c r="J6198" s="148">
        <v>4.3561500000000004</v>
      </c>
      <c r="K6198" s="148">
        <v>0</v>
      </c>
      <c r="L6198" s="148">
        <v>91.950050000000005</v>
      </c>
      <c r="M6198" s="148">
        <v>104.40004</v>
      </c>
      <c r="N6198" s="148">
        <v>-12.44999</v>
      </c>
      <c r="O6198" s="148">
        <v>-11.925273208707583</v>
      </c>
      <c r="P6198" s="148">
        <v>51.645119999999999</v>
      </c>
      <c r="Q6198" s="148">
        <v>40.304929999999999</v>
      </c>
      <c r="R6198" s="148">
        <v>78.042088003668113</v>
      </c>
    </row>
    <row r="6199" spans="2:18" ht="15.75" hidden="1" thickBot="1" x14ac:dyDescent="0.3">
      <c r="B6199" s="724" t="s">
        <v>876</v>
      </c>
      <c r="C6199" s="722" t="s">
        <v>137</v>
      </c>
      <c r="D6199" t="s">
        <v>138</v>
      </c>
      <c r="E6199" s="147">
        <v>1.9290000000000002E-2</v>
      </c>
      <c r="F6199" s="147">
        <v>8.337E-2</v>
      </c>
      <c r="G6199" s="147">
        <v>-6.4079999999999998E-2</v>
      </c>
      <c r="H6199" s="147">
        <v>-76.862180640518176</v>
      </c>
      <c r="I6199" s="729"/>
      <c r="J6199" s="147">
        <v>1.9290000000000002E-2</v>
      </c>
      <c r="K6199" s="147">
        <v>0</v>
      </c>
      <c r="L6199" s="147">
        <v>1.6727399999999999</v>
      </c>
      <c r="M6199" s="147">
        <v>1</v>
      </c>
      <c r="N6199" s="147">
        <v>0.67274</v>
      </c>
      <c r="O6199" s="147">
        <v>67.274000000000001</v>
      </c>
      <c r="P6199" s="147">
        <v>0.49326999999999999</v>
      </c>
      <c r="Q6199" s="147">
        <v>1.17947</v>
      </c>
      <c r="R6199" s="147">
        <v>239.11245362580331</v>
      </c>
    </row>
    <row r="6200" spans="2:18" ht="15.75" hidden="1" thickBot="1" x14ac:dyDescent="0.3">
      <c r="B6200" s="724" t="s">
        <v>876</v>
      </c>
      <c r="C6200" s="722" t="s">
        <v>139</v>
      </c>
      <c r="D6200" t="s">
        <v>140</v>
      </c>
      <c r="E6200" s="148">
        <v>0.26500000000000001</v>
      </c>
      <c r="F6200" s="148">
        <v>0.11587</v>
      </c>
      <c r="G6200" s="148">
        <v>0.14913000000000001</v>
      </c>
      <c r="H6200" s="148">
        <v>128.70458272201606</v>
      </c>
      <c r="I6200" s="728"/>
      <c r="J6200" s="148">
        <v>0.26500000000000001</v>
      </c>
      <c r="K6200" s="148">
        <v>0</v>
      </c>
      <c r="L6200" s="148">
        <v>0.26500000000000001</v>
      </c>
      <c r="M6200" s="148">
        <v>1.39</v>
      </c>
      <c r="N6200" s="148">
        <v>-1.125</v>
      </c>
      <c r="O6200" s="148">
        <v>-80.935251798561154</v>
      </c>
      <c r="P6200" s="148">
        <v>0</v>
      </c>
      <c r="Q6200" s="148">
        <v>0.26500000000000001</v>
      </c>
      <c r="R6200" s="148">
        <v>0</v>
      </c>
    </row>
    <row r="6201" spans="2:18" ht="15.75" hidden="1" thickBot="1" x14ac:dyDescent="0.3">
      <c r="B6201" s="724" t="s">
        <v>876</v>
      </c>
      <c r="C6201" s="722" t="s">
        <v>101</v>
      </c>
      <c r="D6201" t="s">
        <v>102</v>
      </c>
      <c r="E6201" s="729"/>
      <c r="F6201" s="729"/>
      <c r="G6201" s="729"/>
      <c r="H6201" s="729"/>
      <c r="I6201" s="729"/>
      <c r="J6201" s="729"/>
      <c r="K6201" s="729"/>
      <c r="L6201" s="147">
        <v>5.8099999999999999E-2</v>
      </c>
      <c r="M6201" s="729"/>
      <c r="N6201" s="147">
        <v>5.8099999999999999E-2</v>
      </c>
      <c r="O6201" s="147">
        <v>0</v>
      </c>
      <c r="P6201" s="147">
        <v>5.8099999999999999E-2</v>
      </c>
      <c r="Q6201" s="147">
        <v>0</v>
      </c>
      <c r="R6201" s="147">
        <v>0</v>
      </c>
    </row>
    <row r="6202" spans="2:18" ht="15.75" hidden="1" thickBot="1" x14ac:dyDescent="0.3">
      <c r="B6202" s="724" t="s">
        <v>876</v>
      </c>
      <c r="C6202" s="722" t="s">
        <v>464</v>
      </c>
      <c r="D6202" t="s">
        <v>465</v>
      </c>
      <c r="E6202" s="728"/>
      <c r="F6202" s="728"/>
      <c r="G6202" s="728"/>
      <c r="H6202" s="728"/>
      <c r="I6202" s="728"/>
      <c r="J6202" s="728"/>
      <c r="K6202" s="728"/>
      <c r="L6202" s="148">
        <v>0.50734999999999997</v>
      </c>
      <c r="M6202" s="728"/>
      <c r="N6202" s="148">
        <v>0.50734999999999997</v>
      </c>
      <c r="O6202" s="148">
        <v>0</v>
      </c>
      <c r="P6202" s="728"/>
      <c r="Q6202" s="148">
        <v>0.50734999999999997</v>
      </c>
      <c r="R6202" s="148">
        <v>0</v>
      </c>
    </row>
    <row r="6203" spans="2:18" ht="15.75" hidden="1" thickBot="1" x14ac:dyDescent="0.3">
      <c r="B6203" s="724" t="s">
        <v>876</v>
      </c>
      <c r="C6203" s="722" t="s">
        <v>103</v>
      </c>
      <c r="D6203" t="s">
        <v>104</v>
      </c>
      <c r="E6203" s="729"/>
      <c r="F6203" s="729"/>
      <c r="G6203" s="729"/>
      <c r="H6203" s="729"/>
      <c r="I6203" s="729"/>
      <c r="J6203" s="729"/>
      <c r="K6203" s="729"/>
      <c r="L6203" s="147">
        <v>0.10979999999999999</v>
      </c>
      <c r="M6203" s="729"/>
      <c r="N6203" s="147">
        <v>0.10979999999999999</v>
      </c>
      <c r="O6203" s="147">
        <v>0</v>
      </c>
      <c r="P6203" s="729"/>
      <c r="Q6203" s="147">
        <v>0.10979999999999999</v>
      </c>
      <c r="R6203" s="147">
        <v>0</v>
      </c>
    </row>
    <row r="6204" spans="2:18" ht="15.75" hidden="1" thickBot="1" x14ac:dyDescent="0.3">
      <c r="B6204" s="724" t="s">
        <v>876</v>
      </c>
      <c r="C6204" s="722" t="s">
        <v>71</v>
      </c>
      <c r="D6204" t="s">
        <v>72</v>
      </c>
      <c r="E6204" s="728"/>
      <c r="F6204" s="728"/>
      <c r="G6204" s="728"/>
      <c r="H6204" s="728"/>
      <c r="I6204" s="728"/>
      <c r="J6204" s="728"/>
      <c r="K6204" s="728"/>
      <c r="L6204" s="148">
        <v>0</v>
      </c>
      <c r="M6204" s="728"/>
      <c r="N6204" s="148">
        <v>0</v>
      </c>
      <c r="O6204" s="148">
        <v>0</v>
      </c>
      <c r="P6204" s="728"/>
      <c r="Q6204" s="148">
        <v>0</v>
      </c>
      <c r="R6204" s="148">
        <v>0</v>
      </c>
    </row>
    <row r="6205" spans="2:18" ht="15.75" hidden="1" thickBot="1" x14ac:dyDescent="0.3">
      <c r="B6205" s="724" t="s">
        <v>876</v>
      </c>
      <c r="C6205" s="722" t="s">
        <v>109</v>
      </c>
      <c r="D6205" t="s">
        <v>110</v>
      </c>
      <c r="E6205" s="729"/>
      <c r="F6205" s="147">
        <v>7.0000000000000007E-2</v>
      </c>
      <c r="G6205" s="147">
        <v>-7.0000000000000007E-2</v>
      </c>
      <c r="H6205" s="147">
        <v>-100</v>
      </c>
      <c r="I6205" s="729"/>
      <c r="J6205" s="729"/>
      <c r="K6205" s="729"/>
      <c r="L6205" s="147">
        <v>0.84048</v>
      </c>
      <c r="M6205" s="147">
        <v>0.84</v>
      </c>
      <c r="N6205" s="147">
        <v>4.8000000000000001E-4</v>
      </c>
      <c r="O6205" s="147">
        <v>5.7142857142857141E-2</v>
      </c>
      <c r="P6205" s="147">
        <v>0.35161999999999999</v>
      </c>
      <c r="Q6205" s="147">
        <v>0.48886000000000002</v>
      </c>
      <c r="R6205" s="147">
        <v>139.0307718559809</v>
      </c>
    </row>
    <row r="6206" spans="2:18" ht="15.75" hidden="1" thickBot="1" x14ac:dyDescent="0.3">
      <c r="B6206" s="724" t="s">
        <v>876</v>
      </c>
      <c r="C6206" s="722" t="s">
        <v>73</v>
      </c>
      <c r="D6206" t="s">
        <v>74</v>
      </c>
      <c r="E6206" s="728"/>
      <c r="F6206" s="148">
        <v>1.8749999999999999E-2</v>
      </c>
      <c r="G6206" s="148">
        <v>-1.8749999999999999E-2</v>
      </c>
      <c r="H6206" s="148">
        <v>-100</v>
      </c>
      <c r="I6206" s="728"/>
      <c r="J6206" s="728"/>
      <c r="K6206" s="728"/>
      <c r="L6206" s="728"/>
      <c r="M6206" s="148">
        <v>0.22500000000000001</v>
      </c>
      <c r="N6206" s="148">
        <v>-0.22500000000000001</v>
      </c>
      <c r="O6206" s="148">
        <v>-100</v>
      </c>
      <c r="P6206" s="728"/>
      <c r="Q6206" s="728"/>
      <c r="R6206" s="728"/>
    </row>
    <row r="6207" spans="2:18" ht="15.75" hidden="1" thickBot="1" x14ac:dyDescent="0.3">
      <c r="B6207" s="724" t="s">
        <v>876</v>
      </c>
      <c r="C6207" s="722" t="s">
        <v>141</v>
      </c>
      <c r="D6207" t="s">
        <v>142</v>
      </c>
      <c r="E6207" s="729"/>
      <c r="F6207" s="729"/>
      <c r="G6207" s="729"/>
      <c r="H6207" s="729"/>
      <c r="I6207" s="729"/>
      <c r="J6207" s="729"/>
      <c r="K6207" s="729"/>
      <c r="L6207" s="147">
        <v>1.67E-2</v>
      </c>
      <c r="M6207" s="147">
        <v>0</v>
      </c>
      <c r="N6207" s="147">
        <v>1.67E-2</v>
      </c>
      <c r="O6207" s="147">
        <v>0</v>
      </c>
      <c r="P6207" s="147">
        <v>1.67E-2</v>
      </c>
      <c r="Q6207" s="147">
        <v>0</v>
      </c>
      <c r="R6207" s="147">
        <v>0</v>
      </c>
    </row>
    <row r="6208" spans="2:18" ht="15.75" hidden="1" thickBot="1" x14ac:dyDescent="0.3">
      <c r="B6208" s="724" t="s">
        <v>876</v>
      </c>
      <c r="C6208" s="722" t="s">
        <v>113</v>
      </c>
      <c r="D6208" t="s">
        <v>114</v>
      </c>
      <c r="E6208" s="728"/>
      <c r="F6208" s="728"/>
      <c r="G6208" s="728"/>
      <c r="H6208" s="728"/>
      <c r="I6208" s="728"/>
      <c r="J6208" s="728"/>
      <c r="K6208" s="728"/>
      <c r="L6208" s="148">
        <v>4.99E-2</v>
      </c>
      <c r="M6208" s="148">
        <v>1.7000000000000001E-2</v>
      </c>
      <c r="N6208" s="148">
        <v>3.2899999999999999E-2</v>
      </c>
      <c r="O6208" s="148">
        <v>193.52941176470588</v>
      </c>
      <c r="P6208" s="728"/>
      <c r="Q6208" s="148">
        <v>4.99E-2</v>
      </c>
      <c r="R6208" s="148">
        <v>0</v>
      </c>
    </row>
    <row r="6209" spans="2:18" ht="15.75" hidden="1" thickBot="1" x14ac:dyDescent="0.3">
      <c r="B6209" s="724" t="s">
        <v>876</v>
      </c>
      <c r="C6209" s="722" t="s">
        <v>633</v>
      </c>
      <c r="D6209" t="s">
        <v>634</v>
      </c>
      <c r="E6209" s="729"/>
      <c r="F6209" s="729"/>
      <c r="G6209" s="729"/>
      <c r="H6209" s="729"/>
      <c r="I6209" s="729"/>
      <c r="J6209" s="729"/>
      <c r="K6209" s="729"/>
      <c r="L6209" s="147">
        <v>2.5000000000000001E-2</v>
      </c>
      <c r="M6209" s="729"/>
      <c r="N6209" s="147">
        <v>2.5000000000000001E-2</v>
      </c>
      <c r="O6209" s="147">
        <v>0</v>
      </c>
      <c r="P6209" s="147">
        <v>2.5000000000000001E-2</v>
      </c>
      <c r="Q6209" s="147">
        <v>0</v>
      </c>
      <c r="R6209" s="147">
        <v>0</v>
      </c>
    </row>
    <row r="6210" spans="2:18" ht="15.75" hidden="1" thickBot="1" x14ac:dyDescent="0.3">
      <c r="B6210" s="724" t="s">
        <v>876</v>
      </c>
      <c r="C6210" s="722" t="s">
        <v>145</v>
      </c>
      <c r="D6210" t="s">
        <v>146</v>
      </c>
      <c r="E6210" s="148">
        <v>5.0000000000000001E-3</v>
      </c>
      <c r="F6210" s="148">
        <v>1.7500000000000002E-2</v>
      </c>
      <c r="G6210" s="148">
        <v>-1.2500000000000001E-2</v>
      </c>
      <c r="H6210" s="148">
        <v>-71.428571428571431</v>
      </c>
      <c r="I6210" s="728"/>
      <c r="J6210" s="148">
        <v>5.0000000000000001E-3</v>
      </c>
      <c r="K6210" s="148">
        <v>0</v>
      </c>
      <c r="L6210" s="148">
        <v>0.26329999999999998</v>
      </c>
      <c r="M6210" s="148">
        <v>0.21</v>
      </c>
      <c r="N6210" s="148">
        <v>5.33E-2</v>
      </c>
      <c r="O6210" s="148">
        <v>25.38095238095238</v>
      </c>
      <c r="P6210" s="148">
        <v>0.193</v>
      </c>
      <c r="Q6210" s="148">
        <v>7.0300000000000001E-2</v>
      </c>
      <c r="R6210" s="148">
        <v>36.424870466321245</v>
      </c>
    </row>
    <row r="6211" spans="2:18" ht="15.75" hidden="1" thickBot="1" x14ac:dyDescent="0.3">
      <c r="B6211" s="724" t="s">
        <v>876</v>
      </c>
      <c r="C6211" s="722" t="s">
        <v>147</v>
      </c>
      <c r="D6211" t="s">
        <v>148</v>
      </c>
      <c r="E6211" s="729"/>
      <c r="F6211" s="729"/>
      <c r="G6211" s="729"/>
      <c r="H6211" s="729"/>
      <c r="I6211" s="729"/>
      <c r="J6211" s="729"/>
      <c r="K6211" s="729"/>
      <c r="L6211" s="147">
        <v>1.2999999999999999E-2</v>
      </c>
      <c r="M6211" s="729"/>
      <c r="N6211" s="147">
        <v>1.2999999999999999E-2</v>
      </c>
      <c r="O6211" s="147">
        <v>0</v>
      </c>
      <c r="P6211" s="147">
        <v>1.2999999999999999E-2</v>
      </c>
      <c r="Q6211" s="147">
        <v>0</v>
      </c>
      <c r="R6211" s="147">
        <v>0</v>
      </c>
    </row>
    <row r="6212" spans="2:18" ht="15.75" hidden="1" thickBot="1" x14ac:dyDescent="0.3">
      <c r="B6212" s="724" t="s">
        <v>876</v>
      </c>
      <c r="C6212" s="722" t="s">
        <v>149</v>
      </c>
      <c r="D6212" t="s">
        <v>150</v>
      </c>
      <c r="E6212" s="728"/>
      <c r="F6212" s="148">
        <v>0.42712</v>
      </c>
      <c r="G6212" s="148">
        <v>-0.42712</v>
      </c>
      <c r="H6212" s="148">
        <v>-100</v>
      </c>
      <c r="I6212" s="728"/>
      <c r="J6212" s="728"/>
      <c r="K6212" s="728"/>
      <c r="L6212" s="148">
        <v>1.5249999999999999</v>
      </c>
      <c r="M6212" s="148">
        <v>5.125</v>
      </c>
      <c r="N6212" s="148">
        <v>-3.6</v>
      </c>
      <c r="O6212" s="148">
        <v>-70.243902439024396</v>
      </c>
      <c r="P6212" s="148">
        <v>1.5249999999999999</v>
      </c>
      <c r="Q6212" s="148">
        <v>0</v>
      </c>
      <c r="R6212" s="148">
        <v>0</v>
      </c>
    </row>
    <row r="6213" spans="2:18" ht="15.75" hidden="1" thickBot="1" x14ac:dyDescent="0.3">
      <c r="B6213" s="724" t="s">
        <v>876</v>
      </c>
      <c r="C6213" s="722" t="s">
        <v>481</v>
      </c>
      <c r="D6213" t="s">
        <v>482</v>
      </c>
      <c r="E6213" s="729"/>
      <c r="F6213" s="147">
        <v>1.0410000000000001E-2</v>
      </c>
      <c r="G6213" s="147">
        <v>-1.0410000000000001E-2</v>
      </c>
      <c r="H6213" s="147">
        <v>-100</v>
      </c>
      <c r="I6213" s="729"/>
      <c r="J6213" s="729"/>
      <c r="K6213" s="729"/>
      <c r="L6213" s="147">
        <v>7.7200000000000005E-2</v>
      </c>
      <c r="M6213" s="147">
        <v>0.125</v>
      </c>
      <c r="N6213" s="147">
        <v>-4.7800000000000002E-2</v>
      </c>
      <c r="O6213" s="147">
        <v>-38.24</v>
      </c>
      <c r="P6213" s="147">
        <v>3.9899999999999998E-2</v>
      </c>
      <c r="Q6213" s="147">
        <v>3.73E-2</v>
      </c>
      <c r="R6213" s="147">
        <v>93.483709273182953</v>
      </c>
    </row>
    <row r="6214" spans="2:18" ht="15.75" hidden="1" thickBot="1" x14ac:dyDescent="0.3">
      <c r="B6214" s="724" t="s">
        <v>876</v>
      </c>
      <c r="C6214" s="722" t="s">
        <v>75</v>
      </c>
      <c r="D6214" t="s">
        <v>76</v>
      </c>
      <c r="E6214" s="148">
        <v>4.7544300000000002</v>
      </c>
      <c r="F6214" s="148">
        <v>0.65837000000000001</v>
      </c>
      <c r="G6214" s="148">
        <v>4.0960599999999996</v>
      </c>
      <c r="H6214" s="148">
        <v>622.15167762808153</v>
      </c>
      <c r="I6214" s="728"/>
      <c r="J6214" s="148">
        <v>4.7544300000000002</v>
      </c>
      <c r="K6214" s="148">
        <v>0</v>
      </c>
      <c r="L6214" s="148">
        <v>15.00938</v>
      </c>
      <c r="M6214" s="148">
        <v>7.9</v>
      </c>
      <c r="N6214" s="148">
        <v>7.1093799999999998</v>
      </c>
      <c r="O6214" s="148">
        <v>89.992151898734178</v>
      </c>
      <c r="P6214" s="148">
        <v>4.7277300000000002</v>
      </c>
      <c r="Q6214" s="148">
        <v>10.281650000000001</v>
      </c>
      <c r="R6214" s="148">
        <v>217.47540574440589</v>
      </c>
    </row>
    <row r="6215" spans="2:18" ht="15.75" hidden="1" thickBot="1" x14ac:dyDescent="0.3">
      <c r="B6215" s="724" t="s">
        <v>876</v>
      </c>
      <c r="C6215" s="722" t="s">
        <v>121</v>
      </c>
      <c r="D6215" t="s">
        <v>122</v>
      </c>
      <c r="E6215" s="729"/>
      <c r="F6215" s="147">
        <v>6.3369999999999996E-2</v>
      </c>
      <c r="G6215" s="147">
        <v>-6.3369999999999996E-2</v>
      </c>
      <c r="H6215" s="147">
        <v>-100</v>
      </c>
      <c r="I6215" s="729"/>
      <c r="J6215" s="729"/>
      <c r="K6215" s="729"/>
      <c r="L6215" s="147">
        <v>0.82111999999999996</v>
      </c>
      <c r="M6215" s="147">
        <v>0.76</v>
      </c>
      <c r="N6215" s="147">
        <v>6.1120000000000001E-2</v>
      </c>
      <c r="O6215" s="147">
        <v>8.0421052631578949</v>
      </c>
      <c r="P6215" s="147">
        <v>0.56623999999999997</v>
      </c>
      <c r="Q6215" s="147">
        <v>0.25488</v>
      </c>
      <c r="R6215" s="147">
        <v>45.012715456343599</v>
      </c>
    </row>
    <row r="6216" spans="2:18" ht="15.75" hidden="1" thickBot="1" x14ac:dyDescent="0.3">
      <c r="B6216" s="724" t="s">
        <v>876</v>
      </c>
      <c r="C6216" s="722" t="s">
        <v>77</v>
      </c>
      <c r="D6216" t="s">
        <v>78</v>
      </c>
      <c r="E6216" s="728"/>
      <c r="F6216" s="148">
        <v>1.2666299999999999</v>
      </c>
      <c r="G6216" s="148">
        <v>-1.2666299999999999</v>
      </c>
      <c r="H6216" s="148">
        <v>-100</v>
      </c>
      <c r="I6216" s="728"/>
      <c r="J6216" s="728"/>
      <c r="K6216" s="728"/>
      <c r="L6216" s="148">
        <v>6.2327899999999996</v>
      </c>
      <c r="M6216" s="148">
        <v>15.2</v>
      </c>
      <c r="N6216" s="148">
        <v>-8.9672099999999997</v>
      </c>
      <c r="O6216" s="148">
        <v>-58.994802631578949</v>
      </c>
      <c r="P6216" s="148">
        <v>5.4964399999999998</v>
      </c>
      <c r="Q6216" s="148">
        <v>0.73634999999999995</v>
      </c>
      <c r="R6216" s="148">
        <v>13.396853235912699</v>
      </c>
    </row>
    <row r="6217" spans="2:18" ht="15.75" hidden="1" thickBot="1" x14ac:dyDescent="0.3">
      <c r="B6217" s="724" t="s">
        <v>876</v>
      </c>
      <c r="C6217" s="722" t="s">
        <v>79</v>
      </c>
      <c r="D6217" t="s">
        <v>80</v>
      </c>
      <c r="E6217" s="729"/>
      <c r="F6217" s="147">
        <v>0.1875</v>
      </c>
      <c r="G6217" s="147">
        <v>-0.1875</v>
      </c>
      <c r="H6217" s="147">
        <v>-100</v>
      </c>
      <c r="I6217" s="729"/>
      <c r="J6217" s="729"/>
      <c r="K6217" s="729"/>
      <c r="L6217" s="147">
        <v>0.97179000000000004</v>
      </c>
      <c r="M6217" s="147">
        <v>2.25</v>
      </c>
      <c r="N6217" s="147">
        <v>-1.2782100000000001</v>
      </c>
      <c r="O6217" s="147">
        <v>-56.809333333333335</v>
      </c>
      <c r="P6217" s="729"/>
      <c r="Q6217" s="147">
        <v>0.97179000000000004</v>
      </c>
      <c r="R6217" s="147">
        <v>0</v>
      </c>
    </row>
    <row r="6218" spans="2:18" ht="15.75" hidden="1" thickBot="1" x14ac:dyDescent="0.3">
      <c r="B6218" s="724" t="s">
        <v>876</v>
      </c>
      <c r="C6218" s="722" t="s">
        <v>81</v>
      </c>
      <c r="D6218" t="s">
        <v>82</v>
      </c>
      <c r="E6218" s="148">
        <v>7.67699</v>
      </c>
      <c r="F6218" s="148">
        <v>0.20837</v>
      </c>
      <c r="G6218" s="148">
        <v>7.4686199999999996</v>
      </c>
      <c r="H6218" s="148">
        <v>3584.3067620098864</v>
      </c>
      <c r="I6218" s="728"/>
      <c r="J6218" s="148">
        <v>7.67699</v>
      </c>
      <c r="K6218" s="148">
        <v>0</v>
      </c>
      <c r="L6218" s="148">
        <v>9.1201000000000008</v>
      </c>
      <c r="M6218" s="148">
        <v>2.5</v>
      </c>
      <c r="N6218" s="148">
        <v>6.6200999999999999</v>
      </c>
      <c r="O6218" s="148">
        <v>264.80399999999997</v>
      </c>
      <c r="P6218" s="148">
        <v>0.20713999999999999</v>
      </c>
      <c r="Q6218" s="148">
        <v>8.91296</v>
      </c>
      <c r="R6218" s="148">
        <v>4302.8676257603556</v>
      </c>
    </row>
    <row r="6219" spans="2:18" ht="15.75" hidden="1" thickBot="1" x14ac:dyDescent="0.3">
      <c r="B6219" s="724" t="s">
        <v>876</v>
      </c>
      <c r="C6219" s="722" t="s">
        <v>123</v>
      </c>
      <c r="D6219" t="s">
        <v>124</v>
      </c>
      <c r="E6219" s="147">
        <v>0.57977000000000001</v>
      </c>
      <c r="F6219" s="729"/>
      <c r="G6219" s="147">
        <v>0.57977000000000001</v>
      </c>
      <c r="H6219" s="147">
        <v>0</v>
      </c>
      <c r="I6219" s="729"/>
      <c r="J6219" s="147">
        <v>0.57977000000000001</v>
      </c>
      <c r="K6219" s="147">
        <v>0</v>
      </c>
      <c r="L6219" s="147">
        <v>0.74477000000000004</v>
      </c>
      <c r="M6219" s="729"/>
      <c r="N6219" s="147">
        <v>0.74477000000000004</v>
      </c>
      <c r="O6219" s="147">
        <v>0</v>
      </c>
      <c r="P6219" s="729"/>
      <c r="Q6219" s="147">
        <v>0.74477000000000004</v>
      </c>
      <c r="R6219" s="147">
        <v>0</v>
      </c>
    </row>
    <row r="6220" spans="2:18" ht="15.75" hidden="1" thickBot="1" x14ac:dyDescent="0.3">
      <c r="B6220" s="724" t="s">
        <v>876</v>
      </c>
      <c r="C6220" s="722" t="s">
        <v>125</v>
      </c>
      <c r="D6220" t="s">
        <v>126</v>
      </c>
      <c r="E6220" s="728"/>
      <c r="F6220" s="728"/>
      <c r="G6220" s="728"/>
      <c r="H6220" s="728"/>
      <c r="I6220" s="728"/>
      <c r="J6220" s="728"/>
      <c r="K6220" s="728"/>
      <c r="L6220" s="148">
        <v>0.20796999999999999</v>
      </c>
      <c r="M6220" s="728"/>
      <c r="N6220" s="148">
        <v>0.20796999999999999</v>
      </c>
      <c r="O6220" s="148">
        <v>0</v>
      </c>
      <c r="P6220" s="148">
        <v>8.2970000000000002E-2</v>
      </c>
      <c r="Q6220" s="148">
        <v>0.125</v>
      </c>
      <c r="R6220" s="148">
        <v>150.65686392672049</v>
      </c>
    </row>
    <row r="6221" spans="2:18" ht="15.75" hidden="1" thickBot="1" x14ac:dyDescent="0.3">
      <c r="B6221" s="724" t="s">
        <v>876</v>
      </c>
      <c r="C6221" s="149" t="s">
        <v>85</v>
      </c>
      <c r="D6221" t="s">
        <v>86</v>
      </c>
      <c r="E6221" s="147">
        <v>13.30048</v>
      </c>
      <c r="F6221" s="147">
        <v>3.1272600000000002</v>
      </c>
      <c r="G6221" s="147">
        <v>10.173220000000001</v>
      </c>
      <c r="H6221" s="147">
        <v>325.30777741537321</v>
      </c>
      <c r="I6221" s="729"/>
      <c r="J6221" s="147">
        <v>13.30048</v>
      </c>
      <c r="K6221" s="147">
        <v>0</v>
      </c>
      <c r="L6221" s="147">
        <v>38.531489999999998</v>
      </c>
      <c r="M6221" s="147">
        <v>37.542000000000002</v>
      </c>
      <c r="N6221" s="147">
        <v>0.98948999999999998</v>
      </c>
      <c r="O6221" s="147">
        <v>2.6356880294070639</v>
      </c>
      <c r="P6221" s="147">
        <v>13.796110000000001</v>
      </c>
      <c r="Q6221" s="147">
        <v>24.735379999999999</v>
      </c>
      <c r="R6221" s="147">
        <v>179.2924237339366</v>
      </c>
    </row>
    <row r="6222" spans="2:18" ht="15.75" hidden="1" thickBot="1" x14ac:dyDescent="0.3">
      <c r="B6222" s="724" t="s">
        <v>876</v>
      </c>
      <c r="C6222" s="144" t="s">
        <v>87</v>
      </c>
      <c r="D6222" t="s">
        <v>87</v>
      </c>
      <c r="E6222" s="148">
        <v>13.30048</v>
      </c>
      <c r="F6222" s="148">
        <v>3.1272600000000002</v>
      </c>
      <c r="G6222" s="148">
        <v>10.173220000000001</v>
      </c>
      <c r="H6222" s="148">
        <v>325.30777741537321</v>
      </c>
      <c r="I6222" s="728"/>
      <c r="J6222" s="148">
        <v>13.30048</v>
      </c>
      <c r="K6222" s="148">
        <v>0</v>
      </c>
      <c r="L6222" s="148">
        <v>38.531489999999998</v>
      </c>
      <c r="M6222" s="148">
        <v>37.542000000000002</v>
      </c>
      <c r="N6222" s="148">
        <v>0.98948999999999998</v>
      </c>
      <c r="O6222" s="148">
        <v>2.6356880294070639</v>
      </c>
      <c r="P6222" s="148">
        <v>13.796110000000001</v>
      </c>
      <c r="Q6222" s="148">
        <v>24.735379999999999</v>
      </c>
      <c r="R6222" s="148">
        <v>179.2924237339366</v>
      </c>
    </row>
    <row r="6223" spans="2:18" ht="15.75" hidden="1" thickBot="1" x14ac:dyDescent="0.3">
      <c r="B6223" s="724" t="s">
        <v>877</v>
      </c>
      <c r="C6223" s="722" t="s">
        <v>137</v>
      </c>
      <c r="D6223" t="s">
        <v>138</v>
      </c>
      <c r="E6223" s="729"/>
      <c r="F6223" s="729"/>
      <c r="G6223" s="729"/>
      <c r="H6223" s="729"/>
      <c r="I6223" s="729"/>
      <c r="J6223" s="729"/>
      <c r="K6223" s="729"/>
      <c r="L6223" s="147">
        <v>0.77139999999999997</v>
      </c>
      <c r="M6223" s="729"/>
      <c r="N6223" s="147">
        <v>0.77139999999999997</v>
      </c>
      <c r="O6223" s="147">
        <v>0</v>
      </c>
      <c r="P6223" s="147">
        <v>0.46684999999999999</v>
      </c>
      <c r="Q6223" s="147">
        <v>0.30454999999999999</v>
      </c>
      <c r="R6223" s="147">
        <v>65.235086216129375</v>
      </c>
    </row>
    <row r="6224" spans="2:18" ht="15.75" hidden="1" thickBot="1" x14ac:dyDescent="0.3">
      <c r="B6224" s="724" t="s">
        <v>877</v>
      </c>
      <c r="C6224" s="722" t="s">
        <v>103</v>
      </c>
      <c r="D6224" t="s">
        <v>104</v>
      </c>
      <c r="E6224" s="728"/>
      <c r="F6224" s="728"/>
      <c r="G6224" s="728"/>
      <c r="H6224" s="728"/>
      <c r="I6224" s="728"/>
      <c r="J6224" s="728"/>
      <c r="K6224" s="728"/>
      <c r="L6224" s="148">
        <v>0.40587000000000001</v>
      </c>
      <c r="M6224" s="728"/>
      <c r="N6224" s="148">
        <v>0.40587000000000001</v>
      </c>
      <c r="O6224" s="148">
        <v>0</v>
      </c>
      <c r="P6224" s="148">
        <v>0.20716999999999999</v>
      </c>
      <c r="Q6224" s="148">
        <v>0.19869999999999999</v>
      </c>
      <c r="R6224" s="148">
        <v>95.911570208041709</v>
      </c>
    </row>
    <row r="6225" spans="2:18" ht="15.75" hidden="1" thickBot="1" x14ac:dyDescent="0.3">
      <c r="B6225" s="724" t="s">
        <v>877</v>
      </c>
      <c r="C6225" s="722" t="s">
        <v>109</v>
      </c>
      <c r="D6225" t="s">
        <v>110</v>
      </c>
      <c r="E6225" s="147">
        <v>3.5970000000000002E-2</v>
      </c>
      <c r="F6225" s="729"/>
      <c r="G6225" s="147">
        <v>3.5970000000000002E-2</v>
      </c>
      <c r="H6225" s="147">
        <v>0</v>
      </c>
      <c r="I6225" s="729"/>
      <c r="J6225" s="147">
        <v>3.5970000000000002E-2</v>
      </c>
      <c r="K6225" s="147">
        <v>0</v>
      </c>
      <c r="L6225" s="147">
        <v>3.5970000000000002E-2</v>
      </c>
      <c r="M6225" s="729"/>
      <c r="N6225" s="147">
        <v>3.5970000000000002E-2</v>
      </c>
      <c r="O6225" s="147">
        <v>0</v>
      </c>
      <c r="P6225" s="729"/>
      <c r="Q6225" s="147">
        <v>3.5970000000000002E-2</v>
      </c>
      <c r="R6225" s="147">
        <v>0</v>
      </c>
    </row>
    <row r="6226" spans="2:18" ht="15.75" hidden="1" thickBot="1" x14ac:dyDescent="0.3">
      <c r="B6226" s="724" t="s">
        <v>877</v>
      </c>
      <c r="C6226" s="722" t="s">
        <v>73</v>
      </c>
      <c r="D6226" t="s">
        <v>74</v>
      </c>
      <c r="E6226" s="728"/>
      <c r="F6226" s="728"/>
      <c r="G6226" s="728"/>
      <c r="H6226" s="728"/>
      <c r="I6226" s="728"/>
      <c r="J6226" s="728"/>
      <c r="K6226" s="728"/>
      <c r="L6226" s="148">
        <v>6.3299999999999995E-2</v>
      </c>
      <c r="M6226" s="728"/>
      <c r="N6226" s="148">
        <v>6.3299999999999995E-2</v>
      </c>
      <c r="O6226" s="148">
        <v>0</v>
      </c>
      <c r="P6226" s="148">
        <v>1.6150000000000001E-2</v>
      </c>
      <c r="Q6226" s="148">
        <v>4.7149999999999997E-2</v>
      </c>
      <c r="R6226" s="148">
        <v>291.95046439628481</v>
      </c>
    </row>
    <row r="6227" spans="2:18" ht="15.75" hidden="1" thickBot="1" x14ac:dyDescent="0.3">
      <c r="B6227" s="724" t="s">
        <v>877</v>
      </c>
      <c r="C6227" s="722" t="s">
        <v>141</v>
      </c>
      <c r="D6227" t="s">
        <v>142</v>
      </c>
      <c r="E6227" s="147">
        <v>0.11097</v>
      </c>
      <c r="F6227" s="729"/>
      <c r="G6227" s="147">
        <v>0.11097</v>
      </c>
      <c r="H6227" s="147">
        <v>0</v>
      </c>
      <c r="I6227" s="729"/>
      <c r="J6227" s="147">
        <v>0.11097</v>
      </c>
      <c r="K6227" s="147">
        <v>0</v>
      </c>
      <c r="L6227" s="147">
        <v>3.2368800000000002</v>
      </c>
      <c r="M6227" s="729"/>
      <c r="N6227" s="147">
        <v>3.2368800000000002</v>
      </c>
      <c r="O6227" s="147">
        <v>0</v>
      </c>
      <c r="P6227" s="147">
        <v>3.0149400000000002</v>
      </c>
      <c r="Q6227" s="147">
        <v>0.22194</v>
      </c>
      <c r="R6227" s="147">
        <v>7.3613405241895364</v>
      </c>
    </row>
    <row r="6228" spans="2:18" ht="15.75" hidden="1" thickBot="1" x14ac:dyDescent="0.3">
      <c r="B6228" s="724" t="s">
        <v>877</v>
      </c>
      <c r="C6228" s="722" t="s">
        <v>113</v>
      </c>
      <c r="D6228" t="s">
        <v>114</v>
      </c>
      <c r="E6228" s="148">
        <v>2.2499999999999999E-2</v>
      </c>
      <c r="F6228" s="728"/>
      <c r="G6228" s="148">
        <v>2.2499999999999999E-2</v>
      </c>
      <c r="H6228" s="148">
        <v>0</v>
      </c>
      <c r="I6228" s="728"/>
      <c r="J6228" s="148">
        <v>2.2499999999999999E-2</v>
      </c>
      <c r="K6228" s="148">
        <v>0</v>
      </c>
      <c r="L6228" s="148">
        <v>0.24884999999999999</v>
      </c>
      <c r="M6228" s="728"/>
      <c r="N6228" s="148">
        <v>0.24884999999999999</v>
      </c>
      <c r="O6228" s="148">
        <v>0</v>
      </c>
      <c r="P6228" s="148">
        <v>9.3030000000000002E-2</v>
      </c>
      <c r="Q6228" s="148">
        <v>0.15581999999999999</v>
      </c>
      <c r="R6228" s="148">
        <v>167.4943566591422</v>
      </c>
    </row>
    <row r="6229" spans="2:18" ht="15.75" hidden="1" thickBot="1" x14ac:dyDescent="0.3">
      <c r="B6229" s="724" t="s">
        <v>877</v>
      </c>
      <c r="C6229" s="722" t="s">
        <v>145</v>
      </c>
      <c r="D6229" t="s">
        <v>146</v>
      </c>
      <c r="E6229" s="147">
        <v>4.19E-2</v>
      </c>
      <c r="F6229" s="729"/>
      <c r="G6229" s="147">
        <v>4.19E-2</v>
      </c>
      <c r="H6229" s="147">
        <v>0</v>
      </c>
      <c r="I6229" s="729"/>
      <c r="J6229" s="147">
        <v>4.19E-2</v>
      </c>
      <c r="K6229" s="147">
        <v>0</v>
      </c>
      <c r="L6229" s="147">
        <v>0.23089999999999999</v>
      </c>
      <c r="M6229" s="729"/>
      <c r="N6229" s="147">
        <v>0.23089999999999999</v>
      </c>
      <c r="O6229" s="147">
        <v>0</v>
      </c>
      <c r="P6229" s="147">
        <v>0.12625</v>
      </c>
      <c r="Q6229" s="147">
        <v>0.10465000000000001</v>
      </c>
      <c r="R6229" s="147">
        <v>82.89108910891089</v>
      </c>
    </row>
    <row r="6230" spans="2:18" ht="15.75" hidden="1" thickBot="1" x14ac:dyDescent="0.3">
      <c r="B6230" s="724" t="s">
        <v>877</v>
      </c>
      <c r="C6230" s="722" t="s">
        <v>481</v>
      </c>
      <c r="D6230" t="s">
        <v>482</v>
      </c>
      <c r="E6230" s="148">
        <v>4.9950000000000001E-2</v>
      </c>
      <c r="F6230" s="728"/>
      <c r="G6230" s="148">
        <v>4.9950000000000001E-2</v>
      </c>
      <c r="H6230" s="148">
        <v>0</v>
      </c>
      <c r="I6230" s="728"/>
      <c r="J6230" s="148">
        <v>4.9950000000000001E-2</v>
      </c>
      <c r="K6230" s="148">
        <v>0</v>
      </c>
      <c r="L6230" s="148">
        <v>0.61638000000000004</v>
      </c>
      <c r="M6230" s="728"/>
      <c r="N6230" s="148">
        <v>0.61638000000000004</v>
      </c>
      <c r="O6230" s="148">
        <v>0</v>
      </c>
      <c r="P6230" s="148">
        <v>0.31069000000000002</v>
      </c>
      <c r="Q6230" s="148">
        <v>0.30569000000000002</v>
      </c>
      <c r="R6230" s="148">
        <v>98.390678811677233</v>
      </c>
    </row>
    <row r="6231" spans="2:18" ht="15.75" hidden="1" thickBot="1" x14ac:dyDescent="0.3">
      <c r="B6231" s="724" t="s">
        <v>877</v>
      </c>
      <c r="C6231" s="722" t="s">
        <v>75</v>
      </c>
      <c r="D6231" t="s">
        <v>76</v>
      </c>
      <c r="E6231" s="147">
        <v>2.1848100000000001</v>
      </c>
      <c r="F6231" s="147">
        <v>0.33300000000000002</v>
      </c>
      <c r="G6231" s="147">
        <v>1.85181</v>
      </c>
      <c r="H6231" s="147">
        <v>556.09909909909913</v>
      </c>
      <c r="I6231" s="729"/>
      <c r="J6231" s="147">
        <v>2.1848100000000001</v>
      </c>
      <c r="K6231" s="147">
        <v>0</v>
      </c>
      <c r="L6231" s="147">
        <v>5.2849399999999997</v>
      </c>
      <c r="M6231" s="147">
        <v>4</v>
      </c>
      <c r="N6231" s="147">
        <v>1.28494</v>
      </c>
      <c r="O6231" s="147">
        <v>32.1235</v>
      </c>
      <c r="P6231" s="147">
        <v>1.34067</v>
      </c>
      <c r="Q6231" s="147">
        <v>3.9442699999999999</v>
      </c>
      <c r="R6231" s="147">
        <v>294.20140675930691</v>
      </c>
    </row>
    <row r="6232" spans="2:18" ht="15.75" hidden="1" thickBot="1" x14ac:dyDescent="0.3">
      <c r="B6232" s="724" t="s">
        <v>877</v>
      </c>
      <c r="C6232" s="722" t="s">
        <v>121</v>
      </c>
      <c r="D6232" t="s">
        <v>122</v>
      </c>
      <c r="E6232" s="148">
        <v>1.7989999999999999E-2</v>
      </c>
      <c r="F6232" s="728"/>
      <c r="G6232" s="148">
        <v>1.7989999999999999E-2</v>
      </c>
      <c r="H6232" s="148">
        <v>0</v>
      </c>
      <c r="I6232" s="728"/>
      <c r="J6232" s="148">
        <v>1.7989999999999999E-2</v>
      </c>
      <c r="K6232" s="148">
        <v>0</v>
      </c>
      <c r="L6232" s="148">
        <v>0.41946</v>
      </c>
      <c r="M6232" s="728"/>
      <c r="N6232" s="148">
        <v>0.41946</v>
      </c>
      <c r="O6232" s="148">
        <v>0</v>
      </c>
      <c r="P6232" s="148">
        <v>0.22900000000000001</v>
      </c>
      <c r="Q6232" s="148">
        <v>0.19045999999999999</v>
      </c>
      <c r="R6232" s="148">
        <v>83.170305676855889</v>
      </c>
    </row>
    <row r="6233" spans="2:18" ht="15.75" hidden="1" thickBot="1" x14ac:dyDescent="0.3">
      <c r="B6233" s="724" t="s">
        <v>877</v>
      </c>
      <c r="C6233" s="722" t="s">
        <v>77</v>
      </c>
      <c r="D6233" t="s">
        <v>78</v>
      </c>
      <c r="E6233" s="729"/>
      <c r="F6233" s="147">
        <v>0</v>
      </c>
      <c r="G6233" s="147">
        <v>0</v>
      </c>
      <c r="H6233" s="147">
        <v>0</v>
      </c>
      <c r="I6233" s="729"/>
      <c r="J6233" s="729"/>
      <c r="K6233" s="729"/>
      <c r="L6233" s="147">
        <v>1.34545</v>
      </c>
      <c r="M6233" s="147">
        <v>4.5</v>
      </c>
      <c r="N6233" s="147">
        <v>-3.15455</v>
      </c>
      <c r="O6233" s="147">
        <v>-70.101111111111109</v>
      </c>
      <c r="P6233" s="147">
        <v>1.34545</v>
      </c>
      <c r="Q6233" s="147">
        <v>0</v>
      </c>
      <c r="R6233" s="147">
        <v>0</v>
      </c>
    </row>
    <row r="6234" spans="2:18" ht="15.75" hidden="1" thickBot="1" x14ac:dyDescent="0.3">
      <c r="B6234" s="724" t="s">
        <v>877</v>
      </c>
      <c r="C6234" s="722" t="s">
        <v>79</v>
      </c>
      <c r="D6234" t="s">
        <v>80</v>
      </c>
      <c r="E6234" s="148">
        <v>2.50773</v>
      </c>
      <c r="F6234" s="148">
        <v>2.0833699999999999</v>
      </c>
      <c r="G6234" s="148">
        <v>0.42436000000000001</v>
      </c>
      <c r="H6234" s="148">
        <v>20.368921506981476</v>
      </c>
      <c r="I6234" s="728"/>
      <c r="J6234" s="148">
        <v>2.50773</v>
      </c>
      <c r="K6234" s="148">
        <v>0</v>
      </c>
      <c r="L6234" s="148">
        <v>14.26323</v>
      </c>
      <c r="M6234" s="148">
        <v>25</v>
      </c>
      <c r="N6234" s="148">
        <v>-10.73677</v>
      </c>
      <c r="O6234" s="148">
        <v>-42.94708</v>
      </c>
      <c r="P6234" s="148">
        <v>6.9712500000000004</v>
      </c>
      <c r="Q6234" s="148">
        <v>7.2919799999999997</v>
      </c>
      <c r="R6234" s="148">
        <v>104.60075309306079</v>
      </c>
    </row>
    <row r="6235" spans="2:18" ht="15.75" hidden="1" thickBot="1" x14ac:dyDescent="0.3">
      <c r="B6235" s="724" t="s">
        <v>877</v>
      </c>
      <c r="C6235" s="722" t="s">
        <v>81</v>
      </c>
      <c r="D6235" t="s">
        <v>82</v>
      </c>
      <c r="E6235" s="729"/>
      <c r="F6235" s="729"/>
      <c r="G6235" s="729"/>
      <c r="H6235" s="729"/>
      <c r="I6235" s="729"/>
      <c r="J6235" s="729"/>
      <c r="K6235" s="729"/>
      <c r="L6235" s="147">
        <v>0.76997000000000004</v>
      </c>
      <c r="M6235" s="729"/>
      <c r="N6235" s="147">
        <v>0.76997000000000004</v>
      </c>
      <c r="O6235" s="147">
        <v>0</v>
      </c>
      <c r="P6235" s="147">
        <v>0.1</v>
      </c>
      <c r="Q6235" s="147">
        <v>0.66996999999999995</v>
      </c>
      <c r="R6235" s="147">
        <v>669.97</v>
      </c>
    </row>
    <row r="6236" spans="2:18" ht="15.75" hidden="1" thickBot="1" x14ac:dyDescent="0.3">
      <c r="B6236" s="724" t="s">
        <v>877</v>
      </c>
      <c r="C6236" s="722" t="s">
        <v>123</v>
      </c>
      <c r="D6236" t="s">
        <v>124</v>
      </c>
      <c r="E6236" s="728"/>
      <c r="F6236" s="728"/>
      <c r="G6236" s="728"/>
      <c r="H6236" s="728"/>
      <c r="I6236" s="728"/>
      <c r="J6236" s="728"/>
      <c r="K6236" s="728"/>
      <c r="L6236" s="148">
        <v>0.92674999999999996</v>
      </c>
      <c r="M6236" s="728"/>
      <c r="N6236" s="148">
        <v>0.92674999999999996</v>
      </c>
      <c r="O6236" s="148">
        <v>0</v>
      </c>
      <c r="P6236" s="148">
        <v>0.27675</v>
      </c>
      <c r="Q6236" s="148">
        <v>0.65</v>
      </c>
      <c r="R6236" s="148">
        <v>234.86901535682023</v>
      </c>
    </row>
    <row r="6237" spans="2:18" ht="15.75" hidden="1" thickBot="1" x14ac:dyDescent="0.3">
      <c r="B6237" s="724" t="s">
        <v>877</v>
      </c>
      <c r="C6237" s="722" t="s">
        <v>83</v>
      </c>
      <c r="D6237" t="s">
        <v>84</v>
      </c>
      <c r="E6237" s="729"/>
      <c r="F6237" s="147">
        <v>0.58299999999999996</v>
      </c>
      <c r="G6237" s="147">
        <v>-0.58299999999999996</v>
      </c>
      <c r="H6237" s="147">
        <v>-100</v>
      </c>
      <c r="I6237" s="729"/>
      <c r="J6237" s="729"/>
      <c r="K6237" s="729"/>
      <c r="L6237" s="729"/>
      <c r="M6237" s="147">
        <v>7</v>
      </c>
      <c r="N6237" s="147">
        <v>-7</v>
      </c>
      <c r="O6237" s="147">
        <v>-100</v>
      </c>
      <c r="P6237" s="729"/>
      <c r="Q6237" s="729"/>
      <c r="R6237" s="729"/>
    </row>
    <row r="6238" spans="2:18" ht="15.75" hidden="1" thickBot="1" x14ac:dyDescent="0.3">
      <c r="B6238" s="724" t="s">
        <v>877</v>
      </c>
      <c r="C6238" s="149" t="s">
        <v>85</v>
      </c>
      <c r="D6238" t="s">
        <v>86</v>
      </c>
      <c r="E6238" s="148">
        <v>4.9718200000000001</v>
      </c>
      <c r="F6238" s="148">
        <v>2.9993699999999999</v>
      </c>
      <c r="G6238" s="148">
        <v>1.97245</v>
      </c>
      <c r="H6238" s="148">
        <v>65.762143383443856</v>
      </c>
      <c r="I6238" s="728"/>
      <c r="J6238" s="148">
        <v>4.9718200000000001</v>
      </c>
      <c r="K6238" s="148">
        <v>0</v>
      </c>
      <c r="L6238" s="148">
        <v>28.619350000000001</v>
      </c>
      <c r="M6238" s="148">
        <v>40.5</v>
      </c>
      <c r="N6238" s="148">
        <v>-11.880649999999999</v>
      </c>
      <c r="O6238" s="148">
        <v>-29.334938271604937</v>
      </c>
      <c r="P6238" s="148">
        <v>14.498200000000001</v>
      </c>
      <c r="Q6238" s="148">
        <v>14.12115</v>
      </c>
      <c r="R6238" s="148">
        <v>97.399332330910042</v>
      </c>
    </row>
    <row r="6239" spans="2:18" ht="15.75" hidden="1" thickBot="1" x14ac:dyDescent="0.3">
      <c r="B6239" s="724" t="s">
        <v>877</v>
      </c>
      <c r="C6239" s="144" t="s">
        <v>87</v>
      </c>
      <c r="D6239" t="s">
        <v>87</v>
      </c>
      <c r="E6239" s="147">
        <v>4.9718200000000001</v>
      </c>
      <c r="F6239" s="147">
        <v>2.9993699999999999</v>
      </c>
      <c r="G6239" s="147">
        <v>1.97245</v>
      </c>
      <c r="H6239" s="147">
        <v>65.762143383443856</v>
      </c>
      <c r="I6239" s="729"/>
      <c r="J6239" s="147">
        <v>4.9718200000000001</v>
      </c>
      <c r="K6239" s="147">
        <v>0</v>
      </c>
      <c r="L6239" s="147">
        <v>28.619350000000001</v>
      </c>
      <c r="M6239" s="147">
        <v>40.5</v>
      </c>
      <c r="N6239" s="147">
        <v>-11.880649999999999</v>
      </c>
      <c r="O6239" s="147">
        <v>-29.334938271604937</v>
      </c>
      <c r="P6239" s="147">
        <v>14.498200000000001</v>
      </c>
      <c r="Q6239" s="147">
        <v>14.12115</v>
      </c>
      <c r="R6239" s="147">
        <v>97.399332330910042</v>
      </c>
    </row>
    <row r="6240" spans="2:18" ht="15.75" hidden="1" thickBot="1" x14ac:dyDescent="0.3">
      <c r="B6240" s="724" t="s">
        <v>878</v>
      </c>
      <c r="C6240" s="722" t="s">
        <v>59</v>
      </c>
      <c r="D6240" t="s">
        <v>60</v>
      </c>
      <c r="E6240" s="148">
        <v>43.230080000000001</v>
      </c>
      <c r="F6240" s="148">
        <v>46.79533</v>
      </c>
      <c r="G6240" s="148">
        <v>-3.5652499999999998</v>
      </c>
      <c r="H6240" s="148">
        <v>-7.6188158091843778</v>
      </c>
      <c r="I6240" s="728"/>
      <c r="J6240" s="148">
        <v>43.230080000000001</v>
      </c>
      <c r="K6240" s="148">
        <v>0</v>
      </c>
      <c r="L6240" s="148">
        <v>565.41938000000005</v>
      </c>
      <c r="M6240" s="148">
        <v>558.59799999999996</v>
      </c>
      <c r="N6240" s="148">
        <v>6.8213800000000004</v>
      </c>
      <c r="O6240" s="148">
        <v>1.221160834804278</v>
      </c>
      <c r="P6240" s="148">
        <v>288.94258000000002</v>
      </c>
      <c r="Q6240" s="148">
        <v>276.47680000000003</v>
      </c>
      <c r="R6240" s="148">
        <v>95.685724132455661</v>
      </c>
    </row>
    <row r="6241" spans="2:18" ht="15.75" hidden="1" thickBot="1" x14ac:dyDescent="0.3">
      <c r="B6241" s="724" t="s">
        <v>878</v>
      </c>
      <c r="C6241" s="722" t="s">
        <v>134</v>
      </c>
      <c r="D6241" t="s">
        <v>135</v>
      </c>
      <c r="E6241" s="147">
        <v>1.0065200000000001</v>
      </c>
      <c r="F6241" s="729"/>
      <c r="G6241" s="147">
        <v>1.0065200000000001</v>
      </c>
      <c r="H6241" s="147">
        <v>0</v>
      </c>
      <c r="I6241" s="729"/>
      <c r="J6241" s="147">
        <v>1.0065200000000001</v>
      </c>
      <c r="K6241" s="147">
        <v>0</v>
      </c>
      <c r="L6241" s="147">
        <v>4.3722000000000003</v>
      </c>
      <c r="M6241" s="729"/>
      <c r="N6241" s="147">
        <v>4.3722000000000003</v>
      </c>
      <c r="O6241" s="147">
        <v>0</v>
      </c>
      <c r="P6241" s="147">
        <v>0.91671000000000002</v>
      </c>
      <c r="Q6241" s="147">
        <v>3.4554900000000002</v>
      </c>
      <c r="R6241" s="147">
        <v>376.94472624930455</v>
      </c>
    </row>
    <row r="6242" spans="2:18" ht="15.75" hidden="1" thickBot="1" x14ac:dyDescent="0.3">
      <c r="B6242" s="724" t="s">
        <v>878</v>
      </c>
      <c r="C6242" s="722" t="s">
        <v>61</v>
      </c>
      <c r="D6242" t="s">
        <v>62</v>
      </c>
      <c r="E6242" s="148">
        <v>7.2806499999999996</v>
      </c>
      <c r="F6242" s="148">
        <v>7.2532800000000002</v>
      </c>
      <c r="G6242" s="148">
        <v>2.7369999999999998E-2</v>
      </c>
      <c r="H6242" s="148">
        <v>0.37734652460679857</v>
      </c>
      <c r="I6242" s="728"/>
      <c r="J6242" s="148">
        <v>7.2806499999999996</v>
      </c>
      <c r="K6242" s="148">
        <v>0</v>
      </c>
      <c r="L6242" s="148">
        <v>86.969030000000004</v>
      </c>
      <c r="M6242" s="148">
        <v>86.582719999999995</v>
      </c>
      <c r="N6242" s="148">
        <v>0.38630999999999999</v>
      </c>
      <c r="O6242" s="148">
        <v>0.44617447915704195</v>
      </c>
      <c r="P6242" s="148">
        <v>43.285220000000002</v>
      </c>
      <c r="Q6242" s="148">
        <v>43.683810000000001</v>
      </c>
      <c r="R6242" s="148">
        <v>100.92084549876378</v>
      </c>
    </row>
    <row r="6243" spans="2:18" ht="15.75" hidden="1" thickBot="1" x14ac:dyDescent="0.3">
      <c r="B6243" s="724" t="s">
        <v>878</v>
      </c>
      <c r="C6243" s="722" t="s">
        <v>63</v>
      </c>
      <c r="D6243" t="s">
        <v>64</v>
      </c>
      <c r="E6243" s="147">
        <v>28.284559999999999</v>
      </c>
      <c r="F6243" s="147">
        <v>28.217580000000002</v>
      </c>
      <c r="G6243" s="147">
        <v>6.6979999999999998E-2</v>
      </c>
      <c r="H6243" s="147">
        <v>0.23736975318223605</v>
      </c>
      <c r="I6243" s="729"/>
      <c r="J6243" s="147">
        <v>28.284559999999999</v>
      </c>
      <c r="K6243" s="147">
        <v>0</v>
      </c>
      <c r="L6243" s="147">
        <v>337.86698000000001</v>
      </c>
      <c r="M6243" s="147">
        <v>336.83456000000001</v>
      </c>
      <c r="N6243" s="147">
        <v>1.0324199999999999</v>
      </c>
      <c r="O6243" s="147">
        <v>0.30650655324679271</v>
      </c>
      <c r="P6243" s="147">
        <v>168.15967000000001</v>
      </c>
      <c r="Q6243" s="147">
        <v>169.70731000000001</v>
      </c>
      <c r="R6243" s="147">
        <v>100.92033957963881</v>
      </c>
    </row>
    <row r="6244" spans="2:18" ht="15.75" hidden="1" thickBot="1" x14ac:dyDescent="0.3">
      <c r="B6244" s="724" t="s">
        <v>878</v>
      </c>
      <c r="C6244" s="722" t="s">
        <v>65</v>
      </c>
      <c r="D6244" t="s">
        <v>66</v>
      </c>
      <c r="E6244" s="148">
        <v>-5.0304000000000002</v>
      </c>
      <c r="F6244" s="148">
        <v>-4.7278700000000002</v>
      </c>
      <c r="G6244" s="148">
        <v>-0.30253000000000002</v>
      </c>
      <c r="H6244" s="148">
        <v>-6.3988646049912541</v>
      </c>
      <c r="I6244" s="728"/>
      <c r="J6244" s="148">
        <v>-5.0304000000000002</v>
      </c>
      <c r="K6244" s="148">
        <v>0</v>
      </c>
      <c r="L6244" s="148">
        <v>-61.259860000000003</v>
      </c>
      <c r="M6244" s="148">
        <v>-56.436799999999998</v>
      </c>
      <c r="N6244" s="148">
        <v>-4.8230599999999999</v>
      </c>
      <c r="O6244" s="148">
        <v>-8.5459487426643612</v>
      </c>
      <c r="P6244" s="148">
        <v>-31.170549999999999</v>
      </c>
      <c r="Q6244" s="148">
        <v>-30.089310000000001</v>
      </c>
      <c r="R6244" s="148">
        <v>-96.531212955818873</v>
      </c>
    </row>
    <row r="6245" spans="2:18" ht="15.75" hidden="1" thickBot="1" x14ac:dyDescent="0.3">
      <c r="B6245" s="724" t="s">
        <v>878</v>
      </c>
      <c r="C6245" s="149" t="s">
        <v>67</v>
      </c>
      <c r="D6245" t="s">
        <v>68</v>
      </c>
      <c r="E6245" s="147">
        <v>74.771410000000003</v>
      </c>
      <c r="F6245" s="147">
        <v>77.538319999999999</v>
      </c>
      <c r="G6245" s="147">
        <v>-2.7669100000000002</v>
      </c>
      <c r="H6245" s="147">
        <v>-3.5684420296957686</v>
      </c>
      <c r="I6245" s="729"/>
      <c r="J6245" s="147">
        <v>74.771410000000003</v>
      </c>
      <c r="K6245" s="147">
        <v>0</v>
      </c>
      <c r="L6245" s="147">
        <v>933.36773000000005</v>
      </c>
      <c r="M6245" s="147">
        <v>925.57848000000001</v>
      </c>
      <c r="N6245" s="147">
        <v>7.78925</v>
      </c>
      <c r="O6245" s="147">
        <v>0.84155478636452308</v>
      </c>
      <c r="P6245" s="147">
        <v>470.13362999999998</v>
      </c>
      <c r="Q6245" s="147">
        <v>463.23410000000001</v>
      </c>
      <c r="R6245" s="147">
        <v>98.532432151258774</v>
      </c>
    </row>
    <row r="6246" spans="2:18" ht="15.75" hidden="1" thickBot="1" x14ac:dyDescent="0.3">
      <c r="B6246" s="724" t="s">
        <v>878</v>
      </c>
      <c r="C6246" s="722" t="s">
        <v>69</v>
      </c>
      <c r="D6246" t="s">
        <v>70</v>
      </c>
      <c r="E6246" s="728"/>
      <c r="F6246" s="148">
        <v>0.505</v>
      </c>
      <c r="G6246" s="148">
        <v>-0.505</v>
      </c>
      <c r="H6246" s="148">
        <v>-100</v>
      </c>
      <c r="I6246" s="728"/>
      <c r="J6246" s="728"/>
      <c r="K6246" s="728"/>
      <c r="L6246" s="728"/>
      <c r="M6246" s="148">
        <v>2.02</v>
      </c>
      <c r="N6246" s="148">
        <v>-2.02</v>
      </c>
      <c r="O6246" s="148">
        <v>-100</v>
      </c>
      <c r="P6246" s="728"/>
      <c r="Q6246" s="728"/>
      <c r="R6246" s="728"/>
    </row>
    <row r="6247" spans="2:18" ht="15.75" hidden="1" thickBot="1" x14ac:dyDescent="0.3">
      <c r="B6247" s="724" t="s">
        <v>878</v>
      </c>
      <c r="C6247" s="722" t="s">
        <v>137</v>
      </c>
      <c r="D6247" t="s">
        <v>138</v>
      </c>
      <c r="E6247" s="729"/>
      <c r="F6247" s="729"/>
      <c r="G6247" s="729"/>
      <c r="H6247" s="729"/>
      <c r="I6247" s="729"/>
      <c r="J6247" s="729"/>
      <c r="K6247" s="729"/>
      <c r="L6247" s="147">
        <v>3.3520000000000001E-2</v>
      </c>
      <c r="M6247" s="729"/>
      <c r="N6247" s="147">
        <v>3.3520000000000001E-2</v>
      </c>
      <c r="O6247" s="147">
        <v>0</v>
      </c>
      <c r="P6247" s="729"/>
      <c r="Q6247" s="147">
        <v>3.3520000000000001E-2</v>
      </c>
      <c r="R6247" s="147">
        <v>0</v>
      </c>
    </row>
    <row r="6248" spans="2:18" ht="15.75" hidden="1" thickBot="1" x14ac:dyDescent="0.3">
      <c r="B6248" s="724" t="s">
        <v>878</v>
      </c>
      <c r="C6248" s="722" t="s">
        <v>139</v>
      </c>
      <c r="D6248" t="s">
        <v>140</v>
      </c>
      <c r="E6248" s="728"/>
      <c r="F6248" s="728"/>
      <c r="G6248" s="728"/>
      <c r="H6248" s="728"/>
      <c r="I6248" s="728"/>
      <c r="J6248" s="728"/>
      <c r="K6248" s="728"/>
      <c r="L6248" s="148">
        <v>0.20499999999999999</v>
      </c>
      <c r="M6248" s="728"/>
      <c r="N6248" s="148">
        <v>0.20499999999999999</v>
      </c>
      <c r="O6248" s="148">
        <v>0</v>
      </c>
      <c r="P6248" s="728"/>
      <c r="Q6248" s="148">
        <v>0.20499999999999999</v>
      </c>
      <c r="R6248" s="148">
        <v>0</v>
      </c>
    </row>
    <row r="6249" spans="2:18" ht="15.75" hidden="1" thickBot="1" x14ac:dyDescent="0.3">
      <c r="B6249" s="724" t="s">
        <v>878</v>
      </c>
      <c r="C6249" s="722" t="s">
        <v>169</v>
      </c>
      <c r="D6249" t="s">
        <v>170</v>
      </c>
      <c r="E6249" s="729"/>
      <c r="F6249" s="147">
        <v>0.37874999999999998</v>
      </c>
      <c r="G6249" s="147">
        <v>-0.37874999999999998</v>
      </c>
      <c r="H6249" s="147">
        <v>-100</v>
      </c>
      <c r="I6249" s="729"/>
      <c r="J6249" s="729"/>
      <c r="K6249" s="729"/>
      <c r="L6249" s="147">
        <v>9.1464999999999996</v>
      </c>
      <c r="M6249" s="147">
        <v>1.5149999999999999</v>
      </c>
      <c r="N6249" s="147">
        <v>7.6315</v>
      </c>
      <c r="O6249" s="147">
        <v>503.7293729372937</v>
      </c>
      <c r="P6249" s="147">
        <v>7.6124999999999998</v>
      </c>
      <c r="Q6249" s="147">
        <v>1.534</v>
      </c>
      <c r="R6249" s="147">
        <v>20.151067323481115</v>
      </c>
    </row>
    <row r="6250" spans="2:18" ht="15.75" hidden="1" thickBot="1" x14ac:dyDescent="0.3">
      <c r="B6250" s="724" t="s">
        <v>878</v>
      </c>
      <c r="C6250" s="722" t="s">
        <v>101</v>
      </c>
      <c r="D6250" t="s">
        <v>102</v>
      </c>
      <c r="E6250" s="148">
        <v>0.36427999999999999</v>
      </c>
      <c r="F6250" s="148">
        <v>0.12625</v>
      </c>
      <c r="G6250" s="148">
        <v>0.23802999999999999</v>
      </c>
      <c r="H6250" s="148">
        <v>188.53861386138612</v>
      </c>
      <c r="I6250" s="728"/>
      <c r="J6250" s="148">
        <v>0.36427999999999999</v>
      </c>
      <c r="K6250" s="148">
        <v>0</v>
      </c>
      <c r="L6250" s="148">
        <v>3.5473499999999998</v>
      </c>
      <c r="M6250" s="148">
        <v>1.5149999999999999</v>
      </c>
      <c r="N6250" s="148">
        <v>2.0323500000000001</v>
      </c>
      <c r="O6250" s="148">
        <v>134.14851485148515</v>
      </c>
      <c r="P6250" s="148">
        <v>1.0732600000000001</v>
      </c>
      <c r="Q6250" s="148">
        <v>2.4740899999999999</v>
      </c>
      <c r="R6250" s="148">
        <v>230.52102938710098</v>
      </c>
    </row>
    <row r="6251" spans="2:18" ht="15.75" hidden="1" thickBot="1" x14ac:dyDescent="0.3">
      <c r="B6251" s="724" t="s">
        <v>878</v>
      </c>
      <c r="C6251" s="722" t="s">
        <v>103</v>
      </c>
      <c r="D6251" t="s">
        <v>104</v>
      </c>
      <c r="E6251" s="147">
        <v>0.72775000000000001</v>
      </c>
      <c r="F6251" s="729"/>
      <c r="G6251" s="147">
        <v>0.72775000000000001</v>
      </c>
      <c r="H6251" s="147">
        <v>0</v>
      </c>
      <c r="I6251" s="729"/>
      <c r="J6251" s="147">
        <v>0.72775000000000001</v>
      </c>
      <c r="K6251" s="147">
        <v>0</v>
      </c>
      <c r="L6251" s="147">
        <v>0.72775000000000001</v>
      </c>
      <c r="M6251" s="729"/>
      <c r="N6251" s="147">
        <v>0.72775000000000001</v>
      </c>
      <c r="O6251" s="147">
        <v>0</v>
      </c>
      <c r="P6251" s="729"/>
      <c r="Q6251" s="147">
        <v>0.72775000000000001</v>
      </c>
      <c r="R6251" s="147">
        <v>0</v>
      </c>
    </row>
    <row r="6252" spans="2:18" ht="15.75" hidden="1" thickBot="1" x14ac:dyDescent="0.3">
      <c r="B6252" s="724" t="s">
        <v>878</v>
      </c>
      <c r="C6252" s="722" t="s">
        <v>109</v>
      </c>
      <c r="D6252" t="s">
        <v>110</v>
      </c>
      <c r="E6252" s="148">
        <v>0.3</v>
      </c>
      <c r="F6252" s="728"/>
      <c r="G6252" s="148">
        <v>0.3</v>
      </c>
      <c r="H6252" s="148">
        <v>0</v>
      </c>
      <c r="I6252" s="728"/>
      <c r="J6252" s="148">
        <v>0.3</v>
      </c>
      <c r="K6252" s="148">
        <v>0</v>
      </c>
      <c r="L6252" s="148">
        <v>0.52600999999999998</v>
      </c>
      <c r="M6252" s="728"/>
      <c r="N6252" s="148">
        <v>0.52600999999999998</v>
      </c>
      <c r="O6252" s="148">
        <v>0</v>
      </c>
      <c r="P6252" s="148">
        <v>0.14352999999999999</v>
      </c>
      <c r="Q6252" s="148">
        <v>0.38247999999999999</v>
      </c>
      <c r="R6252" s="148">
        <v>266.48087507838085</v>
      </c>
    </row>
    <row r="6253" spans="2:18" ht="15.75" hidden="1" thickBot="1" x14ac:dyDescent="0.3">
      <c r="B6253" s="724" t="s">
        <v>878</v>
      </c>
      <c r="C6253" s="722" t="s">
        <v>73</v>
      </c>
      <c r="D6253" t="s">
        <v>74</v>
      </c>
      <c r="E6253" s="147">
        <v>4.1163400000000001</v>
      </c>
      <c r="F6253" s="729"/>
      <c r="G6253" s="147">
        <v>4.1163400000000001</v>
      </c>
      <c r="H6253" s="147">
        <v>0</v>
      </c>
      <c r="I6253" s="729"/>
      <c r="J6253" s="147">
        <v>4.1163400000000001</v>
      </c>
      <c r="K6253" s="147">
        <v>0</v>
      </c>
      <c r="L6253" s="147">
        <v>18.68947</v>
      </c>
      <c r="M6253" s="729"/>
      <c r="N6253" s="147">
        <v>18.68947</v>
      </c>
      <c r="O6253" s="147">
        <v>0</v>
      </c>
      <c r="P6253" s="147">
        <v>10.103949999999999</v>
      </c>
      <c r="Q6253" s="147">
        <v>8.5855200000000007</v>
      </c>
      <c r="R6253" s="147">
        <v>84.971916923579386</v>
      </c>
    </row>
    <row r="6254" spans="2:18" ht="15.75" hidden="1" thickBot="1" x14ac:dyDescent="0.3">
      <c r="B6254" s="724" t="s">
        <v>878</v>
      </c>
      <c r="C6254" s="722" t="s">
        <v>111</v>
      </c>
      <c r="D6254" t="s">
        <v>112</v>
      </c>
      <c r="E6254" s="148">
        <v>6.2579999999999997E-2</v>
      </c>
      <c r="F6254" s="728"/>
      <c r="G6254" s="148">
        <v>6.2579999999999997E-2</v>
      </c>
      <c r="H6254" s="148">
        <v>0</v>
      </c>
      <c r="I6254" s="728"/>
      <c r="J6254" s="148">
        <v>6.2579999999999997E-2</v>
      </c>
      <c r="K6254" s="148">
        <v>0</v>
      </c>
      <c r="L6254" s="148">
        <v>1.68408</v>
      </c>
      <c r="M6254" s="728"/>
      <c r="N6254" s="148">
        <v>1.68408</v>
      </c>
      <c r="O6254" s="148">
        <v>0</v>
      </c>
      <c r="P6254" s="148">
        <v>0.64893000000000001</v>
      </c>
      <c r="Q6254" s="148">
        <v>1.03515</v>
      </c>
      <c r="R6254" s="148">
        <v>159.51643474642873</v>
      </c>
    </row>
    <row r="6255" spans="2:18" ht="15.75" hidden="1" thickBot="1" x14ac:dyDescent="0.3">
      <c r="B6255" s="724" t="s">
        <v>878</v>
      </c>
      <c r="C6255" s="722" t="s">
        <v>141</v>
      </c>
      <c r="D6255" t="s">
        <v>142</v>
      </c>
      <c r="E6255" s="147">
        <v>3.184E-2</v>
      </c>
      <c r="F6255" s="729"/>
      <c r="G6255" s="147">
        <v>3.184E-2</v>
      </c>
      <c r="H6255" s="147">
        <v>0</v>
      </c>
      <c r="I6255" s="729"/>
      <c r="J6255" s="147">
        <v>3.184E-2</v>
      </c>
      <c r="K6255" s="147">
        <v>0</v>
      </c>
      <c r="L6255" s="147">
        <v>0.34444000000000002</v>
      </c>
      <c r="M6255" s="729"/>
      <c r="N6255" s="147">
        <v>0.34444000000000002</v>
      </c>
      <c r="O6255" s="147">
        <v>0</v>
      </c>
      <c r="P6255" s="147">
        <v>0.13541</v>
      </c>
      <c r="Q6255" s="147">
        <v>0.20902999999999999</v>
      </c>
      <c r="R6255" s="147">
        <v>154.36821505058711</v>
      </c>
    </row>
    <row r="6256" spans="2:18" ht="15.75" hidden="1" thickBot="1" x14ac:dyDescent="0.3">
      <c r="B6256" s="724" t="s">
        <v>878</v>
      </c>
      <c r="C6256" s="722" t="s">
        <v>113</v>
      </c>
      <c r="D6256" t="s">
        <v>114</v>
      </c>
      <c r="E6256" s="148">
        <v>0.68913999999999997</v>
      </c>
      <c r="F6256" s="728"/>
      <c r="G6256" s="148">
        <v>0.68913999999999997</v>
      </c>
      <c r="H6256" s="148">
        <v>0</v>
      </c>
      <c r="I6256" s="728"/>
      <c r="J6256" s="148">
        <v>0.68913999999999997</v>
      </c>
      <c r="K6256" s="148">
        <v>0</v>
      </c>
      <c r="L6256" s="148">
        <v>5.5712099999999998</v>
      </c>
      <c r="M6256" s="728"/>
      <c r="N6256" s="148">
        <v>5.5712099999999998</v>
      </c>
      <c r="O6256" s="148">
        <v>0</v>
      </c>
      <c r="P6256" s="148">
        <v>0.88221000000000005</v>
      </c>
      <c r="Q6256" s="148">
        <v>4.6890000000000001</v>
      </c>
      <c r="R6256" s="148">
        <v>531.50610398884623</v>
      </c>
    </row>
    <row r="6257" spans="2:18" ht="15.75" hidden="1" thickBot="1" x14ac:dyDescent="0.3">
      <c r="B6257" s="724" t="s">
        <v>878</v>
      </c>
      <c r="C6257" s="722" t="s">
        <v>633</v>
      </c>
      <c r="D6257" t="s">
        <v>634</v>
      </c>
      <c r="E6257" s="729"/>
      <c r="F6257" s="729"/>
      <c r="G6257" s="729"/>
      <c r="H6257" s="729"/>
      <c r="I6257" s="729"/>
      <c r="J6257" s="729"/>
      <c r="K6257" s="729"/>
      <c r="L6257" s="147">
        <v>7.8E-2</v>
      </c>
      <c r="M6257" s="729"/>
      <c r="N6257" s="147">
        <v>7.8E-2</v>
      </c>
      <c r="O6257" s="147">
        <v>0</v>
      </c>
      <c r="P6257" s="729"/>
      <c r="Q6257" s="147">
        <v>7.8E-2</v>
      </c>
      <c r="R6257" s="147">
        <v>0</v>
      </c>
    </row>
    <row r="6258" spans="2:18" ht="15.75" hidden="1" thickBot="1" x14ac:dyDescent="0.3">
      <c r="B6258" s="724" t="s">
        <v>878</v>
      </c>
      <c r="C6258" s="722" t="s">
        <v>145</v>
      </c>
      <c r="D6258" t="s">
        <v>146</v>
      </c>
      <c r="E6258" s="148">
        <v>5.1000000000000004E-3</v>
      </c>
      <c r="F6258" s="728"/>
      <c r="G6258" s="148">
        <v>5.1000000000000004E-3</v>
      </c>
      <c r="H6258" s="148">
        <v>0</v>
      </c>
      <c r="I6258" s="728"/>
      <c r="J6258" s="148">
        <v>5.1000000000000004E-3</v>
      </c>
      <c r="K6258" s="148">
        <v>0</v>
      </c>
      <c r="L6258" s="148">
        <v>3.5099999999999999E-2</v>
      </c>
      <c r="M6258" s="728"/>
      <c r="N6258" s="148">
        <v>3.5099999999999999E-2</v>
      </c>
      <c r="O6258" s="148">
        <v>0</v>
      </c>
      <c r="P6258" s="148">
        <v>0.03</v>
      </c>
      <c r="Q6258" s="148">
        <v>5.1000000000000004E-3</v>
      </c>
      <c r="R6258" s="148">
        <v>17</v>
      </c>
    </row>
    <row r="6259" spans="2:18" ht="15.75" hidden="1" thickBot="1" x14ac:dyDescent="0.3">
      <c r="B6259" s="724" t="s">
        <v>878</v>
      </c>
      <c r="C6259" s="722" t="s">
        <v>147</v>
      </c>
      <c r="D6259" t="s">
        <v>148</v>
      </c>
      <c r="E6259" s="729"/>
      <c r="F6259" s="729"/>
      <c r="G6259" s="729"/>
      <c r="H6259" s="729"/>
      <c r="I6259" s="729"/>
      <c r="J6259" s="729"/>
      <c r="K6259" s="729"/>
      <c r="L6259" s="147">
        <v>8.2049999999999998E-2</v>
      </c>
      <c r="M6259" s="729"/>
      <c r="N6259" s="147">
        <v>8.2049999999999998E-2</v>
      </c>
      <c r="O6259" s="147">
        <v>0</v>
      </c>
      <c r="P6259" s="147">
        <v>4.4049999999999999E-2</v>
      </c>
      <c r="Q6259" s="147">
        <v>3.7999999999999999E-2</v>
      </c>
      <c r="R6259" s="147">
        <v>86.265607264472195</v>
      </c>
    </row>
    <row r="6260" spans="2:18" ht="15.75" hidden="1" thickBot="1" x14ac:dyDescent="0.3">
      <c r="B6260" s="724" t="s">
        <v>878</v>
      </c>
      <c r="C6260" s="722" t="s">
        <v>75</v>
      </c>
      <c r="D6260" t="s">
        <v>76</v>
      </c>
      <c r="E6260" s="148">
        <v>1.6288800000000001</v>
      </c>
      <c r="F6260" s="148">
        <v>0.42082999999999998</v>
      </c>
      <c r="G6260" s="148">
        <v>1.2080500000000001</v>
      </c>
      <c r="H6260" s="148">
        <v>287.06365991017753</v>
      </c>
      <c r="I6260" s="728"/>
      <c r="J6260" s="148">
        <v>1.6288800000000001</v>
      </c>
      <c r="K6260" s="148">
        <v>0</v>
      </c>
      <c r="L6260" s="148">
        <v>17.023669999999999</v>
      </c>
      <c r="M6260" s="148">
        <v>5.05</v>
      </c>
      <c r="N6260" s="148">
        <v>11.97367</v>
      </c>
      <c r="O6260" s="148">
        <v>237.10237623762376</v>
      </c>
      <c r="P6260" s="148">
        <v>9.4743899999999996</v>
      </c>
      <c r="Q6260" s="148">
        <v>7.5492800000000004</v>
      </c>
      <c r="R6260" s="148">
        <v>79.680908216782299</v>
      </c>
    </row>
    <row r="6261" spans="2:18" ht="15.75" hidden="1" thickBot="1" x14ac:dyDescent="0.3">
      <c r="B6261" s="724" t="s">
        <v>878</v>
      </c>
      <c r="C6261" s="722" t="s">
        <v>121</v>
      </c>
      <c r="D6261" t="s">
        <v>122</v>
      </c>
      <c r="E6261" s="729"/>
      <c r="F6261" s="729"/>
      <c r="G6261" s="729"/>
      <c r="H6261" s="729"/>
      <c r="I6261" s="729"/>
      <c r="J6261" s="729"/>
      <c r="K6261" s="729"/>
      <c r="L6261" s="729"/>
      <c r="M6261" s="147">
        <v>21.715</v>
      </c>
      <c r="N6261" s="147">
        <v>-21.715</v>
      </c>
      <c r="O6261" s="147">
        <v>-100</v>
      </c>
      <c r="P6261" s="729"/>
      <c r="Q6261" s="729"/>
      <c r="R6261" s="729"/>
    </row>
    <row r="6262" spans="2:18" ht="15.75" hidden="1" thickBot="1" x14ac:dyDescent="0.3">
      <c r="B6262" s="724" t="s">
        <v>878</v>
      </c>
      <c r="C6262" s="722" t="s">
        <v>77</v>
      </c>
      <c r="D6262" t="s">
        <v>78</v>
      </c>
      <c r="E6262" s="728"/>
      <c r="F6262" s="728"/>
      <c r="G6262" s="728"/>
      <c r="H6262" s="728"/>
      <c r="I6262" s="728"/>
      <c r="J6262" s="728"/>
      <c r="K6262" s="728"/>
      <c r="L6262" s="148">
        <v>0.25963999999999998</v>
      </c>
      <c r="M6262" s="728"/>
      <c r="N6262" s="148">
        <v>0.25963999999999998</v>
      </c>
      <c r="O6262" s="148">
        <v>0</v>
      </c>
      <c r="P6262" s="148">
        <v>0.25963999999999998</v>
      </c>
      <c r="Q6262" s="148">
        <v>0</v>
      </c>
      <c r="R6262" s="148">
        <v>0</v>
      </c>
    </row>
    <row r="6263" spans="2:18" ht="15.75" hidden="1" thickBot="1" x14ac:dyDescent="0.3">
      <c r="B6263" s="724" t="s">
        <v>878</v>
      </c>
      <c r="C6263" s="722" t="s">
        <v>81</v>
      </c>
      <c r="D6263" t="s">
        <v>82</v>
      </c>
      <c r="E6263" s="147">
        <v>1.8143199999999999</v>
      </c>
      <c r="F6263" s="729"/>
      <c r="G6263" s="147">
        <v>1.8143199999999999</v>
      </c>
      <c r="H6263" s="147">
        <v>0</v>
      </c>
      <c r="I6263" s="729"/>
      <c r="J6263" s="147">
        <v>1.8143199999999999</v>
      </c>
      <c r="K6263" s="147">
        <v>0</v>
      </c>
      <c r="L6263" s="147">
        <v>2.0957300000000001</v>
      </c>
      <c r="M6263" s="729"/>
      <c r="N6263" s="147">
        <v>2.0957300000000001</v>
      </c>
      <c r="O6263" s="147">
        <v>0</v>
      </c>
      <c r="P6263" s="729"/>
      <c r="Q6263" s="147">
        <v>2.0957300000000001</v>
      </c>
      <c r="R6263" s="147">
        <v>0</v>
      </c>
    </row>
    <row r="6264" spans="2:18" ht="15.75" hidden="1" thickBot="1" x14ac:dyDescent="0.3">
      <c r="B6264" s="724" t="s">
        <v>878</v>
      </c>
      <c r="C6264" s="722" t="s">
        <v>125</v>
      </c>
      <c r="D6264" t="s">
        <v>126</v>
      </c>
      <c r="E6264" s="148">
        <v>0.63997999999999999</v>
      </c>
      <c r="F6264" s="728"/>
      <c r="G6264" s="148">
        <v>0.63997999999999999</v>
      </c>
      <c r="H6264" s="148">
        <v>0</v>
      </c>
      <c r="I6264" s="728"/>
      <c r="J6264" s="148">
        <v>0.63997999999999999</v>
      </c>
      <c r="K6264" s="148">
        <v>0</v>
      </c>
      <c r="L6264" s="148">
        <v>0.63997999999999999</v>
      </c>
      <c r="M6264" s="728"/>
      <c r="N6264" s="148">
        <v>0.63997999999999999</v>
      </c>
      <c r="O6264" s="148">
        <v>0</v>
      </c>
      <c r="P6264" s="728"/>
      <c r="Q6264" s="148">
        <v>0.63997999999999999</v>
      </c>
      <c r="R6264" s="148">
        <v>0</v>
      </c>
    </row>
    <row r="6265" spans="2:18" ht="15.75" hidden="1" thickBot="1" x14ac:dyDescent="0.3">
      <c r="B6265" s="724" t="s">
        <v>878</v>
      </c>
      <c r="C6265" s="722" t="s">
        <v>83</v>
      </c>
      <c r="D6265" t="s">
        <v>84</v>
      </c>
      <c r="E6265" s="729"/>
      <c r="F6265" s="147">
        <v>6.0801999999999996</v>
      </c>
      <c r="G6265" s="147">
        <v>-6.0801999999999996</v>
      </c>
      <c r="H6265" s="147">
        <v>-100</v>
      </c>
      <c r="I6265" s="729"/>
      <c r="J6265" s="729"/>
      <c r="K6265" s="729"/>
      <c r="L6265" s="729"/>
      <c r="M6265" s="147">
        <v>72.518000000000001</v>
      </c>
      <c r="N6265" s="147">
        <v>-72.518000000000001</v>
      </c>
      <c r="O6265" s="147">
        <v>-100</v>
      </c>
      <c r="P6265" s="729"/>
      <c r="Q6265" s="729"/>
      <c r="R6265" s="729"/>
    </row>
    <row r="6266" spans="2:18" ht="15.75" hidden="1" thickBot="1" x14ac:dyDescent="0.3">
      <c r="B6266" s="724" t="s">
        <v>878</v>
      </c>
      <c r="C6266" s="149" t="s">
        <v>85</v>
      </c>
      <c r="D6266" t="s">
        <v>86</v>
      </c>
      <c r="E6266" s="148">
        <v>10.38021</v>
      </c>
      <c r="F6266" s="148">
        <v>7.5110299999999999</v>
      </c>
      <c r="G6266" s="148">
        <v>2.8691800000000001</v>
      </c>
      <c r="H6266" s="148">
        <v>38.19955452181658</v>
      </c>
      <c r="I6266" s="728"/>
      <c r="J6266" s="148">
        <v>10.38021</v>
      </c>
      <c r="K6266" s="148">
        <v>0</v>
      </c>
      <c r="L6266" s="148">
        <v>60.689500000000002</v>
      </c>
      <c r="M6266" s="148">
        <v>104.333</v>
      </c>
      <c r="N6266" s="148">
        <v>-43.643500000000003</v>
      </c>
      <c r="O6266" s="148">
        <v>-41.830964316179923</v>
      </c>
      <c r="P6266" s="148">
        <v>30.407869999999999</v>
      </c>
      <c r="Q6266" s="148">
        <v>30.28163</v>
      </c>
      <c r="R6266" s="148">
        <v>99.584844318263663</v>
      </c>
    </row>
    <row r="6267" spans="2:18" ht="15.75" hidden="1" thickBot="1" x14ac:dyDescent="0.3">
      <c r="B6267" s="724" t="s">
        <v>878</v>
      </c>
      <c r="C6267" s="144" t="s">
        <v>87</v>
      </c>
      <c r="D6267" t="s">
        <v>87</v>
      </c>
      <c r="E6267" s="147">
        <v>85.151619999999994</v>
      </c>
      <c r="F6267" s="147">
        <v>85.049350000000004</v>
      </c>
      <c r="G6267" s="147">
        <v>0.10227</v>
      </c>
      <c r="H6267" s="147">
        <v>0.12024783258190685</v>
      </c>
      <c r="I6267" s="729"/>
      <c r="J6267" s="147">
        <v>85.151619999999994</v>
      </c>
      <c r="K6267" s="147">
        <v>0</v>
      </c>
      <c r="L6267" s="147">
        <v>994.05723</v>
      </c>
      <c r="M6267" s="147">
        <v>1029.91148</v>
      </c>
      <c r="N6267" s="147">
        <v>-35.85425</v>
      </c>
      <c r="O6267" s="147">
        <v>-3.4812943341499603</v>
      </c>
      <c r="P6267" s="147">
        <v>500.54149999999998</v>
      </c>
      <c r="Q6267" s="147">
        <v>493.51573000000002</v>
      </c>
      <c r="R6267" s="147">
        <v>98.596366135475279</v>
      </c>
    </row>
    <row r="6268" spans="2:18" ht="15.75" hidden="1" thickBot="1" x14ac:dyDescent="0.3">
      <c r="B6268" s="724" t="s">
        <v>879</v>
      </c>
      <c r="C6268" s="722" t="s">
        <v>59</v>
      </c>
      <c r="D6268" t="s">
        <v>60</v>
      </c>
      <c r="E6268" s="148">
        <v>203.81317000000001</v>
      </c>
      <c r="F6268" s="148">
        <v>277.27019999999999</v>
      </c>
      <c r="G6268" s="148">
        <v>-73.457030000000003</v>
      </c>
      <c r="H6268" s="148">
        <v>-26.492940820903222</v>
      </c>
      <c r="I6268" s="728"/>
      <c r="J6268" s="148">
        <v>203.81317000000001</v>
      </c>
      <c r="K6268" s="148">
        <v>0</v>
      </c>
      <c r="L6268" s="148">
        <v>2859.9829800000002</v>
      </c>
      <c r="M6268" s="148">
        <v>3309.7871399999999</v>
      </c>
      <c r="N6268" s="148">
        <v>-449.80416000000002</v>
      </c>
      <c r="O6268" s="148">
        <v>-13.590123502625005</v>
      </c>
      <c r="P6268" s="148">
        <v>1466.05637</v>
      </c>
      <c r="Q6268" s="148">
        <v>1393.92661</v>
      </c>
      <c r="R6268" s="148">
        <v>95.080014556329786</v>
      </c>
    </row>
    <row r="6269" spans="2:18" ht="15.75" hidden="1" thickBot="1" x14ac:dyDescent="0.3">
      <c r="B6269" s="724" t="s">
        <v>879</v>
      </c>
      <c r="C6269" s="722" t="s">
        <v>134</v>
      </c>
      <c r="D6269" t="s">
        <v>135</v>
      </c>
      <c r="E6269" s="147">
        <v>5.8234599999999999</v>
      </c>
      <c r="F6269" s="729"/>
      <c r="G6269" s="147">
        <v>5.8234599999999999</v>
      </c>
      <c r="H6269" s="147">
        <v>0</v>
      </c>
      <c r="I6269" s="729"/>
      <c r="J6269" s="147">
        <v>5.8234599999999999</v>
      </c>
      <c r="K6269" s="147">
        <v>0</v>
      </c>
      <c r="L6269" s="147">
        <v>197.00575000000001</v>
      </c>
      <c r="M6269" s="729"/>
      <c r="N6269" s="147">
        <v>197.00575000000001</v>
      </c>
      <c r="O6269" s="147">
        <v>0</v>
      </c>
      <c r="P6269" s="147">
        <v>111.73784000000001</v>
      </c>
      <c r="Q6269" s="147">
        <v>85.267910000000001</v>
      </c>
      <c r="R6269" s="147">
        <v>76.310684008210643</v>
      </c>
    </row>
    <row r="6270" spans="2:18" ht="15.75" hidden="1" thickBot="1" x14ac:dyDescent="0.3">
      <c r="B6270" s="724" t="s">
        <v>879</v>
      </c>
      <c r="C6270" s="722" t="s">
        <v>61</v>
      </c>
      <c r="D6270" t="s">
        <v>62</v>
      </c>
      <c r="E6270" s="148">
        <v>37.903730000000003</v>
      </c>
      <c r="F6270" s="148">
        <v>42.976880000000001</v>
      </c>
      <c r="G6270" s="148">
        <v>-5.07315</v>
      </c>
      <c r="H6270" s="148">
        <v>-11.804370163678703</v>
      </c>
      <c r="I6270" s="728"/>
      <c r="J6270" s="148">
        <v>37.903730000000003</v>
      </c>
      <c r="K6270" s="148">
        <v>0</v>
      </c>
      <c r="L6270" s="148">
        <v>440.74621999999999</v>
      </c>
      <c r="M6270" s="148">
        <v>513.01700000000005</v>
      </c>
      <c r="N6270" s="148">
        <v>-72.270780000000002</v>
      </c>
      <c r="O6270" s="148">
        <v>-14.087404510961624</v>
      </c>
      <c r="P6270" s="148">
        <v>215.20984999999999</v>
      </c>
      <c r="Q6270" s="148">
        <v>225.53637000000001</v>
      </c>
      <c r="R6270" s="148">
        <v>104.79834914619381</v>
      </c>
    </row>
    <row r="6271" spans="2:18" ht="15.75" hidden="1" thickBot="1" x14ac:dyDescent="0.3">
      <c r="B6271" s="724" t="s">
        <v>879</v>
      </c>
      <c r="C6271" s="722" t="s">
        <v>63</v>
      </c>
      <c r="D6271" t="s">
        <v>64</v>
      </c>
      <c r="E6271" s="147">
        <v>0.30556</v>
      </c>
      <c r="F6271" s="729"/>
      <c r="G6271" s="147">
        <v>0.30556</v>
      </c>
      <c r="H6271" s="147">
        <v>0</v>
      </c>
      <c r="I6271" s="729"/>
      <c r="J6271" s="147">
        <v>0.30556</v>
      </c>
      <c r="K6271" s="147">
        <v>0</v>
      </c>
      <c r="L6271" s="147">
        <v>19.42379</v>
      </c>
      <c r="M6271" s="729"/>
      <c r="N6271" s="147">
        <v>19.42379</v>
      </c>
      <c r="O6271" s="147">
        <v>0</v>
      </c>
      <c r="P6271" s="147">
        <v>11.173780000000001</v>
      </c>
      <c r="Q6271" s="147">
        <v>8.2500099999999996</v>
      </c>
      <c r="R6271" s="147">
        <v>73.833653427935758</v>
      </c>
    </row>
    <row r="6272" spans="2:18" ht="15.75" hidden="1" thickBot="1" x14ac:dyDescent="0.3">
      <c r="B6272" s="724" t="s">
        <v>879</v>
      </c>
      <c r="C6272" s="722" t="s">
        <v>570</v>
      </c>
      <c r="D6272" t="s">
        <v>571</v>
      </c>
      <c r="E6272" s="148">
        <v>193.76743999999999</v>
      </c>
      <c r="F6272" s="148">
        <v>229.857</v>
      </c>
      <c r="G6272" s="148">
        <v>-36.089559999999999</v>
      </c>
      <c r="H6272" s="148">
        <v>-15.700874891780542</v>
      </c>
      <c r="I6272" s="728"/>
      <c r="J6272" s="148">
        <v>193.76743999999999</v>
      </c>
      <c r="K6272" s="148">
        <v>0</v>
      </c>
      <c r="L6272" s="148">
        <v>2253.1383999999998</v>
      </c>
      <c r="M6272" s="148">
        <v>2743.81358</v>
      </c>
      <c r="N6272" s="148">
        <v>-490.67518000000001</v>
      </c>
      <c r="O6272" s="148">
        <v>-17.882963462845751</v>
      </c>
      <c r="P6272" s="148">
        <v>1100.17409</v>
      </c>
      <c r="Q6272" s="148">
        <v>1152.9643100000001</v>
      </c>
      <c r="R6272" s="148">
        <v>104.79835150453324</v>
      </c>
    </row>
    <row r="6273" spans="2:18" ht="15.75" hidden="1" thickBot="1" x14ac:dyDescent="0.3">
      <c r="B6273" s="724" t="s">
        <v>879</v>
      </c>
      <c r="C6273" s="722" t="s">
        <v>180</v>
      </c>
      <c r="D6273" t="s">
        <v>181</v>
      </c>
      <c r="E6273" s="729"/>
      <c r="F6273" s="147">
        <v>0</v>
      </c>
      <c r="G6273" s="147">
        <v>0</v>
      </c>
      <c r="H6273" s="147">
        <v>0</v>
      </c>
      <c r="I6273" s="729"/>
      <c r="J6273" s="729"/>
      <c r="K6273" s="729"/>
      <c r="L6273" s="729"/>
      <c r="M6273" s="147">
        <v>0</v>
      </c>
      <c r="N6273" s="147">
        <v>0</v>
      </c>
      <c r="O6273" s="147">
        <v>0</v>
      </c>
      <c r="P6273" s="729"/>
      <c r="Q6273" s="729"/>
      <c r="R6273" s="729"/>
    </row>
    <row r="6274" spans="2:18" ht="15.75" hidden="1" thickBot="1" x14ac:dyDescent="0.3">
      <c r="B6274" s="724" t="s">
        <v>879</v>
      </c>
      <c r="C6274" s="722" t="s">
        <v>65</v>
      </c>
      <c r="D6274" t="s">
        <v>66</v>
      </c>
      <c r="E6274" s="148">
        <v>-32.749079999999999</v>
      </c>
      <c r="F6274" s="148">
        <v>-88.887190000000004</v>
      </c>
      <c r="G6274" s="148">
        <v>56.138109999999998</v>
      </c>
      <c r="H6274" s="148">
        <v>63.156580830151114</v>
      </c>
      <c r="I6274" s="728"/>
      <c r="J6274" s="148">
        <v>-32.749079999999999</v>
      </c>
      <c r="K6274" s="148">
        <v>0</v>
      </c>
      <c r="L6274" s="148">
        <v>-277.28536000000003</v>
      </c>
      <c r="M6274" s="148">
        <v>-1061.0504800000001</v>
      </c>
      <c r="N6274" s="148">
        <v>783.76512000000002</v>
      </c>
      <c r="O6274" s="148">
        <v>73.866902166615105</v>
      </c>
      <c r="P6274" s="148">
        <v>-124.27918</v>
      </c>
      <c r="Q6274" s="148">
        <v>-153.00618</v>
      </c>
      <c r="R6274" s="148">
        <v>-123.11489341979888</v>
      </c>
    </row>
    <row r="6275" spans="2:18" ht="15.75" hidden="1" thickBot="1" x14ac:dyDescent="0.3">
      <c r="B6275" s="724" t="s">
        <v>879</v>
      </c>
      <c r="C6275" s="149" t="s">
        <v>67</v>
      </c>
      <c r="D6275" t="s">
        <v>68</v>
      </c>
      <c r="E6275" s="147">
        <v>408.86428000000001</v>
      </c>
      <c r="F6275" s="147">
        <v>461.21688999999998</v>
      </c>
      <c r="G6275" s="147">
        <v>-52.352609999999999</v>
      </c>
      <c r="H6275" s="147">
        <v>-11.350974158817124</v>
      </c>
      <c r="I6275" s="729"/>
      <c r="J6275" s="147">
        <v>408.86428000000001</v>
      </c>
      <c r="K6275" s="147">
        <v>0</v>
      </c>
      <c r="L6275" s="147">
        <v>5493.0117799999998</v>
      </c>
      <c r="M6275" s="147">
        <v>5505.5672400000003</v>
      </c>
      <c r="N6275" s="147">
        <v>-12.55546</v>
      </c>
      <c r="O6275" s="147">
        <v>-0.22805025263845474</v>
      </c>
      <c r="P6275" s="147">
        <v>2780.0727499999998</v>
      </c>
      <c r="Q6275" s="147">
        <v>2712.93903</v>
      </c>
      <c r="R6275" s="147">
        <v>97.585181179161594</v>
      </c>
    </row>
    <row r="6276" spans="2:18" ht="15.75" hidden="1" thickBot="1" x14ac:dyDescent="0.3">
      <c r="B6276" s="724" t="s">
        <v>879</v>
      </c>
      <c r="C6276" s="722" t="s">
        <v>582</v>
      </c>
      <c r="D6276" t="s">
        <v>583</v>
      </c>
      <c r="E6276" s="728"/>
      <c r="F6276" s="728"/>
      <c r="G6276" s="728"/>
      <c r="H6276" s="728"/>
      <c r="I6276" s="728"/>
      <c r="J6276" s="728"/>
      <c r="K6276" s="728"/>
      <c r="L6276" s="148">
        <v>0.10238</v>
      </c>
      <c r="M6276" s="728"/>
      <c r="N6276" s="148">
        <v>0.10238</v>
      </c>
      <c r="O6276" s="148">
        <v>0</v>
      </c>
      <c r="P6276" s="148">
        <v>0.10238</v>
      </c>
      <c r="Q6276" s="148">
        <v>0</v>
      </c>
      <c r="R6276" s="148">
        <v>0</v>
      </c>
    </row>
    <row r="6277" spans="2:18" ht="15.75" hidden="1" thickBot="1" x14ac:dyDescent="0.3">
      <c r="B6277" s="724" t="s">
        <v>879</v>
      </c>
      <c r="C6277" s="722" t="s">
        <v>77</v>
      </c>
      <c r="D6277" t="s">
        <v>78</v>
      </c>
      <c r="E6277" s="729"/>
      <c r="F6277" s="729"/>
      <c r="G6277" s="729"/>
      <c r="H6277" s="729"/>
      <c r="I6277" s="729"/>
      <c r="J6277" s="729"/>
      <c r="K6277" s="729"/>
      <c r="L6277" s="147">
        <v>0</v>
      </c>
      <c r="M6277" s="729"/>
      <c r="N6277" s="147">
        <v>0</v>
      </c>
      <c r="O6277" s="147">
        <v>0</v>
      </c>
      <c r="P6277" s="729"/>
      <c r="Q6277" s="147">
        <v>0</v>
      </c>
      <c r="R6277" s="147">
        <v>0</v>
      </c>
    </row>
    <row r="6278" spans="2:18" ht="15.75" hidden="1" thickBot="1" x14ac:dyDescent="0.3">
      <c r="B6278" s="724" t="s">
        <v>879</v>
      </c>
      <c r="C6278" s="149" t="s">
        <v>85</v>
      </c>
      <c r="D6278" t="s">
        <v>86</v>
      </c>
      <c r="E6278" s="728"/>
      <c r="F6278" s="728"/>
      <c r="G6278" s="728"/>
      <c r="H6278" s="728"/>
      <c r="I6278" s="728"/>
      <c r="J6278" s="728"/>
      <c r="K6278" s="728"/>
      <c r="L6278" s="148">
        <v>0.10238</v>
      </c>
      <c r="M6278" s="728"/>
      <c r="N6278" s="148">
        <v>0.10238</v>
      </c>
      <c r="O6278" s="148">
        <v>0</v>
      </c>
      <c r="P6278" s="148">
        <v>0.10238</v>
      </c>
      <c r="Q6278" s="148">
        <v>0</v>
      </c>
      <c r="R6278" s="148">
        <v>0</v>
      </c>
    </row>
    <row r="6279" spans="2:18" ht="15.75" hidden="1" thickBot="1" x14ac:dyDescent="0.3">
      <c r="B6279" s="724" t="s">
        <v>879</v>
      </c>
      <c r="C6279" s="144" t="s">
        <v>87</v>
      </c>
      <c r="D6279" t="s">
        <v>87</v>
      </c>
      <c r="E6279" s="147">
        <v>408.86428000000001</v>
      </c>
      <c r="F6279" s="147">
        <v>461.21688999999998</v>
      </c>
      <c r="G6279" s="147">
        <v>-52.352609999999999</v>
      </c>
      <c r="H6279" s="147">
        <v>-11.350974158817124</v>
      </c>
      <c r="I6279" s="729"/>
      <c r="J6279" s="147">
        <v>408.86428000000001</v>
      </c>
      <c r="K6279" s="147">
        <v>0</v>
      </c>
      <c r="L6279" s="147">
        <v>5493.1141600000001</v>
      </c>
      <c r="M6279" s="147">
        <v>5505.5672400000003</v>
      </c>
      <c r="N6279" s="147">
        <v>-12.45308</v>
      </c>
      <c r="O6279" s="147">
        <v>-0.22619068039935519</v>
      </c>
      <c r="P6279" s="147">
        <v>2780.1751300000001</v>
      </c>
      <c r="Q6279" s="147">
        <v>2712.93903</v>
      </c>
      <c r="R6279" s="147">
        <v>97.581587603080237</v>
      </c>
    </row>
    <row r="6280" spans="2:18" ht="15.75" hidden="1" thickBot="1" x14ac:dyDescent="0.3">
      <c r="B6280" s="724" t="s">
        <v>880</v>
      </c>
      <c r="C6280" s="722" t="s">
        <v>59</v>
      </c>
      <c r="D6280" t="s">
        <v>60</v>
      </c>
      <c r="E6280" s="148">
        <v>36.730829999999997</v>
      </c>
      <c r="F6280" s="148">
        <v>77.251270000000005</v>
      </c>
      <c r="G6280" s="148">
        <v>-40.520440000000001</v>
      </c>
      <c r="H6280" s="148">
        <v>-52.452781682424124</v>
      </c>
      <c r="I6280" s="728"/>
      <c r="J6280" s="148">
        <v>36.730829999999997</v>
      </c>
      <c r="K6280" s="148">
        <v>0</v>
      </c>
      <c r="L6280" s="148">
        <v>610.64608999999996</v>
      </c>
      <c r="M6280" s="148">
        <v>922.15196000000003</v>
      </c>
      <c r="N6280" s="148">
        <v>-311.50587000000002</v>
      </c>
      <c r="O6280" s="148">
        <v>-33.780318593044036</v>
      </c>
      <c r="P6280" s="148">
        <v>366.98419999999999</v>
      </c>
      <c r="Q6280" s="148">
        <v>243.66189</v>
      </c>
      <c r="R6280" s="148">
        <v>66.395744012957508</v>
      </c>
    </row>
    <row r="6281" spans="2:18" ht="15.75" hidden="1" thickBot="1" x14ac:dyDescent="0.3">
      <c r="B6281" s="724" t="s">
        <v>880</v>
      </c>
      <c r="C6281" s="722" t="s">
        <v>134</v>
      </c>
      <c r="D6281" t="s">
        <v>135</v>
      </c>
      <c r="E6281" s="147">
        <v>8.0879499999999993</v>
      </c>
      <c r="F6281" s="729"/>
      <c r="G6281" s="147">
        <v>8.0879499999999993</v>
      </c>
      <c r="H6281" s="147">
        <v>0</v>
      </c>
      <c r="I6281" s="729"/>
      <c r="J6281" s="147">
        <v>8.0879499999999993</v>
      </c>
      <c r="K6281" s="147">
        <v>0</v>
      </c>
      <c r="L6281" s="147">
        <v>18.106670000000001</v>
      </c>
      <c r="M6281" s="729"/>
      <c r="N6281" s="147">
        <v>18.106670000000001</v>
      </c>
      <c r="O6281" s="147">
        <v>0</v>
      </c>
      <c r="P6281" s="147">
        <v>11.939859999999999</v>
      </c>
      <c r="Q6281" s="147">
        <v>6.1668099999999999</v>
      </c>
      <c r="R6281" s="147">
        <v>51.648930556974705</v>
      </c>
    </row>
    <row r="6282" spans="2:18" ht="15.75" hidden="1" thickBot="1" x14ac:dyDescent="0.3">
      <c r="B6282" s="724" t="s">
        <v>880</v>
      </c>
      <c r="C6282" s="722" t="s">
        <v>61</v>
      </c>
      <c r="D6282" t="s">
        <v>62</v>
      </c>
      <c r="E6282" s="148">
        <v>6.7930999999999999</v>
      </c>
      <c r="F6282" s="148">
        <v>11.97395</v>
      </c>
      <c r="G6282" s="148">
        <v>-5.1808500000000004</v>
      </c>
      <c r="H6282" s="148">
        <v>-43.267676915303639</v>
      </c>
      <c r="I6282" s="728"/>
      <c r="J6282" s="148">
        <v>6.7930999999999999</v>
      </c>
      <c r="K6282" s="148">
        <v>0</v>
      </c>
      <c r="L6282" s="148">
        <v>91.464860000000002</v>
      </c>
      <c r="M6282" s="148">
        <v>142.93358000000001</v>
      </c>
      <c r="N6282" s="148">
        <v>-51.468719999999998</v>
      </c>
      <c r="O6282" s="148">
        <v>-36.008837111615058</v>
      </c>
      <c r="P6282" s="148">
        <v>52.427970000000002</v>
      </c>
      <c r="Q6282" s="148">
        <v>39.03689</v>
      </c>
      <c r="R6282" s="148">
        <v>74.458137517054354</v>
      </c>
    </row>
    <row r="6283" spans="2:18" ht="15.75" hidden="1" thickBot="1" x14ac:dyDescent="0.3">
      <c r="B6283" s="724" t="s">
        <v>880</v>
      </c>
      <c r="C6283" s="722" t="s">
        <v>63</v>
      </c>
      <c r="D6283" t="s">
        <v>64</v>
      </c>
      <c r="E6283" s="147">
        <v>6.8627599999999997</v>
      </c>
      <c r="F6283" s="147">
        <v>46.582520000000002</v>
      </c>
      <c r="G6283" s="147">
        <v>-39.719760000000001</v>
      </c>
      <c r="H6283" s="147">
        <v>-85.267520949918548</v>
      </c>
      <c r="I6283" s="729"/>
      <c r="J6283" s="147">
        <v>6.8627599999999997</v>
      </c>
      <c r="K6283" s="147">
        <v>0</v>
      </c>
      <c r="L6283" s="147">
        <v>138.06560999999999</v>
      </c>
      <c r="M6283" s="147">
        <v>556.05768</v>
      </c>
      <c r="N6283" s="147">
        <v>-417.99207000000001</v>
      </c>
      <c r="O6283" s="147">
        <v>-75.170631579083661</v>
      </c>
      <c r="P6283" s="147">
        <v>96.889070000000004</v>
      </c>
      <c r="Q6283" s="147">
        <v>41.176540000000003</v>
      </c>
      <c r="R6283" s="147">
        <v>42.498643035793407</v>
      </c>
    </row>
    <row r="6284" spans="2:18" ht="15.75" hidden="1" thickBot="1" x14ac:dyDescent="0.3">
      <c r="B6284" s="724" t="s">
        <v>880</v>
      </c>
      <c r="C6284" s="722" t="s">
        <v>570</v>
      </c>
      <c r="D6284" t="s">
        <v>571</v>
      </c>
      <c r="E6284" s="148">
        <v>16.268170000000001</v>
      </c>
      <c r="F6284" s="728"/>
      <c r="G6284" s="148">
        <v>16.268170000000001</v>
      </c>
      <c r="H6284" s="148">
        <v>0</v>
      </c>
      <c r="I6284" s="728"/>
      <c r="J6284" s="148">
        <v>16.268170000000001</v>
      </c>
      <c r="K6284" s="148">
        <v>0</v>
      </c>
      <c r="L6284" s="148">
        <v>194.24261999999999</v>
      </c>
      <c r="M6284" s="728"/>
      <c r="N6284" s="148">
        <v>194.24261999999999</v>
      </c>
      <c r="O6284" s="148">
        <v>0</v>
      </c>
      <c r="P6284" s="148">
        <v>96.633560000000003</v>
      </c>
      <c r="Q6284" s="148">
        <v>97.609059999999999</v>
      </c>
      <c r="R6284" s="148">
        <v>101.00948366178375</v>
      </c>
    </row>
    <row r="6285" spans="2:18" ht="15.75" hidden="1" thickBot="1" x14ac:dyDescent="0.3">
      <c r="B6285" s="724" t="s">
        <v>880</v>
      </c>
      <c r="C6285" s="722" t="s">
        <v>65</v>
      </c>
      <c r="D6285" t="s">
        <v>66</v>
      </c>
      <c r="E6285" s="147">
        <v>-33.670079999999999</v>
      </c>
      <c r="F6285" s="147">
        <v>-36.931339999999999</v>
      </c>
      <c r="G6285" s="147">
        <v>3.26126</v>
      </c>
      <c r="H6285" s="147">
        <v>8.8306029513145212</v>
      </c>
      <c r="I6285" s="729"/>
      <c r="J6285" s="147">
        <v>-33.670079999999999</v>
      </c>
      <c r="K6285" s="147">
        <v>0</v>
      </c>
      <c r="L6285" s="147">
        <v>-504.51704999999998</v>
      </c>
      <c r="M6285" s="147">
        <v>-440.85109999999997</v>
      </c>
      <c r="N6285" s="147">
        <v>-63.665950000000002</v>
      </c>
      <c r="O6285" s="147">
        <v>-14.441599442532864</v>
      </c>
      <c r="P6285" s="147">
        <v>-321.20217000000002</v>
      </c>
      <c r="Q6285" s="147">
        <v>-183.31487999999999</v>
      </c>
      <c r="R6285" s="147">
        <v>-57.071494878132363</v>
      </c>
    </row>
    <row r="6286" spans="2:18" ht="15.75" hidden="1" thickBot="1" x14ac:dyDescent="0.3">
      <c r="B6286" s="724" t="s">
        <v>880</v>
      </c>
      <c r="C6286" s="149" t="s">
        <v>67</v>
      </c>
      <c r="D6286" t="s">
        <v>68</v>
      </c>
      <c r="E6286" s="148">
        <v>41.07273</v>
      </c>
      <c r="F6286" s="148">
        <v>98.876400000000004</v>
      </c>
      <c r="G6286" s="148">
        <v>-57.803669999999997</v>
      </c>
      <c r="H6286" s="148">
        <v>-58.46053254366057</v>
      </c>
      <c r="I6286" s="728"/>
      <c r="J6286" s="148">
        <v>41.07273</v>
      </c>
      <c r="K6286" s="148">
        <v>0</v>
      </c>
      <c r="L6286" s="148">
        <v>548.00879999999995</v>
      </c>
      <c r="M6286" s="148">
        <v>1180.2921200000001</v>
      </c>
      <c r="N6286" s="148">
        <v>-632.28332</v>
      </c>
      <c r="O6286" s="148">
        <v>-53.570070433072111</v>
      </c>
      <c r="P6286" s="148">
        <v>303.67248999999998</v>
      </c>
      <c r="Q6286" s="148">
        <v>244.33631</v>
      </c>
      <c r="R6286" s="148">
        <v>80.460469106042495</v>
      </c>
    </row>
    <row r="6287" spans="2:18" ht="15.75" hidden="1" thickBot="1" x14ac:dyDescent="0.3">
      <c r="B6287" s="724" t="s">
        <v>880</v>
      </c>
      <c r="C6287" s="722" t="s">
        <v>582</v>
      </c>
      <c r="D6287" t="s">
        <v>583</v>
      </c>
      <c r="E6287" s="729"/>
      <c r="F6287" s="147">
        <v>0</v>
      </c>
      <c r="G6287" s="147">
        <v>0</v>
      </c>
      <c r="H6287" s="147">
        <v>0</v>
      </c>
      <c r="I6287" s="729"/>
      <c r="J6287" s="729"/>
      <c r="K6287" s="729"/>
      <c r="L6287" s="729"/>
      <c r="M6287" s="147">
        <v>0</v>
      </c>
      <c r="N6287" s="147">
        <v>0</v>
      </c>
      <c r="O6287" s="147">
        <v>0</v>
      </c>
      <c r="P6287" s="729"/>
      <c r="Q6287" s="729"/>
      <c r="R6287" s="729"/>
    </row>
    <row r="6288" spans="2:18" ht="15.75" hidden="1" thickBot="1" x14ac:dyDescent="0.3">
      <c r="B6288" s="724" t="s">
        <v>880</v>
      </c>
      <c r="C6288" s="149" t="s">
        <v>85</v>
      </c>
      <c r="D6288" t="s">
        <v>86</v>
      </c>
      <c r="E6288" s="728"/>
      <c r="F6288" s="148">
        <v>0</v>
      </c>
      <c r="G6288" s="148">
        <v>0</v>
      </c>
      <c r="H6288" s="148">
        <v>0</v>
      </c>
      <c r="I6288" s="728"/>
      <c r="J6288" s="728"/>
      <c r="K6288" s="728"/>
      <c r="L6288" s="728"/>
      <c r="M6288" s="148">
        <v>0</v>
      </c>
      <c r="N6288" s="148">
        <v>0</v>
      </c>
      <c r="O6288" s="148">
        <v>0</v>
      </c>
      <c r="P6288" s="728"/>
      <c r="Q6288" s="728"/>
      <c r="R6288" s="728"/>
    </row>
    <row r="6289" spans="2:18" ht="15.75" hidden="1" thickBot="1" x14ac:dyDescent="0.3">
      <c r="B6289" s="724" t="s">
        <v>880</v>
      </c>
      <c r="C6289" s="144" t="s">
        <v>87</v>
      </c>
      <c r="D6289" t="s">
        <v>87</v>
      </c>
      <c r="E6289" s="147">
        <v>41.07273</v>
      </c>
      <c r="F6289" s="147">
        <v>98.876400000000004</v>
      </c>
      <c r="G6289" s="147">
        <v>-57.803669999999997</v>
      </c>
      <c r="H6289" s="147">
        <v>-58.46053254366057</v>
      </c>
      <c r="I6289" s="729"/>
      <c r="J6289" s="147">
        <v>41.07273</v>
      </c>
      <c r="K6289" s="147">
        <v>0</v>
      </c>
      <c r="L6289" s="147">
        <v>548.00879999999995</v>
      </c>
      <c r="M6289" s="147">
        <v>1180.2921200000001</v>
      </c>
      <c r="N6289" s="147">
        <v>-632.28332</v>
      </c>
      <c r="O6289" s="147">
        <v>-53.570070433072111</v>
      </c>
      <c r="P6289" s="147">
        <v>303.67248999999998</v>
      </c>
      <c r="Q6289" s="147">
        <v>244.33631</v>
      </c>
      <c r="R6289" s="147">
        <v>80.460469106042495</v>
      </c>
    </row>
    <row r="6290" spans="2:18" ht="15.75" hidden="1" thickBot="1" x14ac:dyDescent="0.3">
      <c r="B6290" s="145" t="s">
        <v>881</v>
      </c>
      <c r="C6290" s="722" t="s">
        <v>180</v>
      </c>
      <c r="D6290" t="s">
        <v>181</v>
      </c>
      <c r="E6290" s="728"/>
      <c r="F6290" s="148">
        <v>-476.26220999999998</v>
      </c>
      <c r="G6290" s="148">
        <v>476.26220999999998</v>
      </c>
      <c r="H6290" s="148">
        <v>100</v>
      </c>
      <c r="I6290" s="728"/>
      <c r="J6290" s="728"/>
      <c r="K6290" s="728"/>
      <c r="L6290" s="728"/>
      <c r="M6290" s="148">
        <v>-5590.3819899999999</v>
      </c>
      <c r="N6290" s="148">
        <v>5590.3819899999999</v>
      </c>
      <c r="O6290" s="148">
        <v>100</v>
      </c>
      <c r="P6290" s="728"/>
      <c r="Q6290" s="728"/>
      <c r="R6290" s="728"/>
    </row>
    <row r="6291" spans="2:18" ht="15.75" hidden="1" thickBot="1" x14ac:dyDescent="0.3">
      <c r="B6291" s="145" t="s">
        <v>881</v>
      </c>
      <c r="C6291" s="149" t="s">
        <v>67</v>
      </c>
      <c r="D6291" t="s">
        <v>68</v>
      </c>
      <c r="E6291" s="729"/>
      <c r="F6291" s="147">
        <v>-476.26220999999998</v>
      </c>
      <c r="G6291" s="147">
        <v>476.26220999999998</v>
      </c>
      <c r="H6291" s="147">
        <v>100</v>
      </c>
      <c r="I6291" s="729"/>
      <c r="J6291" s="729"/>
      <c r="K6291" s="729"/>
      <c r="L6291" s="729"/>
      <c r="M6291" s="147">
        <v>-5590.3819899999999</v>
      </c>
      <c r="N6291" s="147">
        <v>5590.3819899999999</v>
      </c>
      <c r="O6291" s="147">
        <v>100</v>
      </c>
      <c r="P6291" s="729"/>
      <c r="Q6291" s="729"/>
      <c r="R6291" s="729"/>
    </row>
    <row r="6292" spans="2:18" ht="15.75" hidden="1" thickBot="1" x14ac:dyDescent="0.3">
      <c r="B6292" s="145" t="s">
        <v>881</v>
      </c>
      <c r="C6292" s="144" t="s">
        <v>87</v>
      </c>
      <c r="D6292" t="s">
        <v>87</v>
      </c>
      <c r="E6292" s="728"/>
      <c r="F6292" s="148">
        <v>-476.26220999999998</v>
      </c>
      <c r="G6292" s="148">
        <v>476.26220999999998</v>
      </c>
      <c r="H6292" s="148">
        <v>100</v>
      </c>
      <c r="I6292" s="728"/>
      <c r="J6292" s="728"/>
      <c r="K6292" s="728"/>
      <c r="L6292" s="728"/>
      <c r="M6292" s="148">
        <v>-5590.3819899999999</v>
      </c>
      <c r="N6292" s="148">
        <v>5590.3819899999999</v>
      </c>
      <c r="O6292" s="148">
        <v>100</v>
      </c>
      <c r="P6292" s="728"/>
      <c r="Q6292" s="728"/>
      <c r="R6292" s="728"/>
    </row>
    <row r="6293" spans="2:18" ht="15.75" hidden="1" thickBot="1" x14ac:dyDescent="0.3">
      <c r="B6293" s="723" t="s">
        <v>882</v>
      </c>
      <c r="C6293" s="722" t="s">
        <v>180</v>
      </c>
      <c r="D6293" t="s">
        <v>181</v>
      </c>
      <c r="E6293" s="729"/>
      <c r="F6293" s="147">
        <v>-476.26220999999998</v>
      </c>
      <c r="G6293" s="147">
        <v>476.26220999999998</v>
      </c>
      <c r="H6293" s="147">
        <v>100</v>
      </c>
      <c r="I6293" s="729"/>
      <c r="J6293" s="729"/>
      <c r="K6293" s="729"/>
      <c r="L6293" s="729"/>
      <c r="M6293" s="147">
        <v>-5590.3819899999999</v>
      </c>
      <c r="N6293" s="147">
        <v>5590.3819899999999</v>
      </c>
      <c r="O6293" s="147">
        <v>100</v>
      </c>
      <c r="P6293" s="729"/>
      <c r="Q6293" s="729"/>
      <c r="R6293" s="729"/>
    </row>
    <row r="6294" spans="2:18" ht="15.75" hidden="1" thickBot="1" x14ac:dyDescent="0.3">
      <c r="B6294" s="723" t="s">
        <v>882</v>
      </c>
      <c r="C6294" s="149" t="s">
        <v>67</v>
      </c>
      <c r="D6294" t="s">
        <v>68</v>
      </c>
      <c r="E6294" s="728"/>
      <c r="F6294" s="148">
        <v>-476.26220999999998</v>
      </c>
      <c r="G6294" s="148">
        <v>476.26220999999998</v>
      </c>
      <c r="H6294" s="148">
        <v>100</v>
      </c>
      <c r="I6294" s="728"/>
      <c r="J6294" s="728"/>
      <c r="K6294" s="728"/>
      <c r="L6294" s="728"/>
      <c r="M6294" s="148">
        <v>-5590.3819899999999</v>
      </c>
      <c r="N6294" s="148">
        <v>5590.3819899999999</v>
      </c>
      <c r="O6294" s="148">
        <v>100</v>
      </c>
      <c r="P6294" s="728"/>
      <c r="Q6294" s="728"/>
      <c r="R6294" s="728"/>
    </row>
    <row r="6295" spans="2:18" ht="15.75" hidden="1" thickBot="1" x14ac:dyDescent="0.3">
      <c r="B6295" s="723" t="s">
        <v>882</v>
      </c>
      <c r="C6295" s="144" t="s">
        <v>87</v>
      </c>
      <c r="D6295" t="s">
        <v>87</v>
      </c>
      <c r="E6295" s="729"/>
      <c r="F6295" s="147">
        <v>-476.26220999999998</v>
      </c>
      <c r="G6295" s="147">
        <v>476.26220999999998</v>
      </c>
      <c r="H6295" s="147">
        <v>100</v>
      </c>
      <c r="I6295" s="729"/>
      <c r="J6295" s="729"/>
      <c r="K6295" s="729"/>
      <c r="L6295" s="729"/>
      <c r="M6295" s="147">
        <v>-5590.3819899999999</v>
      </c>
      <c r="N6295" s="147">
        <v>5590.3819899999999</v>
      </c>
      <c r="O6295" s="147">
        <v>100</v>
      </c>
      <c r="P6295" s="729"/>
      <c r="Q6295" s="729"/>
      <c r="R6295" s="729"/>
    </row>
    <row r="6296" spans="2:18" ht="15.75" hidden="1" thickBot="1" x14ac:dyDescent="0.3">
      <c r="B6296" s="722" t="s">
        <v>883</v>
      </c>
      <c r="C6296" s="722" t="s">
        <v>156</v>
      </c>
      <c r="D6296" t="s">
        <v>157</v>
      </c>
      <c r="E6296" s="728"/>
      <c r="F6296" s="728"/>
      <c r="G6296" s="728"/>
      <c r="H6296" s="728"/>
      <c r="I6296" s="728"/>
      <c r="J6296" s="728"/>
      <c r="K6296" s="728"/>
      <c r="L6296" s="148">
        <v>0.45124999999999998</v>
      </c>
      <c r="M6296" s="728"/>
      <c r="N6296" s="148">
        <v>0.45124999999999998</v>
      </c>
      <c r="O6296" s="148">
        <v>0</v>
      </c>
      <c r="P6296" s="728"/>
      <c r="Q6296" s="148">
        <v>0.45124999999999998</v>
      </c>
      <c r="R6296" s="148">
        <v>0</v>
      </c>
    </row>
    <row r="6297" spans="2:18" ht="15.75" hidden="1" thickBot="1" x14ac:dyDescent="0.3">
      <c r="B6297" s="722" t="s">
        <v>883</v>
      </c>
      <c r="C6297" s="149" t="s">
        <v>67</v>
      </c>
      <c r="D6297" t="s">
        <v>68</v>
      </c>
      <c r="E6297" s="729"/>
      <c r="F6297" s="729"/>
      <c r="G6297" s="729"/>
      <c r="H6297" s="729"/>
      <c r="I6297" s="729"/>
      <c r="J6297" s="729"/>
      <c r="K6297" s="729"/>
      <c r="L6297" s="147">
        <v>0.45124999999999998</v>
      </c>
      <c r="M6297" s="729"/>
      <c r="N6297" s="147">
        <v>0.45124999999999998</v>
      </c>
      <c r="O6297" s="147">
        <v>0</v>
      </c>
      <c r="P6297" s="729"/>
      <c r="Q6297" s="147">
        <v>0.45124999999999998</v>
      </c>
      <c r="R6297" s="147">
        <v>0</v>
      </c>
    </row>
    <row r="6298" spans="2:18" ht="15.75" hidden="1" thickBot="1" x14ac:dyDescent="0.3">
      <c r="B6298" s="722" t="s">
        <v>883</v>
      </c>
      <c r="C6298" s="722" t="s">
        <v>109</v>
      </c>
      <c r="D6298" t="s">
        <v>110</v>
      </c>
      <c r="E6298" s="728"/>
      <c r="F6298" s="728"/>
      <c r="G6298" s="728"/>
      <c r="H6298" s="728"/>
      <c r="I6298" s="728"/>
      <c r="J6298" s="728"/>
      <c r="K6298" s="728"/>
      <c r="L6298" s="148">
        <v>4.5199999999999997E-2</v>
      </c>
      <c r="M6298" s="728"/>
      <c r="N6298" s="148">
        <v>4.5199999999999997E-2</v>
      </c>
      <c r="O6298" s="148">
        <v>0</v>
      </c>
      <c r="P6298" s="728"/>
      <c r="Q6298" s="148">
        <v>4.5199999999999997E-2</v>
      </c>
      <c r="R6298" s="148">
        <v>0</v>
      </c>
    </row>
    <row r="6299" spans="2:18" ht="15.75" hidden="1" thickBot="1" x14ac:dyDescent="0.3">
      <c r="B6299" s="722" t="s">
        <v>883</v>
      </c>
      <c r="C6299" s="722" t="s">
        <v>673</v>
      </c>
      <c r="D6299" t="s">
        <v>674</v>
      </c>
      <c r="E6299" s="729"/>
      <c r="F6299" s="729"/>
      <c r="G6299" s="729"/>
      <c r="H6299" s="729"/>
      <c r="I6299" s="729"/>
      <c r="J6299" s="729"/>
      <c r="K6299" s="729"/>
      <c r="L6299" s="147">
        <v>-0.45124999999999998</v>
      </c>
      <c r="M6299" s="729"/>
      <c r="N6299" s="147">
        <v>-0.45124999999999998</v>
      </c>
      <c r="O6299" s="147">
        <v>0</v>
      </c>
      <c r="P6299" s="729"/>
      <c r="Q6299" s="147">
        <v>-0.45124999999999998</v>
      </c>
      <c r="R6299" s="147">
        <v>0</v>
      </c>
    </row>
    <row r="6300" spans="2:18" ht="15.75" hidden="1" thickBot="1" x14ac:dyDescent="0.3">
      <c r="B6300" s="722" t="s">
        <v>883</v>
      </c>
      <c r="C6300" s="149" t="s">
        <v>85</v>
      </c>
      <c r="D6300" t="s">
        <v>86</v>
      </c>
      <c r="E6300" s="728"/>
      <c r="F6300" s="728"/>
      <c r="G6300" s="728"/>
      <c r="H6300" s="728"/>
      <c r="I6300" s="728"/>
      <c r="J6300" s="728"/>
      <c r="K6300" s="728"/>
      <c r="L6300" s="148">
        <v>-0.40605000000000002</v>
      </c>
      <c r="M6300" s="728"/>
      <c r="N6300" s="148">
        <v>-0.40605000000000002</v>
      </c>
      <c r="O6300" s="148">
        <v>0</v>
      </c>
      <c r="P6300" s="728"/>
      <c r="Q6300" s="148">
        <v>-0.40605000000000002</v>
      </c>
      <c r="R6300" s="148">
        <v>0</v>
      </c>
    </row>
    <row r="6301" spans="2:18" ht="15.75" hidden="1" thickBot="1" x14ac:dyDescent="0.3">
      <c r="B6301" s="722" t="s">
        <v>883</v>
      </c>
      <c r="C6301" s="144" t="s">
        <v>87</v>
      </c>
      <c r="D6301" t="s">
        <v>87</v>
      </c>
      <c r="E6301" s="729"/>
      <c r="F6301" s="729"/>
      <c r="G6301" s="729"/>
      <c r="H6301" s="729"/>
      <c r="I6301" s="729"/>
      <c r="J6301" s="729"/>
      <c r="K6301" s="729"/>
      <c r="L6301" s="147">
        <v>4.5199999999999997E-2</v>
      </c>
      <c r="M6301" s="729"/>
      <c r="N6301" s="147">
        <v>4.5199999999999997E-2</v>
      </c>
      <c r="O6301" s="147">
        <v>0</v>
      </c>
      <c r="P6301" s="729"/>
      <c r="Q6301" s="147">
        <v>4.5199999999999997E-2</v>
      </c>
      <c r="R6301" s="147">
        <v>0</v>
      </c>
    </row>
    <row r="6302" spans="2:18" ht="15.75" hidden="1" thickBot="1" x14ac:dyDescent="0.3">
      <c r="B6302" s="145" t="s">
        <v>884</v>
      </c>
      <c r="C6302" s="722" t="s">
        <v>673</v>
      </c>
      <c r="D6302" t="s">
        <v>674</v>
      </c>
      <c r="E6302" s="728"/>
      <c r="F6302" s="728"/>
      <c r="G6302" s="728"/>
      <c r="H6302" s="728"/>
      <c r="I6302" s="728"/>
      <c r="J6302" s="728"/>
      <c r="K6302" s="728"/>
      <c r="L6302" s="148">
        <v>-0.45124999999999998</v>
      </c>
      <c r="M6302" s="728"/>
      <c r="N6302" s="148">
        <v>-0.45124999999999998</v>
      </c>
      <c r="O6302" s="148">
        <v>0</v>
      </c>
      <c r="P6302" s="728"/>
      <c r="Q6302" s="148">
        <v>-0.45124999999999998</v>
      </c>
      <c r="R6302" s="148">
        <v>0</v>
      </c>
    </row>
    <row r="6303" spans="2:18" ht="15.75" hidden="1" thickBot="1" x14ac:dyDescent="0.3">
      <c r="B6303" s="145" t="s">
        <v>884</v>
      </c>
      <c r="C6303" s="149" t="s">
        <v>85</v>
      </c>
      <c r="D6303" t="s">
        <v>86</v>
      </c>
      <c r="E6303" s="729"/>
      <c r="F6303" s="729"/>
      <c r="G6303" s="729"/>
      <c r="H6303" s="729"/>
      <c r="I6303" s="729"/>
      <c r="J6303" s="729"/>
      <c r="K6303" s="729"/>
      <c r="L6303" s="147">
        <v>-0.45124999999999998</v>
      </c>
      <c r="M6303" s="729"/>
      <c r="N6303" s="147">
        <v>-0.45124999999999998</v>
      </c>
      <c r="O6303" s="147">
        <v>0</v>
      </c>
      <c r="P6303" s="729"/>
      <c r="Q6303" s="147">
        <v>-0.45124999999999998</v>
      </c>
      <c r="R6303" s="147">
        <v>0</v>
      </c>
    </row>
    <row r="6304" spans="2:18" ht="15.75" hidden="1" thickBot="1" x14ac:dyDescent="0.3">
      <c r="B6304" s="145" t="s">
        <v>884</v>
      </c>
      <c r="C6304" s="144" t="s">
        <v>87</v>
      </c>
      <c r="D6304" t="s">
        <v>87</v>
      </c>
      <c r="E6304" s="728"/>
      <c r="F6304" s="728"/>
      <c r="G6304" s="728"/>
      <c r="H6304" s="728"/>
      <c r="I6304" s="728"/>
      <c r="J6304" s="728"/>
      <c r="K6304" s="728"/>
      <c r="L6304" s="148">
        <v>-0.45124999999999998</v>
      </c>
      <c r="M6304" s="728"/>
      <c r="N6304" s="148">
        <v>-0.45124999999999998</v>
      </c>
      <c r="O6304" s="148">
        <v>0</v>
      </c>
      <c r="P6304" s="728"/>
      <c r="Q6304" s="148">
        <v>-0.45124999999999998</v>
      </c>
      <c r="R6304" s="148">
        <v>0</v>
      </c>
    </row>
    <row r="6305" spans="2:18" ht="15.75" hidden="1" thickBot="1" x14ac:dyDescent="0.3">
      <c r="B6305" s="145" t="s">
        <v>862</v>
      </c>
      <c r="C6305" s="722" t="s">
        <v>156</v>
      </c>
      <c r="D6305" t="s">
        <v>157</v>
      </c>
      <c r="E6305" s="729"/>
      <c r="F6305" s="729"/>
      <c r="G6305" s="729"/>
      <c r="H6305" s="729"/>
      <c r="I6305" s="729"/>
      <c r="J6305" s="729"/>
      <c r="K6305" s="729"/>
      <c r="L6305" s="147">
        <v>0.45124999999999998</v>
      </c>
      <c r="M6305" s="729"/>
      <c r="N6305" s="147">
        <v>0.45124999999999998</v>
      </c>
      <c r="O6305" s="147">
        <v>0</v>
      </c>
      <c r="P6305" s="729"/>
      <c r="Q6305" s="147">
        <v>0.45124999999999998</v>
      </c>
      <c r="R6305" s="147">
        <v>0</v>
      </c>
    </row>
    <row r="6306" spans="2:18" ht="15.75" hidden="1" thickBot="1" x14ac:dyDescent="0.3">
      <c r="B6306" s="145" t="s">
        <v>862</v>
      </c>
      <c r="C6306" s="149" t="s">
        <v>67</v>
      </c>
      <c r="D6306" t="s">
        <v>68</v>
      </c>
      <c r="E6306" s="728"/>
      <c r="F6306" s="728"/>
      <c r="G6306" s="728"/>
      <c r="H6306" s="728"/>
      <c r="I6306" s="728"/>
      <c r="J6306" s="728"/>
      <c r="K6306" s="728"/>
      <c r="L6306" s="148">
        <v>0.45124999999999998</v>
      </c>
      <c r="M6306" s="728"/>
      <c r="N6306" s="148">
        <v>0.45124999999999998</v>
      </c>
      <c r="O6306" s="148">
        <v>0</v>
      </c>
      <c r="P6306" s="728"/>
      <c r="Q6306" s="148">
        <v>0.45124999999999998</v>
      </c>
      <c r="R6306" s="148">
        <v>0</v>
      </c>
    </row>
    <row r="6307" spans="2:18" ht="15.75" hidden="1" thickBot="1" x14ac:dyDescent="0.3">
      <c r="B6307" s="145" t="s">
        <v>862</v>
      </c>
      <c r="C6307" s="144" t="s">
        <v>87</v>
      </c>
      <c r="D6307" t="s">
        <v>87</v>
      </c>
      <c r="E6307" s="729"/>
      <c r="F6307" s="729"/>
      <c r="G6307" s="729"/>
      <c r="H6307" s="729"/>
      <c r="I6307" s="729"/>
      <c r="J6307" s="729"/>
      <c r="K6307" s="729"/>
      <c r="L6307" s="147">
        <v>0.45124999999999998</v>
      </c>
      <c r="M6307" s="729"/>
      <c r="N6307" s="147">
        <v>0.45124999999999998</v>
      </c>
      <c r="O6307" s="147">
        <v>0</v>
      </c>
      <c r="P6307" s="729"/>
      <c r="Q6307" s="147">
        <v>0.45124999999999998</v>
      </c>
      <c r="R6307" s="147">
        <v>0</v>
      </c>
    </row>
    <row r="6308" spans="2:18" ht="15.75" hidden="1" thickBot="1" x14ac:dyDescent="0.3">
      <c r="B6308" s="145" t="s">
        <v>885</v>
      </c>
      <c r="C6308" s="722" t="s">
        <v>109</v>
      </c>
      <c r="D6308" t="s">
        <v>110</v>
      </c>
      <c r="E6308" s="728"/>
      <c r="F6308" s="728"/>
      <c r="G6308" s="728"/>
      <c r="H6308" s="728"/>
      <c r="I6308" s="728"/>
      <c r="J6308" s="728"/>
      <c r="K6308" s="728"/>
      <c r="L6308" s="148">
        <v>4.5199999999999997E-2</v>
      </c>
      <c r="M6308" s="728"/>
      <c r="N6308" s="148">
        <v>4.5199999999999997E-2</v>
      </c>
      <c r="O6308" s="148">
        <v>0</v>
      </c>
      <c r="P6308" s="728"/>
      <c r="Q6308" s="148">
        <v>4.5199999999999997E-2</v>
      </c>
      <c r="R6308" s="148">
        <v>0</v>
      </c>
    </row>
    <row r="6309" spans="2:18" ht="15.75" hidden="1" thickBot="1" x14ac:dyDescent="0.3">
      <c r="B6309" s="145" t="s">
        <v>885</v>
      </c>
      <c r="C6309" s="149" t="s">
        <v>85</v>
      </c>
      <c r="D6309" t="s">
        <v>86</v>
      </c>
      <c r="E6309" s="729"/>
      <c r="F6309" s="729"/>
      <c r="G6309" s="729"/>
      <c r="H6309" s="729"/>
      <c r="I6309" s="729"/>
      <c r="J6309" s="729"/>
      <c r="K6309" s="729"/>
      <c r="L6309" s="147">
        <v>4.5199999999999997E-2</v>
      </c>
      <c r="M6309" s="729"/>
      <c r="N6309" s="147">
        <v>4.5199999999999997E-2</v>
      </c>
      <c r="O6309" s="147">
        <v>0</v>
      </c>
      <c r="P6309" s="729"/>
      <c r="Q6309" s="147">
        <v>4.5199999999999997E-2</v>
      </c>
      <c r="R6309" s="147">
        <v>0</v>
      </c>
    </row>
    <row r="6310" spans="2:18" ht="15.75" hidden="1" thickBot="1" x14ac:dyDescent="0.3">
      <c r="B6310" s="145" t="s">
        <v>885</v>
      </c>
      <c r="C6310" s="144" t="s">
        <v>87</v>
      </c>
      <c r="D6310" t="s">
        <v>87</v>
      </c>
      <c r="E6310" s="728"/>
      <c r="F6310" s="728"/>
      <c r="G6310" s="728"/>
      <c r="H6310" s="728"/>
      <c r="I6310" s="728"/>
      <c r="J6310" s="728"/>
      <c r="K6310" s="728"/>
      <c r="L6310" s="148">
        <v>4.5199999999999997E-2</v>
      </c>
      <c r="M6310" s="728"/>
      <c r="N6310" s="148">
        <v>4.5199999999999997E-2</v>
      </c>
      <c r="O6310" s="148">
        <v>0</v>
      </c>
      <c r="P6310" s="728"/>
      <c r="Q6310" s="148">
        <v>4.5199999999999997E-2</v>
      </c>
      <c r="R6310" s="148">
        <v>0</v>
      </c>
    </row>
    <row r="6311" spans="2:18" ht="15.75" hidden="1" thickBot="1" x14ac:dyDescent="0.3">
      <c r="B6311" s="722" t="s">
        <v>886</v>
      </c>
      <c r="C6311" s="722" t="s">
        <v>59</v>
      </c>
      <c r="D6311" t="s">
        <v>60</v>
      </c>
      <c r="E6311" s="147">
        <v>-240.511</v>
      </c>
      <c r="F6311" s="147">
        <v>-363.15347000000003</v>
      </c>
      <c r="G6311" s="147">
        <v>122.64247</v>
      </c>
      <c r="H6311" s="147">
        <v>33.771526401771681</v>
      </c>
      <c r="I6311" s="729"/>
      <c r="J6311" s="147">
        <v>-240.511</v>
      </c>
      <c r="K6311" s="147">
        <v>0</v>
      </c>
      <c r="L6311" s="147">
        <v>-3348.2426700000001</v>
      </c>
      <c r="M6311" s="147">
        <v>-4343.42497</v>
      </c>
      <c r="N6311" s="147">
        <v>995.18230000000005</v>
      </c>
      <c r="O6311" s="147">
        <v>22.912386120946394</v>
      </c>
      <c r="P6311" s="147">
        <v>-1523.7149999999999</v>
      </c>
      <c r="Q6311" s="147">
        <v>-1824.5276699999999</v>
      </c>
      <c r="R6311" s="147">
        <v>-119.74205609316702</v>
      </c>
    </row>
    <row r="6312" spans="2:18" ht="15.75" hidden="1" thickBot="1" x14ac:dyDescent="0.3">
      <c r="B6312" s="722" t="s">
        <v>886</v>
      </c>
      <c r="C6312" s="722" t="s">
        <v>178</v>
      </c>
      <c r="D6312" t="s">
        <v>179</v>
      </c>
      <c r="E6312" s="148">
        <v>-19.099</v>
      </c>
      <c r="F6312" s="728"/>
      <c r="G6312" s="148">
        <v>-19.099</v>
      </c>
      <c r="H6312" s="148">
        <v>0</v>
      </c>
      <c r="I6312" s="728"/>
      <c r="J6312" s="148">
        <v>-19.099</v>
      </c>
      <c r="K6312" s="148">
        <v>0</v>
      </c>
      <c r="L6312" s="148">
        <v>-271.673</v>
      </c>
      <c r="M6312" s="728"/>
      <c r="N6312" s="148">
        <v>-271.673</v>
      </c>
      <c r="O6312" s="148">
        <v>0</v>
      </c>
      <c r="P6312" s="148">
        <v>-169.595</v>
      </c>
      <c r="Q6312" s="148">
        <v>-102.078</v>
      </c>
      <c r="R6312" s="148">
        <v>-60.189274447949529</v>
      </c>
    </row>
    <row r="6313" spans="2:18" ht="15.75" hidden="1" thickBot="1" x14ac:dyDescent="0.3">
      <c r="B6313" s="722" t="s">
        <v>886</v>
      </c>
      <c r="C6313" s="722" t="s">
        <v>91</v>
      </c>
      <c r="D6313" t="s">
        <v>92</v>
      </c>
      <c r="E6313" s="729"/>
      <c r="F6313" s="147">
        <v>-60.921190000000003</v>
      </c>
      <c r="G6313" s="147">
        <v>60.921190000000003</v>
      </c>
      <c r="H6313" s="147">
        <v>100</v>
      </c>
      <c r="I6313" s="729"/>
      <c r="J6313" s="729"/>
      <c r="K6313" s="729"/>
      <c r="L6313" s="729"/>
      <c r="M6313" s="147">
        <v>-711.53588000000002</v>
      </c>
      <c r="N6313" s="147">
        <v>711.53588000000002</v>
      </c>
      <c r="O6313" s="147">
        <v>100</v>
      </c>
      <c r="P6313" s="729"/>
      <c r="Q6313" s="729"/>
      <c r="R6313" s="729"/>
    </row>
    <row r="6314" spans="2:18" ht="15.75" hidden="1" thickBot="1" x14ac:dyDescent="0.3">
      <c r="B6314" s="722" t="s">
        <v>886</v>
      </c>
      <c r="C6314" s="722" t="s">
        <v>93</v>
      </c>
      <c r="D6314" t="s">
        <v>94</v>
      </c>
      <c r="E6314" s="728"/>
      <c r="F6314" s="148">
        <v>-2.2887400000000002</v>
      </c>
      <c r="G6314" s="148">
        <v>2.2887400000000002</v>
      </c>
      <c r="H6314" s="148">
        <v>100</v>
      </c>
      <c r="I6314" s="728"/>
      <c r="J6314" s="728"/>
      <c r="K6314" s="728"/>
      <c r="L6314" s="728"/>
      <c r="M6314" s="148">
        <v>-26.73151</v>
      </c>
      <c r="N6314" s="148">
        <v>26.73151</v>
      </c>
      <c r="O6314" s="148">
        <v>100</v>
      </c>
      <c r="P6314" s="728"/>
      <c r="Q6314" s="728"/>
      <c r="R6314" s="728"/>
    </row>
    <row r="6315" spans="2:18" ht="15.75" hidden="1" thickBot="1" x14ac:dyDescent="0.3">
      <c r="B6315" s="722" t="s">
        <v>886</v>
      </c>
      <c r="C6315" s="722" t="s">
        <v>159</v>
      </c>
      <c r="D6315" t="s">
        <v>160</v>
      </c>
      <c r="E6315" s="147">
        <v>-0.218</v>
      </c>
      <c r="F6315" s="147">
        <v>-0.27201999999999998</v>
      </c>
      <c r="G6315" s="147">
        <v>5.4019999999999999E-2</v>
      </c>
      <c r="H6315" s="147">
        <v>19.858833909271379</v>
      </c>
      <c r="I6315" s="729"/>
      <c r="J6315" s="147">
        <v>-0.218</v>
      </c>
      <c r="K6315" s="147">
        <v>0</v>
      </c>
      <c r="L6315" s="147">
        <v>-3.125</v>
      </c>
      <c r="M6315" s="147">
        <v>-3.1771199999999999</v>
      </c>
      <c r="N6315" s="147">
        <v>5.212E-2</v>
      </c>
      <c r="O6315" s="147">
        <v>1.6404794279095534</v>
      </c>
      <c r="P6315" s="147">
        <v>-1.7789999999999999</v>
      </c>
      <c r="Q6315" s="147">
        <v>-1.3460000000000001</v>
      </c>
      <c r="R6315" s="147">
        <v>-75.660483417650369</v>
      </c>
    </row>
    <row r="6316" spans="2:18" ht="15.75" hidden="1" thickBot="1" x14ac:dyDescent="0.3">
      <c r="B6316" s="722" t="s">
        <v>886</v>
      </c>
      <c r="C6316" s="722" t="s">
        <v>134</v>
      </c>
      <c r="D6316" t="s">
        <v>135</v>
      </c>
      <c r="E6316" s="148">
        <v>1749.13</v>
      </c>
      <c r="F6316" s="148">
        <v>1263.6525300000001</v>
      </c>
      <c r="G6316" s="148">
        <v>485.47746999999998</v>
      </c>
      <c r="H6316" s="148">
        <v>38.418588850528394</v>
      </c>
      <c r="I6316" s="728"/>
      <c r="J6316" s="148">
        <v>1749.13</v>
      </c>
      <c r="K6316" s="148">
        <v>0</v>
      </c>
      <c r="L6316" s="148">
        <v>1764.0525600000001</v>
      </c>
      <c r="M6316" s="148">
        <v>1318.6400799999999</v>
      </c>
      <c r="N6316" s="148">
        <v>445.41248000000002</v>
      </c>
      <c r="O6316" s="148">
        <v>33.778169400098925</v>
      </c>
      <c r="P6316" s="148">
        <v>1058.4375600000001</v>
      </c>
      <c r="Q6316" s="148">
        <v>705.61500000000001</v>
      </c>
      <c r="R6316" s="148">
        <v>66.665718098666119</v>
      </c>
    </row>
    <row r="6317" spans="2:18" ht="15.75" hidden="1" thickBot="1" x14ac:dyDescent="0.3">
      <c r="B6317" s="722" t="s">
        <v>886</v>
      </c>
      <c r="C6317" s="722" t="s">
        <v>95</v>
      </c>
      <c r="D6317" t="s">
        <v>96</v>
      </c>
      <c r="E6317" s="147">
        <v>-216.048</v>
      </c>
      <c r="F6317" s="729"/>
      <c r="G6317" s="147">
        <v>-216.048</v>
      </c>
      <c r="H6317" s="147">
        <v>0</v>
      </c>
      <c r="I6317" s="729"/>
      <c r="J6317" s="147">
        <v>-216.048</v>
      </c>
      <c r="K6317" s="147">
        <v>0</v>
      </c>
      <c r="L6317" s="147">
        <v>71.815899999999999</v>
      </c>
      <c r="M6317" s="729"/>
      <c r="N6317" s="147">
        <v>71.815899999999999</v>
      </c>
      <c r="O6317" s="147">
        <v>0</v>
      </c>
      <c r="P6317" s="147">
        <v>22.800899999999999</v>
      </c>
      <c r="Q6317" s="147">
        <v>49.015000000000001</v>
      </c>
      <c r="R6317" s="147">
        <v>214.96958453394384</v>
      </c>
    </row>
    <row r="6318" spans="2:18" ht="15.75" hidden="1" thickBot="1" x14ac:dyDescent="0.3">
      <c r="B6318" s="722" t="s">
        <v>886</v>
      </c>
      <c r="C6318" s="722" t="s">
        <v>568</v>
      </c>
      <c r="D6318" t="s">
        <v>569</v>
      </c>
      <c r="E6318" s="148">
        <v>-0.57499999999999996</v>
      </c>
      <c r="F6318" s="148">
        <v>-0.69513999999999998</v>
      </c>
      <c r="G6318" s="148">
        <v>0.12014</v>
      </c>
      <c r="H6318" s="148">
        <v>17.282849497942859</v>
      </c>
      <c r="I6318" s="728"/>
      <c r="J6318" s="148">
        <v>-0.57499999999999996</v>
      </c>
      <c r="K6318" s="148">
        <v>0</v>
      </c>
      <c r="L6318" s="148">
        <v>-10.662000000000001</v>
      </c>
      <c r="M6318" s="148">
        <v>-8.2979199999999995</v>
      </c>
      <c r="N6318" s="148">
        <v>-2.36408</v>
      </c>
      <c r="O6318" s="148">
        <v>-28.490031236743665</v>
      </c>
      <c r="P6318" s="148">
        <v>-4.08</v>
      </c>
      <c r="Q6318" s="148">
        <v>-6.5819999999999999</v>
      </c>
      <c r="R6318" s="148">
        <v>-161.3235294117647</v>
      </c>
    </row>
    <row r="6319" spans="2:18" ht="15.75" hidden="1" thickBot="1" x14ac:dyDescent="0.3">
      <c r="B6319" s="722" t="s">
        <v>886</v>
      </c>
      <c r="C6319" s="722" t="s">
        <v>61</v>
      </c>
      <c r="D6319" t="s">
        <v>62</v>
      </c>
      <c r="E6319" s="147">
        <v>-50.488100000000003</v>
      </c>
      <c r="F6319" s="147">
        <v>-116.46593</v>
      </c>
      <c r="G6319" s="147">
        <v>65.977829999999997</v>
      </c>
      <c r="H6319" s="147">
        <v>56.649897527972342</v>
      </c>
      <c r="I6319" s="729"/>
      <c r="J6319" s="147">
        <v>-50.488100000000003</v>
      </c>
      <c r="K6319" s="147">
        <v>0</v>
      </c>
      <c r="L6319" s="147">
        <v>-559.59910000000002</v>
      </c>
      <c r="M6319" s="147">
        <v>-1181.6783800000001</v>
      </c>
      <c r="N6319" s="147">
        <v>622.07928000000004</v>
      </c>
      <c r="O6319" s="147">
        <v>52.643704964797614</v>
      </c>
      <c r="P6319" s="147">
        <v>-319.18</v>
      </c>
      <c r="Q6319" s="147">
        <v>-240.41909999999999</v>
      </c>
      <c r="R6319" s="147">
        <v>-75.323986465317375</v>
      </c>
    </row>
    <row r="6320" spans="2:18" ht="15.75" hidden="1" thickBot="1" x14ac:dyDescent="0.3">
      <c r="B6320" s="722" t="s">
        <v>886</v>
      </c>
      <c r="C6320" s="722" t="s">
        <v>63</v>
      </c>
      <c r="D6320" t="s">
        <v>64</v>
      </c>
      <c r="E6320" s="148">
        <v>-187.84399999999999</v>
      </c>
      <c r="F6320" s="148">
        <v>-231.14175</v>
      </c>
      <c r="G6320" s="148">
        <v>43.297750000000001</v>
      </c>
      <c r="H6320" s="148">
        <v>18.732120008609435</v>
      </c>
      <c r="I6320" s="728"/>
      <c r="J6320" s="148">
        <v>-187.84399999999999</v>
      </c>
      <c r="K6320" s="148">
        <v>0</v>
      </c>
      <c r="L6320" s="148">
        <v>-2241.6936700000001</v>
      </c>
      <c r="M6320" s="148">
        <v>-2754.7430399999998</v>
      </c>
      <c r="N6320" s="148">
        <v>513.04936999999995</v>
      </c>
      <c r="O6320" s="148">
        <v>18.624218758349237</v>
      </c>
      <c r="P6320" s="148">
        <v>-1282.28</v>
      </c>
      <c r="Q6320" s="148">
        <v>-959.41367000000002</v>
      </c>
      <c r="R6320" s="148">
        <v>-74.820918208191657</v>
      </c>
    </row>
    <row r="6321" spans="2:18" ht="15.75" hidden="1" thickBot="1" x14ac:dyDescent="0.3">
      <c r="B6321" s="722" t="s">
        <v>886</v>
      </c>
      <c r="C6321" s="722" t="s">
        <v>570</v>
      </c>
      <c r="D6321" t="s">
        <v>571</v>
      </c>
      <c r="E6321" s="729"/>
      <c r="F6321" s="147">
        <v>-34.478549999999998</v>
      </c>
      <c r="G6321" s="147">
        <v>34.478549999999998</v>
      </c>
      <c r="H6321" s="147">
        <v>100</v>
      </c>
      <c r="I6321" s="729"/>
      <c r="J6321" s="729"/>
      <c r="K6321" s="729"/>
      <c r="L6321" s="729"/>
      <c r="M6321" s="147">
        <v>-411.57204000000002</v>
      </c>
      <c r="N6321" s="147">
        <v>411.57204000000002</v>
      </c>
      <c r="O6321" s="147">
        <v>100</v>
      </c>
      <c r="P6321" s="729"/>
      <c r="Q6321" s="729"/>
      <c r="R6321" s="729"/>
    </row>
    <row r="6322" spans="2:18" ht="15.75" hidden="1" thickBot="1" x14ac:dyDescent="0.3">
      <c r="B6322" s="722" t="s">
        <v>886</v>
      </c>
      <c r="C6322" s="722" t="s">
        <v>180</v>
      </c>
      <c r="D6322" t="s">
        <v>181</v>
      </c>
      <c r="E6322" s="728"/>
      <c r="F6322" s="148">
        <v>100.68471</v>
      </c>
      <c r="G6322" s="148">
        <v>-100.68471</v>
      </c>
      <c r="H6322" s="148">
        <v>-100</v>
      </c>
      <c r="I6322" s="728"/>
      <c r="J6322" s="728"/>
      <c r="K6322" s="728"/>
      <c r="L6322" s="728"/>
      <c r="M6322" s="148">
        <v>989.89664000000005</v>
      </c>
      <c r="N6322" s="148">
        <v>-989.89664000000005</v>
      </c>
      <c r="O6322" s="148">
        <v>-100</v>
      </c>
      <c r="P6322" s="728"/>
      <c r="Q6322" s="728"/>
      <c r="R6322" s="728"/>
    </row>
    <row r="6323" spans="2:18" ht="15.75" hidden="1" thickBot="1" x14ac:dyDescent="0.3">
      <c r="B6323" s="722" t="s">
        <v>886</v>
      </c>
      <c r="C6323" s="722" t="s">
        <v>156</v>
      </c>
      <c r="D6323" t="s">
        <v>157</v>
      </c>
      <c r="E6323" s="729"/>
      <c r="F6323" s="147">
        <v>-8.0901099999999992</v>
      </c>
      <c r="G6323" s="147">
        <v>8.0901099999999992</v>
      </c>
      <c r="H6323" s="147">
        <v>100</v>
      </c>
      <c r="I6323" s="729"/>
      <c r="J6323" s="729"/>
      <c r="K6323" s="729"/>
      <c r="L6323" s="729"/>
      <c r="M6323" s="147">
        <v>-96.572019999999995</v>
      </c>
      <c r="N6323" s="147">
        <v>96.572019999999995</v>
      </c>
      <c r="O6323" s="147">
        <v>100</v>
      </c>
      <c r="P6323" s="729"/>
      <c r="Q6323" s="729"/>
      <c r="R6323" s="729"/>
    </row>
    <row r="6324" spans="2:18" ht="15.75" hidden="1" thickBot="1" x14ac:dyDescent="0.3">
      <c r="B6324" s="722" t="s">
        <v>886</v>
      </c>
      <c r="C6324" s="722" t="s">
        <v>184</v>
      </c>
      <c r="D6324" t="s">
        <v>185</v>
      </c>
      <c r="E6324" s="728"/>
      <c r="F6324" s="148">
        <v>-0.17624999999999999</v>
      </c>
      <c r="G6324" s="148">
        <v>0.17624999999999999</v>
      </c>
      <c r="H6324" s="148">
        <v>100</v>
      </c>
      <c r="I6324" s="728"/>
      <c r="J6324" s="728"/>
      <c r="K6324" s="728"/>
      <c r="L6324" s="728"/>
      <c r="M6324" s="148">
        <v>-2.05857</v>
      </c>
      <c r="N6324" s="148">
        <v>2.05857</v>
      </c>
      <c r="O6324" s="148">
        <v>100</v>
      </c>
      <c r="P6324" s="728"/>
      <c r="Q6324" s="728"/>
      <c r="R6324" s="728"/>
    </row>
    <row r="6325" spans="2:18" ht="15.75" hidden="1" thickBot="1" x14ac:dyDescent="0.3">
      <c r="B6325" s="722" t="s">
        <v>886</v>
      </c>
      <c r="C6325" s="722" t="s">
        <v>65</v>
      </c>
      <c r="D6325" t="s">
        <v>66</v>
      </c>
      <c r="E6325" s="729"/>
      <c r="F6325" s="147">
        <v>96.744720000000001</v>
      </c>
      <c r="G6325" s="147">
        <v>-96.744720000000001</v>
      </c>
      <c r="H6325" s="147">
        <v>-100</v>
      </c>
      <c r="I6325" s="729"/>
      <c r="J6325" s="729"/>
      <c r="K6325" s="729"/>
      <c r="L6325" s="729"/>
      <c r="M6325" s="147">
        <v>1157.71812</v>
      </c>
      <c r="N6325" s="147">
        <v>-1157.71812</v>
      </c>
      <c r="O6325" s="147">
        <v>-100</v>
      </c>
      <c r="P6325" s="729"/>
      <c r="Q6325" s="729"/>
      <c r="R6325" s="729"/>
    </row>
    <row r="6326" spans="2:18" ht="15.75" hidden="1" thickBot="1" x14ac:dyDescent="0.3">
      <c r="B6326" s="722" t="s">
        <v>886</v>
      </c>
      <c r="C6326" s="722" t="s">
        <v>163</v>
      </c>
      <c r="D6326" t="s">
        <v>164</v>
      </c>
      <c r="E6326" s="728"/>
      <c r="F6326" s="148">
        <v>82.051060000000007</v>
      </c>
      <c r="G6326" s="148">
        <v>-82.051060000000007</v>
      </c>
      <c r="H6326" s="148">
        <v>-100</v>
      </c>
      <c r="I6326" s="728"/>
      <c r="J6326" s="728"/>
      <c r="K6326" s="728"/>
      <c r="L6326" s="728"/>
      <c r="M6326" s="148">
        <v>956.64268000000004</v>
      </c>
      <c r="N6326" s="148">
        <v>-956.64268000000004</v>
      </c>
      <c r="O6326" s="148">
        <v>-100</v>
      </c>
      <c r="P6326" s="728"/>
      <c r="Q6326" s="728"/>
      <c r="R6326" s="728"/>
    </row>
    <row r="6327" spans="2:18" ht="15.75" hidden="1" thickBot="1" x14ac:dyDescent="0.3">
      <c r="B6327" s="722" t="s">
        <v>886</v>
      </c>
      <c r="C6327" s="722" t="s">
        <v>578</v>
      </c>
      <c r="D6327" t="s">
        <v>579</v>
      </c>
      <c r="E6327" s="729"/>
      <c r="F6327" s="147">
        <v>0.12848999999999999</v>
      </c>
      <c r="G6327" s="147">
        <v>-0.12848999999999999</v>
      </c>
      <c r="H6327" s="147">
        <v>-100</v>
      </c>
      <c r="I6327" s="729"/>
      <c r="J6327" s="729"/>
      <c r="K6327" s="729"/>
      <c r="L6327" s="729"/>
      <c r="M6327" s="147">
        <v>1.50074</v>
      </c>
      <c r="N6327" s="147">
        <v>-1.50074</v>
      </c>
      <c r="O6327" s="147">
        <v>-100</v>
      </c>
      <c r="P6327" s="729"/>
      <c r="Q6327" s="729"/>
      <c r="R6327" s="729"/>
    </row>
    <row r="6328" spans="2:18" ht="15.75" hidden="1" thickBot="1" x14ac:dyDescent="0.3">
      <c r="B6328" s="722" t="s">
        <v>886</v>
      </c>
      <c r="C6328" s="722" t="s">
        <v>580</v>
      </c>
      <c r="D6328" t="s">
        <v>581</v>
      </c>
      <c r="E6328" s="728"/>
      <c r="F6328" s="148">
        <v>0.12033000000000001</v>
      </c>
      <c r="G6328" s="148">
        <v>-0.12033000000000001</v>
      </c>
      <c r="H6328" s="148">
        <v>-100</v>
      </c>
      <c r="I6328" s="728"/>
      <c r="J6328" s="728"/>
      <c r="K6328" s="728"/>
      <c r="L6328" s="728"/>
      <c r="M6328" s="148">
        <v>1.43638</v>
      </c>
      <c r="N6328" s="148">
        <v>-1.43638</v>
      </c>
      <c r="O6328" s="148">
        <v>-100</v>
      </c>
      <c r="P6328" s="728"/>
      <c r="Q6328" s="728"/>
      <c r="R6328" s="728"/>
    </row>
    <row r="6329" spans="2:18" ht="15.75" hidden="1" thickBot="1" x14ac:dyDescent="0.3">
      <c r="B6329" s="722" t="s">
        <v>886</v>
      </c>
      <c r="C6329" s="149" t="s">
        <v>67</v>
      </c>
      <c r="D6329" t="s">
        <v>68</v>
      </c>
      <c r="E6329" s="147">
        <v>1034.3469</v>
      </c>
      <c r="F6329" s="147">
        <v>725.69869000000006</v>
      </c>
      <c r="G6329" s="147">
        <v>308.64821000000001</v>
      </c>
      <c r="H6329" s="147">
        <v>42.531179159218269</v>
      </c>
      <c r="I6329" s="729"/>
      <c r="J6329" s="147">
        <v>1034.3469</v>
      </c>
      <c r="K6329" s="147">
        <v>0</v>
      </c>
      <c r="L6329" s="147">
        <v>-4599.12698</v>
      </c>
      <c r="M6329" s="147">
        <v>-5113.9568099999997</v>
      </c>
      <c r="N6329" s="147">
        <v>514.82983000000002</v>
      </c>
      <c r="O6329" s="147">
        <v>10.067152483440704</v>
      </c>
      <c r="P6329" s="147">
        <v>-2219.3905399999999</v>
      </c>
      <c r="Q6329" s="147">
        <v>-2379.7364400000001</v>
      </c>
      <c r="R6329" s="147">
        <v>-107.22477171593243</v>
      </c>
    </row>
    <row r="6330" spans="2:18" ht="15.75" hidden="1" thickBot="1" x14ac:dyDescent="0.3">
      <c r="B6330" s="722" t="s">
        <v>886</v>
      </c>
      <c r="C6330" s="722" t="s">
        <v>169</v>
      </c>
      <c r="D6330" t="s">
        <v>170</v>
      </c>
      <c r="E6330" s="148">
        <v>-4.0439999999999996</v>
      </c>
      <c r="F6330" s="148">
        <v>-1.77182</v>
      </c>
      <c r="G6330" s="148">
        <v>-2.2721800000000001</v>
      </c>
      <c r="H6330" s="148">
        <v>-128.23988892776919</v>
      </c>
      <c r="I6330" s="728"/>
      <c r="J6330" s="148">
        <v>-4.0439999999999996</v>
      </c>
      <c r="K6330" s="148">
        <v>0</v>
      </c>
      <c r="L6330" s="148">
        <v>-49.761000000000003</v>
      </c>
      <c r="M6330" s="148">
        <v>-26.445720000000001</v>
      </c>
      <c r="N6330" s="148">
        <v>-23.315280000000001</v>
      </c>
      <c r="O6330" s="148">
        <v>-88.162772652814894</v>
      </c>
      <c r="P6330" s="148">
        <v>-18.013000000000002</v>
      </c>
      <c r="Q6330" s="148">
        <v>-31.748000000000001</v>
      </c>
      <c r="R6330" s="148">
        <v>-176.25048576028425</v>
      </c>
    </row>
    <row r="6331" spans="2:18" ht="15.75" hidden="1" thickBot="1" x14ac:dyDescent="0.3">
      <c r="B6331" s="722" t="s">
        <v>886</v>
      </c>
      <c r="C6331" s="722" t="s">
        <v>485</v>
      </c>
      <c r="D6331" t="s">
        <v>486</v>
      </c>
      <c r="E6331" s="147">
        <v>1034.6494600000001</v>
      </c>
      <c r="F6331" s="147">
        <v>1287.01289</v>
      </c>
      <c r="G6331" s="147">
        <v>-252.36342999999999</v>
      </c>
      <c r="H6331" s="147">
        <v>-19.608461730325015</v>
      </c>
      <c r="I6331" s="729"/>
      <c r="J6331" s="147">
        <v>1034.6494600000001</v>
      </c>
      <c r="K6331" s="147">
        <v>0</v>
      </c>
      <c r="L6331" s="147">
        <v>18185.138220000001</v>
      </c>
      <c r="M6331" s="147">
        <v>16266.96596</v>
      </c>
      <c r="N6331" s="147">
        <v>1918.1722600000001</v>
      </c>
      <c r="O6331" s="147">
        <v>11.791825622041198</v>
      </c>
      <c r="P6331" s="147">
        <v>8745.2610100000002</v>
      </c>
      <c r="Q6331" s="147">
        <v>9439.8772100000006</v>
      </c>
      <c r="R6331" s="147">
        <v>107.94277265373466</v>
      </c>
    </row>
    <row r="6332" spans="2:18" ht="15.75" hidden="1" thickBot="1" x14ac:dyDescent="0.3">
      <c r="B6332" s="722" t="s">
        <v>886</v>
      </c>
      <c r="C6332" s="722" t="s">
        <v>103</v>
      </c>
      <c r="D6332" t="s">
        <v>104</v>
      </c>
      <c r="E6332" s="148">
        <v>-50.117600000000003</v>
      </c>
      <c r="F6332" s="728"/>
      <c r="G6332" s="148">
        <v>-50.117600000000003</v>
      </c>
      <c r="H6332" s="148">
        <v>0</v>
      </c>
      <c r="I6332" s="728"/>
      <c r="J6332" s="148">
        <v>-50.117600000000003</v>
      </c>
      <c r="K6332" s="148">
        <v>0</v>
      </c>
      <c r="L6332" s="148">
        <v>-58.551299999999998</v>
      </c>
      <c r="M6332" s="728"/>
      <c r="N6332" s="148">
        <v>-58.551299999999998</v>
      </c>
      <c r="O6332" s="148">
        <v>0</v>
      </c>
      <c r="P6332" s="148">
        <v>1.2229699999999999</v>
      </c>
      <c r="Q6332" s="148">
        <v>-59.774270000000001</v>
      </c>
      <c r="R6332" s="148">
        <v>-4887.6317489390585</v>
      </c>
    </row>
    <row r="6333" spans="2:18" ht="15.75" hidden="1" thickBot="1" x14ac:dyDescent="0.3">
      <c r="B6333" s="722" t="s">
        <v>886</v>
      </c>
      <c r="C6333" s="722" t="s">
        <v>631</v>
      </c>
      <c r="D6333" t="s">
        <v>632</v>
      </c>
      <c r="E6333" s="147">
        <v>-509.39499000000001</v>
      </c>
      <c r="F6333" s="147">
        <v>-525.21559999999999</v>
      </c>
      <c r="G6333" s="147">
        <v>15.82061</v>
      </c>
      <c r="H6333" s="147">
        <v>3.0122125085393505</v>
      </c>
      <c r="I6333" s="729"/>
      <c r="J6333" s="147">
        <v>-509.39499000000001</v>
      </c>
      <c r="K6333" s="147">
        <v>0</v>
      </c>
      <c r="L6333" s="147">
        <v>-6161.81783</v>
      </c>
      <c r="M6333" s="147">
        <v>-6302.5871999999999</v>
      </c>
      <c r="N6333" s="147">
        <v>140.76937000000001</v>
      </c>
      <c r="O6333" s="147">
        <v>2.2335172133754848</v>
      </c>
      <c r="P6333" s="147">
        <v>-3041.9615600000002</v>
      </c>
      <c r="Q6333" s="147">
        <v>-3119.8562700000002</v>
      </c>
      <c r="R6333" s="147">
        <v>-102.56067371212936</v>
      </c>
    </row>
    <row r="6334" spans="2:18" ht="15.75" hidden="1" thickBot="1" x14ac:dyDescent="0.3">
      <c r="B6334" s="722" t="s">
        <v>886</v>
      </c>
      <c r="C6334" s="722" t="s">
        <v>633</v>
      </c>
      <c r="D6334" t="s">
        <v>634</v>
      </c>
      <c r="E6334" s="728"/>
      <c r="F6334" s="728"/>
      <c r="G6334" s="728"/>
      <c r="H6334" s="728"/>
      <c r="I6334" s="728"/>
      <c r="J6334" s="728"/>
      <c r="K6334" s="728"/>
      <c r="L6334" s="148">
        <v>-42.756</v>
      </c>
      <c r="M6334" s="728"/>
      <c r="N6334" s="148">
        <v>-42.756</v>
      </c>
      <c r="O6334" s="148">
        <v>0</v>
      </c>
      <c r="P6334" s="148">
        <v>-42.756</v>
      </c>
      <c r="Q6334" s="148">
        <v>0</v>
      </c>
      <c r="R6334" s="148">
        <v>0</v>
      </c>
    </row>
    <row r="6335" spans="2:18" ht="15.75" hidden="1" thickBot="1" x14ac:dyDescent="0.3">
      <c r="B6335" s="722" t="s">
        <v>886</v>
      </c>
      <c r="C6335" s="722" t="s">
        <v>635</v>
      </c>
      <c r="D6335" t="s">
        <v>636</v>
      </c>
      <c r="E6335" s="729"/>
      <c r="F6335" s="147">
        <v>-896.72974999999997</v>
      </c>
      <c r="G6335" s="147">
        <v>896.72974999999997</v>
      </c>
      <c r="H6335" s="147">
        <v>100</v>
      </c>
      <c r="I6335" s="729"/>
      <c r="J6335" s="729"/>
      <c r="K6335" s="729"/>
      <c r="L6335" s="147">
        <v>-10314.145</v>
      </c>
      <c r="M6335" s="147">
        <v>-10760.757</v>
      </c>
      <c r="N6335" s="147">
        <v>446.61200000000002</v>
      </c>
      <c r="O6335" s="147">
        <v>4.1503771528341362</v>
      </c>
      <c r="P6335" s="147">
        <v>-5502.63</v>
      </c>
      <c r="Q6335" s="147">
        <v>-4811.5150000000003</v>
      </c>
      <c r="R6335" s="147">
        <v>-87.440278557707856</v>
      </c>
    </row>
    <row r="6336" spans="2:18" ht="15.75" hidden="1" thickBot="1" x14ac:dyDescent="0.3">
      <c r="B6336" s="722" t="s">
        <v>886</v>
      </c>
      <c r="C6336" s="722" t="s">
        <v>639</v>
      </c>
      <c r="D6336" t="s">
        <v>640</v>
      </c>
      <c r="E6336" s="148">
        <v>335.14631000000003</v>
      </c>
      <c r="F6336" s="148">
        <v>111.31449000000001</v>
      </c>
      <c r="G6336" s="148">
        <v>223.83181999999999</v>
      </c>
      <c r="H6336" s="148">
        <v>201.08057809904173</v>
      </c>
      <c r="I6336" s="728"/>
      <c r="J6336" s="148">
        <v>335.14631000000003</v>
      </c>
      <c r="K6336" s="148">
        <v>0</v>
      </c>
      <c r="L6336" s="148">
        <v>678.55408999999997</v>
      </c>
      <c r="M6336" s="148">
        <v>889.33738000000005</v>
      </c>
      <c r="N6336" s="148">
        <v>-210.78328999999999</v>
      </c>
      <c r="O6336" s="148">
        <v>-23.701161644639292</v>
      </c>
      <c r="P6336" s="148">
        <v>130.39323999999999</v>
      </c>
      <c r="Q6336" s="148">
        <v>548.16084999999998</v>
      </c>
      <c r="R6336" s="148">
        <v>420.39054325208883</v>
      </c>
    </row>
    <row r="6337" spans="2:18" ht="15.75" hidden="1" thickBot="1" x14ac:dyDescent="0.3">
      <c r="B6337" s="722" t="s">
        <v>886</v>
      </c>
      <c r="C6337" s="722" t="s">
        <v>143</v>
      </c>
      <c r="D6337" t="s">
        <v>144</v>
      </c>
      <c r="E6337" s="729"/>
      <c r="F6337" s="147">
        <v>0</v>
      </c>
      <c r="G6337" s="147">
        <v>0</v>
      </c>
      <c r="H6337" s="147">
        <v>0</v>
      </c>
      <c r="I6337" s="729"/>
      <c r="J6337" s="729"/>
      <c r="K6337" s="729"/>
      <c r="L6337" s="729"/>
      <c r="M6337" s="147">
        <v>0</v>
      </c>
      <c r="N6337" s="147">
        <v>0</v>
      </c>
      <c r="O6337" s="147">
        <v>0</v>
      </c>
      <c r="P6337" s="729"/>
      <c r="Q6337" s="729"/>
      <c r="R6337" s="729"/>
    </row>
    <row r="6338" spans="2:18" ht="15.75" hidden="1" thickBot="1" x14ac:dyDescent="0.3">
      <c r="B6338" s="722" t="s">
        <v>886</v>
      </c>
      <c r="C6338" s="722" t="s">
        <v>661</v>
      </c>
      <c r="D6338" t="s">
        <v>662</v>
      </c>
      <c r="E6338" s="148">
        <v>182.63</v>
      </c>
      <c r="F6338" s="728"/>
      <c r="G6338" s="148">
        <v>182.63</v>
      </c>
      <c r="H6338" s="148">
        <v>0</v>
      </c>
      <c r="I6338" s="728"/>
      <c r="J6338" s="148">
        <v>182.63</v>
      </c>
      <c r="K6338" s="148">
        <v>0</v>
      </c>
      <c r="L6338" s="148">
        <v>182.63</v>
      </c>
      <c r="M6338" s="728"/>
      <c r="N6338" s="148">
        <v>182.63</v>
      </c>
      <c r="O6338" s="148">
        <v>0</v>
      </c>
      <c r="P6338" s="728"/>
      <c r="Q6338" s="148">
        <v>182.63</v>
      </c>
      <c r="R6338" s="148">
        <v>0</v>
      </c>
    </row>
    <row r="6339" spans="2:18" ht="15.75" hidden="1" thickBot="1" x14ac:dyDescent="0.3">
      <c r="B6339" s="722" t="s">
        <v>886</v>
      </c>
      <c r="C6339" s="722" t="s">
        <v>665</v>
      </c>
      <c r="D6339" t="s">
        <v>666</v>
      </c>
      <c r="E6339" s="147">
        <v>1.0874999999999999</v>
      </c>
      <c r="F6339" s="147">
        <v>0.98865999999999998</v>
      </c>
      <c r="G6339" s="147">
        <v>9.8839999999999997E-2</v>
      </c>
      <c r="H6339" s="147">
        <v>9.997370177816439</v>
      </c>
      <c r="I6339" s="729"/>
      <c r="J6339" s="147">
        <v>1.0874999999999999</v>
      </c>
      <c r="K6339" s="147">
        <v>0</v>
      </c>
      <c r="L6339" s="147">
        <v>1.83632</v>
      </c>
      <c r="M6339" s="147">
        <v>11.86392</v>
      </c>
      <c r="N6339" s="147">
        <v>-10.0276</v>
      </c>
      <c r="O6339" s="147">
        <v>-84.521810666289056</v>
      </c>
      <c r="P6339" s="147">
        <v>1.7639999999999999E-2</v>
      </c>
      <c r="Q6339" s="147">
        <v>1.8186800000000001</v>
      </c>
      <c r="R6339" s="147">
        <v>10309.977324263038</v>
      </c>
    </row>
    <row r="6340" spans="2:18" ht="15.75" hidden="1" thickBot="1" x14ac:dyDescent="0.3">
      <c r="B6340" s="722" t="s">
        <v>886</v>
      </c>
      <c r="C6340" s="722" t="s">
        <v>671</v>
      </c>
      <c r="D6340" t="s">
        <v>672</v>
      </c>
      <c r="E6340" s="148">
        <v>-872.36248000000001</v>
      </c>
      <c r="F6340" s="148">
        <v>-403.97665999999998</v>
      </c>
      <c r="G6340" s="148">
        <v>-468.38582000000002</v>
      </c>
      <c r="H6340" s="148">
        <v>-115.94378249476095</v>
      </c>
      <c r="I6340" s="728"/>
      <c r="J6340" s="148">
        <v>-872.36248000000001</v>
      </c>
      <c r="K6340" s="148">
        <v>0</v>
      </c>
      <c r="L6340" s="148">
        <v>-7443.4196400000001</v>
      </c>
      <c r="M6340" s="148">
        <v>-5551.1655000000001</v>
      </c>
      <c r="N6340" s="148">
        <v>-1892.25414</v>
      </c>
      <c r="O6340" s="148">
        <v>-34.087510811918683</v>
      </c>
      <c r="P6340" s="148">
        <v>-3464.72037</v>
      </c>
      <c r="Q6340" s="148">
        <v>-3978.6992700000001</v>
      </c>
      <c r="R6340" s="148">
        <v>-114.8346430624068</v>
      </c>
    </row>
    <row r="6341" spans="2:18" ht="15.75" hidden="1" thickBot="1" x14ac:dyDescent="0.3">
      <c r="B6341" s="722" t="s">
        <v>886</v>
      </c>
      <c r="C6341" s="722" t="s">
        <v>673</v>
      </c>
      <c r="D6341" t="s">
        <v>674</v>
      </c>
      <c r="E6341" s="147">
        <v>-54.869010000000003</v>
      </c>
      <c r="F6341" s="147">
        <v>-18.333369999999999</v>
      </c>
      <c r="G6341" s="147">
        <v>-36.535640000000001</v>
      </c>
      <c r="H6341" s="147">
        <v>-199.28491052108805</v>
      </c>
      <c r="I6341" s="729"/>
      <c r="J6341" s="147">
        <v>-54.869010000000003</v>
      </c>
      <c r="K6341" s="147">
        <v>0</v>
      </c>
      <c r="L6341" s="147">
        <v>-127.16539</v>
      </c>
      <c r="M6341" s="147">
        <v>-220</v>
      </c>
      <c r="N6341" s="147">
        <v>92.834609999999998</v>
      </c>
      <c r="O6341" s="147">
        <v>42.19755</v>
      </c>
      <c r="P6341" s="147">
        <v>-43.357340000000001</v>
      </c>
      <c r="Q6341" s="147">
        <v>-83.808049999999994</v>
      </c>
      <c r="R6341" s="147">
        <v>-193.29610626482159</v>
      </c>
    </row>
    <row r="6342" spans="2:18" ht="15.75" hidden="1" thickBot="1" x14ac:dyDescent="0.3">
      <c r="B6342" s="722" t="s">
        <v>886</v>
      </c>
      <c r="C6342" s="722" t="s">
        <v>679</v>
      </c>
      <c r="D6342" t="s">
        <v>680</v>
      </c>
      <c r="E6342" s="148">
        <v>97.31053</v>
      </c>
      <c r="F6342" s="148">
        <v>12.625</v>
      </c>
      <c r="G6342" s="148">
        <v>84.68553</v>
      </c>
      <c r="H6342" s="148">
        <v>670.77647524752479</v>
      </c>
      <c r="I6342" s="728"/>
      <c r="J6342" s="148">
        <v>97.31053</v>
      </c>
      <c r="K6342" s="148">
        <v>0</v>
      </c>
      <c r="L6342" s="148">
        <v>292.01812000000001</v>
      </c>
      <c r="M6342" s="148">
        <v>151.5</v>
      </c>
      <c r="N6342" s="148">
        <v>140.51812000000001</v>
      </c>
      <c r="O6342" s="148">
        <v>92.751234323432342</v>
      </c>
      <c r="P6342" s="148">
        <v>142.22659999999999</v>
      </c>
      <c r="Q6342" s="148">
        <v>149.79151999999999</v>
      </c>
      <c r="R6342" s="148">
        <v>105.31892065197368</v>
      </c>
    </row>
    <row r="6343" spans="2:18" ht="15.75" hidden="1" thickBot="1" x14ac:dyDescent="0.3">
      <c r="B6343" s="722" t="s">
        <v>886</v>
      </c>
      <c r="C6343" s="722" t="s">
        <v>83</v>
      </c>
      <c r="D6343" t="s">
        <v>84</v>
      </c>
      <c r="E6343" s="729"/>
      <c r="F6343" s="147">
        <v>-31.23132</v>
      </c>
      <c r="G6343" s="147">
        <v>31.23132</v>
      </c>
      <c r="H6343" s="147">
        <v>100</v>
      </c>
      <c r="I6343" s="729"/>
      <c r="J6343" s="729"/>
      <c r="K6343" s="729"/>
      <c r="L6343" s="729"/>
      <c r="M6343" s="147">
        <v>-374.77578</v>
      </c>
      <c r="N6343" s="147">
        <v>374.77578</v>
      </c>
      <c r="O6343" s="147">
        <v>100</v>
      </c>
      <c r="P6343" s="729"/>
      <c r="Q6343" s="729"/>
      <c r="R6343" s="729"/>
    </row>
    <row r="6344" spans="2:18" ht="15.75" hidden="1" thickBot="1" x14ac:dyDescent="0.3">
      <c r="B6344" s="722" t="s">
        <v>886</v>
      </c>
      <c r="C6344" s="149" t="s">
        <v>85</v>
      </c>
      <c r="D6344" t="s">
        <v>86</v>
      </c>
      <c r="E6344" s="148">
        <v>160.03572</v>
      </c>
      <c r="F6344" s="148">
        <v>-465.31747999999999</v>
      </c>
      <c r="G6344" s="148">
        <v>625.35320000000002</v>
      </c>
      <c r="H6344" s="148">
        <v>134.39280209288506</v>
      </c>
      <c r="I6344" s="728"/>
      <c r="J6344" s="148">
        <v>160.03572</v>
      </c>
      <c r="K6344" s="148">
        <v>0</v>
      </c>
      <c r="L6344" s="148">
        <v>-4857.43941</v>
      </c>
      <c r="M6344" s="148">
        <v>-5916.06394</v>
      </c>
      <c r="N6344" s="148">
        <v>1058.62453</v>
      </c>
      <c r="O6344" s="148">
        <v>17.894068433614663</v>
      </c>
      <c r="P6344" s="148">
        <v>-3094.3168099999998</v>
      </c>
      <c r="Q6344" s="148">
        <v>-1763.1225999999999</v>
      </c>
      <c r="R6344" s="148">
        <v>-56.979382146716901</v>
      </c>
    </row>
    <row r="6345" spans="2:18" ht="15.75" hidden="1" thickBot="1" x14ac:dyDescent="0.3">
      <c r="B6345" s="722" t="s">
        <v>886</v>
      </c>
      <c r="C6345" s="144" t="s">
        <v>87</v>
      </c>
      <c r="D6345" t="s">
        <v>87</v>
      </c>
      <c r="E6345" s="147">
        <v>1194.3826200000001</v>
      </c>
      <c r="F6345" s="147">
        <v>260.38121000000001</v>
      </c>
      <c r="G6345" s="147">
        <v>934.00140999999996</v>
      </c>
      <c r="H6345" s="147">
        <v>358.70538046889021</v>
      </c>
      <c r="I6345" s="729"/>
      <c r="J6345" s="147">
        <v>1194.3826200000001</v>
      </c>
      <c r="K6345" s="147">
        <v>0</v>
      </c>
      <c r="L6345" s="147">
        <v>-9456.56639</v>
      </c>
      <c r="M6345" s="147">
        <v>-11030.02075</v>
      </c>
      <c r="N6345" s="147">
        <v>1573.45436</v>
      </c>
      <c r="O6345" s="147">
        <v>14.265198549150508</v>
      </c>
      <c r="P6345" s="147">
        <v>-5313.7073499999997</v>
      </c>
      <c r="Q6345" s="147">
        <v>-4142.8590400000003</v>
      </c>
      <c r="R6345" s="147">
        <v>-77.965510087792097</v>
      </c>
    </row>
    <row r="6346" spans="2:18" ht="15.75" hidden="1" thickBot="1" x14ac:dyDescent="0.3">
      <c r="B6346" s="145" t="s">
        <v>887</v>
      </c>
      <c r="C6346" s="722" t="s">
        <v>134</v>
      </c>
      <c r="D6346" t="s">
        <v>135</v>
      </c>
      <c r="E6346" s="148">
        <v>1369.5630000000001</v>
      </c>
      <c r="F6346" s="148">
        <v>933.99251000000004</v>
      </c>
      <c r="G6346" s="148">
        <v>435.57049000000001</v>
      </c>
      <c r="H6346" s="148">
        <v>46.635330084178086</v>
      </c>
      <c r="I6346" s="728"/>
      <c r="J6346" s="148">
        <v>1369.5630000000001</v>
      </c>
      <c r="K6346" s="148">
        <v>0</v>
      </c>
      <c r="L6346" s="148">
        <v>1087.7179699999999</v>
      </c>
      <c r="M6346" s="148">
        <v>0</v>
      </c>
      <c r="N6346" s="148">
        <v>1087.7179699999999</v>
      </c>
      <c r="O6346" s="148">
        <v>0</v>
      </c>
      <c r="P6346" s="148">
        <v>645.42397000000005</v>
      </c>
      <c r="Q6346" s="148">
        <v>442.29399999999998</v>
      </c>
      <c r="R6346" s="148">
        <v>68.527668719833883</v>
      </c>
    </row>
    <row r="6347" spans="2:18" ht="15.75" hidden="1" thickBot="1" x14ac:dyDescent="0.3">
      <c r="B6347" s="145" t="s">
        <v>887</v>
      </c>
      <c r="C6347" s="722" t="s">
        <v>95</v>
      </c>
      <c r="D6347" t="s">
        <v>96</v>
      </c>
      <c r="E6347" s="147">
        <v>-216.048</v>
      </c>
      <c r="F6347" s="729"/>
      <c r="G6347" s="147">
        <v>-216.048</v>
      </c>
      <c r="H6347" s="147">
        <v>0</v>
      </c>
      <c r="I6347" s="729"/>
      <c r="J6347" s="147">
        <v>-216.048</v>
      </c>
      <c r="K6347" s="147">
        <v>0</v>
      </c>
      <c r="L6347" s="147">
        <v>71.815899999999999</v>
      </c>
      <c r="M6347" s="729"/>
      <c r="N6347" s="147">
        <v>71.815899999999999</v>
      </c>
      <c r="O6347" s="147">
        <v>0</v>
      </c>
      <c r="P6347" s="147">
        <v>22.800899999999999</v>
      </c>
      <c r="Q6347" s="147">
        <v>49.015000000000001</v>
      </c>
      <c r="R6347" s="147">
        <v>214.96958453394384</v>
      </c>
    </row>
    <row r="6348" spans="2:18" ht="15.75" hidden="1" thickBot="1" x14ac:dyDescent="0.3">
      <c r="B6348" s="145" t="s">
        <v>887</v>
      </c>
      <c r="C6348" s="722" t="s">
        <v>61</v>
      </c>
      <c r="D6348" t="s">
        <v>62</v>
      </c>
      <c r="E6348" s="148">
        <v>-3.9211</v>
      </c>
      <c r="F6348" s="728"/>
      <c r="G6348" s="148">
        <v>-3.9211</v>
      </c>
      <c r="H6348" s="148">
        <v>0</v>
      </c>
      <c r="I6348" s="728"/>
      <c r="J6348" s="148">
        <v>-3.9211</v>
      </c>
      <c r="K6348" s="148">
        <v>0</v>
      </c>
      <c r="L6348" s="148">
        <v>-3.9211</v>
      </c>
      <c r="M6348" s="728"/>
      <c r="N6348" s="148">
        <v>-3.9211</v>
      </c>
      <c r="O6348" s="148">
        <v>0</v>
      </c>
      <c r="P6348" s="728"/>
      <c r="Q6348" s="148">
        <v>-3.9211</v>
      </c>
      <c r="R6348" s="148">
        <v>0</v>
      </c>
    </row>
    <row r="6349" spans="2:18" ht="15.75" hidden="1" thickBot="1" x14ac:dyDescent="0.3">
      <c r="B6349" s="145" t="s">
        <v>887</v>
      </c>
      <c r="C6349" s="149" t="s">
        <v>67</v>
      </c>
      <c r="D6349" t="s">
        <v>68</v>
      </c>
      <c r="E6349" s="147">
        <v>1149.5939000000001</v>
      </c>
      <c r="F6349" s="147">
        <v>933.99251000000004</v>
      </c>
      <c r="G6349" s="147">
        <v>215.60139000000001</v>
      </c>
      <c r="H6349" s="147">
        <v>23.083845715208145</v>
      </c>
      <c r="I6349" s="729"/>
      <c r="J6349" s="147">
        <v>1149.5939000000001</v>
      </c>
      <c r="K6349" s="147">
        <v>0</v>
      </c>
      <c r="L6349" s="147">
        <v>1155.61277</v>
      </c>
      <c r="M6349" s="147">
        <v>0</v>
      </c>
      <c r="N6349" s="147">
        <v>1155.61277</v>
      </c>
      <c r="O6349" s="147">
        <v>0</v>
      </c>
      <c r="P6349" s="147">
        <v>668.22487000000001</v>
      </c>
      <c r="Q6349" s="147">
        <v>487.3879</v>
      </c>
      <c r="R6349" s="147">
        <v>72.937707331964461</v>
      </c>
    </row>
    <row r="6350" spans="2:18" ht="15.75" hidden="1" thickBot="1" x14ac:dyDescent="0.3">
      <c r="B6350" s="145" t="s">
        <v>887</v>
      </c>
      <c r="C6350" s="722" t="s">
        <v>485</v>
      </c>
      <c r="D6350" t="s">
        <v>486</v>
      </c>
      <c r="E6350" s="148">
        <v>514.52939000000003</v>
      </c>
      <c r="F6350" s="148">
        <v>1133.3416299999999</v>
      </c>
      <c r="G6350" s="148">
        <v>-618.81223999999997</v>
      </c>
      <c r="H6350" s="148">
        <v>-54.600680290902226</v>
      </c>
      <c r="I6350" s="728"/>
      <c r="J6350" s="148">
        <v>514.52939000000003</v>
      </c>
      <c r="K6350" s="148">
        <v>0</v>
      </c>
      <c r="L6350" s="148">
        <v>14074.807269999999</v>
      </c>
      <c r="M6350" s="148">
        <v>13600.1</v>
      </c>
      <c r="N6350" s="148">
        <v>474.70726999999999</v>
      </c>
      <c r="O6350" s="148">
        <v>3.4904689671399476</v>
      </c>
      <c r="P6350" s="148">
        <v>6487.9519799999998</v>
      </c>
      <c r="Q6350" s="148">
        <v>7586.8552900000004</v>
      </c>
      <c r="R6350" s="148">
        <v>116.93759931311945</v>
      </c>
    </row>
    <row r="6351" spans="2:18" ht="15.75" hidden="1" thickBot="1" x14ac:dyDescent="0.3">
      <c r="B6351" s="145" t="s">
        <v>887</v>
      </c>
      <c r="C6351" s="722" t="s">
        <v>631</v>
      </c>
      <c r="D6351" t="s">
        <v>632</v>
      </c>
      <c r="E6351" s="147">
        <v>-509.39499000000001</v>
      </c>
      <c r="F6351" s="147">
        <v>-525.21559999999999</v>
      </c>
      <c r="G6351" s="147">
        <v>15.82061</v>
      </c>
      <c r="H6351" s="147">
        <v>3.0122125085393505</v>
      </c>
      <c r="I6351" s="729"/>
      <c r="J6351" s="147">
        <v>-509.39499000000001</v>
      </c>
      <c r="K6351" s="147">
        <v>0</v>
      </c>
      <c r="L6351" s="147">
        <v>-6161.81783</v>
      </c>
      <c r="M6351" s="147">
        <v>-6302.5871999999999</v>
      </c>
      <c r="N6351" s="147">
        <v>140.76937000000001</v>
      </c>
      <c r="O6351" s="147">
        <v>2.2335172133754848</v>
      </c>
      <c r="P6351" s="147">
        <v>-3041.9615600000002</v>
      </c>
      <c r="Q6351" s="147">
        <v>-3119.8562700000002</v>
      </c>
      <c r="R6351" s="147">
        <v>-102.56067371212936</v>
      </c>
    </row>
    <row r="6352" spans="2:18" ht="15.75" hidden="1" thickBot="1" x14ac:dyDescent="0.3">
      <c r="B6352" s="145" t="s">
        <v>887</v>
      </c>
      <c r="C6352" s="149" t="s">
        <v>85</v>
      </c>
      <c r="D6352" t="s">
        <v>86</v>
      </c>
      <c r="E6352" s="148">
        <v>5.1344000000000003</v>
      </c>
      <c r="F6352" s="148">
        <v>608.12603000000001</v>
      </c>
      <c r="G6352" s="148">
        <v>-602.99162999999999</v>
      </c>
      <c r="H6352" s="148">
        <v>-99.155701327239683</v>
      </c>
      <c r="I6352" s="728"/>
      <c r="J6352" s="148">
        <v>5.1344000000000003</v>
      </c>
      <c r="K6352" s="148">
        <v>0</v>
      </c>
      <c r="L6352" s="148">
        <v>7912.9894400000003</v>
      </c>
      <c r="M6352" s="148">
        <v>7297.5128000000004</v>
      </c>
      <c r="N6352" s="148">
        <v>615.47663999999997</v>
      </c>
      <c r="O6352" s="148">
        <v>8.434060437687755</v>
      </c>
      <c r="P6352" s="148">
        <v>3445.9904200000001</v>
      </c>
      <c r="Q6352" s="148">
        <v>4466.9990200000002</v>
      </c>
      <c r="R6352" s="148">
        <v>129.62888678024822</v>
      </c>
    </row>
    <row r="6353" spans="2:18" ht="15.75" hidden="1" thickBot="1" x14ac:dyDescent="0.3">
      <c r="B6353" s="145" t="s">
        <v>887</v>
      </c>
      <c r="C6353" s="144" t="s">
        <v>87</v>
      </c>
      <c r="D6353" t="s">
        <v>87</v>
      </c>
      <c r="E6353" s="147">
        <v>1154.7283</v>
      </c>
      <c r="F6353" s="147">
        <v>1542.1185399999999</v>
      </c>
      <c r="G6353" s="147">
        <v>-387.39024000000001</v>
      </c>
      <c r="H6353" s="147">
        <v>-25.12065252778817</v>
      </c>
      <c r="I6353" s="729"/>
      <c r="J6353" s="147">
        <v>1154.7283</v>
      </c>
      <c r="K6353" s="147">
        <v>0</v>
      </c>
      <c r="L6353" s="147">
        <v>9068.6022099999991</v>
      </c>
      <c r="M6353" s="147">
        <v>7297.5128000000004</v>
      </c>
      <c r="N6353" s="147">
        <v>1771.08941</v>
      </c>
      <c r="O6353" s="147">
        <v>24.269767776220963</v>
      </c>
      <c r="P6353" s="147">
        <v>4114.2152900000001</v>
      </c>
      <c r="Q6353" s="147">
        <v>4954.3869199999999</v>
      </c>
      <c r="R6353" s="147">
        <v>120.42118777892151</v>
      </c>
    </row>
    <row r="6354" spans="2:18" ht="15.75" hidden="1" thickBot="1" x14ac:dyDescent="0.3">
      <c r="B6354" s="723" t="s">
        <v>888</v>
      </c>
      <c r="C6354" s="722" t="s">
        <v>631</v>
      </c>
      <c r="D6354" t="s">
        <v>632</v>
      </c>
      <c r="E6354" s="148">
        <v>-509.39499000000001</v>
      </c>
      <c r="F6354" s="148">
        <v>-525.21559999999999</v>
      </c>
      <c r="G6354" s="148">
        <v>15.82061</v>
      </c>
      <c r="H6354" s="148">
        <v>3.0122125085393505</v>
      </c>
      <c r="I6354" s="728"/>
      <c r="J6354" s="148">
        <v>-509.39499000000001</v>
      </c>
      <c r="K6354" s="148">
        <v>0</v>
      </c>
      <c r="L6354" s="148">
        <v>-6161.81783</v>
      </c>
      <c r="M6354" s="148">
        <v>-6302.5871999999999</v>
      </c>
      <c r="N6354" s="148">
        <v>140.76937000000001</v>
      </c>
      <c r="O6354" s="148">
        <v>2.2335172133754848</v>
      </c>
      <c r="P6354" s="148">
        <v>-3041.9615600000002</v>
      </c>
      <c r="Q6354" s="148">
        <v>-3119.8562700000002</v>
      </c>
      <c r="R6354" s="148">
        <v>-102.56067371212936</v>
      </c>
    </row>
    <row r="6355" spans="2:18" ht="15.75" hidden="1" thickBot="1" x14ac:dyDescent="0.3">
      <c r="B6355" s="723" t="s">
        <v>888</v>
      </c>
      <c r="C6355" s="149" t="s">
        <v>85</v>
      </c>
      <c r="D6355" t="s">
        <v>86</v>
      </c>
      <c r="E6355" s="147">
        <v>-509.39499000000001</v>
      </c>
      <c r="F6355" s="147">
        <v>-525.21559999999999</v>
      </c>
      <c r="G6355" s="147">
        <v>15.82061</v>
      </c>
      <c r="H6355" s="147">
        <v>3.0122125085393505</v>
      </c>
      <c r="I6355" s="729"/>
      <c r="J6355" s="147">
        <v>-509.39499000000001</v>
      </c>
      <c r="K6355" s="147">
        <v>0</v>
      </c>
      <c r="L6355" s="147">
        <v>-6161.81783</v>
      </c>
      <c r="M6355" s="147">
        <v>-6302.5871999999999</v>
      </c>
      <c r="N6355" s="147">
        <v>140.76937000000001</v>
      </c>
      <c r="O6355" s="147">
        <v>2.2335172133754848</v>
      </c>
      <c r="P6355" s="147">
        <v>-3041.9615600000002</v>
      </c>
      <c r="Q6355" s="147">
        <v>-3119.8562700000002</v>
      </c>
      <c r="R6355" s="147">
        <v>-102.56067371212936</v>
      </c>
    </row>
    <row r="6356" spans="2:18" ht="15.75" hidden="1" thickBot="1" x14ac:dyDescent="0.3">
      <c r="B6356" s="723" t="s">
        <v>888</v>
      </c>
      <c r="C6356" s="144" t="s">
        <v>87</v>
      </c>
      <c r="D6356" t="s">
        <v>87</v>
      </c>
      <c r="E6356" s="148">
        <v>-509.39499000000001</v>
      </c>
      <c r="F6356" s="148">
        <v>-525.21559999999999</v>
      </c>
      <c r="G6356" s="148">
        <v>15.82061</v>
      </c>
      <c r="H6356" s="148">
        <v>3.0122125085393505</v>
      </c>
      <c r="I6356" s="728"/>
      <c r="J6356" s="148">
        <v>-509.39499000000001</v>
      </c>
      <c r="K6356" s="148">
        <v>0</v>
      </c>
      <c r="L6356" s="148">
        <v>-6161.81783</v>
      </c>
      <c r="M6356" s="148">
        <v>-6302.5871999999999</v>
      </c>
      <c r="N6356" s="148">
        <v>140.76937000000001</v>
      </c>
      <c r="O6356" s="148">
        <v>2.2335172133754848</v>
      </c>
      <c r="P6356" s="148">
        <v>-3041.9615600000002</v>
      </c>
      <c r="Q6356" s="148">
        <v>-3119.8562700000002</v>
      </c>
      <c r="R6356" s="148">
        <v>-102.56067371212936</v>
      </c>
    </row>
    <row r="6357" spans="2:18" ht="15.75" hidden="1" thickBot="1" x14ac:dyDescent="0.3">
      <c r="B6357" s="723" t="s">
        <v>889</v>
      </c>
      <c r="C6357" s="722" t="s">
        <v>485</v>
      </c>
      <c r="D6357" t="s">
        <v>486</v>
      </c>
      <c r="E6357" s="147">
        <v>1164.5028299999999</v>
      </c>
      <c r="F6357" s="147">
        <v>966.66663000000005</v>
      </c>
      <c r="G6357" s="147">
        <v>197.83619999999999</v>
      </c>
      <c r="H6357" s="147">
        <v>20.465814569392965</v>
      </c>
      <c r="I6357" s="729"/>
      <c r="J6357" s="147">
        <v>1164.5028299999999</v>
      </c>
      <c r="K6357" s="147">
        <v>0</v>
      </c>
      <c r="L6357" s="147">
        <v>13974.04896</v>
      </c>
      <c r="M6357" s="147">
        <v>11600</v>
      </c>
      <c r="N6357" s="147">
        <v>2374.0489600000001</v>
      </c>
      <c r="O6357" s="147">
        <v>20.465939310344826</v>
      </c>
      <c r="P6357" s="147">
        <v>6128.27898</v>
      </c>
      <c r="Q6357" s="147">
        <v>7845.76998</v>
      </c>
      <c r="R6357" s="147">
        <v>128.02566602475397</v>
      </c>
    </row>
    <row r="6358" spans="2:18" ht="15.75" hidden="1" thickBot="1" x14ac:dyDescent="0.3">
      <c r="B6358" s="723" t="s">
        <v>889</v>
      </c>
      <c r="C6358" s="149" t="s">
        <v>85</v>
      </c>
      <c r="D6358" t="s">
        <v>86</v>
      </c>
      <c r="E6358" s="148">
        <v>1164.5028299999999</v>
      </c>
      <c r="F6358" s="148">
        <v>966.66663000000005</v>
      </c>
      <c r="G6358" s="148">
        <v>197.83619999999999</v>
      </c>
      <c r="H6358" s="148">
        <v>20.465814569392965</v>
      </c>
      <c r="I6358" s="728"/>
      <c r="J6358" s="148">
        <v>1164.5028299999999</v>
      </c>
      <c r="K6358" s="148">
        <v>0</v>
      </c>
      <c r="L6358" s="148">
        <v>13974.04896</v>
      </c>
      <c r="M6358" s="148">
        <v>11600</v>
      </c>
      <c r="N6358" s="148">
        <v>2374.0489600000001</v>
      </c>
      <c r="O6358" s="148">
        <v>20.465939310344826</v>
      </c>
      <c r="P6358" s="148">
        <v>6128.27898</v>
      </c>
      <c r="Q6358" s="148">
        <v>7845.76998</v>
      </c>
      <c r="R6358" s="148">
        <v>128.02566602475397</v>
      </c>
    </row>
    <row r="6359" spans="2:18" ht="15.75" hidden="1" thickBot="1" x14ac:dyDescent="0.3">
      <c r="B6359" s="723" t="s">
        <v>889</v>
      </c>
      <c r="C6359" s="144" t="s">
        <v>87</v>
      </c>
      <c r="D6359" t="s">
        <v>87</v>
      </c>
      <c r="E6359" s="147">
        <v>1164.5028299999999</v>
      </c>
      <c r="F6359" s="147">
        <v>966.66663000000005</v>
      </c>
      <c r="G6359" s="147">
        <v>197.83619999999999</v>
      </c>
      <c r="H6359" s="147">
        <v>20.465814569392965</v>
      </c>
      <c r="I6359" s="729"/>
      <c r="J6359" s="147">
        <v>1164.5028299999999</v>
      </c>
      <c r="K6359" s="147">
        <v>0</v>
      </c>
      <c r="L6359" s="147">
        <v>13974.04896</v>
      </c>
      <c r="M6359" s="147">
        <v>11600</v>
      </c>
      <c r="N6359" s="147">
        <v>2374.0489600000001</v>
      </c>
      <c r="O6359" s="147">
        <v>20.465939310344826</v>
      </c>
      <c r="P6359" s="147">
        <v>6128.27898</v>
      </c>
      <c r="Q6359" s="147">
        <v>7845.76998</v>
      </c>
      <c r="R6359" s="147">
        <v>128.02566602475397</v>
      </c>
    </row>
    <row r="6360" spans="2:18" ht="15.75" hidden="1" thickBot="1" x14ac:dyDescent="0.3">
      <c r="B6360" s="723" t="s">
        <v>890</v>
      </c>
      <c r="C6360" s="722" t="s">
        <v>61</v>
      </c>
      <c r="D6360" t="s">
        <v>62</v>
      </c>
      <c r="E6360" s="148">
        <v>-3.9211</v>
      </c>
      <c r="F6360" s="728"/>
      <c r="G6360" s="148">
        <v>-3.9211</v>
      </c>
      <c r="H6360" s="148">
        <v>0</v>
      </c>
      <c r="I6360" s="728"/>
      <c r="J6360" s="148">
        <v>-3.9211</v>
      </c>
      <c r="K6360" s="148">
        <v>0</v>
      </c>
      <c r="L6360" s="148">
        <v>-3.9211</v>
      </c>
      <c r="M6360" s="728"/>
      <c r="N6360" s="148">
        <v>-3.9211</v>
      </c>
      <c r="O6360" s="148">
        <v>0</v>
      </c>
      <c r="P6360" s="728"/>
      <c r="Q6360" s="148">
        <v>-3.9211</v>
      </c>
      <c r="R6360" s="148">
        <v>0</v>
      </c>
    </row>
    <row r="6361" spans="2:18" ht="15.75" hidden="1" thickBot="1" x14ac:dyDescent="0.3">
      <c r="B6361" s="723" t="s">
        <v>890</v>
      </c>
      <c r="C6361" s="149" t="s">
        <v>67</v>
      </c>
      <c r="D6361" t="s">
        <v>68</v>
      </c>
      <c r="E6361" s="147">
        <v>-3.9211</v>
      </c>
      <c r="F6361" s="729"/>
      <c r="G6361" s="147">
        <v>-3.9211</v>
      </c>
      <c r="H6361" s="147">
        <v>0</v>
      </c>
      <c r="I6361" s="729"/>
      <c r="J6361" s="147">
        <v>-3.9211</v>
      </c>
      <c r="K6361" s="147">
        <v>0</v>
      </c>
      <c r="L6361" s="147">
        <v>-3.9211</v>
      </c>
      <c r="M6361" s="729"/>
      <c r="N6361" s="147">
        <v>-3.9211</v>
      </c>
      <c r="O6361" s="147">
        <v>0</v>
      </c>
      <c r="P6361" s="729"/>
      <c r="Q6361" s="147">
        <v>-3.9211</v>
      </c>
      <c r="R6361" s="147">
        <v>0</v>
      </c>
    </row>
    <row r="6362" spans="2:18" ht="15.75" hidden="1" thickBot="1" x14ac:dyDescent="0.3">
      <c r="B6362" s="723" t="s">
        <v>890</v>
      </c>
      <c r="C6362" s="722" t="s">
        <v>485</v>
      </c>
      <c r="D6362" t="s">
        <v>486</v>
      </c>
      <c r="E6362" s="148">
        <v>-733.33318999999995</v>
      </c>
      <c r="F6362" s="728"/>
      <c r="G6362" s="148">
        <v>-733.33318999999995</v>
      </c>
      <c r="H6362" s="148">
        <v>0</v>
      </c>
      <c r="I6362" s="728"/>
      <c r="J6362" s="148">
        <v>-733.33318999999995</v>
      </c>
      <c r="K6362" s="148">
        <v>0</v>
      </c>
      <c r="L6362" s="148">
        <v>-842.93069000000003</v>
      </c>
      <c r="M6362" s="728"/>
      <c r="N6362" s="148">
        <v>-842.93069000000003</v>
      </c>
      <c r="O6362" s="148">
        <v>0</v>
      </c>
      <c r="P6362" s="148">
        <v>-109.5975</v>
      </c>
      <c r="Q6362" s="148">
        <v>-733.33318999999995</v>
      </c>
      <c r="R6362" s="148">
        <v>-669.11488856953849</v>
      </c>
    </row>
    <row r="6363" spans="2:18" ht="15.75" hidden="1" thickBot="1" x14ac:dyDescent="0.3">
      <c r="B6363" s="723" t="s">
        <v>890</v>
      </c>
      <c r="C6363" s="149" t="s">
        <v>85</v>
      </c>
      <c r="D6363" t="s">
        <v>86</v>
      </c>
      <c r="E6363" s="147">
        <v>-733.33318999999995</v>
      </c>
      <c r="F6363" s="729"/>
      <c r="G6363" s="147">
        <v>-733.33318999999995</v>
      </c>
      <c r="H6363" s="147">
        <v>0</v>
      </c>
      <c r="I6363" s="729"/>
      <c r="J6363" s="147">
        <v>-733.33318999999995</v>
      </c>
      <c r="K6363" s="147">
        <v>0</v>
      </c>
      <c r="L6363" s="147">
        <v>-842.93069000000003</v>
      </c>
      <c r="M6363" s="729"/>
      <c r="N6363" s="147">
        <v>-842.93069000000003</v>
      </c>
      <c r="O6363" s="147">
        <v>0</v>
      </c>
      <c r="P6363" s="147">
        <v>-109.5975</v>
      </c>
      <c r="Q6363" s="147">
        <v>-733.33318999999995</v>
      </c>
      <c r="R6363" s="147">
        <v>-669.11488856953849</v>
      </c>
    </row>
    <row r="6364" spans="2:18" ht="15.75" hidden="1" thickBot="1" x14ac:dyDescent="0.3">
      <c r="B6364" s="723" t="s">
        <v>890</v>
      </c>
      <c r="C6364" s="144" t="s">
        <v>87</v>
      </c>
      <c r="D6364" t="s">
        <v>87</v>
      </c>
      <c r="E6364" s="148">
        <v>-737.25428999999997</v>
      </c>
      <c r="F6364" s="728"/>
      <c r="G6364" s="148">
        <v>-737.25428999999997</v>
      </c>
      <c r="H6364" s="148">
        <v>0</v>
      </c>
      <c r="I6364" s="728"/>
      <c r="J6364" s="148">
        <v>-737.25428999999997</v>
      </c>
      <c r="K6364" s="148">
        <v>0</v>
      </c>
      <c r="L6364" s="148">
        <v>-846.85179000000005</v>
      </c>
      <c r="M6364" s="728"/>
      <c r="N6364" s="148">
        <v>-846.85179000000005</v>
      </c>
      <c r="O6364" s="148">
        <v>0</v>
      </c>
      <c r="P6364" s="148">
        <v>-109.5975</v>
      </c>
      <c r="Q6364" s="148">
        <v>-737.25428999999997</v>
      </c>
      <c r="R6364" s="148">
        <v>-672.69261616368988</v>
      </c>
    </row>
    <row r="6365" spans="2:18" ht="15.75" hidden="1" thickBot="1" x14ac:dyDescent="0.3">
      <c r="B6365" s="723" t="s">
        <v>891</v>
      </c>
      <c r="C6365" s="722" t="s">
        <v>485</v>
      </c>
      <c r="D6365" t="s">
        <v>486</v>
      </c>
      <c r="E6365" s="147">
        <v>83.359750000000005</v>
      </c>
      <c r="F6365" s="147">
        <v>166.67500000000001</v>
      </c>
      <c r="G6365" s="147">
        <v>-83.315250000000006</v>
      </c>
      <c r="H6365" s="147">
        <v>-49.986650667466627</v>
      </c>
      <c r="I6365" s="729"/>
      <c r="J6365" s="147">
        <v>83.359750000000005</v>
      </c>
      <c r="K6365" s="147">
        <v>0</v>
      </c>
      <c r="L6365" s="147">
        <v>943.68899999999996</v>
      </c>
      <c r="M6365" s="147">
        <v>2000.1</v>
      </c>
      <c r="N6365" s="147">
        <v>-1056.4110000000001</v>
      </c>
      <c r="O6365" s="147">
        <v>-52.817909104544775</v>
      </c>
      <c r="P6365" s="147">
        <v>469.27050000000003</v>
      </c>
      <c r="Q6365" s="147">
        <v>474.41849999999999</v>
      </c>
      <c r="R6365" s="147">
        <v>101.09702186691898</v>
      </c>
    </row>
    <row r="6366" spans="2:18" ht="15.75" hidden="1" thickBot="1" x14ac:dyDescent="0.3">
      <c r="B6366" s="723" t="s">
        <v>891</v>
      </c>
      <c r="C6366" s="149" t="s">
        <v>85</v>
      </c>
      <c r="D6366" t="s">
        <v>86</v>
      </c>
      <c r="E6366" s="148">
        <v>83.359750000000005</v>
      </c>
      <c r="F6366" s="148">
        <v>166.67500000000001</v>
      </c>
      <c r="G6366" s="148">
        <v>-83.315250000000006</v>
      </c>
      <c r="H6366" s="148">
        <v>-49.986650667466627</v>
      </c>
      <c r="I6366" s="728"/>
      <c r="J6366" s="148">
        <v>83.359750000000005</v>
      </c>
      <c r="K6366" s="148">
        <v>0</v>
      </c>
      <c r="L6366" s="148">
        <v>943.68899999999996</v>
      </c>
      <c r="M6366" s="148">
        <v>2000.1</v>
      </c>
      <c r="N6366" s="148">
        <v>-1056.4110000000001</v>
      </c>
      <c r="O6366" s="148">
        <v>-52.817909104544775</v>
      </c>
      <c r="P6366" s="148">
        <v>469.27050000000003</v>
      </c>
      <c r="Q6366" s="148">
        <v>474.41849999999999</v>
      </c>
      <c r="R6366" s="148">
        <v>101.09702186691898</v>
      </c>
    </row>
    <row r="6367" spans="2:18" ht="15.75" hidden="1" thickBot="1" x14ac:dyDescent="0.3">
      <c r="B6367" s="723" t="s">
        <v>891</v>
      </c>
      <c r="C6367" s="144" t="s">
        <v>87</v>
      </c>
      <c r="D6367" t="s">
        <v>87</v>
      </c>
      <c r="E6367" s="147">
        <v>83.359750000000005</v>
      </c>
      <c r="F6367" s="147">
        <v>166.67500000000001</v>
      </c>
      <c r="G6367" s="147">
        <v>-83.315250000000006</v>
      </c>
      <c r="H6367" s="147">
        <v>-49.986650667466627</v>
      </c>
      <c r="I6367" s="729"/>
      <c r="J6367" s="147">
        <v>83.359750000000005</v>
      </c>
      <c r="K6367" s="147">
        <v>0</v>
      </c>
      <c r="L6367" s="147">
        <v>943.68899999999996</v>
      </c>
      <c r="M6367" s="147">
        <v>2000.1</v>
      </c>
      <c r="N6367" s="147">
        <v>-1056.4110000000001</v>
      </c>
      <c r="O6367" s="147">
        <v>-52.817909104544775</v>
      </c>
      <c r="P6367" s="147">
        <v>469.27050000000003</v>
      </c>
      <c r="Q6367" s="147">
        <v>474.41849999999999</v>
      </c>
      <c r="R6367" s="147">
        <v>101.09702186691898</v>
      </c>
    </row>
    <row r="6368" spans="2:18" ht="15.75" hidden="1" thickBot="1" x14ac:dyDescent="0.3">
      <c r="B6368" s="723" t="s">
        <v>892</v>
      </c>
      <c r="C6368" s="722" t="s">
        <v>134</v>
      </c>
      <c r="D6368" t="s">
        <v>135</v>
      </c>
      <c r="E6368" s="148">
        <v>1369.5630000000001</v>
      </c>
      <c r="F6368" s="148">
        <v>933.99251000000004</v>
      </c>
      <c r="G6368" s="148">
        <v>435.57049000000001</v>
      </c>
      <c r="H6368" s="148">
        <v>46.635330084178086</v>
      </c>
      <c r="I6368" s="728"/>
      <c r="J6368" s="148">
        <v>1369.5630000000001</v>
      </c>
      <c r="K6368" s="148">
        <v>0</v>
      </c>
      <c r="L6368" s="148">
        <v>1087.7179699999999</v>
      </c>
      <c r="M6368" s="148">
        <v>0</v>
      </c>
      <c r="N6368" s="148">
        <v>1087.7179699999999</v>
      </c>
      <c r="O6368" s="148">
        <v>0</v>
      </c>
      <c r="P6368" s="148">
        <v>645.42397000000005</v>
      </c>
      <c r="Q6368" s="148">
        <v>442.29399999999998</v>
      </c>
      <c r="R6368" s="148">
        <v>68.527668719833883</v>
      </c>
    </row>
    <row r="6369" spans="2:18" ht="15.75" hidden="1" thickBot="1" x14ac:dyDescent="0.3">
      <c r="B6369" s="723" t="s">
        <v>892</v>
      </c>
      <c r="C6369" s="722" t="s">
        <v>95</v>
      </c>
      <c r="D6369" t="s">
        <v>96</v>
      </c>
      <c r="E6369" s="147">
        <v>-216.048</v>
      </c>
      <c r="F6369" s="729"/>
      <c r="G6369" s="147">
        <v>-216.048</v>
      </c>
      <c r="H6369" s="147">
        <v>0</v>
      </c>
      <c r="I6369" s="729"/>
      <c r="J6369" s="147">
        <v>-216.048</v>
      </c>
      <c r="K6369" s="147">
        <v>0</v>
      </c>
      <c r="L6369" s="147">
        <v>71.815899999999999</v>
      </c>
      <c r="M6369" s="729"/>
      <c r="N6369" s="147">
        <v>71.815899999999999</v>
      </c>
      <c r="O6369" s="147">
        <v>0</v>
      </c>
      <c r="P6369" s="147">
        <v>22.800899999999999</v>
      </c>
      <c r="Q6369" s="147">
        <v>49.015000000000001</v>
      </c>
      <c r="R6369" s="147">
        <v>214.96958453394384</v>
      </c>
    </row>
    <row r="6370" spans="2:18" ht="15.75" hidden="1" thickBot="1" x14ac:dyDescent="0.3">
      <c r="B6370" s="723" t="s">
        <v>892</v>
      </c>
      <c r="C6370" s="149" t="s">
        <v>67</v>
      </c>
      <c r="D6370" t="s">
        <v>68</v>
      </c>
      <c r="E6370" s="148">
        <v>1153.5150000000001</v>
      </c>
      <c r="F6370" s="148">
        <v>933.99251000000004</v>
      </c>
      <c r="G6370" s="148">
        <v>219.52249</v>
      </c>
      <c r="H6370" s="148">
        <v>23.503667069021784</v>
      </c>
      <c r="I6370" s="728"/>
      <c r="J6370" s="148">
        <v>1153.5150000000001</v>
      </c>
      <c r="K6370" s="148">
        <v>0</v>
      </c>
      <c r="L6370" s="148">
        <v>1159.53387</v>
      </c>
      <c r="M6370" s="148">
        <v>0</v>
      </c>
      <c r="N6370" s="148">
        <v>1159.53387</v>
      </c>
      <c r="O6370" s="148">
        <v>0</v>
      </c>
      <c r="P6370" s="148">
        <v>668.22487000000001</v>
      </c>
      <c r="Q6370" s="148">
        <v>491.30900000000003</v>
      </c>
      <c r="R6370" s="148">
        <v>73.524500816618811</v>
      </c>
    </row>
    <row r="6371" spans="2:18" ht="15.75" hidden="1" thickBot="1" x14ac:dyDescent="0.3">
      <c r="B6371" s="723" t="s">
        <v>892</v>
      </c>
      <c r="C6371" s="144" t="s">
        <v>87</v>
      </c>
      <c r="D6371" t="s">
        <v>87</v>
      </c>
      <c r="E6371" s="147">
        <v>1153.5150000000001</v>
      </c>
      <c r="F6371" s="147">
        <v>933.99251000000004</v>
      </c>
      <c r="G6371" s="147">
        <v>219.52249</v>
      </c>
      <c r="H6371" s="147">
        <v>23.503667069021784</v>
      </c>
      <c r="I6371" s="729"/>
      <c r="J6371" s="147">
        <v>1153.5150000000001</v>
      </c>
      <c r="K6371" s="147">
        <v>0</v>
      </c>
      <c r="L6371" s="147">
        <v>1159.53387</v>
      </c>
      <c r="M6371" s="147">
        <v>0</v>
      </c>
      <c r="N6371" s="147">
        <v>1159.53387</v>
      </c>
      <c r="O6371" s="147">
        <v>0</v>
      </c>
      <c r="P6371" s="147">
        <v>668.22487000000001</v>
      </c>
      <c r="Q6371" s="147">
        <v>491.30900000000003</v>
      </c>
      <c r="R6371" s="147">
        <v>73.524500816618811</v>
      </c>
    </row>
    <row r="6372" spans="2:18" ht="15.75" hidden="1" thickBot="1" x14ac:dyDescent="0.3">
      <c r="B6372" s="724" t="s">
        <v>893</v>
      </c>
      <c r="C6372" s="722" t="s">
        <v>95</v>
      </c>
      <c r="D6372" t="s">
        <v>96</v>
      </c>
      <c r="E6372" s="148">
        <v>-216.048</v>
      </c>
      <c r="F6372" s="728"/>
      <c r="G6372" s="148">
        <v>-216.048</v>
      </c>
      <c r="H6372" s="148">
        <v>0</v>
      </c>
      <c r="I6372" s="728"/>
      <c r="J6372" s="148">
        <v>-216.048</v>
      </c>
      <c r="K6372" s="148">
        <v>0</v>
      </c>
      <c r="L6372" s="148">
        <v>71.815899999999999</v>
      </c>
      <c r="M6372" s="728"/>
      <c r="N6372" s="148">
        <v>71.815899999999999</v>
      </c>
      <c r="O6372" s="148">
        <v>0</v>
      </c>
      <c r="P6372" s="148">
        <v>22.800899999999999</v>
      </c>
      <c r="Q6372" s="148">
        <v>49.015000000000001</v>
      </c>
      <c r="R6372" s="148">
        <v>214.96958453394384</v>
      </c>
    </row>
    <row r="6373" spans="2:18" ht="15.75" hidden="1" thickBot="1" x14ac:dyDescent="0.3">
      <c r="B6373" s="724" t="s">
        <v>893</v>
      </c>
      <c r="C6373" s="149" t="s">
        <v>67</v>
      </c>
      <c r="D6373" t="s">
        <v>68</v>
      </c>
      <c r="E6373" s="147">
        <v>-216.048</v>
      </c>
      <c r="F6373" s="729"/>
      <c r="G6373" s="147">
        <v>-216.048</v>
      </c>
      <c r="H6373" s="147">
        <v>0</v>
      </c>
      <c r="I6373" s="729"/>
      <c r="J6373" s="147">
        <v>-216.048</v>
      </c>
      <c r="K6373" s="147">
        <v>0</v>
      </c>
      <c r="L6373" s="147">
        <v>71.815899999999999</v>
      </c>
      <c r="M6373" s="729"/>
      <c r="N6373" s="147">
        <v>71.815899999999999</v>
      </c>
      <c r="O6373" s="147">
        <v>0</v>
      </c>
      <c r="P6373" s="147">
        <v>22.800899999999999</v>
      </c>
      <c r="Q6373" s="147">
        <v>49.015000000000001</v>
      </c>
      <c r="R6373" s="147">
        <v>214.96958453394384</v>
      </c>
    </row>
    <row r="6374" spans="2:18" ht="15.75" hidden="1" thickBot="1" x14ac:dyDescent="0.3">
      <c r="B6374" s="724" t="s">
        <v>893</v>
      </c>
      <c r="C6374" s="144" t="s">
        <v>87</v>
      </c>
      <c r="D6374" t="s">
        <v>87</v>
      </c>
      <c r="E6374" s="148">
        <v>-216.048</v>
      </c>
      <c r="F6374" s="728"/>
      <c r="G6374" s="148">
        <v>-216.048</v>
      </c>
      <c r="H6374" s="148">
        <v>0</v>
      </c>
      <c r="I6374" s="728"/>
      <c r="J6374" s="148">
        <v>-216.048</v>
      </c>
      <c r="K6374" s="148">
        <v>0</v>
      </c>
      <c r="L6374" s="148">
        <v>71.815899999999999</v>
      </c>
      <c r="M6374" s="728"/>
      <c r="N6374" s="148">
        <v>71.815899999999999</v>
      </c>
      <c r="O6374" s="148">
        <v>0</v>
      </c>
      <c r="P6374" s="148">
        <v>22.800899999999999</v>
      </c>
      <c r="Q6374" s="148">
        <v>49.015000000000001</v>
      </c>
      <c r="R6374" s="148">
        <v>214.96958453394384</v>
      </c>
    </row>
    <row r="6375" spans="2:18" ht="15.75" hidden="1" thickBot="1" x14ac:dyDescent="0.3">
      <c r="B6375" s="724" t="s">
        <v>894</v>
      </c>
      <c r="C6375" s="722" t="s">
        <v>134</v>
      </c>
      <c r="D6375" t="s">
        <v>135</v>
      </c>
      <c r="E6375" s="147">
        <v>1369.5630000000001</v>
      </c>
      <c r="F6375" s="147">
        <v>933.99251000000004</v>
      </c>
      <c r="G6375" s="147">
        <v>435.57049000000001</v>
      </c>
      <c r="H6375" s="147">
        <v>46.635330084178086</v>
      </c>
      <c r="I6375" s="729"/>
      <c r="J6375" s="147">
        <v>1369.5630000000001</v>
      </c>
      <c r="K6375" s="147">
        <v>0</v>
      </c>
      <c r="L6375" s="147">
        <v>1087.7179699999999</v>
      </c>
      <c r="M6375" s="147">
        <v>0</v>
      </c>
      <c r="N6375" s="147">
        <v>1087.7179699999999</v>
      </c>
      <c r="O6375" s="147">
        <v>0</v>
      </c>
      <c r="P6375" s="147">
        <v>645.42397000000005</v>
      </c>
      <c r="Q6375" s="147">
        <v>442.29399999999998</v>
      </c>
      <c r="R6375" s="147">
        <v>68.527668719833883</v>
      </c>
    </row>
    <row r="6376" spans="2:18" ht="15.75" hidden="1" thickBot="1" x14ac:dyDescent="0.3">
      <c r="B6376" s="724" t="s">
        <v>894</v>
      </c>
      <c r="C6376" s="149" t="s">
        <v>67</v>
      </c>
      <c r="D6376" t="s">
        <v>68</v>
      </c>
      <c r="E6376" s="148">
        <v>1369.5630000000001</v>
      </c>
      <c r="F6376" s="148">
        <v>933.99251000000004</v>
      </c>
      <c r="G6376" s="148">
        <v>435.57049000000001</v>
      </c>
      <c r="H6376" s="148">
        <v>46.635330084178086</v>
      </c>
      <c r="I6376" s="728"/>
      <c r="J6376" s="148">
        <v>1369.5630000000001</v>
      </c>
      <c r="K6376" s="148">
        <v>0</v>
      </c>
      <c r="L6376" s="148">
        <v>1087.7179699999999</v>
      </c>
      <c r="M6376" s="148">
        <v>0</v>
      </c>
      <c r="N6376" s="148">
        <v>1087.7179699999999</v>
      </c>
      <c r="O6376" s="148">
        <v>0</v>
      </c>
      <c r="P6376" s="148">
        <v>645.42397000000005</v>
      </c>
      <c r="Q6376" s="148">
        <v>442.29399999999998</v>
      </c>
      <c r="R6376" s="148">
        <v>68.527668719833883</v>
      </c>
    </row>
    <row r="6377" spans="2:18" ht="15.75" hidden="1" thickBot="1" x14ac:dyDescent="0.3">
      <c r="B6377" s="724" t="s">
        <v>894</v>
      </c>
      <c r="C6377" s="144" t="s">
        <v>87</v>
      </c>
      <c r="D6377" t="s">
        <v>87</v>
      </c>
      <c r="E6377" s="147">
        <v>1369.5630000000001</v>
      </c>
      <c r="F6377" s="147">
        <v>933.99251000000004</v>
      </c>
      <c r="G6377" s="147">
        <v>435.57049000000001</v>
      </c>
      <c r="H6377" s="147">
        <v>46.635330084178086</v>
      </c>
      <c r="I6377" s="729"/>
      <c r="J6377" s="147">
        <v>1369.5630000000001</v>
      </c>
      <c r="K6377" s="147">
        <v>0</v>
      </c>
      <c r="L6377" s="147">
        <v>1087.7179699999999</v>
      </c>
      <c r="M6377" s="147">
        <v>0</v>
      </c>
      <c r="N6377" s="147">
        <v>1087.7179699999999</v>
      </c>
      <c r="O6377" s="147">
        <v>0</v>
      </c>
      <c r="P6377" s="147">
        <v>645.42397000000005</v>
      </c>
      <c r="Q6377" s="147">
        <v>442.29399999999998</v>
      </c>
      <c r="R6377" s="147">
        <v>68.527668719833883</v>
      </c>
    </row>
    <row r="6378" spans="2:18" ht="15.75" hidden="1" thickBot="1" x14ac:dyDescent="0.3">
      <c r="B6378" s="145" t="s">
        <v>895</v>
      </c>
      <c r="C6378" s="722" t="s">
        <v>59</v>
      </c>
      <c r="D6378" t="s">
        <v>60</v>
      </c>
      <c r="E6378" s="148">
        <v>-240.511</v>
      </c>
      <c r="F6378" s="148">
        <v>-363.15347000000003</v>
      </c>
      <c r="G6378" s="148">
        <v>122.64247</v>
      </c>
      <c r="H6378" s="148">
        <v>33.771526401771681</v>
      </c>
      <c r="I6378" s="728"/>
      <c r="J6378" s="148">
        <v>-240.511</v>
      </c>
      <c r="K6378" s="148">
        <v>0</v>
      </c>
      <c r="L6378" s="148">
        <v>-3348.2426700000001</v>
      </c>
      <c r="M6378" s="148">
        <v>-4343.42497</v>
      </c>
      <c r="N6378" s="148">
        <v>995.18230000000005</v>
      </c>
      <c r="O6378" s="148">
        <v>22.912386120946394</v>
      </c>
      <c r="P6378" s="148">
        <v>-1523.7149999999999</v>
      </c>
      <c r="Q6378" s="148">
        <v>-1824.5276699999999</v>
      </c>
      <c r="R6378" s="148">
        <v>-119.74205609316702</v>
      </c>
    </row>
    <row r="6379" spans="2:18" ht="15.75" hidden="1" thickBot="1" x14ac:dyDescent="0.3">
      <c r="B6379" s="145" t="s">
        <v>895</v>
      </c>
      <c r="C6379" s="722" t="s">
        <v>178</v>
      </c>
      <c r="D6379" t="s">
        <v>179</v>
      </c>
      <c r="E6379" s="147">
        <v>-19.099</v>
      </c>
      <c r="F6379" s="729"/>
      <c r="G6379" s="147">
        <v>-19.099</v>
      </c>
      <c r="H6379" s="147">
        <v>0</v>
      </c>
      <c r="I6379" s="729"/>
      <c r="J6379" s="147">
        <v>-19.099</v>
      </c>
      <c r="K6379" s="147">
        <v>0</v>
      </c>
      <c r="L6379" s="147">
        <v>-271.673</v>
      </c>
      <c r="M6379" s="729"/>
      <c r="N6379" s="147">
        <v>-271.673</v>
      </c>
      <c r="O6379" s="147">
        <v>0</v>
      </c>
      <c r="P6379" s="147">
        <v>-169.595</v>
      </c>
      <c r="Q6379" s="147">
        <v>-102.078</v>
      </c>
      <c r="R6379" s="147">
        <v>-60.189274447949529</v>
      </c>
    </row>
    <row r="6380" spans="2:18" ht="15.75" hidden="1" thickBot="1" x14ac:dyDescent="0.3">
      <c r="B6380" s="145" t="s">
        <v>895</v>
      </c>
      <c r="C6380" s="722" t="s">
        <v>91</v>
      </c>
      <c r="D6380" t="s">
        <v>92</v>
      </c>
      <c r="E6380" s="728"/>
      <c r="F6380" s="148">
        <v>-60.921190000000003</v>
      </c>
      <c r="G6380" s="148">
        <v>60.921190000000003</v>
      </c>
      <c r="H6380" s="148">
        <v>100</v>
      </c>
      <c r="I6380" s="728"/>
      <c r="J6380" s="728"/>
      <c r="K6380" s="728"/>
      <c r="L6380" s="728"/>
      <c r="M6380" s="148">
        <v>-711.53588000000002</v>
      </c>
      <c r="N6380" s="148">
        <v>711.53588000000002</v>
      </c>
      <c r="O6380" s="148">
        <v>100</v>
      </c>
      <c r="P6380" s="728"/>
      <c r="Q6380" s="728"/>
      <c r="R6380" s="728"/>
    </row>
    <row r="6381" spans="2:18" ht="15.75" hidden="1" thickBot="1" x14ac:dyDescent="0.3">
      <c r="B6381" s="145" t="s">
        <v>895</v>
      </c>
      <c r="C6381" s="722" t="s">
        <v>93</v>
      </c>
      <c r="D6381" t="s">
        <v>94</v>
      </c>
      <c r="E6381" s="729"/>
      <c r="F6381" s="147">
        <v>-2.2887400000000002</v>
      </c>
      <c r="G6381" s="147">
        <v>2.2887400000000002</v>
      </c>
      <c r="H6381" s="147">
        <v>100</v>
      </c>
      <c r="I6381" s="729"/>
      <c r="J6381" s="729"/>
      <c r="K6381" s="729"/>
      <c r="L6381" s="729"/>
      <c r="M6381" s="147">
        <v>-26.73151</v>
      </c>
      <c r="N6381" s="147">
        <v>26.73151</v>
      </c>
      <c r="O6381" s="147">
        <v>100</v>
      </c>
      <c r="P6381" s="729"/>
      <c r="Q6381" s="729"/>
      <c r="R6381" s="729"/>
    </row>
    <row r="6382" spans="2:18" ht="15.75" hidden="1" thickBot="1" x14ac:dyDescent="0.3">
      <c r="B6382" s="145" t="s">
        <v>895</v>
      </c>
      <c r="C6382" s="722" t="s">
        <v>159</v>
      </c>
      <c r="D6382" t="s">
        <v>160</v>
      </c>
      <c r="E6382" s="148">
        <v>-0.218</v>
      </c>
      <c r="F6382" s="148">
        <v>-0.27201999999999998</v>
      </c>
      <c r="G6382" s="148">
        <v>5.4019999999999999E-2</v>
      </c>
      <c r="H6382" s="148">
        <v>19.858833909271379</v>
      </c>
      <c r="I6382" s="728"/>
      <c r="J6382" s="148">
        <v>-0.218</v>
      </c>
      <c r="K6382" s="148">
        <v>0</v>
      </c>
      <c r="L6382" s="148">
        <v>-3.125</v>
      </c>
      <c r="M6382" s="148">
        <v>-3.1771199999999999</v>
      </c>
      <c r="N6382" s="148">
        <v>5.212E-2</v>
      </c>
      <c r="O6382" s="148">
        <v>1.6404794279095534</v>
      </c>
      <c r="P6382" s="148">
        <v>-1.7789999999999999</v>
      </c>
      <c r="Q6382" s="148">
        <v>-1.3460000000000001</v>
      </c>
      <c r="R6382" s="148">
        <v>-75.660483417650369</v>
      </c>
    </row>
    <row r="6383" spans="2:18" ht="15.75" hidden="1" thickBot="1" x14ac:dyDescent="0.3">
      <c r="B6383" s="145" t="s">
        <v>895</v>
      </c>
      <c r="C6383" s="722" t="s">
        <v>134</v>
      </c>
      <c r="D6383" t="s">
        <v>135</v>
      </c>
      <c r="E6383" s="147">
        <v>379.56700000000001</v>
      </c>
      <c r="F6383" s="147">
        <v>329.66001999999997</v>
      </c>
      <c r="G6383" s="147">
        <v>49.906979999999997</v>
      </c>
      <c r="H6383" s="147">
        <v>15.138924034525024</v>
      </c>
      <c r="I6383" s="729"/>
      <c r="J6383" s="147">
        <v>379.56700000000001</v>
      </c>
      <c r="K6383" s="147">
        <v>0</v>
      </c>
      <c r="L6383" s="147">
        <v>676.33459000000005</v>
      </c>
      <c r="M6383" s="147">
        <v>1318.6400799999999</v>
      </c>
      <c r="N6383" s="147">
        <v>-642.30548999999996</v>
      </c>
      <c r="O6383" s="147">
        <v>-48.709689606886514</v>
      </c>
      <c r="P6383" s="147">
        <v>413.01359000000002</v>
      </c>
      <c r="Q6383" s="147">
        <v>263.32100000000003</v>
      </c>
      <c r="R6383" s="147">
        <v>63.756013452245</v>
      </c>
    </row>
    <row r="6384" spans="2:18" ht="15.75" hidden="1" thickBot="1" x14ac:dyDescent="0.3">
      <c r="B6384" s="145" t="s">
        <v>895</v>
      </c>
      <c r="C6384" s="722" t="s">
        <v>568</v>
      </c>
      <c r="D6384" t="s">
        <v>569</v>
      </c>
      <c r="E6384" s="148">
        <v>-0.57499999999999996</v>
      </c>
      <c r="F6384" s="148">
        <v>-0.69513999999999998</v>
      </c>
      <c r="G6384" s="148">
        <v>0.12014</v>
      </c>
      <c r="H6384" s="148">
        <v>17.282849497942859</v>
      </c>
      <c r="I6384" s="728"/>
      <c r="J6384" s="148">
        <v>-0.57499999999999996</v>
      </c>
      <c r="K6384" s="148">
        <v>0</v>
      </c>
      <c r="L6384" s="148">
        <v>-10.662000000000001</v>
      </c>
      <c r="M6384" s="148">
        <v>-8.2979199999999995</v>
      </c>
      <c r="N6384" s="148">
        <v>-2.36408</v>
      </c>
      <c r="O6384" s="148">
        <v>-28.490031236743665</v>
      </c>
      <c r="P6384" s="148">
        <v>-4.08</v>
      </c>
      <c r="Q6384" s="148">
        <v>-6.5819999999999999</v>
      </c>
      <c r="R6384" s="148">
        <v>-161.3235294117647</v>
      </c>
    </row>
    <row r="6385" spans="2:18" ht="15.75" hidden="1" thickBot="1" x14ac:dyDescent="0.3">
      <c r="B6385" s="145" t="s">
        <v>895</v>
      </c>
      <c r="C6385" s="722" t="s">
        <v>61</v>
      </c>
      <c r="D6385" t="s">
        <v>62</v>
      </c>
      <c r="E6385" s="147">
        <v>-46.567</v>
      </c>
      <c r="F6385" s="147">
        <v>-116.46593</v>
      </c>
      <c r="G6385" s="147">
        <v>69.898929999999993</v>
      </c>
      <c r="H6385" s="147">
        <v>60.016633190496137</v>
      </c>
      <c r="I6385" s="729"/>
      <c r="J6385" s="147">
        <v>-46.567</v>
      </c>
      <c r="K6385" s="147">
        <v>0</v>
      </c>
      <c r="L6385" s="147">
        <v>-555.678</v>
      </c>
      <c r="M6385" s="147">
        <v>-1181.6783800000001</v>
      </c>
      <c r="N6385" s="147">
        <v>626.00037999999995</v>
      </c>
      <c r="O6385" s="147">
        <v>52.975529602225606</v>
      </c>
      <c r="P6385" s="147">
        <v>-319.18</v>
      </c>
      <c r="Q6385" s="147">
        <v>-236.49799999999999</v>
      </c>
      <c r="R6385" s="147">
        <v>-74.095494705182034</v>
      </c>
    </row>
    <row r="6386" spans="2:18" ht="15.75" hidden="1" thickBot="1" x14ac:dyDescent="0.3">
      <c r="B6386" s="145" t="s">
        <v>895</v>
      </c>
      <c r="C6386" s="722" t="s">
        <v>63</v>
      </c>
      <c r="D6386" t="s">
        <v>64</v>
      </c>
      <c r="E6386" s="148">
        <v>-187.84399999999999</v>
      </c>
      <c r="F6386" s="148">
        <v>-231.14175</v>
      </c>
      <c r="G6386" s="148">
        <v>43.297750000000001</v>
      </c>
      <c r="H6386" s="148">
        <v>18.732120008609435</v>
      </c>
      <c r="I6386" s="728"/>
      <c r="J6386" s="148">
        <v>-187.84399999999999</v>
      </c>
      <c r="K6386" s="148">
        <v>0</v>
      </c>
      <c r="L6386" s="148">
        <v>-2241.6936700000001</v>
      </c>
      <c r="M6386" s="148">
        <v>-2754.7430399999998</v>
      </c>
      <c r="N6386" s="148">
        <v>513.04936999999995</v>
      </c>
      <c r="O6386" s="148">
        <v>18.624218758349237</v>
      </c>
      <c r="P6386" s="148">
        <v>-1282.28</v>
      </c>
      <c r="Q6386" s="148">
        <v>-959.41367000000002</v>
      </c>
      <c r="R6386" s="148">
        <v>-74.820918208191657</v>
      </c>
    </row>
    <row r="6387" spans="2:18" ht="15.75" hidden="1" thickBot="1" x14ac:dyDescent="0.3">
      <c r="B6387" s="145" t="s">
        <v>895</v>
      </c>
      <c r="C6387" s="722" t="s">
        <v>570</v>
      </c>
      <c r="D6387" t="s">
        <v>571</v>
      </c>
      <c r="E6387" s="729"/>
      <c r="F6387" s="147">
        <v>-34.478549999999998</v>
      </c>
      <c r="G6387" s="147">
        <v>34.478549999999998</v>
      </c>
      <c r="H6387" s="147">
        <v>100</v>
      </c>
      <c r="I6387" s="729"/>
      <c r="J6387" s="729"/>
      <c r="K6387" s="729"/>
      <c r="L6387" s="729"/>
      <c r="M6387" s="147">
        <v>-411.57204000000002</v>
      </c>
      <c r="N6387" s="147">
        <v>411.57204000000002</v>
      </c>
      <c r="O6387" s="147">
        <v>100</v>
      </c>
      <c r="P6387" s="729"/>
      <c r="Q6387" s="729"/>
      <c r="R6387" s="729"/>
    </row>
    <row r="6388" spans="2:18" ht="15.75" hidden="1" thickBot="1" x14ac:dyDescent="0.3">
      <c r="B6388" s="145" t="s">
        <v>895</v>
      </c>
      <c r="C6388" s="722" t="s">
        <v>180</v>
      </c>
      <c r="D6388" t="s">
        <v>181</v>
      </c>
      <c r="E6388" s="728"/>
      <c r="F6388" s="148">
        <v>100.68471</v>
      </c>
      <c r="G6388" s="148">
        <v>-100.68471</v>
      </c>
      <c r="H6388" s="148">
        <v>-100</v>
      </c>
      <c r="I6388" s="728"/>
      <c r="J6388" s="728"/>
      <c r="K6388" s="728"/>
      <c r="L6388" s="728"/>
      <c r="M6388" s="148">
        <v>989.89664000000005</v>
      </c>
      <c r="N6388" s="148">
        <v>-989.89664000000005</v>
      </c>
      <c r="O6388" s="148">
        <v>-100</v>
      </c>
      <c r="P6388" s="728"/>
      <c r="Q6388" s="728"/>
      <c r="R6388" s="728"/>
    </row>
    <row r="6389" spans="2:18" ht="15.75" hidden="1" thickBot="1" x14ac:dyDescent="0.3">
      <c r="B6389" s="145" t="s">
        <v>895</v>
      </c>
      <c r="C6389" s="722" t="s">
        <v>156</v>
      </c>
      <c r="D6389" t="s">
        <v>157</v>
      </c>
      <c r="E6389" s="729"/>
      <c r="F6389" s="147">
        <v>-8.0901099999999992</v>
      </c>
      <c r="G6389" s="147">
        <v>8.0901099999999992</v>
      </c>
      <c r="H6389" s="147">
        <v>100</v>
      </c>
      <c r="I6389" s="729"/>
      <c r="J6389" s="729"/>
      <c r="K6389" s="729"/>
      <c r="L6389" s="729"/>
      <c r="M6389" s="147">
        <v>-96.572019999999995</v>
      </c>
      <c r="N6389" s="147">
        <v>96.572019999999995</v>
      </c>
      <c r="O6389" s="147">
        <v>100</v>
      </c>
      <c r="P6389" s="729"/>
      <c r="Q6389" s="729"/>
      <c r="R6389" s="729"/>
    </row>
    <row r="6390" spans="2:18" ht="15.75" hidden="1" thickBot="1" x14ac:dyDescent="0.3">
      <c r="B6390" s="145" t="s">
        <v>895</v>
      </c>
      <c r="C6390" s="722" t="s">
        <v>184</v>
      </c>
      <c r="D6390" t="s">
        <v>185</v>
      </c>
      <c r="E6390" s="728"/>
      <c r="F6390" s="148">
        <v>-0.17624999999999999</v>
      </c>
      <c r="G6390" s="148">
        <v>0.17624999999999999</v>
      </c>
      <c r="H6390" s="148">
        <v>100</v>
      </c>
      <c r="I6390" s="728"/>
      <c r="J6390" s="728"/>
      <c r="K6390" s="728"/>
      <c r="L6390" s="728"/>
      <c r="M6390" s="148">
        <v>-2.05857</v>
      </c>
      <c r="N6390" s="148">
        <v>2.05857</v>
      </c>
      <c r="O6390" s="148">
        <v>100</v>
      </c>
      <c r="P6390" s="728"/>
      <c r="Q6390" s="728"/>
      <c r="R6390" s="728"/>
    </row>
    <row r="6391" spans="2:18" ht="15.75" hidden="1" thickBot="1" x14ac:dyDescent="0.3">
      <c r="B6391" s="145" t="s">
        <v>895</v>
      </c>
      <c r="C6391" s="722" t="s">
        <v>65</v>
      </c>
      <c r="D6391" t="s">
        <v>66</v>
      </c>
      <c r="E6391" s="729"/>
      <c r="F6391" s="147">
        <v>96.744720000000001</v>
      </c>
      <c r="G6391" s="147">
        <v>-96.744720000000001</v>
      </c>
      <c r="H6391" s="147">
        <v>-100</v>
      </c>
      <c r="I6391" s="729"/>
      <c r="J6391" s="729"/>
      <c r="K6391" s="729"/>
      <c r="L6391" s="729"/>
      <c r="M6391" s="147">
        <v>1157.71812</v>
      </c>
      <c r="N6391" s="147">
        <v>-1157.71812</v>
      </c>
      <c r="O6391" s="147">
        <v>-100</v>
      </c>
      <c r="P6391" s="729"/>
      <c r="Q6391" s="729"/>
      <c r="R6391" s="729"/>
    </row>
    <row r="6392" spans="2:18" ht="15.75" hidden="1" thickBot="1" x14ac:dyDescent="0.3">
      <c r="B6392" s="145" t="s">
        <v>895</v>
      </c>
      <c r="C6392" s="722" t="s">
        <v>163</v>
      </c>
      <c r="D6392" t="s">
        <v>164</v>
      </c>
      <c r="E6392" s="728"/>
      <c r="F6392" s="148">
        <v>82.051060000000007</v>
      </c>
      <c r="G6392" s="148">
        <v>-82.051060000000007</v>
      </c>
      <c r="H6392" s="148">
        <v>-100</v>
      </c>
      <c r="I6392" s="728"/>
      <c r="J6392" s="728"/>
      <c r="K6392" s="728"/>
      <c r="L6392" s="728"/>
      <c r="M6392" s="148">
        <v>956.64268000000004</v>
      </c>
      <c r="N6392" s="148">
        <v>-956.64268000000004</v>
      </c>
      <c r="O6392" s="148">
        <v>-100</v>
      </c>
      <c r="P6392" s="728"/>
      <c r="Q6392" s="728"/>
      <c r="R6392" s="728"/>
    </row>
    <row r="6393" spans="2:18" ht="15.75" hidden="1" thickBot="1" x14ac:dyDescent="0.3">
      <c r="B6393" s="145" t="s">
        <v>895</v>
      </c>
      <c r="C6393" s="722" t="s">
        <v>578</v>
      </c>
      <c r="D6393" t="s">
        <v>579</v>
      </c>
      <c r="E6393" s="729"/>
      <c r="F6393" s="147">
        <v>0.12848999999999999</v>
      </c>
      <c r="G6393" s="147">
        <v>-0.12848999999999999</v>
      </c>
      <c r="H6393" s="147">
        <v>-100</v>
      </c>
      <c r="I6393" s="729"/>
      <c r="J6393" s="729"/>
      <c r="K6393" s="729"/>
      <c r="L6393" s="729"/>
      <c r="M6393" s="147">
        <v>1.50074</v>
      </c>
      <c r="N6393" s="147">
        <v>-1.50074</v>
      </c>
      <c r="O6393" s="147">
        <v>-100</v>
      </c>
      <c r="P6393" s="729"/>
      <c r="Q6393" s="729"/>
      <c r="R6393" s="729"/>
    </row>
    <row r="6394" spans="2:18" ht="15.75" hidden="1" thickBot="1" x14ac:dyDescent="0.3">
      <c r="B6394" s="145" t="s">
        <v>895</v>
      </c>
      <c r="C6394" s="722" t="s">
        <v>580</v>
      </c>
      <c r="D6394" t="s">
        <v>581</v>
      </c>
      <c r="E6394" s="728"/>
      <c r="F6394" s="148">
        <v>0.12033000000000001</v>
      </c>
      <c r="G6394" s="148">
        <v>-0.12033000000000001</v>
      </c>
      <c r="H6394" s="148">
        <v>-100</v>
      </c>
      <c r="I6394" s="728"/>
      <c r="J6394" s="728"/>
      <c r="K6394" s="728"/>
      <c r="L6394" s="728"/>
      <c r="M6394" s="148">
        <v>1.43638</v>
      </c>
      <c r="N6394" s="148">
        <v>-1.43638</v>
      </c>
      <c r="O6394" s="148">
        <v>-100</v>
      </c>
      <c r="P6394" s="728"/>
      <c r="Q6394" s="728"/>
      <c r="R6394" s="728"/>
    </row>
    <row r="6395" spans="2:18" ht="15.75" hidden="1" thickBot="1" x14ac:dyDescent="0.3">
      <c r="B6395" s="145" t="s">
        <v>895</v>
      </c>
      <c r="C6395" s="149" t="s">
        <v>67</v>
      </c>
      <c r="D6395" t="s">
        <v>68</v>
      </c>
      <c r="E6395" s="147">
        <v>-115.247</v>
      </c>
      <c r="F6395" s="147">
        <v>-208.29382000000001</v>
      </c>
      <c r="G6395" s="147">
        <v>93.046819999999997</v>
      </c>
      <c r="H6395" s="147">
        <v>44.67094607031548</v>
      </c>
      <c r="I6395" s="729"/>
      <c r="J6395" s="147">
        <v>-115.247</v>
      </c>
      <c r="K6395" s="147">
        <v>0</v>
      </c>
      <c r="L6395" s="147">
        <v>-5754.7397499999997</v>
      </c>
      <c r="M6395" s="147">
        <v>-5113.9568099999997</v>
      </c>
      <c r="N6395" s="147">
        <v>-640.78294000000005</v>
      </c>
      <c r="O6395" s="147">
        <v>-12.530081183849498</v>
      </c>
      <c r="P6395" s="147">
        <v>-2887.6154099999999</v>
      </c>
      <c r="Q6395" s="147">
        <v>-2867.1243399999998</v>
      </c>
      <c r="R6395" s="147">
        <v>-99.290380916757883</v>
      </c>
    </row>
    <row r="6396" spans="2:18" ht="15.75" hidden="1" thickBot="1" x14ac:dyDescent="0.3">
      <c r="B6396" s="145" t="s">
        <v>895</v>
      </c>
      <c r="C6396" s="722" t="s">
        <v>169</v>
      </c>
      <c r="D6396" t="s">
        <v>170</v>
      </c>
      <c r="E6396" s="148">
        <v>-4.0439999999999996</v>
      </c>
      <c r="F6396" s="148">
        <v>-1.77182</v>
      </c>
      <c r="G6396" s="148">
        <v>-2.2721800000000001</v>
      </c>
      <c r="H6396" s="148">
        <v>-128.23988892776919</v>
      </c>
      <c r="I6396" s="728"/>
      <c r="J6396" s="148">
        <v>-4.0439999999999996</v>
      </c>
      <c r="K6396" s="148">
        <v>0</v>
      </c>
      <c r="L6396" s="148">
        <v>-49.761000000000003</v>
      </c>
      <c r="M6396" s="148">
        <v>-26.445720000000001</v>
      </c>
      <c r="N6396" s="148">
        <v>-23.315280000000001</v>
      </c>
      <c r="O6396" s="148">
        <v>-88.162772652814894</v>
      </c>
      <c r="P6396" s="148">
        <v>-18.013000000000002</v>
      </c>
      <c r="Q6396" s="148">
        <v>-31.748000000000001</v>
      </c>
      <c r="R6396" s="148">
        <v>-176.25048576028425</v>
      </c>
    </row>
    <row r="6397" spans="2:18" ht="15.75" hidden="1" thickBot="1" x14ac:dyDescent="0.3">
      <c r="B6397" s="145" t="s">
        <v>895</v>
      </c>
      <c r="C6397" s="722" t="s">
        <v>485</v>
      </c>
      <c r="D6397" t="s">
        <v>486</v>
      </c>
      <c r="E6397" s="147">
        <v>520.12007000000006</v>
      </c>
      <c r="F6397" s="147">
        <v>153.67125999999999</v>
      </c>
      <c r="G6397" s="147">
        <v>366.44880999999998</v>
      </c>
      <c r="H6397" s="147">
        <v>238.46281341091367</v>
      </c>
      <c r="I6397" s="729"/>
      <c r="J6397" s="147">
        <v>520.12007000000006</v>
      </c>
      <c r="K6397" s="147">
        <v>0</v>
      </c>
      <c r="L6397" s="147">
        <v>4110.3309499999996</v>
      </c>
      <c r="M6397" s="147">
        <v>2666.8659600000001</v>
      </c>
      <c r="N6397" s="147">
        <v>1443.4649899999999</v>
      </c>
      <c r="O6397" s="147">
        <v>54.125892026459404</v>
      </c>
      <c r="P6397" s="147">
        <v>2257.3090299999999</v>
      </c>
      <c r="Q6397" s="147">
        <v>1853.0219199999999</v>
      </c>
      <c r="R6397" s="147">
        <v>82.089864319552206</v>
      </c>
    </row>
    <row r="6398" spans="2:18" ht="15.75" hidden="1" thickBot="1" x14ac:dyDescent="0.3">
      <c r="B6398" s="145" t="s">
        <v>895</v>
      </c>
      <c r="C6398" s="722" t="s">
        <v>103</v>
      </c>
      <c r="D6398" t="s">
        <v>104</v>
      </c>
      <c r="E6398" s="148">
        <v>-50.117600000000003</v>
      </c>
      <c r="F6398" s="728"/>
      <c r="G6398" s="148">
        <v>-50.117600000000003</v>
      </c>
      <c r="H6398" s="148">
        <v>0</v>
      </c>
      <c r="I6398" s="728"/>
      <c r="J6398" s="148">
        <v>-50.117600000000003</v>
      </c>
      <c r="K6398" s="148">
        <v>0</v>
      </c>
      <c r="L6398" s="148">
        <v>-58.551299999999998</v>
      </c>
      <c r="M6398" s="728"/>
      <c r="N6398" s="148">
        <v>-58.551299999999998</v>
      </c>
      <c r="O6398" s="148">
        <v>0</v>
      </c>
      <c r="P6398" s="148">
        <v>1.2229699999999999</v>
      </c>
      <c r="Q6398" s="148">
        <v>-59.774270000000001</v>
      </c>
      <c r="R6398" s="148">
        <v>-4887.6317489390585</v>
      </c>
    </row>
    <row r="6399" spans="2:18" ht="15.75" hidden="1" thickBot="1" x14ac:dyDescent="0.3">
      <c r="B6399" s="145" t="s">
        <v>895</v>
      </c>
      <c r="C6399" s="722" t="s">
        <v>633</v>
      </c>
      <c r="D6399" t="s">
        <v>634</v>
      </c>
      <c r="E6399" s="729"/>
      <c r="F6399" s="729"/>
      <c r="G6399" s="729"/>
      <c r="H6399" s="729"/>
      <c r="I6399" s="729"/>
      <c r="J6399" s="729"/>
      <c r="K6399" s="729"/>
      <c r="L6399" s="147">
        <v>-42.756</v>
      </c>
      <c r="M6399" s="729"/>
      <c r="N6399" s="147">
        <v>-42.756</v>
      </c>
      <c r="O6399" s="147">
        <v>0</v>
      </c>
      <c r="P6399" s="147">
        <v>-42.756</v>
      </c>
      <c r="Q6399" s="147">
        <v>0</v>
      </c>
      <c r="R6399" s="147">
        <v>0</v>
      </c>
    </row>
    <row r="6400" spans="2:18" ht="15.75" hidden="1" thickBot="1" x14ac:dyDescent="0.3">
      <c r="B6400" s="145" t="s">
        <v>895</v>
      </c>
      <c r="C6400" s="722" t="s">
        <v>635</v>
      </c>
      <c r="D6400" t="s">
        <v>636</v>
      </c>
      <c r="E6400" s="728"/>
      <c r="F6400" s="148">
        <v>-896.72974999999997</v>
      </c>
      <c r="G6400" s="148">
        <v>896.72974999999997</v>
      </c>
      <c r="H6400" s="148">
        <v>100</v>
      </c>
      <c r="I6400" s="728"/>
      <c r="J6400" s="728"/>
      <c r="K6400" s="728"/>
      <c r="L6400" s="148">
        <v>-10314.145</v>
      </c>
      <c r="M6400" s="148">
        <v>-10760.757</v>
      </c>
      <c r="N6400" s="148">
        <v>446.61200000000002</v>
      </c>
      <c r="O6400" s="148">
        <v>4.1503771528341362</v>
      </c>
      <c r="P6400" s="148">
        <v>-5502.63</v>
      </c>
      <c r="Q6400" s="148">
        <v>-4811.5150000000003</v>
      </c>
      <c r="R6400" s="148">
        <v>-87.440278557707856</v>
      </c>
    </row>
    <row r="6401" spans="2:18" ht="15.75" hidden="1" thickBot="1" x14ac:dyDescent="0.3">
      <c r="B6401" s="145" t="s">
        <v>895</v>
      </c>
      <c r="C6401" s="722" t="s">
        <v>639</v>
      </c>
      <c r="D6401" t="s">
        <v>640</v>
      </c>
      <c r="E6401" s="147">
        <v>335.14631000000003</v>
      </c>
      <c r="F6401" s="147">
        <v>111.31449000000001</v>
      </c>
      <c r="G6401" s="147">
        <v>223.83181999999999</v>
      </c>
      <c r="H6401" s="147">
        <v>201.08057809904173</v>
      </c>
      <c r="I6401" s="729"/>
      <c r="J6401" s="147">
        <v>335.14631000000003</v>
      </c>
      <c r="K6401" s="147">
        <v>0</v>
      </c>
      <c r="L6401" s="147">
        <v>678.55408999999997</v>
      </c>
      <c r="M6401" s="147">
        <v>889.33738000000005</v>
      </c>
      <c r="N6401" s="147">
        <v>-210.78328999999999</v>
      </c>
      <c r="O6401" s="147">
        <v>-23.701161644639292</v>
      </c>
      <c r="P6401" s="147">
        <v>130.39323999999999</v>
      </c>
      <c r="Q6401" s="147">
        <v>548.16084999999998</v>
      </c>
      <c r="R6401" s="147">
        <v>420.39054325208883</v>
      </c>
    </row>
    <row r="6402" spans="2:18" ht="15.75" hidden="1" thickBot="1" x14ac:dyDescent="0.3">
      <c r="B6402" s="145" t="s">
        <v>895</v>
      </c>
      <c r="C6402" s="722" t="s">
        <v>143</v>
      </c>
      <c r="D6402" t="s">
        <v>144</v>
      </c>
      <c r="E6402" s="728"/>
      <c r="F6402" s="148">
        <v>0</v>
      </c>
      <c r="G6402" s="148">
        <v>0</v>
      </c>
      <c r="H6402" s="148">
        <v>0</v>
      </c>
      <c r="I6402" s="728"/>
      <c r="J6402" s="728"/>
      <c r="K6402" s="728"/>
      <c r="L6402" s="728"/>
      <c r="M6402" s="148">
        <v>0</v>
      </c>
      <c r="N6402" s="148">
        <v>0</v>
      </c>
      <c r="O6402" s="148">
        <v>0</v>
      </c>
      <c r="P6402" s="728"/>
      <c r="Q6402" s="728"/>
      <c r="R6402" s="728"/>
    </row>
    <row r="6403" spans="2:18" ht="15.75" hidden="1" thickBot="1" x14ac:dyDescent="0.3">
      <c r="B6403" s="145" t="s">
        <v>895</v>
      </c>
      <c r="C6403" s="722" t="s">
        <v>661</v>
      </c>
      <c r="D6403" t="s">
        <v>662</v>
      </c>
      <c r="E6403" s="147">
        <v>182.63</v>
      </c>
      <c r="F6403" s="729"/>
      <c r="G6403" s="147">
        <v>182.63</v>
      </c>
      <c r="H6403" s="147">
        <v>0</v>
      </c>
      <c r="I6403" s="729"/>
      <c r="J6403" s="147">
        <v>182.63</v>
      </c>
      <c r="K6403" s="147">
        <v>0</v>
      </c>
      <c r="L6403" s="147">
        <v>182.63</v>
      </c>
      <c r="M6403" s="729"/>
      <c r="N6403" s="147">
        <v>182.63</v>
      </c>
      <c r="O6403" s="147">
        <v>0</v>
      </c>
      <c r="P6403" s="729"/>
      <c r="Q6403" s="147">
        <v>182.63</v>
      </c>
      <c r="R6403" s="147">
        <v>0</v>
      </c>
    </row>
    <row r="6404" spans="2:18" ht="15.75" hidden="1" thickBot="1" x14ac:dyDescent="0.3">
      <c r="B6404" s="145" t="s">
        <v>895</v>
      </c>
      <c r="C6404" s="722" t="s">
        <v>665</v>
      </c>
      <c r="D6404" t="s">
        <v>666</v>
      </c>
      <c r="E6404" s="148">
        <v>1.0874999999999999</v>
      </c>
      <c r="F6404" s="148">
        <v>0.98865999999999998</v>
      </c>
      <c r="G6404" s="148">
        <v>9.8839999999999997E-2</v>
      </c>
      <c r="H6404" s="148">
        <v>9.997370177816439</v>
      </c>
      <c r="I6404" s="728"/>
      <c r="J6404" s="148">
        <v>1.0874999999999999</v>
      </c>
      <c r="K6404" s="148">
        <v>0</v>
      </c>
      <c r="L6404" s="148">
        <v>1.83632</v>
      </c>
      <c r="M6404" s="148">
        <v>11.86392</v>
      </c>
      <c r="N6404" s="148">
        <v>-10.0276</v>
      </c>
      <c r="O6404" s="148">
        <v>-84.521810666289056</v>
      </c>
      <c r="P6404" s="148">
        <v>1.7639999999999999E-2</v>
      </c>
      <c r="Q6404" s="148">
        <v>1.8186800000000001</v>
      </c>
      <c r="R6404" s="148">
        <v>10309.977324263038</v>
      </c>
    </row>
    <row r="6405" spans="2:18" ht="15.75" hidden="1" thickBot="1" x14ac:dyDescent="0.3">
      <c r="B6405" s="145" t="s">
        <v>895</v>
      </c>
      <c r="C6405" s="722" t="s">
        <v>671</v>
      </c>
      <c r="D6405" t="s">
        <v>672</v>
      </c>
      <c r="E6405" s="147">
        <v>-872.36248000000001</v>
      </c>
      <c r="F6405" s="147">
        <v>-403.97665999999998</v>
      </c>
      <c r="G6405" s="147">
        <v>-468.38582000000002</v>
      </c>
      <c r="H6405" s="147">
        <v>-115.94378249476095</v>
      </c>
      <c r="I6405" s="729"/>
      <c r="J6405" s="147">
        <v>-872.36248000000001</v>
      </c>
      <c r="K6405" s="147">
        <v>0</v>
      </c>
      <c r="L6405" s="147">
        <v>-7443.4196400000001</v>
      </c>
      <c r="M6405" s="147">
        <v>-5551.1655000000001</v>
      </c>
      <c r="N6405" s="147">
        <v>-1892.25414</v>
      </c>
      <c r="O6405" s="147">
        <v>-34.087510811918683</v>
      </c>
      <c r="P6405" s="147">
        <v>-3464.72037</v>
      </c>
      <c r="Q6405" s="147">
        <v>-3978.6992700000001</v>
      </c>
      <c r="R6405" s="147">
        <v>-114.8346430624068</v>
      </c>
    </row>
    <row r="6406" spans="2:18" ht="15.75" hidden="1" thickBot="1" x14ac:dyDescent="0.3">
      <c r="B6406" s="145" t="s">
        <v>895</v>
      </c>
      <c r="C6406" s="722" t="s">
        <v>673</v>
      </c>
      <c r="D6406" t="s">
        <v>674</v>
      </c>
      <c r="E6406" s="148">
        <v>-54.869010000000003</v>
      </c>
      <c r="F6406" s="148">
        <v>-18.333369999999999</v>
      </c>
      <c r="G6406" s="148">
        <v>-36.535640000000001</v>
      </c>
      <c r="H6406" s="148">
        <v>-199.28491052108805</v>
      </c>
      <c r="I6406" s="728"/>
      <c r="J6406" s="148">
        <v>-54.869010000000003</v>
      </c>
      <c r="K6406" s="148">
        <v>0</v>
      </c>
      <c r="L6406" s="148">
        <v>-127.16539</v>
      </c>
      <c r="M6406" s="148">
        <v>-220</v>
      </c>
      <c r="N6406" s="148">
        <v>92.834609999999998</v>
      </c>
      <c r="O6406" s="148">
        <v>42.19755</v>
      </c>
      <c r="P6406" s="148">
        <v>-43.357340000000001</v>
      </c>
      <c r="Q6406" s="148">
        <v>-83.808049999999994</v>
      </c>
      <c r="R6406" s="148">
        <v>-193.29610626482159</v>
      </c>
    </row>
    <row r="6407" spans="2:18" ht="15.75" hidden="1" thickBot="1" x14ac:dyDescent="0.3">
      <c r="B6407" s="145" t="s">
        <v>895</v>
      </c>
      <c r="C6407" s="722" t="s">
        <v>679</v>
      </c>
      <c r="D6407" t="s">
        <v>680</v>
      </c>
      <c r="E6407" s="147">
        <v>97.31053</v>
      </c>
      <c r="F6407" s="147">
        <v>12.625</v>
      </c>
      <c r="G6407" s="147">
        <v>84.68553</v>
      </c>
      <c r="H6407" s="147">
        <v>670.77647524752479</v>
      </c>
      <c r="I6407" s="729"/>
      <c r="J6407" s="147">
        <v>97.31053</v>
      </c>
      <c r="K6407" s="147">
        <v>0</v>
      </c>
      <c r="L6407" s="147">
        <v>292.01812000000001</v>
      </c>
      <c r="M6407" s="147">
        <v>151.5</v>
      </c>
      <c r="N6407" s="147">
        <v>140.51812000000001</v>
      </c>
      <c r="O6407" s="147">
        <v>92.751234323432342</v>
      </c>
      <c r="P6407" s="147">
        <v>142.22659999999999</v>
      </c>
      <c r="Q6407" s="147">
        <v>149.79151999999999</v>
      </c>
      <c r="R6407" s="147">
        <v>105.31892065197368</v>
      </c>
    </row>
    <row r="6408" spans="2:18" ht="15.75" hidden="1" thickBot="1" x14ac:dyDescent="0.3">
      <c r="B6408" s="145" t="s">
        <v>895</v>
      </c>
      <c r="C6408" s="722" t="s">
        <v>83</v>
      </c>
      <c r="D6408" t="s">
        <v>84</v>
      </c>
      <c r="E6408" s="728"/>
      <c r="F6408" s="148">
        <v>-31.23132</v>
      </c>
      <c r="G6408" s="148">
        <v>31.23132</v>
      </c>
      <c r="H6408" s="148">
        <v>100</v>
      </c>
      <c r="I6408" s="728"/>
      <c r="J6408" s="728"/>
      <c r="K6408" s="728"/>
      <c r="L6408" s="728"/>
      <c r="M6408" s="148">
        <v>-374.77578</v>
      </c>
      <c r="N6408" s="148">
        <v>374.77578</v>
      </c>
      <c r="O6408" s="148">
        <v>100</v>
      </c>
      <c r="P6408" s="728"/>
      <c r="Q6408" s="728"/>
      <c r="R6408" s="728"/>
    </row>
    <row r="6409" spans="2:18" ht="15.75" hidden="1" thickBot="1" x14ac:dyDescent="0.3">
      <c r="B6409" s="145" t="s">
        <v>895</v>
      </c>
      <c r="C6409" s="149" t="s">
        <v>85</v>
      </c>
      <c r="D6409" t="s">
        <v>86</v>
      </c>
      <c r="E6409" s="147">
        <v>154.90132</v>
      </c>
      <c r="F6409" s="147">
        <v>-1073.4435100000001</v>
      </c>
      <c r="G6409" s="147">
        <v>1228.34483</v>
      </c>
      <c r="H6409" s="147">
        <v>114.43031874122561</v>
      </c>
      <c r="I6409" s="729"/>
      <c r="J6409" s="147">
        <v>154.90132</v>
      </c>
      <c r="K6409" s="147">
        <v>0</v>
      </c>
      <c r="L6409" s="147">
        <v>-12770.42885</v>
      </c>
      <c r="M6409" s="147">
        <v>-13213.57674</v>
      </c>
      <c r="N6409" s="147">
        <v>443.14789000000002</v>
      </c>
      <c r="O6409" s="147">
        <v>3.3537315347668688</v>
      </c>
      <c r="P6409" s="147">
        <v>-6540.3072300000003</v>
      </c>
      <c r="Q6409" s="147">
        <v>-6230.1216199999999</v>
      </c>
      <c r="R6409" s="147">
        <v>-95.257323561541625</v>
      </c>
    </row>
    <row r="6410" spans="2:18" ht="15.75" hidden="1" thickBot="1" x14ac:dyDescent="0.3">
      <c r="B6410" s="145" t="s">
        <v>895</v>
      </c>
      <c r="C6410" s="144" t="s">
        <v>87</v>
      </c>
      <c r="D6410" t="s">
        <v>87</v>
      </c>
      <c r="E6410" s="148">
        <v>39.654319999999998</v>
      </c>
      <c r="F6410" s="148">
        <v>-1281.7373299999999</v>
      </c>
      <c r="G6410" s="148">
        <v>1321.39165</v>
      </c>
      <c r="H6410" s="148">
        <v>103.09379457645974</v>
      </c>
      <c r="I6410" s="728"/>
      <c r="J6410" s="148">
        <v>39.654319999999998</v>
      </c>
      <c r="K6410" s="148">
        <v>0</v>
      </c>
      <c r="L6410" s="148">
        <v>-18525.168600000001</v>
      </c>
      <c r="M6410" s="148">
        <v>-18327.53355</v>
      </c>
      <c r="N6410" s="148">
        <v>-197.63505000000001</v>
      </c>
      <c r="O6410" s="148">
        <v>-1.0783505017782384</v>
      </c>
      <c r="P6410" s="148">
        <v>-9427.9226400000007</v>
      </c>
      <c r="Q6410" s="148">
        <v>-9097.2459600000002</v>
      </c>
      <c r="R6410" s="148">
        <v>-96.492581742270218</v>
      </c>
    </row>
    <row r="6411" spans="2:18" ht="15.75" hidden="1" thickBot="1" x14ac:dyDescent="0.3">
      <c r="B6411" s="723" t="s">
        <v>896</v>
      </c>
      <c r="C6411" s="722" t="s">
        <v>679</v>
      </c>
      <c r="D6411" t="s">
        <v>680</v>
      </c>
      <c r="E6411" s="147">
        <v>93.602350000000001</v>
      </c>
      <c r="F6411" s="147">
        <v>12.625</v>
      </c>
      <c r="G6411" s="147">
        <v>80.977350000000001</v>
      </c>
      <c r="H6411" s="147">
        <v>641.40475247524751</v>
      </c>
      <c r="I6411" s="729"/>
      <c r="J6411" s="147">
        <v>93.602350000000001</v>
      </c>
      <c r="K6411" s="147">
        <v>0</v>
      </c>
      <c r="L6411" s="147">
        <v>301.32862999999998</v>
      </c>
      <c r="M6411" s="147">
        <v>151.5</v>
      </c>
      <c r="N6411" s="147">
        <v>149.82863</v>
      </c>
      <c r="O6411" s="147">
        <v>98.896785478547855</v>
      </c>
      <c r="P6411" s="147">
        <v>121.5346</v>
      </c>
      <c r="Q6411" s="147">
        <v>179.79402999999999</v>
      </c>
      <c r="R6411" s="147">
        <v>147.93649709630014</v>
      </c>
    </row>
    <row r="6412" spans="2:18" ht="15.75" hidden="1" thickBot="1" x14ac:dyDescent="0.3">
      <c r="B6412" s="723" t="s">
        <v>896</v>
      </c>
      <c r="C6412" s="149" t="s">
        <v>85</v>
      </c>
      <c r="D6412" t="s">
        <v>86</v>
      </c>
      <c r="E6412" s="148">
        <v>93.602350000000001</v>
      </c>
      <c r="F6412" s="148">
        <v>12.625</v>
      </c>
      <c r="G6412" s="148">
        <v>80.977350000000001</v>
      </c>
      <c r="H6412" s="148">
        <v>641.40475247524751</v>
      </c>
      <c r="I6412" s="728"/>
      <c r="J6412" s="148">
        <v>93.602350000000001</v>
      </c>
      <c r="K6412" s="148">
        <v>0</v>
      </c>
      <c r="L6412" s="148">
        <v>301.32862999999998</v>
      </c>
      <c r="M6412" s="148">
        <v>151.5</v>
      </c>
      <c r="N6412" s="148">
        <v>149.82863</v>
      </c>
      <c r="O6412" s="148">
        <v>98.896785478547855</v>
      </c>
      <c r="P6412" s="148">
        <v>121.5346</v>
      </c>
      <c r="Q6412" s="148">
        <v>179.79402999999999</v>
      </c>
      <c r="R6412" s="148">
        <v>147.93649709630014</v>
      </c>
    </row>
    <row r="6413" spans="2:18" ht="15.75" hidden="1" thickBot="1" x14ac:dyDescent="0.3">
      <c r="B6413" s="723" t="s">
        <v>896</v>
      </c>
      <c r="C6413" s="144" t="s">
        <v>87</v>
      </c>
      <c r="D6413" t="s">
        <v>87</v>
      </c>
      <c r="E6413" s="147">
        <v>93.602350000000001</v>
      </c>
      <c r="F6413" s="147">
        <v>12.625</v>
      </c>
      <c r="G6413" s="147">
        <v>80.977350000000001</v>
      </c>
      <c r="H6413" s="147">
        <v>641.40475247524751</v>
      </c>
      <c r="I6413" s="729"/>
      <c r="J6413" s="147">
        <v>93.602350000000001</v>
      </c>
      <c r="K6413" s="147">
        <v>0</v>
      </c>
      <c r="L6413" s="147">
        <v>301.32862999999998</v>
      </c>
      <c r="M6413" s="147">
        <v>151.5</v>
      </c>
      <c r="N6413" s="147">
        <v>149.82863</v>
      </c>
      <c r="O6413" s="147">
        <v>98.896785478547855</v>
      </c>
      <c r="P6413" s="147">
        <v>121.5346</v>
      </c>
      <c r="Q6413" s="147">
        <v>179.79402999999999</v>
      </c>
      <c r="R6413" s="147">
        <v>147.93649709630014</v>
      </c>
    </row>
    <row r="6414" spans="2:18" ht="15.75" hidden="1" thickBot="1" x14ac:dyDescent="0.3">
      <c r="B6414" s="723" t="s">
        <v>897</v>
      </c>
      <c r="C6414" s="722" t="s">
        <v>671</v>
      </c>
      <c r="D6414" t="s">
        <v>672</v>
      </c>
      <c r="E6414" s="148">
        <v>-11.21048</v>
      </c>
      <c r="F6414" s="728"/>
      <c r="G6414" s="148">
        <v>-11.21048</v>
      </c>
      <c r="H6414" s="148">
        <v>0</v>
      </c>
      <c r="I6414" s="728"/>
      <c r="J6414" s="148">
        <v>-11.21048</v>
      </c>
      <c r="K6414" s="148">
        <v>0</v>
      </c>
      <c r="L6414" s="148">
        <v>-199.20563999999999</v>
      </c>
      <c r="M6414" s="728"/>
      <c r="N6414" s="148">
        <v>-199.20563999999999</v>
      </c>
      <c r="O6414" s="148">
        <v>0</v>
      </c>
      <c r="P6414" s="148">
        <v>-105.14637</v>
      </c>
      <c r="Q6414" s="148">
        <v>-94.059269999999998</v>
      </c>
      <c r="R6414" s="148">
        <v>-89.455556097657009</v>
      </c>
    </row>
    <row r="6415" spans="2:18" ht="15.75" hidden="1" thickBot="1" x14ac:dyDescent="0.3">
      <c r="B6415" s="723" t="s">
        <v>897</v>
      </c>
      <c r="C6415" s="722" t="s">
        <v>673</v>
      </c>
      <c r="D6415" t="s">
        <v>674</v>
      </c>
      <c r="E6415" s="147">
        <v>-54.869010000000003</v>
      </c>
      <c r="F6415" s="147">
        <v>-18.333369999999999</v>
      </c>
      <c r="G6415" s="147">
        <v>-36.535640000000001</v>
      </c>
      <c r="H6415" s="147">
        <v>-199.28491052108805</v>
      </c>
      <c r="I6415" s="729"/>
      <c r="J6415" s="147">
        <v>-54.869010000000003</v>
      </c>
      <c r="K6415" s="147">
        <v>0</v>
      </c>
      <c r="L6415" s="147">
        <v>-127.16539</v>
      </c>
      <c r="M6415" s="147">
        <v>-220</v>
      </c>
      <c r="N6415" s="147">
        <v>92.834609999999998</v>
      </c>
      <c r="O6415" s="147">
        <v>42.19755</v>
      </c>
      <c r="P6415" s="147">
        <v>-43.357340000000001</v>
      </c>
      <c r="Q6415" s="147">
        <v>-83.808049999999994</v>
      </c>
      <c r="R6415" s="147">
        <v>-193.29610626482159</v>
      </c>
    </row>
    <row r="6416" spans="2:18" ht="15.75" hidden="1" thickBot="1" x14ac:dyDescent="0.3">
      <c r="B6416" s="723" t="s">
        <v>897</v>
      </c>
      <c r="C6416" s="149" t="s">
        <v>85</v>
      </c>
      <c r="D6416" t="s">
        <v>86</v>
      </c>
      <c r="E6416" s="148">
        <v>-66.079490000000007</v>
      </c>
      <c r="F6416" s="148">
        <v>-18.333369999999999</v>
      </c>
      <c r="G6416" s="148">
        <v>-47.746119999999998</v>
      </c>
      <c r="H6416" s="148">
        <v>-260.43286095245992</v>
      </c>
      <c r="I6416" s="728"/>
      <c r="J6416" s="148">
        <v>-66.079490000000007</v>
      </c>
      <c r="K6416" s="148">
        <v>0</v>
      </c>
      <c r="L6416" s="148">
        <v>-326.37103000000002</v>
      </c>
      <c r="M6416" s="148">
        <v>-220</v>
      </c>
      <c r="N6416" s="148">
        <v>-106.37103</v>
      </c>
      <c r="O6416" s="148">
        <v>-48.350468181818179</v>
      </c>
      <c r="P6416" s="148">
        <v>-148.50371000000001</v>
      </c>
      <c r="Q6416" s="148">
        <v>-177.86732000000001</v>
      </c>
      <c r="R6416" s="148">
        <v>-119.77298075583431</v>
      </c>
    </row>
    <row r="6417" spans="2:18" ht="15.75" hidden="1" thickBot="1" x14ac:dyDescent="0.3">
      <c r="B6417" s="723" t="s">
        <v>897</v>
      </c>
      <c r="C6417" s="144" t="s">
        <v>87</v>
      </c>
      <c r="D6417" t="s">
        <v>87</v>
      </c>
      <c r="E6417" s="147">
        <v>-66.079490000000007</v>
      </c>
      <c r="F6417" s="147">
        <v>-18.333369999999999</v>
      </c>
      <c r="G6417" s="147">
        <v>-47.746119999999998</v>
      </c>
      <c r="H6417" s="147">
        <v>-260.43286095245992</v>
      </c>
      <c r="I6417" s="729"/>
      <c r="J6417" s="147">
        <v>-66.079490000000007</v>
      </c>
      <c r="K6417" s="147">
        <v>0</v>
      </c>
      <c r="L6417" s="147">
        <v>-326.37103000000002</v>
      </c>
      <c r="M6417" s="147">
        <v>-220</v>
      </c>
      <c r="N6417" s="147">
        <v>-106.37103</v>
      </c>
      <c r="O6417" s="147">
        <v>-48.350468181818179</v>
      </c>
      <c r="P6417" s="147">
        <v>-148.50371000000001</v>
      </c>
      <c r="Q6417" s="147">
        <v>-177.86732000000001</v>
      </c>
      <c r="R6417" s="147">
        <v>-119.77298075583431</v>
      </c>
    </row>
    <row r="6418" spans="2:18" ht="15.75" hidden="1" thickBot="1" x14ac:dyDescent="0.3">
      <c r="B6418" s="723" t="s">
        <v>898</v>
      </c>
      <c r="C6418" s="722" t="s">
        <v>59</v>
      </c>
      <c r="D6418" t="s">
        <v>60</v>
      </c>
      <c r="E6418" s="148">
        <v>-240.511</v>
      </c>
      <c r="F6418" s="148">
        <v>-363.15347000000003</v>
      </c>
      <c r="G6418" s="148">
        <v>122.64247</v>
      </c>
      <c r="H6418" s="148">
        <v>33.771526401771681</v>
      </c>
      <c r="I6418" s="728"/>
      <c r="J6418" s="148">
        <v>-240.511</v>
      </c>
      <c r="K6418" s="148">
        <v>0</v>
      </c>
      <c r="L6418" s="148">
        <v>-3377.9259999999999</v>
      </c>
      <c r="M6418" s="148">
        <v>-4343.42497</v>
      </c>
      <c r="N6418" s="148">
        <v>965.49896999999999</v>
      </c>
      <c r="O6418" s="148">
        <v>22.228977746103439</v>
      </c>
      <c r="P6418" s="148">
        <v>-1543.7149999999999</v>
      </c>
      <c r="Q6418" s="148">
        <v>-1834.211</v>
      </c>
      <c r="R6418" s="148">
        <v>-118.81798129836142</v>
      </c>
    </row>
    <row r="6419" spans="2:18" ht="15.75" hidden="1" thickBot="1" x14ac:dyDescent="0.3">
      <c r="B6419" s="723" t="s">
        <v>898</v>
      </c>
      <c r="C6419" s="722" t="s">
        <v>178</v>
      </c>
      <c r="D6419" t="s">
        <v>179</v>
      </c>
      <c r="E6419" s="147">
        <v>-19.099</v>
      </c>
      <c r="F6419" s="729"/>
      <c r="G6419" s="147">
        <v>-19.099</v>
      </c>
      <c r="H6419" s="147">
        <v>0</v>
      </c>
      <c r="I6419" s="729"/>
      <c r="J6419" s="147">
        <v>-19.099</v>
      </c>
      <c r="K6419" s="147">
        <v>0</v>
      </c>
      <c r="L6419" s="147">
        <v>-271.673</v>
      </c>
      <c r="M6419" s="729"/>
      <c r="N6419" s="147">
        <v>-271.673</v>
      </c>
      <c r="O6419" s="147">
        <v>0</v>
      </c>
      <c r="P6419" s="147">
        <v>-169.595</v>
      </c>
      <c r="Q6419" s="147">
        <v>-102.078</v>
      </c>
      <c r="R6419" s="147">
        <v>-60.189274447949529</v>
      </c>
    </row>
    <row r="6420" spans="2:18" ht="15.75" hidden="1" thickBot="1" x14ac:dyDescent="0.3">
      <c r="B6420" s="723" t="s">
        <v>898</v>
      </c>
      <c r="C6420" s="722" t="s">
        <v>91</v>
      </c>
      <c r="D6420" t="s">
        <v>92</v>
      </c>
      <c r="E6420" s="728"/>
      <c r="F6420" s="148">
        <v>-60.921190000000003</v>
      </c>
      <c r="G6420" s="148">
        <v>60.921190000000003</v>
      </c>
      <c r="H6420" s="148">
        <v>100</v>
      </c>
      <c r="I6420" s="728"/>
      <c r="J6420" s="728"/>
      <c r="K6420" s="728"/>
      <c r="L6420" s="728"/>
      <c r="M6420" s="148">
        <v>-711.53588000000002</v>
      </c>
      <c r="N6420" s="148">
        <v>711.53588000000002</v>
      </c>
      <c r="O6420" s="148">
        <v>100</v>
      </c>
      <c r="P6420" s="728"/>
      <c r="Q6420" s="728"/>
      <c r="R6420" s="728"/>
    </row>
    <row r="6421" spans="2:18" ht="15.75" hidden="1" thickBot="1" x14ac:dyDescent="0.3">
      <c r="B6421" s="723" t="s">
        <v>898</v>
      </c>
      <c r="C6421" s="722" t="s">
        <v>93</v>
      </c>
      <c r="D6421" t="s">
        <v>94</v>
      </c>
      <c r="E6421" s="729"/>
      <c r="F6421" s="147">
        <v>-2.2887400000000002</v>
      </c>
      <c r="G6421" s="147">
        <v>2.2887400000000002</v>
      </c>
      <c r="H6421" s="147">
        <v>100</v>
      </c>
      <c r="I6421" s="729"/>
      <c r="J6421" s="729"/>
      <c r="K6421" s="729"/>
      <c r="L6421" s="729"/>
      <c r="M6421" s="147">
        <v>-26.73151</v>
      </c>
      <c r="N6421" s="147">
        <v>26.73151</v>
      </c>
      <c r="O6421" s="147">
        <v>100</v>
      </c>
      <c r="P6421" s="729"/>
      <c r="Q6421" s="729"/>
      <c r="R6421" s="729"/>
    </row>
    <row r="6422" spans="2:18" ht="15.75" hidden="1" thickBot="1" x14ac:dyDescent="0.3">
      <c r="B6422" s="723" t="s">
        <v>898</v>
      </c>
      <c r="C6422" s="722" t="s">
        <v>159</v>
      </c>
      <c r="D6422" t="s">
        <v>160</v>
      </c>
      <c r="E6422" s="148">
        <v>-0.218</v>
      </c>
      <c r="F6422" s="148">
        <v>-0.27201999999999998</v>
      </c>
      <c r="G6422" s="148">
        <v>5.4019999999999999E-2</v>
      </c>
      <c r="H6422" s="148">
        <v>19.858833909271379</v>
      </c>
      <c r="I6422" s="728"/>
      <c r="J6422" s="148">
        <v>-0.218</v>
      </c>
      <c r="K6422" s="148">
        <v>0</v>
      </c>
      <c r="L6422" s="148">
        <v>-3.125</v>
      </c>
      <c r="M6422" s="148">
        <v>-3.1771199999999999</v>
      </c>
      <c r="N6422" s="148">
        <v>5.212E-2</v>
      </c>
      <c r="O6422" s="148">
        <v>1.6404794279095534</v>
      </c>
      <c r="P6422" s="148">
        <v>-1.7789999999999999</v>
      </c>
      <c r="Q6422" s="148">
        <v>-1.3460000000000001</v>
      </c>
      <c r="R6422" s="148">
        <v>-75.660483417650369</v>
      </c>
    </row>
    <row r="6423" spans="2:18" ht="15.75" hidden="1" thickBot="1" x14ac:dyDescent="0.3">
      <c r="B6423" s="723" t="s">
        <v>898</v>
      </c>
      <c r="C6423" s="722" t="s">
        <v>134</v>
      </c>
      <c r="D6423" t="s">
        <v>135</v>
      </c>
      <c r="E6423" s="147">
        <v>-8.6769999999999996</v>
      </c>
      <c r="F6423" s="729"/>
      <c r="G6423" s="147">
        <v>-8.6769999999999996</v>
      </c>
      <c r="H6423" s="147">
        <v>0</v>
      </c>
      <c r="I6423" s="729"/>
      <c r="J6423" s="147">
        <v>-8.6769999999999996</v>
      </c>
      <c r="K6423" s="147">
        <v>0</v>
      </c>
      <c r="L6423" s="147">
        <v>-101.51</v>
      </c>
      <c r="M6423" s="729"/>
      <c r="N6423" s="147">
        <v>-101.51</v>
      </c>
      <c r="O6423" s="147">
        <v>0</v>
      </c>
      <c r="P6423" s="147">
        <v>-46.042000000000002</v>
      </c>
      <c r="Q6423" s="147">
        <v>-55.468000000000004</v>
      </c>
      <c r="R6423" s="147">
        <v>-120.47261196299031</v>
      </c>
    </row>
    <row r="6424" spans="2:18" ht="15.75" hidden="1" thickBot="1" x14ac:dyDescent="0.3">
      <c r="B6424" s="723" t="s">
        <v>898</v>
      </c>
      <c r="C6424" s="722" t="s">
        <v>568</v>
      </c>
      <c r="D6424" t="s">
        <v>569</v>
      </c>
      <c r="E6424" s="148">
        <v>-0.57499999999999996</v>
      </c>
      <c r="F6424" s="148">
        <v>-0.69513999999999998</v>
      </c>
      <c r="G6424" s="148">
        <v>0.12014</v>
      </c>
      <c r="H6424" s="148">
        <v>17.282849497942859</v>
      </c>
      <c r="I6424" s="728"/>
      <c r="J6424" s="148">
        <v>-0.57499999999999996</v>
      </c>
      <c r="K6424" s="148">
        <v>0</v>
      </c>
      <c r="L6424" s="148">
        <v>-10.662000000000001</v>
      </c>
      <c r="M6424" s="148">
        <v>-8.2979199999999995</v>
      </c>
      <c r="N6424" s="148">
        <v>-2.36408</v>
      </c>
      <c r="O6424" s="148">
        <v>-28.490031236743665</v>
      </c>
      <c r="P6424" s="148">
        <v>-4.08</v>
      </c>
      <c r="Q6424" s="148">
        <v>-6.5819999999999999</v>
      </c>
      <c r="R6424" s="148">
        <v>-161.3235294117647</v>
      </c>
    </row>
    <row r="6425" spans="2:18" ht="15.75" hidden="1" thickBot="1" x14ac:dyDescent="0.3">
      <c r="B6425" s="723" t="s">
        <v>898</v>
      </c>
      <c r="C6425" s="722" t="s">
        <v>61</v>
      </c>
      <c r="D6425" t="s">
        <v>62</v>
      </c>
      <c r="E6425" s="147">
        <v>-46.567</v>
      </c>
      <c r="F6425" s="147">
        <v>-65.881479999999996</v>
      </c>
      <c r="G6425" s="147">
        <v>19.31448</v>
      </c>
      <c r="H6425" s="147">
        <v>29.317009878952323</v>
      </c>
      <c r="I6425" s="729"/>
      <c r="J6425" s="147">
        <v>-46.567</v>
      </c>
      <c r="K6425" s="147">
        <v>0</v>
      </c>
      <c r="L6425" s="147">
        <v>-555.678</v>
      </c>
      <c r="M6425" s="147">
        <v>-785.29746</v>
      </c>
      <c r="N6425" s="147">
        <v>229.61946</v>
      </c>
      <c r="O6425" s="147">
        <v>29.239806786080781</v>
      </c>
      <c r="P6425" s="147">
        <v>-319.18</v>
      </c>
      <c r="Q6425" s="147">
        <v>-236.49799999999999</v>
      </c>
      <c r="R6425" s="147">
        <v>-74.095494705182034</v>
      </c>
    </row>
    <row r="6426" spans="2:18" ht="15.75" hidden="1" thickBot="1" x14ac:dyDescent="0.3">
      <c r="B6426" s="723" t="s">
        <v>898</v>
      </c>
      <c r="C6426" s="722" t="s">
        <v>63</v>
      </c>
      <c r="D6426" t="s">
        <v>64</v>
      </c>
      <c r="E6426" s="148">
        <v>-187.84399999999999</v>
      </c>
      <c r="F6426" s="148">
        <v>-231.14175</v>
      </c>
      <c r="G6426" s="148">
        <v>43.297750000000001</v>
      </c>
      <c r="H6426" s="148">
        <v>18.732120008609435</v>
      </c>
      <c r="I6426" s="728"/>
      <c r="J6426" s="148">
        <v>-187.84399999999999</v>
      </c>
      <c r="K6426" s="148">
        <v>0</v>
      </c>
      <c r="L6426" s="148">
        <v>-2244.6120000000001</v>
      </c>
      <c r="M6426" s="148">
        <v>-2754.7430399999998</v>
      </c>
      <c r="N6426" s="148">
        <v>510.13103999999998</v>
      </c>
      <c r="O6426" s="148">
        <v>18.518280383784905</v>
      </c>
      <c r="P6426" s="148">
        <v>-1284.28</v>
      </c>
      <c r="Q6426" s="148">
        <v>-960.33199999999999</v>
      </c>
      <c r="R6426" s="148">
        <v>-74.775905565764475</v>
      </c>
    </row>
    <row r="6427" spans="2:18" ht="15.75" hidden="1" thickBot="1" x14ac:dyDescent="0.3">
      <c r="B6427" s="723" t="s">
        <v>898</v>
      </c>
      <c r="C6427" s="722" t="s">
        <v>570</v>
      </c>
      <c r="D6427" t="s">
        <v>571</v>
      </c>
      <c r="E6427" s="729"/>
      <c r="F6427" s="147">
        <v>-34.478549999999998</v>
      </c>
      <c r="G6427" s="147">
        <v>34.478549999999998</v>
      </c>
      <c r="H6427" s="147">
        <v>100</v>
      </c>
      <c r="I6427" s="729"/>
      <c r="J6427" s="729"/>
      <c r="K6427" s="729"/>
      <c r="L6427" s="729"/>
      <c r="M6427" s="147">
        <v>-411.57204000000002</v>
      </c>
      <c r="N6427" s="147">
        <v>411.57204000000002</v>
      </c>
      <c r="O6427" s="147">
        <v>100</v>
      </c>
      <c r="P6427" s="729"/>
      <c r="Q6427" s="729"/>
      <c r="R6427" s="729"/>
    </row>
    <row r="6428" spans="2:18" ht="15.75" hidden="1" thickBot="1" x14ac:dyDescent="0.3">
      <c r="B6428" s="723" t="s">
        <v>898</v>
      </c>
      <c r="C6428" s="722" t="s">
        <v>180</v>
      </c>
      <c r="D6428" t="s">
        <v>181</v>
      </c>
      <c r="E6428" s="728"/>
      <c r="F6428" s="148">
        <v>50.100259999999999</v>
      </c>
      <c r="G6428" s="148">
        <v>-50.100259999999999</v>
      </c>
      <c r="H6428" s="148">
        <v>-100</v>
      </c>
      <c r="I6428" s="728"/>
      <c r="J6428" s="728"/>
      <c r="K6428" s="728"/>
      <c r="L6428" s="728"/>
      <c r="M6428" s="148">
        <v>593.51571999999999</v>
      </c>
      <c r="N6428" s="148">
        <v>-593.51571999999999</v>
      </c>
      <c r="O6428" s="148">
        <v>-100</v>
      </c>
      <c r="P6428" s="728"/>
      <c r="Q6428" s="728"/>
      <c r="R6428" s="728"/>
    </row>
    <row r="6429" spans="2:18" ht="15.75" hidden="1" thickBot="1" x14ac:dyDescent="0.3">
      <c r="B6429" s="723" t="s">
        <v>898</v>
      </c>
      <c r="C6429" s="722" t="s">
        <v>156</v>
      </c>
      <c r="D6429" t="s">
        <v>157</v>
      </c>
      <c r="E6429" s="729"/>
      <c r="F6429" s="147">
        <v>-8.0901099999999992</v>
      </c>
      <c r="G6429" s="147">
        <v>8.0901099999999992</v>
      </c>
      <c r="H6429" s="147">
        <v>100</v>
      </c>
      <c r="I6429" s="729"/>
      <c r="J6429" s="729"/>
      <c r="K6429" s="729"/>
      <c r="L6429" s="729"/>
      <c r="M6429" s="147">
        <v>-96.572019999999995</v>
      </c>
      <c r="N6429" s="147">
        <v>96.572019999999995</v>
      </c>
      <c r="O6429" s="147">
        <v>100</v>
      </c>
      <c r="P6429" s="729"/>
      <c r="Q6429" s="729"/>
      <c r="R6429" s="729"/>
    </row>
    <row r="6430" spans="2:18" ht="15.75" hidden="1" thickBot="1" x14ac:dyDescent="0.3">
      <c r="B6430" s="723" t="s">
        <v>898</v>
      </c>
      <c r="C6430" s="722" t="s">
        <v>184</v>
      </c>
      <c r="D6430" t="s">
        <v>185</v>
      </c>
      <c r="E6430" s="728"/>
      <c r="F6430" s="148">
        <v>-0.17624999999999999</v>
      </c>
      <c r="G6430" s="148">
        <v>0.17624999999999999</v>
      </c>
      <c r="H6430" s="148">
        <v>100</v>
      </c>
      <c r="I6430" s="728"/>
      <c r="J6430" s="728"/>
      <c r="K6430" s="728"/>
      <c r="L6430" s="728"/>
      <c r="M6430" s="148">
        <v>-2.05857</v>
      </c>
      <c r="N6430" s="148">
        <v>2.05857</v>
      </c>
      <c r="O6430" s="148">
        <v>100</v>
      </c>
      <c r="P6430" s="728"/>
      <c r="Q6430" s="728"/>
      <c r="R6430" s="728"/>
    </row>
    <row r="6431" spans="2:18" ht="15.75" hidden="1" thickBot="1" x14ac:dyDescent="0.3">
      <c r="B6431" s="723" t="s">
        <v>898</v>
      </c>
      <c r="C6431" s="722" t="s">
        <v>65</v>
      </c>
      <c r="D6431" t="s">
        <v>66</v>
      </c>
      <c r="E6431" s="729"/>
      <c r="F6431" s="147">
        <v>96.744720000000001</v>
      </c>
      <c r="G6431" s="147">
        <v>-96.744720000000001</v>
      </c>
      <c r="H6431" s="147">
        <v>-100</v>
      </c>
      <c r="I6431" s="729"/>
      <c r="J6431" s="729"/>
      <c r="K6431" s="729"/>
      <c r="L6431" s="729"/>
      <c r="M6431" s="147">
        <v>1157.71812</v>
      </c>
      <c r="N6431" s="147">
        <v>-1157.71812</v>
      </c>
      <c r="O6431" s="147">
        <v>-100</v>
      </c>
      <c r="P6431" s="729"/>
      <c r="Q6431" s="729"/>
      <c r="R6431" s="729"/>
    </row>
    <row r="6432" spans="2:18" ht="15.75" hidden="1" thickBot="1" x14ac:dyDescent="0.3">
      <c r="B6432" s="723" t="s">
        <v>898</v>
      </c>
      <c r="C6432" s="722" t="s">
        <v>163</v>
      </c>
      <c r="D6432" t="s">
        <v>164</v>
      </c>
      <c r="E6432" s="728"/>
      <c r="F6432" s="148">
        <v>82.051060000000007</v>
      </c>
      <c r="G6432" s="148">
        <v>-82.051060000000007</v>
      </c>
      <c r="H6432" s="148">
        <v>-100</v>
      </c>
      <c r="I6432" s="728"/>
      <c r="J6432" s="728"/>
      <c r="K6432" s="728"/>
      <c r="L6432" s="728"/>
      <c r="M6432" s="148">
        <v>956.64268000000004</v>
      </c>
      <c r="N6432" s="148">
        <v>-956.64268000000004</v>
      </c>
      <c r="O6432" s="148">
        <v>-100</v>
      </c>
      <c r="P6432" s="728"/>
      <c r="Q6432" s="728"/>
      <c r="R6432" s="728"/>
    </row>
    <row r="6433" spans="2:18" ht="15.75" hidden="1" thickBot="1" x14ac:dyDescent="0.3">
      <c r="B6433" s="723" t="s">
        <v>898</v>
      </c>
      <c r="C6433" s="722" t="s">
        <v>578</v>
      </c>
      <c r="D6433" t="s">
        <v>579</v>
      </c>
      <c r="E6433" s="729"/>
      <c r="F6433" s="147">
        <v>0.12848999999999999</v>
      </c>
      <c r="G6433" s="147">
        <v>-0.12848999999999999</v>
      </c>
      <c r="H6433" s="147">
        <v>-100</v>
      </c>
      <c r="I6433" s="729"/>
      <c r="J6433" s="729"/>
      <c r="K6433" s="729"/>
      <c r="L6433" s="729"/>
      <c r="M6433" s="147">
        <v>1.50074</v>
      </c>
      <c r="N6433" s="147">
        <v>-1.50074</v>
      </c>
      <c r="O6433" s="147">
        <v>-100</v>
      </c>
      <c r="P6433" s="729"/>
      <c r="Q6433" s="729"/>
      <c r="R6433" s="729"/>
    </row>
    <row r="6434" spans="2:18" ht="15.75" hidden="1" thickBot="1" x14ac:dyDescent="0.3">
      <c r="B6434" s="723" t="s">
        <v>898</v>
      </c>
      <c r="C6434" s="722" t="s">
        <v>580</v>
      </c>
      <c r="D6434" t="s">
        <v>581</v>
      </c>
      <c r="E6434" s="728"/>
      <c r="F6434" s="148">
        <v>0.12033000000000001</v>
      </c>
      <c r="G6434" s="148">
        <v>-0.12033000000000001</v>
      </c>
      <c r="H6434" s="148">
        <v>-100</v>
      </c>
      <c r="I6434" s="728"/>
      <c r="J6434" s="728"/>
      <c r="K6434" s="728"/>
      <c r="L6434" s="728"/>
      <c r="M6434" s="148">
        <v>1.43638</v>
      </c>
      <c r="N6434" s="148">
        <v>-1.43638</v>
      </c>
      <c r="O6434" s="148">
        <v>-100</v>
      </c>
      <c r="P6434" s="728"/>
      <c r="Q6434" s="728"/>
      <c r="R6434" s="728"/>
    </row>
    <row r="6435" spans="2:18" ht="15.75" hidden="1" thickBot="1" x14ac:dyDescent="0.3">
      <c r="B6435" s="723" t="s">
        <v>898</v>
      </c>
      <c r="C6435" s="149" t="s">
        <v>67</v>
      </c>
      <c r="D6435" t="s">
        <v>68</v>
      </c>
      <c r="E6435" s="147">
        <v>-503.49099999999999</v>
      </c>
      <c r="F6435" s="147">
        <v>-537.95384000000001</v>
      </c>
      <c r="G6435" s="147">
        <v>34.46284</v>
      </c>
      <c r="H6435" s="147">
        <v>6.4062819962396773</v>
      </c>
      <c r="I6435" s="729"/>
      <c r="J6435" s="147">
        <v>-503.49099999999999</v>
      </c>
      <c r="K6435" s="147">
        <v>0</v>
      </c>
      <c r="L6435" s="147">
        <v>-6565.1859999999997</v>
      </c>
      <c r="M6435" s="147">
        <v>-6432.5968899999998</v>
      </c>
      <c r="N6435" s="147">
        <v>-132.58911000000001</v>
      </c>
      <c r="O6435" s="147">
        <v>-2.0612065743793249</v>
      </c>
      <c r="P6435" s="147">
        <v>-3368.6709999999998</v>
      </c>
      <c r="Q6435" s="147">
        <v>-3196.5149999999999</v>
      </c>
      <c r="R6435" s="147">
        <v>-94.889497965221295</v>
      </c>
    </row>
    <row r="6436" spans="2:18" ht="15.75" hidden="1" thickBot="1" x14ac:dyDescent="0.3">
      <c r="B6436" s="723" t="s">
        <v>898</v>
      </c>
      <c r="C6436" s="722" t="s">
        <v>169</v>
      </c>
      <c r="D6436" t="s">
        <v>170</v>
      </c>
      <c r="E6436" s="148">
        <v>-4.0439999999999996</v>
      </c>
      <c r="F6436" s="148">
        <v>-1.77182</v>
      </c>
      <c r="G6436" s="148">
        <v>-2.2721800000000001</v>
      </c>
      <c r="H6436" s="148">
        <v>-128.23988892776919</v>
      </c>
      <c r="I6436" s="728"/>
      <c r="J6436" s="148">
        <v>-4.0439999999999996</v>
      </c>
      <c r="K6436" s="148">
        <v>0</v>
      </c>
      <c r="L6436" s="148">
        <v>-49.761000000000003</v>
      </c>
      <c r="M6436" s="148">
        <v>-26.445720000000001</v>
      </c>
      <c r="N6436" s="148">
        <v>-23.315280000000001</v>
      </c>
      <c r="O6436" s="148">
        <v>-88.162772652814894</v>
      </c>
      <c r="P6436" s="148">
        <v>-18.013000000000002</v>
      </c>
      <c r="Q6436" s="148">
        <v>-31.748000000000001</v>
      </c>
      <c r="R6436" s="148">
        <v>-176.25048576028425</v>
      </c>
    </row>
    <row r="6437" spans="2:18" ht="15.75" hidden="1" thickBot="1" x14ac:dyDescent="0.3">
      <c r="B6437" s="723" t="s">
        <v>898</v>
      </c>
      <c r="C6437" s="722" t="s">
        <v>485</v>
      </c>
      <c r="D6437" t="s">
        <v>486</v>
      </c>
      <c r="E6437" s="147">
        <v>-65.844999999999999</v>
      </c>
      <c r="F6437" s="729"/>
      <c r="G6437" s="147">
        <v>-65.844999999999999</v>
      </c>
      <c r="H6437" s="147">
        <v>0</v>
      </c>
      <c r="I6437" s="729"/>
      <c r="J6437" s="147">
        <v>-65.844999999999999</v>
      </c>
      <c r="K6437" s="147">
        <v>0</v>
      </c>
      <c r="L6437" s="147">
        <v>-342.084</v>
      </c>
      <c r="M6437" s="729"/>
      <c r="N6437" s="147">
        <v>-342.084</v>
      </c>
      <c r="O6437" s="147">
        <v>0</v>
      </c>
      <c r="P6437" s="147">
        <v>-150.67599999999999</v>
      </c>
      <c r="Q6437" s="147">
        <v>-191.40799999999999</v>
      </c>
      <c r="R6437" s="147">
        <v>-127.03283867371047</v>
      </c>
    </row>
    <row r="6438" spans="2:18" ht="15.75" hidden="1" thickBot="1" x14ac:dyDescent="0.3">
      <c r="B6438" s="723" t="s">
        <v>898</v>
      </c>
      <c r="C6438" s="722" t="s">
        <v>671</v>
      </c>
      <c r="D6438" t="s">
        <v>672</v>
      </c>
      <c r="E6438" s="148">
        <v>-861.15200000000004</v>
      </c>
      <c r="F6438" s="148">
        <v>-602.45762000000002</v>
      </c>
      <c r="G6438" s="148">
        <v>-258.69438000000002</v>
      </c>
      <c r="H6438" s="148">
        <v>-42.939846955541867</v>
      </c>
      <c r="I6438" s="728"/>
      <c r="J6438" s="148">
        <v>-861.15200000000004</v>
      </c>
      <c r="K6438" s="148">
        <v>0</v>
      </c>
      <c r="L6438" s="148">
        <v>-7244.2139999999999</v>
      </c>
      <c r="M6438" s="148">
        <v>-7110.1261800000002</v>
      </c>
      <c r="N6438" s="148">
        <v>-134.08781999999999</v>
      </c>
      <c r="O6438" s="148">
        <v>-1.8858711731048352</v>
      </c>
      <c r="P6438" s="148">
        <v>-3359.5740000000001</v>
      </c>
      <c r="Q6438" s="148">
        <v>-3884.64</v>
      </c>
      <c r="R6438" s="148">
        <v>-115.62894581277268</v>
      </c>
    </row>
    <row r="6439" spans="2:18" ht="15.75" hidden="1" thickBot="1" x14ac:dyDescent="0.3">
      <c r="B6439" s="723" t="s">
        <v>898</v>
      </c>
      <c r="C6439" s="149" t="s">
        <v>85</v>
      </c>
      <c r="D6439" t="s">
        <v>86</v>
      </c>
      <c r="E6439" s="147">
        <v>-931.04100000000005</v>
      </c>
      <c r="F6439" s="147">
        <v>-604.22943999999995</v>
      </c>
      <c r="G6439" s="147">
        <v>-326.81155999999999</v>
      </c>
      <c r="H6439" s="147">
        <v>-54.087328151372432</v>
      </c>
      <c r="I6439" s="729"/>
      <c r="J6439" s="147">
        <v>-931.04100000000005</v>
      </c>
      <c r="K6439" s="147">
        <v>0</v>
      </c>
      <c r="L6439" s="147">
        <v>-7636.0590000000002</v>
      </c>
      <c r="M6439" s="147">
        <v>-7136.5718999999999</v>
      </c>
      <c r="N6439" s="147">
        <v>-499.4871</v>
      </c>
      <c r="O6439" s="147">
        <v>-6.9989780387415417</v>
      </c>
      <c r="P6439" s="147">
        <v>-3528.2629999999999</v>
      </c>
      <c r="Q6439" s="147">
        <v>-4107.7960000000003</v>
      </c>
      <c r="R6439" s="147">
        <v>-116.42544787619291</v>
      </c>
    </row>
    <row r="6440" spans="2:18" ht="15.75" hidden="1" thickBot="1" x14ac:dyDescent="0.3">
      <c r="B6440" s="723" t="s">
        <v>898</v>
      </c>
      <c r="C6440" s="144" t="s">
        <v>87</v>
      </c>
      <c r="D6440" t="s">
        <v>87</v>
      </c>
      <c r="E6440" s="148">
        <v>-1434.5319999999999</v>
      </c>
      <c r="F6440" s="148">
        <v>-1142.18328</v>
      </c>
      <c r="G6440" s="148">
        <v>-292.34872000000001</v>
      </c>
      <c r="H6440" s="148">
        <v>-25.595604936538731</v>
      </c>
      <c r="I6440" s="728"/>
      <c r="J6440" s="148">
        <v>-1434.5319999999999</v>
      </c>
      <c r="K6440" s="148">
        <v>0</v>
      </c>
      <c r="L6440" s="148">
        <v>-14201.245000000001</v>
      </c>
      <c r="M6440" s="148">
        <v>-13569.16879</v>
      </c>
      <c r="N6440" s="148">
        <v>-632.07620999999995</v>
      </c>
      <c r="O6440" s="148">
        <v>-4.6581792870453338</v>
      </c>
      <c r="P6440" s="148">
        <v>-6896.9340000000002</v>
      </c>
      <c r="Q6440" s="148">
        <v>-7304.3109999999997</v>
      </c>
      <c r="R6440" s="148">
        <v>-105.90663909499496</v>
      </c>
    </row>
    <row r="6441" spans="2:18" ht="15.75" hidden="1" thickBot="1" x14ac:dyDescent="0.3">
      <c r="B6441" s="723" t="s">
        <v>899</v>
      </c>
      <c r="C6441" s="722" t="s">
        <v>59</v>
      </c>
      <c r="D6441" t="s">
        <v>60</v>
      </c>
      <c r="E6441" s="729"/>
      <c r="F6441" s="729"/>
      <c r="G6441" s="729"/>
      <c r="H6441" s="729"/>
      <c r="I6441" s="729"/>
      <c r="J6441" s="729"/>
      <c r="K6441" s="729"/>
      <c r="L6441" s="147">
        <v>29.683330000000002</v>
      </c>
      <c r="M6441" s="729"/>
      <c r="N6441" s="147">
        <v>29.683330000000002</v>
      </c>
      <c r="O6441" s="147">
        <v>0</v>
      </c>
      <c r="P6441" s="147">
        <v>20</v>
      </c>
      <c r="Q6441" s="147">
        <v>9.6833299999999998</v>
      </c>
      <c r="R6441" s="147">
        <v>48.416649999999997</v>
      </c>
    </row>
    <row r="6442" spans="2:18" ht="15.75" hidden="1" thickBot="1" x14ac:dyDescent="0.3">
      <c r="B6442" s="723" t="s">
        <v>899</v>
      </c>
      <c r="C6442" s="722" t="s">
        <v>63</v>
      </c>
      <c r="D6442" t="s">
        <v>64</v>
      </c>
      <c r="E6442" s="728"/>
      <c r="F6442" s="728"/>
      <c r="G6442" s="728"/>
      <c r="H6442" s="728"/>
      <c r="I6442" s="728"/>
      <c r="J6442" s="728"/>
      <c r="K6442" s="728"/>
      <c r="L6442" s="148">
        <v>2.9183300000000001</v>
      </c>
      <c r="M6442" s="728"/>
      <c r="N6442" s="148">
        <v>2.9183300000000001</v>
      </c>
      <c r="O6442" s="148">
        <v>0</v>
      </c>
      <c r="P6442" s="148">
        <v>2</v>
      </c>
      <c r="Q6442" s="148">
        <v>0.91832999999999998</v>
      </c>
      <c r="R6442" s="148">
        <v>45.916499999999999</v>
      </c>
    </row>
    <row r="6443" spans="2:18" ht="15.75" hidden="1" thickBot="1" x14ac:dyDescent="0.3">
      <c r="B6443" s="723" t="s">
        <v>899</v>
      </c>
      <c r="C6443" s="149" t="s">
        <v>67</v>
      </c>
      <c r="D6443" t="s">
        <v>68</v>
      </c>
      <c r="E6443" s="729"/>
      <c r="F6443" s="729"/>
      <c r="G6443" s="729"/>
      <c r="H6443" s="729"/>
      <c r="I6443" s="729"/>
      <c r="J6443" s="729"/>
      <c r="K6443" s="729"/>
      <c r="L6443" s="147">
        <v>32.601660000000003</v>
      </c>
      <c r="M6443" s="729"/>
      <c r="N6443" s="147">
        <v>32.601660000000003</v>
      </c>
      <c r="O6443" s="147">
        <v>0</v>
      </c>
      <c r="P6443" s="147">
        <v>22</v>
      </c>
      <c r="Q6443" s="147">
        <v>10.601660000000001</v>
      </c>
      <c r="R6443" s="147">
        <v>48.189363636363638</v>
      </c>
    </row>
    <row r="6444" spans="2:18" ht="15.75" hidden="1" thickBot="1" x14ac:dyDescent="0.3">
      <c r="B6444" s="723" t="s">
        <v>899</v>
      </c>
      <c r="C6444" s="144" t="s">
        <v>87</v>
      </c>
      <c r="D6444" t="s">
        <v>87</v>
      </c>
      <c r="E6444" s="728"/>
      <c r="F6444" s="728"/>
      <c r="G6444" s="728"/>
      <c r="H6444" s="728"/>
      <c r="I6444" s="728"/>
      <c r="J6444" s="728"/>
      <c r="K6444" s="728"/>
      <c r="L6444" s="148">
        <v>32.601660000000003</v>
      </c>
      <c r="M6444" s="728"/>
      <c r="N6444" s="148">
        <v>32.601660000000003</v>
      </c>
      <c r="O6444" s="148">
        <v>0</v>
      </c>
      <c r="P6444" s="148">
        <v>22</v>
      </c>
      <c r="Q6444" s="148">
        <v>10.601660000000001</v>
      </c>
      <c r="R6444" s="148">
        <v>48.189363636363638</v>
      </c>
    </row>
    <row r="6445" spans="2:18" ht="15.75" hidden="1" thickBot="1" x14ac:dyDescent="0.3">
      <c r="B6445" s="723" t="s">
        <v>900</v>
      </c>
      <c r="C6445" s="722" t="s">
        <v>143</v>
      </c>
      <c r="D6445" t="s">
        <v>144</v>
      </c>
      <c r="E6445" s="729"/>
      <c r="F6445" s="147">
        <v>0</v>
      </c>
      <c r="G6445" s="147">
        <v>0</v>
      </c>
      <c r="H6445" s="147">
        <v>0</v>
      </c>
      <c r="I6445" s="729"/>
      <c r="J6445" s="729"/>
      <c r="K6445" s="729"/>
      <c r="L6445" s="729"/>
      <c r="M6445" s="147">
        <v>0</v>
      </c>
      <c r="N6445" s="147">
        <v>0</v>
      </c>
      <c r="O6445" s="147">
        <v>0</v>
      </c>
      <c r="P6445" s="729"/>
      <c r="Q6445" s="729"/>
      <c r="R6445" s="729"/>
    </row>
    <row r="6446" spans="2:18" ht="15.75" hidden="1" thickBot="1" x14ac:dyDescent="0.3">
      <c r="B6446" s="723" t="s">
        <v>900</v>
      </c>
      <c r="C6446" s="722" t="s">
        <v>665</v>
      </c>
      <c r="D6446" t="s">
        <v>666</v>
      </c>
      <c r="E6446" s="148">
        <v>1.0874999999999999</v>
      </c>
      <c r="F6446" s="148">
        <v>0.98865999999999998</v>
      </c>
      <c r="G6446" s="148">
        <v>9.8839999999999997E-2</v>
      </c>
      <c r="H6446" s="148">
        <v>9.997370177816439</v>
      </c>
      <c r="I6446" s="728"/>
      <c r="J6446" s="148">
        <v>1.0874999999999999</v>
      </c>
      <c r="K6446" s="148">
        <v>0</v>
      </c>
      <c r="L6446" s="148">
        <v>1.83632</v>
      </c>
      <c r="M6446" s="148">
        <v>11.86392</v>
      </c>
      <c r="N6446" s="148">
        <v>-10.0276</v>
      </c>
      <c r="O6446" s="148">
        <v>-84.521810666289056</v>
      </c>
      <c r="P6446" s="148">
        <v>1.7639999999999999E-2</v>
      </c>
      <c r="Q6446" s="148">
        <v>1.8186800000000001</v>
      </c>
      <c r="R6446" s="148">
        <v>10309.977324263038</v>
      </c>
    </row>
    <row r="6447" spans="2:18" ht="15.75" hidden="1" thickBot="1" x14ac:dyDescent="0.3">
      <c r="B6447" s="723" t="s">
        <v>900</v>
      </c>
      <c r="C6447" s="149" t="s">
        <v>85</v>
      </c>
      <c r="D6447" t="s">
        <v>86</v>
      </c>
      <c r="E6447" s="147">
        <v>1.0874999999999999</v>
      </c>
      <c r="F6447" s="147">
        <v>0.98865999999999998</v>
      </c>
      <c r="G6447" s="147">
        <v>9.8839999999999997E-2</v>
      </c>
      <c r="H6447" s="147">
        <v>9.997370177816439</v>
      </c>
      <c r="I6447" s="729"/>
      <c r="J6447" s="147">
        <v>1.0874999999999999</v>
      </c>
      <c r="K6447" s="147">
        <v>0</v>
      </c>
      <c r="L6447" s="147">
        <v>1.83632</v>
      </c>
      <c r="M6447" s="147">
        <v>11.86392</v>
      </c>
      <c r="N6447" s="147">
        <v>-10.0276</v>
      </c>
      <c r="O6447" s="147">
        <v>-84.521810666289056</v>
      </c>
      <c r="P6447" s="147">
        <v>1.7639999999999999E-2</v>
      </c>
      <c r="Q6447" s="147">
        <v>1.8186800000000001</v>
      </c>
      <c r="R6447" s="147">
        <v>10309.977324263038</v>
      </c>
    </row>
    <row r="6448" spans="2:18" ht="15.75" hidden="1" thickBot="1" x14ac:dyDescent="0.3">
      <c r="B6448" s="723" t="s">
        <v>900</v>
      </c>
      <c r="C6448" s="144" t="s">
        <v>87</v>
      </c>
      <c r="D6448" t="s">
        <v>87</v>
      </c>
      <c r="E6448" s="148">
        <v>1.0874999999999999</v>
      </c>
      <c r="F6448" s="148">
        <v>0.98865999999999998</v>
      </c>
      <c r="G6448" s="148">
        <v>9.8839999999999997E-2</v>
      </c>
      <c r="H6448" s="148">
        <v>9.997370177816439</v>
      </c>
      <c r="I6448" s="728"/>
      <c r="J6448" s="148">
        <v>1.0874999999999999</v>
      </c>
      <c r="K6448" s="148">
        <v>0</v>
      </c>
      <c r="L6448" s="148">
        <v>1.83632</v>
      </c>
      <c r="M6448" s="148">
        <v>11.86392</v>
      </c>
      <c r="N6448" s="148">
        <v>-10.0276</v>
      </c>
      <c r="O6448" s="148">
        <v>-84.521810666289056</v>
      </c>
      <c r="P6448" s="148">
        <v>1.7639999999999999E-2</v>
      </c>
      <c r="Q6448" s="148">
        <v>1.8186800000000001</v>
      </c>
      <c r="R6448" s="148">
        <v>10309.977324263038</v>
      </c>
    </row>
    <row r="6449" spans="2:18" ht="15.75" hidden="1" thickBot="1" x14ac:dyDescent="0.3">
      <c r="B6449" s="723" t="s">
        <v>901</v>
      </c>
      <c r="C6449" s="722" t="s">
        <v>635</v>
      </c>
      <c r="D6449" t="s">
        <v>636</v>
      </c>
      <c r="E6449" s="729"/>
      <c r="F6449" s="147">
        <v>-896.72974999999997</v>
      </c>
      <c r="G6449" s="147">
        <v>896.72974999999997</v>
      </c>
      <c r="H6449" s="147">
        <v>100</v>
      </c>
      <c r="I6449" s="729"/>
      <c r="J6449" s="729"/>
      <c r="K6449" s="729"/>
      <c r="L6449" s="147">
        <v>-10314.145</v>
      </c>
      <c r="M6449" s="147">
        <v>-10760.757</v>
      </c>
      <c r="N6449" s="147">
        <v>446.61200000000002</v>
      </c>
      <c r="O6449" s="147">
        <v>4.1503771528341362</v>
      </c>
      <c r="P6449" s="147">
        <v>-5502.63</v>
      </c>
      <c r="Q6449" s="147">
        <v>-4811.5150000000003</v>
      </c>
      <c r="R6449" s="147">
        <v>-87.440278557707856</v>
      </c>
    </row>
    <row r="6450" spans="2:18" ht="15.75" hidden="1" thickBot="1" x14ac:dyDescent="0.3">
      <c r="B6450" s="723" t="s">
        <v>901</v>
      </c>
      <c r="C6450" s="149" t="s">
        <v>85</v>
      </c>
      <c r="D6450" t="s">
        <v>86</v>
      </c>
      <c r="E6450" s="728"/>
      <c r="F6450" s="148">
        <v>-896.72974999999997</v>
      </c>
      <c r="G6450" s="148">
        <v>896.72974999999997</v>
      </c>
      <c r="H6450" s="148">
        <v>100</v>
      </c>
      <c r="I6450" s="728"/>
      <c r="J6450" s="728"/>
      <c r="K6450" s="728"/>
      <c r="L6450" s="148">
        <v>-10314.145</v>
      </c>
      <c r="M6450" s="148">
        <v>-10760.757</v>
      </c>
      <c r="N6450" s="148">
        <v>446.61200000000002</v>
      </c>
      <c r="O6450" s="148">
        <v>4.1503771528341362</v>
      </c>
      <c r="P6450" s="148">
        <v>-5502.63</v>
      </c>
      <c r="Q6450" s="148">
        <v>-4811.5150000000003</v>
      </c>
      <c r="R6450" s="148">
        <v>-87.440278557707856</v>
      </c>
    </row>
    <row r="6451" spans="2:18" ht="15.75" hidden="1" thickBot="1" x14ac:dyDescent="0.3">
      <c r="B6451" s="723" t="s">
        <v>901</v>
      </c>
      <c r="C6451" s="144" t="s">
        <v>87</v>
      </c>
      <c r="D6451" t="s">
        <v>87</v>
      </c>
      <c r="E6451" s="729"/>
      <c r="F6451" s="147">
        <v>-896.72974999999997</v>
      </c>
      <c r="G6451" s="147">
        <v>896.72974999999997</v>
      </c>
      <c r="H6451" s="147">
        <v>100</v>
      </c>
      <c r="I6451" s="729"/>
      <c r="J6451" s="729"/>
      <c r="K6451" s="729"/>
      <c r="L6451" s="147">
        <v>-10314.145</v>
      </c>
      <c r="M6451" s="147">
        <v>-10760.757</v>
      </c>
      <c r="N6451" s="147">
        <v>446.61200000000002</v>
      </c>
      <c r="O6451" s="147">
        <v>4.1503771528341362</v>
      </c>
      <c r="P6451" s="147">
        <v>-5502.63</v>
      </c>
      <c r="Q6451" s="147">
        <v>-4811.5150000000003</v>
      </c>
      <c r="R6451" s="147">
        <v>-87.440278557707856</v>
      </c>
    </row>
    <row r="6452" spans="2:18" ht="15.75" hidden="1" thickBot="1" x14ac:dyDescent="0.3">
      <c r="B6452" s="723" t="s">
        <v>902</v>
      </c>
      <c r="C6452" s="722" t="s">
        <v>639</v>
      </c>
      <c r="D6452" t="s">
        <v>640</v>
      </c>
      <c r="E6452" s="148">
        <v>335.14631000000003</v>
      </c>
      <c r="F6452" s="148">
        <v>111.31449000000001</v>
      </c>
      <c r="G6452" s="148">
        <v>223.83181999999999</v>
      </c>
      <c r="H6452" s="148">
        <v>201.08057809904173</v>
      </c>
      <c r="I6452" s="728"/>
      <c r="J6452" s="148">
        <v>335.14631000000003</v>
      </c>
      <c r="K6452" s="148">
        <v>0</v>
      </c>
      <c r="L6452" s="148">
        <v>678.55408999999997</v>
      </c>
      <c r="M6452" s="148">
        <v>889.33738000000005</v>
      </c>
      <c r="N6452" s="148">
        <v>-210.78328999999999</v>
      </c>
      <c r="O6452" s="148">
        <v>-23.701161644639292</v>
      </c>
      <c r="P6452" s="148">
        <v>130.39323999999999</v>
      </c>
      <c r="Q6452" s="148">
        <v>548.16084999999998</v>
      </c>
      <c r="R6452" s="148">
        <v>420.39054325208883</v>
      </c>
    </row>
    <row r="6453" spans="2:18" ht="15.75" hidden="1" thickBot="1" x14ac:dyDescent="0.3">
      <c r="B6453" s="723" t="s">
        <v>902</v>
      </c>
      <c r="C6453" s="149" t="s">
        <v>85</v>
      </c>
      <c r="D6453" t="s">
        <v>86</v>
      </c>
      <c r="E6453" s="147">
        <v>335.14631000000003</v>
      </c>
      <c r="F6453" s="147">
        <v>111.31449000000001</v>
      </c>
      <c r="G6453" s="147">
        <v>223.83181999999999</v>
      </c>
      <c r="H6453" s="147">
        <v>201.08057809904173</v>
      </c>
      <c r="I6453" s="729"/>
      <c r="J6453" s="147">
        <v>335.14631000000003</v>
      </c>
      <c r="K6453" s="147">
        <v>0</v>
      </c>
      <c r="L6453" s="147">
        <v>678.55408999999997</v>
      </c>
      <c r="M6453" s="147">
        <v>889.33738000000005</v>
      </c>
      <c r="N6453" s="147">
        <v>-210.78328999999999</v>
      </c>
      <c r="O6453" s="147">
        <v>-23.701161644639292</v>
      </c>
      <c r="P6453" s="147">
        <v>130.39323999999999</v>
      </c>
      <c r="Q6453" s="147">
        <v>548.16084999999998</v>
      </c>
      <c r="R6453" s="147">
        <v>420.39054325208883</v>
      </c>
    </row>
    <row r="6454" spans="2:18" ht="15.75" hidden="1" thickBot="1" x14ac:dyDescent="0.3">
      <c r="B6454" s="723" t="s">
        <v>902</v>
      </c>
      <c r="C6454" s="144" t="s">
        <v>87</v>
      </c>
      <c r="D6454" t="s">
        <v>87</v>
      </c>
      <c r="E6454" s="148">
        <v>335.14631000000003</v>
      </c>
      <c r="F6454" s="148">
        <v>111.31449000000001</v>
      </c>
      <c r="G6454" s="148">
        <v>223.83181999999999</v>
      </c>
      <c r="H6454" s="148">
        <v>201.08057809904173</v>
      </c>
      <c r="I6454" s="728"/>
      <c r="J6454" s="148">
        <v>335.14631000000003</v>
      </c>
      <c r="K6454" s="148">
        <v>0</v>
      </c>
      <c r="L6454" s="148">
        <v>678.55408999999997</v>
      </c>
      <c r="M6454" s="148">
        <v>889.33738000000005</v>
      </c>
      <c r="N6454" s="148">
        <v>-210.78328999999999</v>
      </c>
      <c r="O6454" s="148">
        <v>-23.701161644639292</v>
      </c>
      <c r="P6454" s="148">
        <v>130.39323999999999</v>
      </c>
      <c r="Q6454" s="148">
        <v>548.16084999999998</v>
      </c>
      <c r="R6454" s="148">
        <v>420.39054325208883</v>
      </c>
    </row>
    <row r="6455" spans="2:18" ht="15.75" hidden="1" thickBot="1" x14ac:dyDescent="0.3">
      <c r="B6455" s="723" t="s">
        <v>903</v>
      </c>
      <c r="C6455" s="722" t="s">
        <v>61</v>
      </c>
      <c r="D6455" t="s">
        <v>62</v>
      </c>
      <c r="E6455" s="729"/>
      <c r="F6455" s="147">
        <v>-50.584449999999997</v>
      </c>
      <c r="G6455" s="147">
        <v>50.584449999999997</v>
      </c>
      <c r="H6455" s="147">
        <v>100</v>
      </c>
      <c r="I6455" s="729"/>
      <c r="J6455" s="729"/>
      <c r="K6455" s="729"/>
      <c r="L6455" s="729"/>
      <c r="M6455" s="147">
        <v>-396.38092</v>
      </c>
      <c r="N6455" s="147">
        <v>396.38092</v>
      </c>
      <c r="O6455" s="147">
        <v>100</v>
      </c>
      <c r="P6455" s="729"/>
      <c r="Q6455" s="729"/>
      <c r="R6455" s="729"/>
    </row>
    <row r="6456" spans="2:18" ht="15.75" hidden="1" thickBot="1" x14ac:dyDescent="0.3">
      <c r="B6456" s="723" t="s">
        <v>903</v>
      </c>
      <c r="C6456" s="722" t="s">
        <v>180</v>
      </c>
      <c r="D6456" t="s">
        <v>181</v>
      </c>
      <c r="E6456" s="728"/>
      <c r="F6456" s="148">
        <v>50.584449999999997</v>
      </c>
      <c r="G6456" s="148">
        <v>-50.584449999999997</v>
      </c>
      <c r="H6456" s="148">
        <v>-100</v>
      </c>
      <c r="I6456" s="728"/>
      <c r="J6456" s="728"/>
      <c r="K6456" s="728"/>
      <c r="L6456" s="728"/>
      <c r="M6456" s="148">
        <v>396.38092</v>
      </c>
      <c r="N6456" s="148">
        <v>-396.38092</v>
      </c>
      <c r="O6456" s="148">
        <v>-100</v>
      </c>
      <c r="P6456" s="728"/>
      <c r="Q6456" s="728"/>
      <c r="R6456" s="728"/>
    </row>
    <row r="6457" spans="2:18" ht="15.75" hidden="1" thickBot="1" x14ac:dyDescent="0.3">
      <c r="B6457" s="723" t="s">
        <v>903</v>
      </c>
      <c r="C6457" s="149" t="s">
        <v>67</v>
      </c>
      <c r="D6457" t="s">
        <v>68</v>
      </c>
      <c r="E6457" s="729"/>
      <c r="F6457" s="147">
        <v>0</v>
      </c>
      <c r="G6457" s="147">
        <v>0</v>
      </c>
      <c r="H6457" s="147">
        <v>0</v>
      </c>
      <c r="I6457" s="729"/>
      <c r="J6457" s="729"/>
      <c r="K6457" s="729"/>
      <c r="L6457" s="729"/>
      <c r="M6457" s="147">
        <v>0</v>
      </c>
      <c r="N6457" s="147">
        <v>0</v>
      </c>
      <c r="O6457" s="147">
        <v>0</v>
      </c>
      <c r="P6457" s="729"/>
      <c r="Q6457" s="729"/>
      <c r="R6457" s="729"/>
    </row>
    <row r="6458" spans="2:18" ht="15.75" hidden="1" thickBot="1" x14ac:dyDescent="0.3">
      <c r="B6458" s="723" t="s">
        <v>903</v>
      </c>
      <c r="C6458" s="722" t="s">
        <v>485</v>
      </c>
      <c r="D6458" t="s">
        <v>486</v>
      </c>
      <c r="E6458" s="728"/>
      <c r="F6458" s="148">
        <v>-198.48096000000001</v>
      </c>
      <c r="G6458" s="148">
        <v>198.48096000000001</v>
      </c>
      <c r="H6458" s="148">
        <v>100</v>
      </c>
      <c r="I6458" s="728"/>
      <c r="J6458" s="728"/>
      <c r="K6458" s="728"/>
      <c r="L6458" s="728"/>
      <c r="M6458" s="148">
        <v>-1558.9606799999999</v>
      </c>
      <c r="N6458" s="148">
        <v>1558.9606799999999</v>
      </c>
      <c r="O6458" s="148">
        <v>100</v>
      </c>
      <c r="P6458" s="728"/>
      <c r="Q6458" s="728"/>
      <c r="R6458" s="728"/>
    </row>
    <row r="6459" spans="2:18" ht="15.75" hidden="1" thickBot="1" x14ac:dyDescent="0.3">
      <c r="B6459" s="723" t="s">
        <v>903</v>
      </c>
      <c r="C6459" s="722" t="s">
        <v>103</v>
      </c>
      <c r="D6459" t="s">
        <v>104</v>
      </c>
      <c r="E6459" s="147">
        <v>-50.117600000000003</v>
      </c>
      <c r="F6459" s="729"/>
      <c r="G6459" s="147">
        <v>-50.117600000000003</v>
      </c>
      <c r="H6459" s="147">
        <v>0</v>
      </c>
      <c r="I6459" s="729"/>
      <c r="J6459" s="147">
        <v>-50.117600000000003</v>
      </c>
      <c r="K6459" s="147">
        <v>0</v>
      </c>
      <c r="L6459" s="147">
        <v>-58.551299999999998</v>
      </c>
      <c r="M6459" s="729"/>
      <c r="N6459" s="147">
        <v>-58.551299999999998</v>
      </c>
      <c r="O6459" s="147">
        <v>0</v>
      </c>
      <c r="P6459" s="147">
        <v>1.2229699999999999</v>
      </c>
      <c r="Q6459" s="147">
        <v>-59.774270000000001</v>
      </c>
      <c r="R6459" s="147">
        <v>-4887.6317489390585</v>
      </c>
    </row>
    <row r="6460" spans="2:18" ht="15.75" hidden="1" thickBot="1" x14ac:dyDescent="0.3">
      <c r="B6460" s="723" t="s">
        <v>903</v>
      </c>
      <c r="C6460" s="722" t="s">
        <v>633</v>
      </c>
      <c r="D6460" t="s">
        <v>634</v>
      </c>
      <c r="E6460" s="728"/>
      <c r="F6460" s="728"/>
      <c r="G6460" s="728"/>
      <c r="H6460" s="728"/>
      <c r="I6460" s="728"/>
      <c r="J6460" s="728"/>
      <c r="K6460" s="728"/>
      <c r="L6460" s="148">
        <v>-42.756</v>
      </c>
      <c r="M6460" s="728"/>
      <c r="N6460" s="148">
        <v>-42.756</v>
      </c>
      <c r="O6460" s="148">
        <v>0</v>
      </c>
      <c r="P6460" s="148">
        <v>-42.756</v>
      </c>
      <c r="Q6460" s="148">
        <v>0</v>
      </c>
      <c r="R6460" s="148">
        <v>0</v>
      </c>
    </row>
    <row r="6461" spans="2:18" ht="15.75" hidden="1" thickBot="1" x14ac:dyDescent="0.3">
      <c r="B6461" s="723" t="s">
        <v>903</v>
      </c>
      <c r="C6461" s="722" t="s">
        <v>661</v>
      </c>
      <c r="D6461" t="s">
        <v>662</v>
      </c>
      <c r="E6461" s="147">
        <v>182.63</v>
      </c>
      <c r="F6461" s="729"/>
      <c r="G6461" s="147">
        <v>182.63</v>
      </c>
      <c r="H6461" s="147">
        <v>0</v>
      </c>
      <c r="I6461" s="729"/>
      <c r="J6461" s="147">
        <v>182.63</v>
      </c>
      <c r="K6461" s="147">
        <v>0</v>
      </c>
      <c r="L6461" s="147">
        <v>182.63</v>
      </c>
      <c r="M6461" s="729"/>
      <c r="N6461" s="147">
        <v>182.63</v>
      </c>
      <c r="O6461" s="147">
        <v>0</v>
      </c>
      <c r="P6461" s="729"/>
      <c r="Q6461" s="147">
        <v>182.63</v>
      </c>
      <c r="R6461" s="147">
        <v>0</v>
      </c>
    </row>
    <row r="6462" spans="2:18" ht="15.75" hidden="1" thickBot="1" x14ac:dyDescent="0.3">
      <c r="B6462" s="723" t="s">
        <v>903</v>
      </c>
      <c r="C6462" s="722" t="s">
        <v>671</v>
      </c>
      <c r="D6462" t="s">
        <v>672</v>
      </c>
      <c r="E6462" s="728"/>
      <c r="F6462" s="148">
        <v>198.48096000000001</v>
      </c>
      <c r="G6462" s="148">
        <v>-198.48096000000001</v>
      </c>
      <c r="H6462" s="148">
        <v>-100</v>
      </c>
      <c r="I6462" s="728"/>
      <c r="J6462" s="728"/>
      <c r="K6462" s="728"/>
      <c r="L6462" s="728"/>
      <c r="M6462" s="148">
        <v>1558.9606799999999</v>
      </c>
      <c r="N6462" s="148">
        <v>-1558.9606799999999</v>
      </c>
      <c r="O6462" s="148">
        <v>-100</v>
      </c>
      <c r="P6462" s="728"/>
      <c r="Q6462" s="728"/>
      <c r="R6462" s="728"/>
    </row>
    <row r="6463" spans="2:18" ht="15.75" hidden="1" thickBot="1" x14ac:dyDescent="0.3">
      <c r="B6463" s="723" t="s">
        <v>903</v>
      </c>
      <c r="C6463" s="722" t="s">
        <v>679</v>
      </c>
      <c r="D6463" t="s">
        <v>680</v>
      </c>
      <c r="E6463" s="147">
        <v>3.70818</v>
      </c>
      <c r="F6463" s="729"/>
      <c r="G6463" s="147">
        <v>3.70818</v>
      </c>
      <c r="H6463" s="147">
        <v>0</v>
      </c>
      <c r="I6463" s="729"/>
      <c r="J6463" s="147">
        <v>3.70818</v>
      </c>
      <c r="K6463" s="147">
        <v>0</v>
      </c>
      <c r="L6463" s="147">
        <v>-9.3105100000000007</v>
      </c>
      <c r="M6463" s="729"/>
      <c r="N6463" s="147">
        <v>-9.3105100000000007</v>
      </c>
      <c r="O6463" s="147">
        <v>0</v>
      </c>
      <c r="P6463" s="147">
        <v>20.692</v>
      </c>
      <c r="Q6463" s="147">
        <v>-30.002510000000001</v>
      </c>
      <c r="R6463" s="147">
        <v>-144.9956988208003</v>
      </c>
    </row>
    <row r="6464" spans="2:18" ht="15.75" hidden="1" thickBot="1" x14ac:dyDescent="0.3">
      <c r="B6464" s="723" t="s">
        <v>903</v>
      </c>
      <c r="C6464" s="722" t="s">
        <v>83</v>
      </c>
      <c r="D6464" t="s">
        <v>84</v>
      </c>
      <c r="E6464" s="728"/>
      <c r="F6464" s="148">
        <v>-31.23132</v>
      </c>
      <c r="G6464" s="148">
        <v>31.23132</v>
      </c>
      <c r="H6464" s="148">
        <v>100</v>
      </c>
      <c r="I6464" s="728"/>
      <c r="J6464" s="728"/>
      <c r="K6464" s="728"/>
      <c r="L6464" s="728"/>
      <c r="M6464" s="148">
        <v>-374.77578</v>
      </c>
      <c r="N6464" s="148">
        <v>374.77578</v>
      </c>
      <c r="O6464" s="148">
        <v>100</v>
      </c>
      <c r="P6464" s="728"/>
      <c r="Q6464" s="728"/>
      <c r="R6464" s="728"/>
    </row>
    <row r="6465" spans="2:18" ht="15.75" hidden="1" thickBot="1" x14ac:dyDescent="0.3">
      <c r="B6465" s="723" t="s">
        <v>903</v>
      </c>
      <c r="C6465" s="149" t="s">
        <v>85</v>
      </c>
      <c r="D6465" t="s">
        <v>86</v>
      </c>
      <c r="E6465" s="147">
        <v>136.22058000000001</v>
      </c>
      <c r="F6465" s="147">
        <v>-31.23132</v>
      </c>
      <c r="G6465" s="147">
        <v>167.45189999999999</v>
      </c>
      <c r="H6465" s="147">
        <v>536.16657893422371</v>
      </c>
      <c r="I6465" s="729"/>
      <c r="J6465" s="147">
        <v>136.22058000000001</v>
      </c>
      <c r="K6465" s="147">
        <v>0</v>
      </c>
      <c r="L6465" s="147">
        <v>72.012190000000004</v>
      </c>
      <c r="M6465" s="147">
        <v>-374.77578</v>
      </c>
      <c r="N6465" s="147">
        <v>446.78796999999997</v>
      </c>
      <c r="O6465" s="147">
        <v>119.21473954373465</v>
      </c>
      <c r="P6465" s="147">
        <v>-20.84103</v>
      </c>
      <c r="Q6465" s="147">
        <v>92.853219999999993</v>
      </c>
      <c r="R6465" s="147">
        <v>445.5308590794217</v>
      </c>
    </row>
    <row r="6466" spans="2:18" ht="15.75" hidden="1" thickBot="1" x14ac:dyDescent="0.3">
      <c r="B6466" s="723" t="s">
        <v>903</v>
      </c>
      <c r="C6466" s="144" t="s">
        <v>87</v>
      </c>
      <c r="D6466" t="s">
        <v>87</v>
      </c>
      <c r="E6466" s="148">
        <v>136.22058000000001</v>
      </c>
      <c r="F6466" s="148">
        <v>-31.23132</v>
      </c>
      <c r="G6466" s="148">
        <v>167.45189999999999</v>
      </c>
      <c r="H6466" s="148">
        <v>536.16657893422371</v>
      </c>
      <c r="I6466" s="728"/>
      <c r="J6466" s="148">
        <v>136.22058000000001</v>
      </c>
      <c r="K6466" s="148">
        <v>0</v>
      </c>
      <c r="L6466" s="148">
        <v>72.012190000000004</v>
      </c>
      <c r="M6466" s="148">
        <v>-374.77578</v>
      </c>
      <c r="N6466" s="148">
        <v>446.78796999999997</v>
      </c>
      <c r="O6466" s="148">
        <v>119.21473954373465</v>
      </c>
      <c r="P6466" s="148">
        <v>-20.84103</v>
      </c>
      <c r="Q6466" s="148">
        <v>92.853219999999993</v>
      </c>
      <c r="R6466" s="148">
        <v>445.5308590794217</v>
      </c>
    </row>
    <row r="6467" spans="2:18" ht="15.75" hidden="1" thickBot="1" x14ac:dyDescent="0.3">
      <c r="B6467" s="723" t="s">
        <v>904</v>
      </c>
      <c r="C6467" s="722" t="s">
        <v>134</v>
      </c>
      <c r="D6467" t="s">
        <v>135</v>
      </c>
      <c r="E6467" s="147">
        <v>388.24400000000003</v>
      </c>
      <c r="F6467" s="147">
        <v>329.66001999999997</v>
      </c>
      <c r="G6467" s="147">
        <v>58.583979999999997</v>
      </c>
      <c r="H6467" s="147">
        <v>17.771029680820867</v>
      </c>
      <c r="I6467" s="729"/>
      <c r="J6467" s="147">
        <v>388.24400000000003</v>
      </c>
      <c r="K6467" s="147">
        <v>0</v>
      </c>
      <c r="L6467" s="147">
        <v>777.84459000000004</v>
      </c>
      <c r="M6467" s="147">
        <v>1318.6400799999999</v>
      </c>
      <c r="N6467" s="147">
        <v>-540.79548999999997</v>
      </c>
      <c r="O6467" s="147">
        <v>-41.011607200654787</v>
      </c>
      <c r="P6467" s="147">
        <v>459.05559</v>
      </c>
      <c r="Q6467" s="147">
        <v>318.78899999999999</v>
      </c>
      <c r="R6467" s="147">
        <v>69.444530672200287</v>
      </c>
    </row>
    <row r="6468" spans="2:18" ht="15.75" hidden="1" thickBot="1" x14ac:dyDescent="0.3">
      <c r="B6468" s="723" t="s">
        <v>904</v>
      </c>
      <c r="C6468" s="149" t="s">
        <v>67</v>
      </c>
      <c r="D6468" t="s">
        <v>68</v>
      </c>
      <c r="E6468" s="148">
        <v>388.24400000000003</v>
      </c>
      <c r="F6468" s="148">
        <v>329.66001999999997</v>
      </c>
      <c r="G6468" s="148">
        <v>58.583979999999997</v>
      </c>
      <c r="H6468" s="148">
        <v>17.771029680820867</v>
      </c>
      <c r="I6468" s="728"/>
      <c r="J6468" s="148">
        <v>388.24400000000003</v>
      </c>
      <c r="K6468" s="148">
        <v>0</v>
      </c>
      <c r="L6468" s="148">
        <v>777.84459000000004</v>
      </c>
      <c r="M6468" s="148">
        <v>1318.6400799999999</v>
      </c>
      <c r="N6468" s="148">
        <v>-540.79548999999997</v>
      </c>
      <c r="O6468" s="148">
        <v>-41.011607200654787</v>
      </c>
      <c r="P6468" s="148">
        <v>459.05559</v>
      </c>
      <c r="Q6468" s="148">
        <v>318.78899999999999</v>
      </c>
      <c r="R6468" s="148">
        <v>69.444530672200287</v>
      </c>
    </row>
    <row r="6469" spans="2:18" ht="15.75" hidden="1" thickBot="1" x14ac:dyDescent="0.3">
      <c r="B6469" s="723" t="s">
        <v>904</v>
      </c>
      <c r="C6469" s="722" t="s">
        <v>485</v>
      </c>
      <c r="D6469" t="s">
        <v>486</v>
      </c>
      <c r="E6469" s="147">
        <v>585.96506999999997</v>
      </c>
      <c r="F6469" s="147">
        <v>352.15222</v>
      </c>
      <c r="G6469" s="147">
        <v>233.81285</v>
      </c>
      <c r="H6469" s="147">
        <v>66.395392878681832</v>
      </c>
      <c r="I6469" s="729"/>
      <c r="J6469" s="147">
        <v>585.96506999999997</v>
      </c>
      <c r="K6469" s="147">
        <v>0</v>
      </c>
      <c r="L6469" s="147">
        <v>4452.4149500000003</v>
      </c>
      <c r="M6469" s="147">
        <v>4225.8266400000002</v>
      </c>
      <c r="N6469" s="147">
        <v>226.58831000000001</v>
      </c>
      <c r="O6469" s="147">
        <v>5.3619878263628911</v>
      </c>
      <c r="P6469" s="147">
        <v>2407.9850299999998</v>
      </c>
      <c r="Q6469" s="147">
        <v>2044.42992</v>
      </c>
      <c r="R6469" s="147">
        <v>84.902102568303761</v>
      </c>
    </row>
    <row r="6470" spans="2:18" ht="15.75" hidden="1" thickBot="1" x14ac:dyDescent="0.3">
      <c r="B6470" s="723" t="s">
        <v>904</v>
      </c>
      <c r="C6470" s="149" t="s">
        <v>85</v>
      </c>
      <c r="D6470" t="s">
        <v>86</v>
      </c>
      <c r="E6470" s="148">
        <v>585.96506999999997</v>
      </c>
      <c r="F6470" s="148">
        <v>352.15222</v>
      </c>
      <c r="G6470" s="148">
        <v>233.81285</v>
      </c>
      <c r="H6470" s="148">
        <v>66.395392878681832</v>
      </c>
      <c r="I6470" s="728"/>
      <c r="J6470" s="148">
        <v>585.96506999999997</v>
      </c>
      <c r="K6470" s="148">
        <v>0</v>
      </c>
      <c r="L6470" s="148">
        <v>4452.4149500000003</v>
      </c>
      <c r="M6470" s="148">
        <v>4225.8266400000002</v>
      </c>
      <c r="N6470" s="148">
        <v>226.58831000000001</v>
      </c>
      <c r="O6470" s="148">
        <v>5.3619878263628911</v>
      </c>
      <c r="P6470" s="148">
        <v>2407.9850299999998</v>
      </c>
      <c r="Q6470" s="148">
        <v>2044.42992</v>
      </c>
      <c r="R6470" s="148">
        <v>84.902102568303761</v>
      </c>
    </row>
    <row r="6471" spans="2:18" ht="15.75" hidden="1" thickBot="1" x14ac:dyDescent="0.3">
      <c r="B6471" s="723" t="s">
        <v>904</v>
      </c>
      <c r="C6471" s="144" t="s">
        <v>87</v>
      </c>
      <c r="D6471" t="s">
        <v>87</v>
      </c>
      <c r="E6471" s="147">
        <v>974.20907</v>
      </c>
      <c r="F6471" s="147">
        <v>681.81223999999997</v>
      </c>
      <c r="G6471" s="147">
        <v>292.39683000000002</v>
      </c>
      <c r="H6471" s="147">
        <v>42.885242130590086</v>
      </c>
      <c r="I6471" s="729"/>
      <c r="J6471" s="147">
        <v>974.20907</v>
      </c>
      <c r="K6471" s="147">
        <v>0</v>
      </c>
      <c r="L6471" s="147">
        <v>5230.25954</v>
      </c>
      <c r="M6471" s="147">
        <v>5544.4667200000004</v>
      </c>
      <c r="N6471" s="147">
        <v>-314.20717999999999</v>
      </c>
      <c r="O6471" s="147">
        <v>-5.667040598631278</v>
      </c>
      <c r="P6471" s="147">
        <v>2867.0406200000002</v>
      </c>
      <c r="Q6471" s="147">
        <v>2363.2189199999998</v>
      </c>
      <c r="R6471" s="147">
        <v>82.427116780787017</v>
      </c>
    </row>
    <row r="6472" spans="2:18" ht="15.75" hidden="1" thickBot="1" x14ac:dyDescent="0.3">
      <c r="B6472" s="724" t="s">
        <v>905</v>
      </c>
      <c r="C6472" s="722" t="s">
        <v>485</v>
      </c>
      <c r="D6472" t="s">
        <v>486</v>
      </c>
      <c r="E6472" s="148">
        <v>94.067999999999998</v>
      </c>
      <c r="F6472" s="148">
        <v>163.91689</v>
      </c>
      <c r="G6472" s="148">
        <v>-69.848889999999997</v>
      </c>
      <c r="H6472" s="148">
        <v>-42.61238118902817</v>
      </c>
      <c r="I6472" s="728"/>
      <c r="J6472" s="148">
        <v>94.067999999999998</v>
      </c>
      <c r="K6472" s="148">
        <v>0</v>
      </c>
      <c r="L6472" s="148">
        <v>1801.2831100000001</v>
      </c>
      <c r="M6472" s="148">
        <v>1967.0026800000001</v>
      </c>
      <c r="N6472" s="148">
        <v>-165.71957</v>
      </c>
      <c r="O6472" s="148">
        <v>-8.424979370134869</v>
      </c>
      <c r="P6472" s="148">
        <v>1230.2206100000001</v>
      </c>
      <c r="Q6472" s="148">
        <v>571.0625</v>
      </c>
      <c r="R6472" s="148">
        <v>46.4195198290492</v>
      </c>
    </row>
    <row r="6473" spans="2:18" ht="15.75" hidden="1" thickBot="1" x14ac:dyDescent="0.3">
      <c r="B6473" s="724" t="s">
        <v>905</v>
      </c>
      <c r="C6473" s="149" t="s">
        <v>85</v>
      </c>
      <c r="D6473" t="s">
        <v>86</v>
      </c>
      <c r="E6473" s="147">
        <v>94.067999999999998</v>
      </c>
      <c r="F6473" s="147">
        <v>163.91689</v>
      </c>
      <c r="G6473" s="147">
        <v>-69.848889999999997</v>
      </c>
      <c r="H6473" s="147">
        <v>-42.61238118902817</v>
      </c>
      <c r="I6473" s="729"/>
      <c r="J6473" s="147">
        <v>94.067999999999998</v>
      </c>
      <c r="K6473" s="147">
        <v>0</v>
      </c>
      <c r="L6473" s="147">
        <v>1801.2831100000001</v>
      </c>
      <c r="M6473" s="147">
        <v>1967.0026800000001</v>
      </c>
      <c r="N6473" s="147">
        <v>-165.71957</v>
      </c>
      <c r="O6473" s="147">
        <v>-8.424979370134869</v>
      </c>
      <c r="P6473" s="147">
        <v>1230.2206100000001</v>
      </c>
      <c r="Q6473" s="147">
        <v>571.0625</v>
      </c>
      <c r="R6473" s="147">
        <v>46.4195198290492</v>
      </c>
    </row>
    <row r="6474" spans="2:18" ht="15.75" hidden="1" thickBot="1" x14ac:dyDescent="0.3">
      <c r="B6474" s="724" t="s">
        <v>905</v>
      </c>
      <c r="C6474" s="144" t="s">
        <v>87</v>
      </c>
      <c r="D6474" t="s">
        <v>87</v>
      </c>
      <c r="E6474" s="148">
        <v>94.067999999999998</v>
      </c>
      <c r="F6474" s="148">
        <v>163.91689</v>
      </c>
      <c r="G6474" s="148">
        <v>-69.848889999999997</v>
      </c>
      <c r="H6474" s="148">
        <v>-42.61238118902817</v>
      </c>
      <c r="I6474" s="728"/>
      <c r="J6474" s="148">
        <v>94.067999999999998</v>
      </c>
      <c r="K6474" s="148">
        <v>0</v>
      </c>
      <c r="L6474" s="148">
        <v>1801.2831100000001</v>
      </c>
      <c r="M6474" s="148">
        <v>1967.0026800000001</v>
      </c>
      <c r="N6474" s="148">
        <v>-165.71957</v>
      </c>
      <c r="O6474" s="148">
        <v>-8.424979370134869</v>
      </c>
      <c r="P6474" s="148">
        <v>1230.2206100000001</v>
      </c>
      <c r="Q6474" s="148">
        <v>571.0625</v>
      </c>
      <c r="R6474" s="148">
        <v>46.4195198290492</v>
      </c>
    </row>
    <row r="6475" spans="2:18" ht="15.75" hidden="1" thickBot="1" x14ac:dyDescent="0.3">
      <c r="B6475" s="724" t="s">
        <v>906</v>
      </c>
      <c r="C6475" s="722" t="s">
        <v>134</v>
      </c>
      <c r="D6475" t="s">
        <v>135</v>
      </c>
      <c r="E6475" s="147">
        <v>388.24400000000003</v>
      </c>
      <c r="F6475" s="147">
        <v>329.66001999999997</v>
      </c>
      <c r="G6475" s="147">
        <v>58.583979999999997</v>
      </c>
      <c r="H6475" s="147">
        <v>17.771029680820867</v>
      </c>
      <c r="I6475" s="729"/>
      <c r="J6475" s="147">
        <v>388.24400000000003</v>
      </c>
      <c r="K6475" s="147">
        <v>0</v>
      </c>
      <c r="L6475" s="147">
        <v>777.84459000000004</v>
      </c>
      <c r="M6475" s="147">
        <v>1318.6400799999999</v>
      </c>
      <c r="N6475" s="147">
        <v>-540.79548999999997</v>
      </c>
      <c r="O6475" s="147">
        <v>-41.011607200654787</v>
      </c>
      <c r="P6475" s="147">
        <v>459.05559</v>
      </c>
      <c r="Q6475" s="147">
        <v>318.78899999999999</v>
      </c>
      <c r="R6475" s="147">
        <v>69.444530672200287</v>
      </c>
    </row>
    <row r="6476" spans="2:18" ht="15.75" hidden="1" thickBot="1" x14ac:dyDescent="0.3">
      <c r="B6476" s="724" t="s">
        <v>906</v>
      </c>
      <c r="C6476" s="149" t="s">
        <v>67</v>
      </c>
      <c r="D6476" t="s">
        <v>68</v>
      </c>
      <c r="E6476" s="148">
        <v>388.24400000000003</v>
      </c>
      <c r="F6476" s="148">
        <v>329.66001999999997</v>
      </c>
      <c r="G6476" s="148">
        <v>58.583979999999997</v>
      </c>
      <c r="H6476" s="148">
        <v>17.771029680820867</v>
      </c>
      <c r="I6476" s="728"/>
      <c r="J6476" s="148">
        <v>388.24400000000003</v>
      </c>
      <c r="K6476" s="148">
        <v>0</v>
      </c>
      <c r="L6476" s="148">
        <v>777.84459000000004</v>
      </c>
      <c r="M6476" s="148">
        <v>1318.6400799999999</v>
      </c>
      <c r="N6476" s="148">
        <v>-540.79548999999997</v>
      </c>
      <c r="O6476" s="148">
        <v>-41.011607200654787</v>
      </c>
      <c r="P6476" s="148">
        <v>459.05559</v>
      </c>
      <c r="Q6476" s="148">
        <v>318.78899999999999</v>
      </c>
      <c r="R6476" s="148">
        <v>69.444530672200287</v>
      </c>
    </row>
    <row r="6477" spans="2:18" ht="15.75" hidden="1" thickBot="1" x14ac:dyDescent="0.3">
      <c r="B6477" s="724" t="s">
        <v>906</v>
      </c>
      <c r="C6477" s="144" t="s">
        <v>87</v>
      </c>
      <c r="D6477" t="s">
        <v>87</v>
      </c>
      <c r="E6477" s="147">
        <v>388.24400000000003</v>
      </c>
      <c r="F6477" s="147">
        <v>329.66001999999997</v>
      </c>
      <c r="G6477" s="147">
        <v>58.583979999999997</v>
      </c>
      <c r="H6477" s="147">
        <v>17.771029680820867</v>
      </c>
      <c r="I6477" s="729"/>
      <c r="J6477" s="147">
        <v>388.24400000000003</v>
      </c>
      <c r="K6477" s="147">
        <v>0</v>
      </c>
      <c r="L6477" s="147">
        <v>777.84459000000004</v>
      </c>
      <c r="M6477" s="147">
        <v>1318.6400799999999</v>
      </c>
      <c r="N6477" s="147">
        <v>-540.79548999999997</v>
      </c>
      <c r="O6477" s="147">
        <v>-41.011607200654787</v>
      </c>
      <c r="P6477" s="147">
        <v>459.05559</v>
      </c>
      <c r="Q6477" s="147">
        <v>318.78899999999999</v>
      </c>
      <c r="R6477" s="147">
        <v>69.444530672200287</v>
      </c>
    </row>
    <row r="6478" spans="2:18" ht="15.75" hidden="1" thickBot="1" x14ac:dyDescent="0.3">
      <c r="B6478" s="724" t="s">
        <v>907</v>
      </c>
      <c r="C6478" s="722" t="s">
        <v>485</v>
      </c>
      <c r="D6478" t="s">
        <v>486</v>
      </c>
      <c r="E6478" s="148">
        <v>491.89706999999999</v>
      </c>
      <c r="F6478" s="148">
        <v>188.23533</v>
      </c>
      <c r="G6478" s="148">
        <v>303.66174000000001</v>
      </c>
      <c r="H6478" s="148">
        <v>161.32026862332378</v>
      </c>
      <c r="I6478" s="728"/>
      <c r="J6478" s="148">
        <v>491.89706999999999</v>
      </c>
      <c r="K6478" s="148">
        <v>0</v>
      </c>
      <c r="L6478" s="148">
        <v>2651.13184</v>
      </c>
      <c r="M6478" s="148">
        <v>2258.8239600000002</v>
      </c>
      <c r="N6478" s="148">
        <v>392.30788000000001</v>
      </c>
      <c r="O6478" s="148">
        <v>17.367793460097705</v>
      </c>
      <c r="P6478" s="148">
        <v>1177.76442</v>
      </c>
      <c r="Q6478" s="148">
        <v>1473.36742</v>
      </c>
      <c r="R6478" s="148">
        <v>125.09865258113334</v>
      </c>
    </row>
    <row r="6479" spans="2:18" ht="15.75" hidden="1" thickBot="1" x14ac:dyDescent="0.3">
      <c r="B6479" s="724" t="s">
        <v>907</v>
      </c>
      <c r="C6479" s="149" t="s">
        <v>85</v>
      </c>
      <c r="D6479" t="s">
        <v>86</v>
      </c>
      <c r="E6479" s="147">
        <v>491.89706999999999</v>
      </c>
      <c r="F6479" s="147">
        <v>188.23533</v>
      </c>
      <c r="G6479" s="147">
        <v>303.66174000000001</v>
      </c>
      <c r="H6479" s="147">
        <v>161.32026862332378</v>
      </c>
      <c r="I6479" s="729"/>
      <c r="J6479" s="147">
        <v>491.89706999999999</v>
      </c>
      <c r="K6479" s="147">
        <v>0</v>
      </c>
      <c r="L6479" s="147">
        <v>2651.13184</v>
      </c>
      <c r="M6479" s="147">
        <v>2258.8239600000002</v>
      </c>
      <c r="N6479" s="147">
        <v>392.30788000000001</v>
      </c>
      <c r="O6479" s="147">
        <v>17.367793460097705</v>
      </c>
      <c r="P6479" s="147">
        <v>1177.76442</v>
      </c>
      <c r="Q6479" s="147">
        <v>1473.36742</v>
      </c>
      <c r="R6479" s="147">
        <v>125.09865258113334</v>
      </c>
    </row>
    <row r="6480" spans="2:18" ht="15.75" hidden="1" thickBot="1" x14ac:dyDescent="0.3">
      <c r="B6480" s="724" t="s">
        <v>907</v>
      </c>
      <c r="C6480" s="144" t="s">
        <v>87</v>
      </c>
      <c r="D6480" t="s">
        <v>87</v>
      </c>
      <c r="E6480" s="148">
        <v>491.89706999999999</v>
      </c>
      <c r="F6480" s="148">
        <v>188.23533</v>
      </c>
      <c r="G6480" s="148">
        <v>303.66174000000001</v>
      </c>
      <c r="H6480" s="148">
        <v>161.32026862332378</v>
      </c>
      <c r="I6480" s="728"/>
      <c r="J6480" s="148">
        <v>491.89706999999999</v>
      </c>
      <c r="K6480" s="148">
        <v>0</v>
      </c>
      <c r="L6480" s="148">
        <v>2651.13184</v>
      </c>
      <c r="M6480" s="148">
        <v>2258.8239600000002</v>
      </c>
      <c r="N6480" s="148">
        <v>392.30788000000001</v>
      </c>
      <c r="O6480" s="148">
        <v>17.367793460097705</v>
      </c>
      <c r="P6480" s="148">
        <v>1177.76442</v>
      </c>
      <c r="Q6480" s="148">
        <v>1473.36742</v>
      </c>
      <c r="R6480" s="148">
        <v>125.09865258113334</v>
      </c>
    </row>
    <row r="6481" spans="2:18" ht="15.75" hidden="1" thickBot="1" x14ac:dyDescent="0.3">
      <c r="B6481" s="722" t="s">
        <v>908</v>
      </c>
      <c r="C6481" s="722" t="s">
        <v>59</v>
      </c>
      <c r="D6481" t="s">
        <v>60</v>
      </c>
      <c r="E6481" s="729"/>
      <c r="F6481" s="147">
        <v>15.1449</v>
      </c>
      <c r="G6481" s="147">
        <v>-15.1449</v>
      </c>
      <c r="H6481" s="147">
        <v>-100</v>
      </c>
      <c r="I6481" s="729"/>
      <c r="J6481" s="729"/>
      <c r="K6481" s="729"/>
      <c r="L6481" s="729"/>
      <c r="M6481" s="147">
        <v>180.78536</v>
      </c>
      <c r="N6481" s="147">
        <v>-180.78536</v>
      </c>
      <c r="O6481" s="147">
        <v>-100</v>
      </c>
      <c r="P6481" s="729"/>
      <c r="Q6481" s="729"/>
      <c r="R6481" s="729"/>
    </row>
    <row r="6482" spans="2:18" ht="15.75" hidden="1" thickBot="1" x14ac:dyDescent="0.3">
      <c r="B6482" s="722" t="s">
        <v>908</v>
      </c>
      <c r="C6482" s="722" t="s">
        <v>61</v>
      </c>
      <c r="D6482" t="s">
        <v>62</v>
      </c>
      <c r="E6482" s="728"/>
      <c r="F6482" s="148">
        <v>2.3474599999999999</v>
      </c>
      <c r="G6482" s="148">
        <v>-2.3474599999999999</v>
      </c>
      <c r="H6482" s="148">
        <v>-100</v>
      </c>
      <c r="I6482" s="728"/>
      <c r="J6482" s="728"/>
      <c r="K6482" s="728"/>
      <c r="L6482" s="728"/>
      <c r="M6482" s="148">
        <v>28.021740000000001</v>
      </c>
      <c r="N6482" s="148">
        <v>-28.021740000000001</v>
      </c>
      <c r="O6482" s="148">
        <v>-100</v>
      </c>
      <c r="P6482" s="728"/>
      <c r="Q6482" s="728"/>
      <c r="R6482" s="728"/>
    </row>
    <row r="6483" spans="2:18" ht="15.75" hidden="1" thickBot="1" x14ac:dyDescent="0.3">
      <c r="B6483" s="722" t="s">
        <v>908</v>
      </c>
      <c r="C6483" s="722" t="s">
        <v>63</v>
      </c>
      <c r="D6483" t="s">
        <v>64</v>
      </c>
      <c r="E6483" s="729"/>
      <c r="F6483" s="147">
        <v>9.1323699999999999</v>
      </c>
      <c r="G6483" s="147">
        <v>-9.1323699999999999</v>
      </c>
      <c r="H6483" s="147">
        <v>-100</v>
      </c>
      <c r="I6483" s="729"/>
      <c r="J6483" s="729"/>
      <c r="K6483" s="729"/>
      <c r="L6483" s="729"/>
      <c r="M6483" s="147">
        <v>109.01352</v>
      </c>
      <c r="N6483" s="147">
        <v>-109.01352</v>
      </c>
      <c r="O6483" s="147">
        <v>-100</v>
      </c>
      <c r="P6483" s="729"/>
      <c r="Q6483" s="729"/>
      <c r="R6483" s="729"/>
    </row>
    <row r="6484" spans="2:18" ht="15.75" hidden="1" thickBot="1" x14ac:dyDescent="0.3">
      <c r="B6484" s="722" t="s">
        <v>908</v>
      </c>
      <c r="C6484" s="722" t="s">
        <v>65</v>
      </c>
      <c r="D6484" t="s">
        <v>66</v>
      </c>
      <c r="E6484" s="728"/>
      <c r="F6484" s="148">
        <v>-26.62473</v>
      </c>
      <c r="G6484" s="148">
        <v>26.62473</v>
      </c>
      <c r="H6484" s="148">
        <v>100</v>
      </c>
      <c r="I6484" s="728"/>
      <c r="J6484" s="728"/>
      <c r="K6484" s="728"/>
      <c r="L6484" s="728"/>
      <c r="M6484" s="148">
        <v>-317.82062000000002</v>
      </c>
      <c r="N6484" s="148">
        <v>317.82062000000002</v>
      </c>
      <c r="O6484" s="148">
        <v>100</v>
      </c>
      <c r="P6484" s="728"/>
      <c r="Q6484" s="728"/>
      <c r="R6484" s="728"/>
    </row>
    <row r="6485" spans="2:18" ht="15.75" hidden="1" thickBot="1" x14ac:dyDescent="0.3">
      <c r="B6485" s="722" t="s">
        <v>908</v>
      </c>
      <c r="C6485" s="149" t="s">
        <v>67</v>
      </c>
      <c r="D6485" t="s">
        <v>68</v>
      </c>
      <c r="E6485" s="729"/>
      <c r="F6485" s="147">
        <v>0</v>
      </c>
      <c r="G6485" s="147">
        <v>0</v>
      </c>
      <c r="H6485" s="147">
        <v>0</v>
      </c>
      <c r="I6485" s="729"/>
      <c r="J6485" s="729"/>
      <c r="K6485" s="729"/>
      <c r="L6485" s="729"/>
      <c r="M6485" s="147">
        <v>0</v>
      </c>
      <c r="N6485" s="147">
        <v>0</v>
      </c>
      <c r="O6485" s="147">
        <v>0</v>
      </c>
      <c r="P6485" s="729"/>
      <c r="Q6485" s="729"/>
      <c r="R6485" s="729"/>
    </row>
    <row r="6486" spans="2:18" ht="15.75" hidden="1" thickBot="1" x14ac:dyDescent="0.3">
      <c r="B6486" s="722" t="s">
        <v>908</v>
      </c>
      <c r="C6486" s="144" t="s">
        <v>87</v>
      </c>
      <c r="D6486" t="s">
        <v>87</v>
      </c>
      <c r="E6486" s="728"/>
      <c r="F6486" s="148">
        <v>0</v>
      </c>
      <c r="G6486" s="148">
        <v>0</v>
      </c>
      <c r="H6486" s="148">
        <v>0</v>
      </c>
      <c r="I6486" s="728"/>
      <c r="J6486" s="728"/>
      <c r="K6486" s="728"/>
      <c r="L6486" s="728"/>
      <c r="M6486" s="148">
        <v>0</v>
      </c>
      <c r="N6486" s="148">
        <v>0</v>
      </c>
      <c r="O6486" s="148">
        <v>0</v>
      </c>
      <c r="P6486" s="728"/>
      <c r="Q6486" s="728"/>
      <c r="R6486" s="728"/>
    </row>
    <row r="6487" spans="2:18" ht="15.75" hidden="1" thickBot="1" x14ac:dyDescent="0.3">
      <c r="B6487" s="145" t="s">
        <v>909</v>
      </c>
      <c r="C6487" s="722" t="s">
        <v>59</v>
      </c>
      <c r="D6487" t="s">
        <v>60</v>
      </c>
      <c r="E6487" s="729"/>
      <c r="F6487" s="147">
        <v>15.1449</v>
      </c>
      <c r="G6487" s="147">
        <v>-15.1449</v>
      </c>
      <c r="H6487" s="147">
        <v>-100</v>
      </c>
      <c r="I6487" s="729"/>
      <c r="J6487" s="729"/>
      <c r="K6487" s="729"/>
      <c r="L6487" s="729"/>
      <c r="M6487" s="147">
        <v>180.78536</v>
      </c>
      <c r="N6487" s="147">
        <v>-180.78536</v>
      </c>
      <c r="O6487" s="147">
        <v>-100</v>
      </c>
      <c r="P6487" s="729"/>
      <c r="Q6487" s="729"/>
      <c r="R6487" s="729"/>
    </row>
    <row r="6488" spans="2:18" ht="15.75" hidden="1" thickBot="1" x14ac:dyDescent="0.3">
      <c r="B6488" s="145" t="s">
        <v>909</v>
      </c>
      <c r="C6488" s="722" t="s">
        <v>61</v>
      </c>
      <c r="D6488" t="s">
        <v>62</v>
      </c>
      <c r="E6488" s="728"/>
      <c r="F6488" s="148">
        <v>2.3474599999999999</v>
      </c>
      <c r="G6488" s="148">
        <v>-2.3474599999999999</v>
      </c>
      <c r="H6488" s="148">
        <v>-100</v>
      </c>
      <c r="I6488" s="728"/>
      <c r="J6488" s="728"/>
      <c r="K6488" s="728"/>
      <c r="L6488" s="728"/>
      <c r="M6488" s="148">
        <v>28.021740000000001</v>
      </c>
      <c r="N6488" s="148">
        <v>-28.021740000000001</v>
      </c>
      <c r="O6488" s="148">
        <v>-100</v>
      </c>
      <c r="P6488" s="728"/>
      <c r="Q6488" s="728"/>
      <c r="R6488" s="728"/>
    </row>
    <row r="6489" spans="2:18" ht="15.75" hidden="1" thickBot="1" x14ac:dyDescent="0.3">
      <c r="B6489" s="145" t="s">
        <v>909</v>
      </c>
      <c r="C6489" s="722" t="s">
        <v>63</v>
      </c>
      <c r="D6489" t="s">
        <v>64</v>
      </c>
      <c r="E6489" s="729"/>
      <c r="F6489" s="147">
        <v>9.1323699999999999</v>
      </c>
      <c r="G6489" s="147">
        <v>-9.1323699999999999</v>
      </c>
      <c r="H6489" s="147">
        <v>-100</v>
      </c>
      <c r="I6489" s="729"/>
      <c r="J6489" s="729"/>
      <c r="K6489" s="729"/>
      <c r="L6489" s="729"/>
      <c r="M6489" s="147">
        <v>109.01352</v>
      </c>
      <c r="N6489" s="147">
        <v>-109.01352</v>
      </c>
      <c r="O6489" s="147">
        <v>-100</v>
      </c>
      <c r="P6489" s="729"/>
      <c r="Q6489" s="729"/>
      <c r="R6489" s="729"/>
    </row>
    <row r="6490" spans="2:18" ht="15.75" hidden="1" thickBot="1" x14ac:dyDescent="0.3">
      <c r="B6490" s="145" t="s">
        <v>909</v>
      </c>
      <c r="C6490" s="722" t="s">
        <v>65</v>
      </c>
      <c r="D6490" t="s">
        <v>66</v>
      </c>
      <c r="E6490" s="728"/>
      <c r="F6490" s="148">
        <v>-26.62473</v>
      </c>
      <c r="G6490" s="148">
        <v>26.62473</v>
      </c>
      <c r="H6490" s="148">
        <v>100</v>
      </c>
      <c r="I6490" s="728"/>
      <c r="J6490" s="728"/>
      <c r="K6490" s="728"/>
      <c r="L6490" s="728"/>
      <c r="M6490" s="148">
        <v>-317.82062000000002</v>
      </c>
      <c r="N6490" s="148">
        <v>317.82062000000002</v>
      </c>
      <c r="O6490" s="148">
        <v>100</v>
      </c>
      <c r="P6490" s="728"/>
      <c r="Q6490" s="728"/>
      <c r="R6490" s="728"/>
    </row>
    <row r="6491" spans="2:18" ht="15.75" hidden="1" thickBot="1" x14ac:dyDescent="0.3">
      <c r="B6491" s="145" t="s">
        <v>909</v>
      </c>
      <c r="C6491" s="149" t="s">
        <v>67</v>
      </c>
      <c r="D6491" t="s">
        <v>68</v>
      </c>
      <c r="E6491" s="729"/>
      <c r="F6491" s="147">
        <v>0</v>
      </c>
      <c r="G6491" s="147">
        <v>0</v>
      </c>
      <c r="H6491" s="147">
        <v>0</v>
      </c>
      <c r="I6491" s="729"/>
      <c r="J6491" s="729"/>
      <c r="K6491" s="729"/>
      <c r="L6491" s="729"/>
      <c r="M6491" s="147">
        <v>0</v>
      </c>
      <c r="N6491" s="147">
        <v>0</v>
      </c>
      <c r="O6491" s="147">
        <v>0</v>
      </c>
      <c r="P6491" s="729"/>
      <c r="Q6491" s="729"/>
      <c r="R6491" s="729"/>
    </row>
    <row r="6492" spans="2:18" ht="15.75" hidden="1" thickBot="1" x14ac:dyDescent="0.3">
      <c r="B6492" s="145" t="s">
        <v>909</v>
      </c>
      <c r="C6492" s="144" t="s">
        <v>87</v>
      </c>
      <c r="D6492" t="s">
        <v>87</v>
      </c>
      <c r="E6492" s="728"/>
      <c r="F6492" s="148">
        <v>0</v>
      </c>
      <c r="G6492" s="148">
        <v>0</v>
      </c>
      <c r="H6492" s="148">
        <v>0</v>
      </c>
      <c r="I6492" s="728"/>
      <c r="J6492" s="728"/>
      <c r="K6492" s="728"/>
      <c r="L6492" s="728"/>
      <c r="M6492" s="148">
        <v>0</v>
      </c>
      <c r="N6492" s="148">
        <v>0</v>
      </c>
      <c r="O6492" s="148">
        <v>0</v>
      </c>
      <c r="P6492" s="728"/>
      <c r="Q6492" s="728"/>
      <c r="R6492" s="728"/>
    </row>
  </sheetData>
  <autoFilter ref="B33:R6492" xr:uid="{00000000-0009-0000-0000-00000A000000}">
    <filterColumn colId="0">
      <filters>
        <filter val="ACCOUNT SERVICES"/>
        <filter val="CASH MANAGEMENT"/>
        <filter val="CUST CONTACT CENTER"/>
        <filter val="CUST FIELD SERVICES"/>
        <filter val="CUST SEG SRVC"/>
        <filter val="FIELD SERVICES"/>
        <filter val="MAJ ACCT SERV TEAM"/>
        <filter val="OFFICE SERVICES"/>
        <filter val="RESOURCE MGMT CTR"/>
      </filters>
    </filterColumn>
    <filterColumn colId="1">
      <filters>
        <filter val="Non-Payroll"/>
        <filter val="Payroll"/>
      </filters>
    </filterColumn>
    <sortState ref="B24:R259">
      <sortCondition ref="B23"/>
    </sortState>
  </autoFilter>
  <pageMargins left="0.7" right="0.7" top="0.75" bottom="0.75" header="0.3" footer="0.3"/>
  <pageSetup orientation="portrait" horizontalDpi="0" verticalDpi="0" r:id="rId1"/>
  <headerFooter>
    <oddHeader>&amp;RExh. RJW-2 Wyman WP5</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P43"/>
  <sheetViews>
    <sheetView zoomScale="80" zoomScaleNormal="80" workbookViewId="0">
      <selection activeCell="J33" sqref="J33"/>
    </sheetView>
  </sheetViews>
  <sheetFormatPr defaultRowHeight="15" x14ac:dyDescent="0.25"/>
  <cols>
    <col min="1" max="1" width="39.28515625" customWidth="1"/>
    <col min="2" max="2" width="19.5703125" customWidth="1"/>
    <col min="3" max="3" width="22.28515625" customWidth="1"/>
    <col min="4" max="4" width="16.28515625" customWidth="1"/>
    <col min="5" max="5" width="18.7109375" customWidth="1"/>
    <col min="6" max="6" width="26" customWidth="1"/>
    <col min="7" max="7" width="32.42578125" customWidth="1"/>
    <col min="8" max="8" width="14.7109375" customWidth="1"/>
    <col min="9" max="9" width="10.7109375" customWidth="1"/>
    <col min="10" max="10" width="27.42578125" bestFit="1" customWidth="1"/>
    <col min="11" max="11" width="10.7109375" customWidth="1"/>
    <col min="12" max="12" width="14.7109375" customWidth="1"/>
    <col min="14" max="14" width="11.28515625" bestFit="1" customWidth="1"/>
    <col min="15" max="15" width="10.28515625" bestFit="1" customWidth="1"/>
    <col min="16" max="16" width="15.28515625" customWidth="1"/>
    <col min="17" max="17" width="11.28515625" bestFit="1" customWidth="1"/>
  </cols>
  <sheetData>
    <row r="1" spans="1:11" ht="28.9" customHeight="1" x14ac:dyDescent="0.45">
      <c r="A1" s="587" t="s">
        <v>474</v>
      </c>
    </row>
    <row r="2" spans="1:11" x14ac:dyDescent="0.25">
      <c r="A2" s="750" t="s">
        <v>923</v>
      </c>
    </row>
    <row r="3" spans="1:11" ht="15.6" customHeight="1" thickBot="1" x14ac:dyDescent="0.35">
      <c r="D3" s="614" t="s">
        <v>497</v>
      </c>
      <c r="E3" s="501"/>
      <c r="F3" s="501"/>
    </row>
    <row r="4" spans="1:11" ht="53.25" customHeight="1" thickBot="1" x14ac:dyDescent="0.4">
      <c r="B4" s="141"/>
      <c r="C4" s="802"/>
      <c r="D4" s="803"/>
      <c r="E4" s="140"/>
      <c r="F4" s="504" t="s">
        <v>926</v>
      </c>
      <c r="G4" s="731" t="s">
        <v>913</v>
      </c>
      <c r="H4" s="500" t="s">
        <v>54</v>
      </c>
      <c r="I4" s="500" t="s">
        <v>389</v>
      </c>
      <c r="K4" s="500" t="s">
        <v>468</v>
      </c>
    </row>
    <row r="5" spans="1:11" ht="15.75" thickBot="1" x14ac:dyDescent="0.3">
      <c r="A5" t="s">
        <v>220</v>
      </c>
      <c r="B5" s="141" t="s">
        <v>410</v>
      </c>
      <c r="C5" s="141" t="s">
        <v>55</v>
      </c>
      <c r="D5" s="141" t="s">
        <v>56</v>
      </c>
      <c r="E5" s="142"/>
      <c r="F5" s="140" t="s">
        <v>57</v>
      </c>
      <c r="G5" s="501"/>
      <c r="H5" s="140" t="s">
        <v>57</v>
      </c>
      <c r="I5" s="490"/>
    </row>
    <row r="6" spans="1:11" ht="15.75" thickBot="1" x14ac:dyDescent="0.3">
      <c r="A6" s="354" t="s">
        <v>322</v>
      </c>
      <c r="B6" s="144" t="s">
        <v>406</v>
      </c>
      <c r="C6" s="144" t="s">
        <v>133</v>
      </c>
      <c r="D6" s="149" t="s">
        <v>67</v>
      </c>
      <c r="E6" s="150" t="s">
        <v>68</v>
      </c>
      <c r="F6" s="503">
        <f>'BI DATA  Download'!F3*1000</f>
        <v>975056.34</v>
      </c>
      <c r="G6" s="501"/>
      <c r="H6" s="499">
        <v>774642.57</v>
      </c>
      <c r="I6" s="590">
        <f>F6/H6</f>
        <v>1.2587177335219262</v>
      </c>
      <c r="K6" s="499">
        <f>F6-H6</f>
        <v>200413.77000000002</v>
      </c>
    </row>
    <row r="7" spans="1:11" ht="15.75" thickBot="1" x14ac:dyDescent="0.3">
      <c r="A7" s="354" t="s">
        <v>323</v>
      </c>
      <c r="B7" s="144" t="s">
        <v>406</v>
      </c>
      <c r="C7" s="144" t="s">
        <v>133</v>
      </c>
      <c r="D7" s="149" t="s">
        <v>85</v>
      </c>
      <c r="E7" s="150" t="s">
        <v>86</v>
      </c>
      <c r="F7" s="503">
        <f>'BI DATA  Download'!F4*1000</f>
        <v>94800</v>
      </c>
      <c r="G7" s="501"/>
      <c r="H7" s="499">
        <v>54027.9</v>
      </c>
      <c r="I7" s="590">
        <f t="shared" ref="I7:I20" si="0">F7/H7</f>
        <v>1.7546489869123174</v>
      </c>
      <c r="K7" s="499">
        <f t="shared" ref="K7:K21" si="1">F7-H7</f>
        <v>40772.1</v>
      </c>
    </row>
    <row r="8" spans="1:11" ht="23.25" thickBot="1" x14ac:dyDescent="0.3">
      <c r="A8" s="355" t="s">
        <v>324</v>
      </c>
      <c r="B8" s="144" t="s">
        <v>473</v>
      </c>
      <c r="C8" s="144" t="s">
        <v>472</v>
      </c>
      <c r="D8" s="149" t="s">
        <v>67</v>
      </c>
      <c r="E8" s="150" t="s">
        <v>68</v>
      </c>
      <c r="F8" s="503">
        <f>'BI DATA  Download'!F5*1000</f>
        <v>1113299.07</v>
      </c>
      <c r="G8" s="501"/>
      <c r="H8" s="499">
        <f>'BI DATA  Download'!H27</f>
        <v>1091626.83</v>
      </c>
      <c r="I8" s="590">
        <f t="shared" si="0"/>
        <v>1.0198531580613497</v>
      </c>
      <c r="K8" s="499">
        <f t="shared" si="1"/>
        <v>21672.239999999991</v>
      </c>
    </row>
    <row r="9" spans="1:11" ht="23.25" thickBot="1" x14ac:dyDescent="0.3">
      <c r="A9" s="355" t="s">
        <v>325</v>
      </c>
      <c r="B9" s="144" t="s">
        <v>473</v>
      </c>
      <c r="C9" s="144" t="s">
        <v>472</v>
      </c>
      <c r="D9" s="149" t="s">
        <v>85</v>
      </c>
      <c r="E9" s="150" t="s">
        <v>86</v>
      </c>
      <c r="F9" s="503">
        <f>'BI DATA  Download'!F6*1000</f>
        <v>24761.379999999997</v>
      </c>
      <c r="G9" s="501"/>
      <c r="H9" s="499">
        <f>'BI DATA  Download'!H28</f>
        <v>32908.129999999997</v>
      </c>
      <c r="I9" s="590">
        <f t="shared" si="0"/>
        <v>0.75243959471413291</v>
      </c>
      <c r="K9" s="499">
        <f t="shared" si="1"/>
        <v>-8146.75</v>
      </c>
    </row>
    <row r="10" spans="1:11" ht="15.75" thickBot="1" x14ac:dyDescent="0.3">
      <c r="A10" s="356" t="s">
        <v>326</v>
      </c>
      <c r="B10" s="144" t="s">
        <v>401</v>
      </c>
      <c r="C10" s="144" t="s">
        <v>158</v>
      </c>
      <c r="D10" s="149" t="s">
        <v>67</v>
      </c>
      <c r="E10" s="150" t="s">
        <v>68</v>
      </c>
      <c r="F10" s="503">
        <f>'BI DATA  Download'!F7*1000</f>
        <v>10341029.609999999</v>
      </c>
      <c r="G10" s="501"/>
      <c r="H10" s="499">
        <v>10109186.58</v>
      </c>
      <c r="I10" s="590">
        <f t="shared" si="0"/>
        <v>1.0229338956369325</v>
      </c>
      <c r="K10" s="499">
        <f t="shared" si="1"/>
        <v>231843.02999999933</v>
      </c>
    </row>
    <row r="11" spans="1:11" ht="15.75" thickBot="1" x14ac:dyDescent="0.3">
      <c r="A11" s="356" t="s">
        <v>327</v>
      </c>
      <c r="B11" s="144" t="s">
        <v>401</v>
      </c>
      <c r="C11" s="144" t="s">
        <v>158</v>
      </c>
      <c r="D11" s="149" t="s">
        <v>85</v>
      </c>
      <c r="E11" s="150" t="s">
        <v>86</v>
      </c>
      <c r="F11" s="503">
        <f>'BI DATA  Download'!F8*1000</f>
        <v>2142796.41</v>
      </c>
      <c r="G11" s="501"/>
      <c r="H11" s="499">
        <v>1817606.43</v>
      </c>
      <c r="I11" s="590">
        <f t="shared" si="0"/>
        <v>1.1789111078353747</v>
      </c>
      <c r="K11" s="499">
        <f t="shared" si="1"/>
        <v>325189.98000000021</v>
      </c>
    </row>
    <row r="12" spans="1:11" ht="15.75" thickBot="1" x14ac:dyDescent="0.3">
      <c r="A12" s="354" t="s">
        <v>328</v>
      </c>
      <c r="B12" s="144" t="s">
        <v>402</v>
      </c>
      <c r="C12" s="144" t="s">
        <v>88</v>
      </c>
      <c r="D12" s="149" t="s">
        <v>67</v>
      </c>
      <c r="E12" s="150" t="s">
        <v>68</v>
      </c>
      <c r="F12" s="503">
        <f>'BI DATA  Download'!F9*1000</f>
        <v>1461012.71</v>
      </c>
      <c r="G12" s="501"/>
      <c r="H12" s="499">
        <v>1480804.48</v>
      </c>
      <c r="I12" s="590">
        <f t="shared" si="0"/>
        <v>0.98663444751328677</v>
      </c>
      <c r="K12" s="499">
        <f t="shared" si="1"/>
        <v>-19791.770000000019</v>
      </c>
    </row>
    <row r="13" spans="1:11" ht="15.75" thickBot="1" x14ac:dyDescent="0.3">
      <c r="A13" s="354" t="s">
        <v>329</v>
      </c>
      <c r="B13" s="144" t="s">
        <v>402</v>
      </c>
      <c r="C13" s="144" t="s">
        <v>88</v>
      </c>
      <c r="D13" s="149" t="s">
        <v>85</v>
      </c>
      <c r="E13" s="150" t="s">
        <v>86</v>
      </c>
      <c r="F13" s="503">
        <f>'BI DATA  Download'!F10*1000</f>
        <v>3351340.24</v>
      </c>
      <c r="G13" s="501"/>
      <c r="H13" s="499">
        <v>3410326.75</v>
      </c>
      <c r="I13" s="590">
        <f t="shared" si="0"/>
        <v>0.98270356058990538</v>
      </c>
      <c r="K13" s="499">
        <f t="shared" si="1"/>
        <v>-58986.509999999776</v>
      </c>
    </row>
    <row r="14" spans="1:11" ht="15.75" thickBot="1" x14ac:dyDescent="0.3">
      <c r="A14" s="355" t="s">
        <v>330</v>
      </c>
      <c r="B14" s="144" t="s">
        <v>403</v>
      </c>
      <c r="C14" s="144" t="s">
        <v>177</v>
      </c>
      <c r="D14" s="149" t="s">
        <v>67</v>
      </c>
      <c r="E14" s="150" t="s">
        <v>68</v>
      </c>
      <c r="F14" s="503">
        <f>'BI DATA  Download'!F11*1000</f>
        <v>17165231.940000001</v>
      </c>
      <c r="G14" s="501"/>
      <c r="H14" s="499">
        <v>16278121.609999999</v>
      </c>
      <c r="I14" s="590">
        <f t="shared" si="0"/>
        <v>1.0544970943978591</v>
      </c>
      <c r="K14" s="499">
        <f t="shared" si="1"/>
        <v>887110.33000000194</v>
      </c>
    </row>
    <row r="15" spans="1:11" ht="15.75" thickBot="1" x14ac:dyDescent="0.3">
      <c r="A15" s="355" t="s">
        <v>331</v>
      </c>
      <c r="B15" s="144" t="s">
        <v>403</v>
      </c>
      <c r="C15" s="144" t="s">
        <v>177</v>
      </c>
      <c r="D15" s="149" t="s">
        <v>85</v>
      </c>
      <c r="E15" s="150" t="s">
        <v>86</v>
      </c>
      <c r="F15" s="503">
        <f>'BI DATA  Download'!F12*1000</f>
        <v>2402813.67</v>
      </c>
      <c r="G15" s="501"/>
      <c r="H15" s="499">
        <v>2054621.13</v>
      </c>
      <c r="I15" s="590">
        <f t="shared" si="0"/>
        <v>1.1694680030862916</v>
      </c>
      <c r="K15" s="499">
        <f t="shared" si="1"/>
        <v>348192.54000000004</v>
      </c>
    </row>
    <row r="16" spans="1:11" ht="15.75" thickBot="1" x14ac:dyDescent="0.3">
      <c r="A16" s="356" t="s">
        <v>332</v>
      </c>
      <c r="B16" s="144" t="s">
        <v>404</v>
      </c>
      <c r="C16" s="144" t="s">
        <v>217</v>
      </c>
      <c r="D16" s="149" t="s">
        <v>67</v>
      </c>
      <c r="E16" s="150" t="s">
        <v>68</v>
      </c>
      <c r="F16" s="503">
        <f>'BI DATA  Download'!F13*1000</f>
        <v>2280764.6</v>
      </c>
      <c r="G16" s="501"/>
      <c r="H16" s="499">
        <v>1970854.31</v>
      </c>
      <c r="I16" s="590">
        <f t="shared" si="0"/>
        <v>1.1572466764425626</v>
      </c>
      <c r="K16" s="499">
        <f t="shared" si="1"/>
        <v>309910.29000000004</v>
      </c>
    </row>
    <row r="17" spans="1:11" ht="15.75" thickBot="1" x14ac:dyDescent="0.3">
      <c r="A17" s="356" t="s">
        <v>333</v>
      </c>
      <c r="B17" s="144" t="s">
        <v>404</v>
      </c>
      <c r="C17" s="144" t="s">
        <v>217</v>
      </c>
      <c r="D17" s="149" t="s">
        <v>85</v>
      </c>
      <c r="E17" s="150" t="s">
        <v>86</v>
      </c>
      <c r="F17" s="503">
        <f>'BI DATA  Download'!F14*1000</f>
        <v>43113.700000000004</v>
      </c>
      <c r="G17" s="501"/>
      <c r="H17" s="499">
        <v>87131.11</v>
      </c>
      <c r="I17" s="590">
        <f t="shared" si="0"/>
        <v>0.49481407960945295</v>
      </c>
      <c r="K17" s="499">
        <f t="shared" si="1"/>
        <v>-44017.409999999996</v>
      </c>
    </row>
    <row r="18" spans="1:11" ht="15.75" thickBot="1" x14ac:dyDescent="0.3">
      <c r="A18" s="354" t="str">
        <f>C18&amp;D18</f>
        <v>OFFICE SERVICESPayroll</v>
      </c>
      <c r="B18" s="144" t="s">
        <v>409</v>
      </c>
      <c r="C18" s="144" t="s">
        <v>395</v>
      </c>
      <c r="D18" s="149" t="s">
        <v>67</v>
      </c>
      <c r="E18" s="150" t="s">
        <v>68</v>
      </c>
      <c r="F18" s="503">
        <f>'BI DATA  Download'!F15*1000</f>
        <v>893185.79</v>
      </c>
      <c r="G18" s="501"/>
      <c r="H18" s="499">
        <v>949000</v>
      </c>
      <c r="I18" s="590">
        <f t="shared" si="0"/>
        <v>0.94118629083245531</v>
      </c>
      <c r="K18" s="499">
        <f t="shared" si="1"/>
        <v>-55814.209999999963</v>
      </c>
    </row>
    <row r="19" spans="1:11" ht="15.75" thickBot="1" x14ac:dyDescent="0.3">
      <c r="A19" s="354" t="str">
        <f>C19&amp;D19</f>
        <v>OFFICE SERVICESNon-Payroll</v>
      </c>
      <c r="B19" s="144" t="s">
        <v>409</v>
      </c>
      <c r="C19" s="144" t="s">
        <v>395</v>
      </c>
      <c r="D19" s="149" t="s">
        <v>85</v>
      </c>
      <c r="E19" s="150" t="s">
        <v>86</v>
      </c>
      <c r="F19" s="503">
        <f>'BI DATA  Download'!F16*1000</f>
        <v>392847.8</v>
      </c>
      <c r="G19" s="501"/>
      <c r="H19" s="499">
        <v>451000</v>
      </c>
      <c r="I19" s="590">
        <f t="shared" si="0"/>
        <v>0.87105942350332588</v>
      </c>
      <c r="K19" s="499">
        <f t="shared" si="1"/>
        <v>-58152.200000000012</v>
      </c>
    </row>
    <row r="20" spans="1:11" ht="23.25" thickBot="1" x14ac:dyDescent="0.3">
      <c r="A20" s="355" t="str">
        <f>C20&amp;D20</f>
        <v>TREASURY (CASH MANAGEMENT)Payroll</v>
      </c>
      <c r="B20" s="144" t="s">
        <v>407</v>
      </c>
      <c r="C20" s="144" t="s">
        <v>408</v>
      </c>
      <c r="D20" s="149" t="s">
        <v>67</v>
      </c>
      <c r="E20" s="150" t="s">
        <v>68</v>
      </c>
      <c r="F20" s="503">
        <f>'BI DATA  Download'!F17*1000</f>
        <v>491677.36000000004</v>
      </c>
      <c r="G20" s="501"/>
      <c r="H20" s="499">
        <v>486000</v>
      </c>
      <c r="I20" s="590">
        <f t="shared" si="0"/>
        <v>1.0116818106995886</v>
      </c>
      <c r="K20" s="499">
        <f t="shared" si="1"/>
        <v>5677.3600000000442</v>
      </c>
    </row>
    <row r="21" spans="1:11" ht="15.75" thickBot="1" x14ac:dyDescent="0.3">
      <c r="A21" s="355" t="str">
        <f>C21&amp;D21</f>
        <v>TREASURYNon-Payroll</v>
      </c>
      <c r="B21" s="144" t="s">
        <v>407</v>
      </c>
      <c r="C21" s="144" t="s">
        <v>396</v>
      </c>
      <c r="D21" s="149" t="s">
        <v>85</v>
      </c>
      <c r="E21" s="150" t="s">
        <v>86</v>
      </c>
      <c r="F21" s="503">
        <f>'BI DATA  Download'!F18*1000</f>
        <v>2923632.28</v>
      </c>
      <c r="G21" s="501"/>
      <c r="H21" s="499">
        <v>2235000</v>
      </c>
      <c r="I21" s="590">
        <f>F21/H21</f>
        <v>1.3081128769574943</v>
      </c>
      <c r="K21" s="499">
        <f t="shared" si="1"/>
        <v>688632.2799999998</v>
      </c>
    </row>
    <row r="22" spans="1:11" x14ac:dyDescent="0.25">
      <c r="B22" s="509" t="s">
        <v>411</v>
      </c>
      <c r="F22" s="584">
        <f>SUM(F6:F21)</f>
        <v>46097362.900000006</v>
      </c>
      <c r="G22" s="501"/>
      <c r="H22" s="584">
        <f>SUM(H6:H21)</f>
        <v>43282857.830000006</v>
      </c>
      <c r="K22" s="584">
        <f>SUM(K6:K21)</f>
        <v>2814505.0700000012</v>
      </c>
    </row>
    <row r="23" spans="1:11" ht="15.75" thickBot="1" x14ac:dyDescent="0.3"/>
    <row r="24" spans="1:11" ht="15.75" thickBot="1" x14ac:dyDescent="0.3">
      <c r="A24" s="506" t="s">
        <v>398</v>
      </c>
      <c r="B24" s="503">
        <v>456864</v>
      </c>
      <c r="C24" s="503">
        <v>109386</v>
      </c>
      <c r="D24" s="503">
        <v>1306</v>
      </c>
      <c r="E24" s="503">
        <v>567555</v>
      </c>
      <c r="F24" s="501"/>
    </row>
    <row r="25" spans="1:11" x14ac:dyDescent="0.25">
      <c r="C25" s="487"/>
      <c r="D25" s="487"/>
    </row>
    <row r="26" spans="1:11" ht="18.75" x14ac:dyDescent="0.3">
      <c r="B26" s="498" t="s">
        <v>924</v>
      </c>
      <c r="C26" s="487"/>
      <c r="D26" s="487"/>
    </row>
    <row r="27" spans="1:11" ht="19.5" thickBot="1" x14ac:dyDescent="0.35">
      <c r="B27" s="17" t="s">
        <v>22</v>
      </c>
      <c r="C27" s="17" t="s">
        <v>23</v>
      </c>
      <c r="D27" s="17" t="s">
        <v>53</v>
      </c>
      <c r="E27" s="17" t="s">
        <v>34</v>
      </c>
      <c r="F27" s="747"/>
      <c r="G27" s="498" t="s">
        <v>914</v>
      </c>
      <c r="H27" s="604"/>
      <c r="I27" s="604"/>
    </row>
    <row r="28" spans="1:11" ht="21.75" thickBot="1" x14ac:dyDescent="0.4">
      <c r="A28">
        <v>2015</v>
      </c>
      <c r="B28" s="147">
        <v>646839</v>
      </c>
      <c r="C28" s="147">
        <v>66416</v>
      </c>
      <c r="D28" s="147">
        <v>1159</v>
      </c>
      <c r="E28" s="147">
        <f>SUM(B28:D28)</f>
        <v>714414</v>
      </c>
      <c r="F28" s="748"/>
      <c r="G28" s="17" t="s">
        <v>22</v>
      </c>
      <c r="H28" s="17" t="s">
        <v>23</v>
      </c>
      <c r="I28" s="17" t="s">
        <v>53</v>
      </c>
      <c r="J28" s="17" t="s">
        <v>34</v>
      </c>
    </row>
    <row r="29" spans="1:11" ht="60.75" thickBot="1" x14ac:dyDescent="0.3">
      <c r="A29" s="621" t="s">
        <v>925</v>
      </c>
      <c r="B29" s="503">
        <v>646839</v>
      </c>
      <c r="C29" s="503">
        <v>66416</v>
      </c>
      <c r="D29" s="503">
        <v>1159</v>
      </c>
      <c r="E29" s="503">
        <v>714414</v>
      </c>
      <c r="F29" s="747"/>
      <c r="G29" s="147">
        <f>Customers!D51</f>
        <v>5198</v>
      </c>
      <c r="H29" s="147">
        <f>SUM(Customers!D52)</f>
        <v>539</v>
      </c>
      <c r="I29" s="147">
        <f>SUM(Customers!D53,Customers!D54,Customers!D56,Customers!D57,Customers!D58,Customers!D59,Customers!D55)</f>
        <v>124</v>
      </c>
      <c r="J29" s="147">
        <f>SUM(G29:I29)</f>
        <v>5861</v>
      </c>
    </row>
    <row r="30" spans="1:11" ht="15.75" thickBot="1" x14ac:dyDescent="0.3">
      <c r="A30" s="373" t="s">
        <v>389</v>
      </c>
      <c r="B30" s="610">
        <f>B29/B28</f>
        <v>1</v>
      </c>
      <c r="C30" s="610">
        <f t="shared" ref="C30:E30" si="2">C29/C28</f>
        <v>1</v>
      </c>
      <c r="D30" s="610">
        <f t="shared" si="2"/>
        <v>1</v>
      </c>
      <c r="E30" s="610">
        <f t="shared" si="2"/>
        <v>1</v>
      </c>
      <c r="F30" s="749"/>
    </row>
    <row r="31" spans="1:11" x14ac:dyDescent="0.25">
      <c r="A31" s="373"/>
      <c r="B31" s="502"/>
      <c r="C31" s="502"/>
      <c r="D31" s="502"/>
      <c r="E31" s="502"/>
      <c r="F31" s="749"/>
    </row>
    <row r="32" spans="1:11" x14ac:dyDescent="0.25">
      <c r="G32" s="373"/>
    </row>
    <row r="33" spans="1:16" ht="15.75" thickBot="1" x14ac:dyDescent="0.3">
      <c r="A33" s="373"/>
      <c r="B33" s="373"/>
      <c r="C33" s="373"/>
      <c r="D33" s="373"/>
      <c r="E33" s="373"/>
      <c r="F33" s="373"/>
      <c r="G33" s="373"/>
    </row>
    <row r="34" spans="1:16" ht="15.75" thickBot="1" x14ac:dyDescent="0.3">
      <c r="A34" s="506" t="s">
        <v>400</v>
      </c>
      <c r="B34" s="507">
        <v>0.9859</v>
      </c>
      <c r="C34" s="716" t="s">
        <v>918</v>
      </c>
      <c r="D34" s="373"/>
      <c r="E34" s="373"/>
      <c r="F34" s="373"/>
      <c r="G34" s="373"/>
    </row>
    <row r="35" spans="1:16" x14ac:dyDescent="0.25">
      <c r="A35" s="506"/>
      <c r="C35" s="373"/>
      <c r="D35" s="373"/>
      <c r="E35" s="373"/>
      <c r="F35" s="373"/>
      <c r="G35" s="373"/>
    </row>
    <row r="37" spans="1:16" ht="21" x14ac:dyDescent="0.35">
      <c r="A37" s="730">
        <v>2015</v>
      </c>
      <c r="B37" s="497" t="s">
        <v>0</v>
      </c>
      <c r="C37" s="19"/>
      <c r="D37" s="20"/>
      <c r="E37" s="492"/>
      <c r="F37" s="496" t="s">
        <v>1</v>
      </c>
      <c r="G37" s="20"/>
      <c r="H37" s="20"/>
      <c r="J37" s="496" t="s">
        <v>249</v>
      </c>
      <c r="K37" s="20"/>
      <c r="L37" s="20"/>
      <c r="N37" s="496" t="s">
        <v>3</v>
      </c>
      <c r="O37" s="20"/>
      <c r="P37" s="20"/>
    </row>
    <row r="38" spans="1:16" ht="17.45" customHeight="1" x14ac:dyDescent="0.35">
      <c r="A38" s="7"/>
      <c r="B38" s="17" t="s">
        <v>22</v>
      </c>
      <c r="C38" s="17" t="s">
        <v>23</v>
      </c>
      <c r="D38" s="127" t="s">
        <v>501</v>
      </c>
      <c r="E38" s="492"/>
      <c r="F38" s="17" t="s">
        <v>22</v>
      </c>
      <c r="G38" s="17" t="s">
        <v>23</v>
      </c>
      <c r="H38" s="127" t="s">
        <v>501</v>
      </c>
      <c r="J38" s="17" t="s">
        <v>22</v>
      </c>
      <c r="K38" s="17" t="s">
        <v>23</v>
      </c>
      <c r="L38" s="127" t="s">
        <v>501</v>
      </c>
      <c r="N38" s="17" t="s">
        <v>22</v>
      </c>
      <c r="O38" s="17" t="s">
        <v>23</v>
      </c>
      <c r="P38" s="127" t="s">
        <v>501</v>
      </c>
    </row>
    <row r="39" spans="1:16" x14ac:dyDescent="0.25">
      <c r="A39" s="491" t="s">
        <v>397</v>
      </c>
      <c r="B39" s="371">
        <f>'2015Summary METER to CASH (Base'!D5</f>
        <v>6957485</v>
      </c>
      <c r="C39" s="371">
        <f>'2015Summary METER to CASH (Base'!E5</f>
        <v>693226</v>
      </c>
      <c r="D39" s="371">
        <f>'2015Summary METER to CASH (Base'!F5</f>
        <v>23142</v>
      </c>
      <c r="E39" s="492"/>
      <c r="F39" s="371">
        <f>'2015Summary METER to CASH (Base'!H5</f>
        <v>6937370</v>
      </c>
      <c r="G39" s="371">
        <f>'2015Summary METER to CASH (Base'!I5</f>
        <v>693226</v>
      </c>
      <c r="H39" s="371">
        <f>'2015Summary METER to CASH (Base'!J5</f>
        <v>23142</v>
      </c>
      <c r="J39" s="371">
        <f>'2015Summary METER to CASH (Base'!L5</f>
        <v>6139122</v>
      </c>
      <c r="K39" s="371">
        <f>'2015Summary METER to CASH (Base'!M5</f>
        <v>654481</v>
      </c>
      <c r="L39" s="371">
        <f>'2015Summary METER to CASH (Base'!N5</f>
        <v>23142</v>
      </c>
      <c r="N39" s="371">
        <f>'2015Summary METER to CASH (Base'!P5</f>
        <v>130756.86812123199</v>
      </c>
      <c r="O39" s="371">
        <f>'2015Summary METER to CASH (Base'!Q5</f>
        <v>6266.4316472939427</v>
      </c>
      <c r="P39" s="371">
        <f>'2015Summary METER to CASH (Base'!R5</f>
        <v>20.487267645737127</v>
      </c>
    </row>
    <row r="40" spans="1:16" x14ac:dyDescent="0.25">
      <c r="A40" s="491" t="s">
        <v>391</v>
      </c>
      <c r="B40" s="371">
        <f>'2015Summary METER to CASH (Base'!D6</f>
        <v>853325</v>
      </c>
      <c r="C40" s="371">
        <f>'2015Summary METER to CASH (Base'!E6</f>
        <v>68580</v>
      </c>
      <c r="D40" s="371">
        <f>'2015Summary METER to CASH (Base'!F6</f>
        <v>1915</v>
      </c>
      <c r="E40" s="492"/>
      <c r="F40" s="371">
        <f>'2015Summary METER to CASH (Base'!H6</f>
        <v>846712</v>
      </c>
      <c r="G40" s="371">
        <f>'2015Summary METER to CASH (Base'!I6</f>
        <v>68580</v>
      </c>
      <c r="H40" s="371">
        <f>'2015Summary METER to CASH (Base'!J6</f>
        <v>1915</v>
      </c>
      <c r="J40" s="371">
        <f>'2015Summary METER to CASH (Base'!L6</f>
        <v>744805</v>
      </c>
      <c r="K40" s="371">
        <f>'2015Summary METER to CASH (Base'!M6</f>
        <v>69296</v>
      </c>
      <c r="L40" s="371">
        <f>'2015Summary METER to CASH (Base'!N6</f>
        <v>1915</v>
      </c>
      <c r="N40" s="371">
        <f>'2015Summary METER to CASH (Base'!P6</f>
        <v>16037.131878768014</v>
      </c>
      <c r="O40" s="371">
        <f>'2015Summary METER to CASH (Base'!Q6</f>
        <v>768.56835270605734</v>
      </c>
      <c r="P40" s="371">
        <f>'2015Summary METER to CASH (Base'!R6</f>
        <v>2.5127323542628739</v>
      </c>
    </row>
    <row r="41" spans="1:16" ht="15.75" thickBot="1" x14ac:dyDescent="0.3">
      <c r="A41" s="373" t="s">
        <v>336</v>
      </c>
      <c r="B41" s="495">
        <f>SUM(B39:B40)</f>
        <v>7810810</v>
      </c>
      <c r="C41" s="495">
        <f t="shared" ref="C41:D41" si="3">SUM(C39:C40)</f>
        <v>761806</v>
      </c>
      <c r="D41" s="495">
        <f t="shared" si="3"/>
        <v>25057</v>
      </c>
      <c r="E41" s="492"/>
      <c r="F41" s="495">
        <f>SUM(F39:F40)</f>
        <v>7784082</v>
      </c>
      <c r="G41" s="495">
        <f t="shared" ref="G41" si="4">SUM(G39:G40)</f>
        <v>761806</v>
      </c>
      <c r="H41" s="495">
        <f t="shared" ref="H41" si="5">SUM(H39:H40)</f>
        <v>25057</v>
      </c>
      <c r="J41" s="495">
        <f>SUM(J39:J40)</f>
        <v>6883927</v>
      </c>
      <c r="K41" s="495">
        <f t="shared" ref="K41" si="6">SUM(K39:K40)</f>
        <v>723777</v>
      </c>
      <c r="L41" s="495">
        <f t="shared" ref="L41" si="7">SUM(L39:L40)</f>
        <v>25057</v>
      </c>
      <c r="N41" s="493">
        <f>SUM(N39:N40)</f>
        <v>146794</v>
      </c>
      <c r="O41" s="493">
        <f t="shared" ref="O41" si="8">SUM(O39:O40)</f>
        <v>7035</v>
      </c>
      <c r="P41" s="493">
        <f t="shared" ref="P41" si="9">SUM(P39:P40)</f>
        <v>23</v>
      </c>
    </row>
    <row r="42" spans="1:16" x14ac:dyDescent="0.25">
      <c r="A42" s="373" t="s">
        <v>389</v>
      </c>
      <c r="B42" s="494">
        <f>B41*$B30</f>
        <v>7810810</v>
      </c>
      <c r="C42" s="494">
        <f t="shared" ref="C42:D42" si="10">C41*$B30</f>
        <v>761806</v>
      </c>
      <c r="D42" s="494">
        <f t="shared" si="10"/>
        <v>25057</v>
      </c>
      <c r="F42" s="493">
        <f>F41*$B30</f>
        <v>7784082</v>
      </c>
      <c r="G42" s="493">
        <f t="shared" ref="G42" si="11">G41*$B30</f>
        <v>761806</v>
      </c>
      <c r="H42" s="493">
        <f t="shared" ref="H42" si="12">H41*$B30</f>
        <v>25057</v>
      </c>
      <c r="J42" s="493">
        <f>J41*$B30</f>
        <v>6883927</v>
      </c>
      <c r="K42" s="493">
        <f t="shared" ref="K42" si="13">K41*$B30</f>
        <v>723777</v>
      </c>
      <c r="L42" s="493">
        <f t="shared" ref="L42" si="14">L41*$B30</f>
        <v>25057</v>
      </c>
      <c r="N42" s="493">
        <f>N41*$B30</f>
        <v>146794</v>
      </c>
      <c r="O42" s="493">
        <f t="shared" ref="O42" si="15">O41*$B30</f>
        <v>7035</v>
      </c>
      <c r="P42" s="493">
        <f t="shared" ref="P42" si="16">P41*$B30</f>
        <v>23</v>
      </c>
    </row>
    <row r="43" spans="1:16" x14ac:dyDescent="0.25">
      <c r="B43" s="612">
        <f>$B30</f>
        <v>1</v>
      </c>
      <c r="C43" s="611">
        <f>$C30</f>
        <v>1</v>
      </c>
      <c r="D43" s="611">
        <f>$D30</f>
        <v>1</v>
      </c>
      <c r="E43" s="611"/>
      <c r="F43" s="611">
        <f>$B30</f>
        <v>1</v>
      </c>
      <c r="G43" s="611">
        <f>$C30</f>
        <v>1</v>
      </c>
      <c r="H43" s="611">
        <f>$D30</f>
        <v>1</v>
      </c>
      <c r="I43" s="611"/>
      <c r="J43" s="611">
        <f>$B30</f>
        <v>1</v>
      </c>
      <c r="K43" s="611">
        <f>$C30</f>
        <v>1</v>
      </c>
      <c r="L43" s="611">
        <f>$D30</f>
        <v>1</v>
      </c>
      <c r="M43" s="611"/>
      <c r="N43" s="611">
        <f>$B30</f>
        <v>1</v>
      </c>
      <c r="O43" s="611">
        <f>$C30</f>
        <v>1</v>
      </c>
      <c r="P43" s="611">
        <f>$D30</f>
        <v>1</v>
      </c>
    </row>
  </sheetData>
  <mergeCells count="1">
    <mergeCell ref="C4:D4"/>
  </mergeCells>
  <pageMargins left="0.7" right="0.7" top="0.75" bottom="0.75" header="0.3" footer="0.3"/>
  <pageSetup paperSize="17" scale="51" orientation="landscape" r:id="rId1"/>
  <headerFooter>
    <oddHeader>&amp;RExh. RJW-2 Wyman WP5</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M32"/>
  <sheetViews>
    <sheetView zoomScale="80" zoomScaleNormal="80" workbookViewId="0">
      <selection activeCell="N30" sqref="N30"/>
    </sheetView>
  </sheetViews>
  <sheetFormatPr defaultRowHeight="15" x14ac:dyDescent="0.25"/>
  <cols>
    <col min="1" max="1" width="25.7109375" bestFit="1" customWidth="1"/>
    <col min="2" max="2" width="11.28515625" bestFit="1" customWidth="1"/>
    <col min="3" max="3" width="11.42578125" bestFit="1" customWidth="1"/>
    <col min="4" max="4" width="14.28515625" bestFit="1" customWidth="1"/>
    <col min="5" max="7" width="10.7109375" bestFit="1" customWidth="1"/>
    <col min="8" max="8" width="13.28515625" bestFit="1" customWidth="1"/>
    <col min="9" max="9" width="17.28515625" customWidth="1"/>
    <col min="10" max="10" width="32.42578125" customWidth="1"/>
    <col min="11" max="11" width="36.5703125" customWidth="1"/>
    <col min="12" max="12" width="11.5703125" customWidth="1"/>
    <col min="13" max="13" width="11.28515625" bestFit="1" customWidth="1"/>
  </cols>
  <sheetData>
    <row r="1" spans="1:9" ht="27" customHeight="1" x14ac:dyDescent="0.3">
      <c r="D1" s="398" t="s">
        <v>440</v>
      </c>
    </row>
    <row r="2" spans="1:9" ht="27" customHeight="1" x14ac:dyDescent="0.25">
      <c r="A2" s="804" t="s">
        <v>450</v>
      </c>
      <c r="B2" s="805"/>
      <c r="C2" s="805"/>
      <c r="D2" s="805"/>
      <c r="E2" s="805"/>
      <c r="F2" s="805"/>
      <c r="G2" s="805"/>
      <c r="H2" s="805"/>
      <c r="I2" s="558"/>
    </row>
    <row r="3" spans="1:9" ht="41.45" customHeight="1" thickBot="1" x14ac:dyDescent="0.3">
      <c r="A3" s="264" t="s">
        <v>412</v>
      </c>
      <c r="B3" s="510" t="s">
        <v>127</v>
      </c>
      <c r="C3" s="511" t="s">
        <v>413</v>
      </c>
      <c r="D3" s="262" t="s">
        <v>414</v>
      </c>
      <c r="E3" s="262" t="s">
        <v>415</v>
      </c>
      <c r="F3" s="512" t="s">
        <v>416</v>
      </c>
      <c r="G3" s="510" t="s">
        <v>417</v>
      </c>
      <c r="H3" s="510" t="s">
        <v>418</v>
      </c>
      <c r="I3" s="540"/>
    </row>
    <row r="4" spans="1:9" x14ac:dyDescent="0.25">
      <c r="A4" s="513" t="s">
        <v>419</v>
      </c>
      <c r="B4" s="514">
        <v>6811000</v>
      </c>
      <c r="C4" s="515">
        <v>3.1199999999999999E-3</v>
      </c>
      <c r="D4" s="516" t="s">
        <v>422</v>
      </c>
      <c r="E4" s="515">
        <v>2.0459999999999999E-2</v>
      </c>
      <c r="F4" s="515">
        <v>1.755E-2</v>
      </c>
      <c r="G4" s="515">
        <v>4.113E-2</v>
      </c>
      <c r="H4" s="517">
        <v>280136.43</v>
      </c>
      <c r="I4" s="539"/>
    </row>
    <row r="5" spans="1:9" x14ac:dyDescent="0.25">
      <c r="A5" s="518" t="s">
        <v>420</v>
      </c>
      <c r="B5" s="519">
        <v>72600</v>
      </c>
      <c r="C5" s="520">
        <v>3.1199999999999999E-3</v>
      </c>
      <c r="D5" s="521" t="s">
        <v>422</v>
      </c>
      <c r="E5" s="520">
        <v>2.0459999999999999E-2</v>
      </c>
      <c r="F5" s="520"/>
      <c r="G5" s="522">
        <v>2.358E-2</v>
      </c>
      <c r="H5" s="523">
        <v>1711.9080000000001</v>
      </c>
      <c r="I5" s="539"/>
    </row>
    <row r="6" spans="1:9" x14ac:dyDescent="0.25">
      <c r="A6" s="518" t="s">
        <v>421</v>
      </c>
      <c r="B6" s="524">
        <v>2612000</v>
      </c>
      <c r="C6" s="521" t="s">
        <v>422</v>
      </c>
      <c r="D6" s="521" t="s">
        <v>422</v>
      </c>
      <c r="E6" s="521" t="s">
        <v>422</v>
      </c>
      <c r="F6" s="521" t="s">
        <v>422</v>
      </c>
      <c r="G6" s="522">
        <v>1.4829999999999999E-2</v>
      </c>
      <c r="H6" s="523">
        <v>38735.96</v>
      </c>
      <c r="I6" s="539"/>
    </row>
    <row r="7" spans="1:9" x14ac:dyDescent="0.25">
      <c r="A7" s="518" t="s">
        <v>423</v>
      </c>
      <c r="B7" s="524">
        <v>10620</v>
      </c>
      <c r="C7" s="520">
        <v>3.1199999999999999E-3</v>
      </c>
      <c r="D7" s="521" t="s">
        <v>422</v>
      </c>
      <c r="E7" s="520">
        <v>2.0459999999999999E-2</v>
      </c>
      <c r="F7" s="520">
        <v>1.755E-2</v>
      </c>
      <c r="G7" s="522">
        <v>4.113E-2</v>
      </c>
      <c r="H7" s="523">
        <v>436.80059999999997</v>
      </c>
      <c r="I7" s="539"/>
    </row>
    <row r="8" spans="1:9" ht="15.75" thickBot="1" x14ac:dyDescent="0.3">
      <c r="A8" s="518" t="s">
        <v>424</v>
      </c>
      <c r="B8" s="524">
        <v>10620</v>
      </c>
      <c r="C8" s="521" t="s">
        <v>422</v>
      </c>
      <c r="D8" s="521" t="s">
        <v>422</v>
      </c>
      <c r="E8" s="521" t="s">
        <v>422</v>
      </c>
      <c r="F8" s="521" t="s">
        <v>422</v>
      </c>
      <c r="G8" s="520">
        <v>1.4829999999999999E-2</v>
      </c>
      <c r="H8" s="525">
        <v>157.49459999999999</v>
      </c>
      <c r="I8" s="559"/>
    </row>
    <row r="9" spans="1:9" x14ac:dyDescent="0.25">
      <c r="A9" s="513" t="s">
        <v>425</v>
      </c>
      <c r="B9" s="526">
        <v>541200</v>
      </c>
      <c r="C9" s="515">
        <v>3.1199999999999999E-3</v>
      </c>
      <c r="D9" s="515"/>
      <c r="E9" s="515">
        <v>2.0459999999999999E-2</v>
      </c>
      <c r="F9" s="515">
        <v>1.8409999999999999E-2</v>
      </c>
      <c r="G9" s="515">
        <v>4.199E-2</v>
      </c>
      <c r="H9" s="527">
        <v>22724.988000000001</v>
      </c>
      <c r="I9" s="559"/>
    </row>
    <row r="10" spans="1:9" ht="15.75" thickBot="1" x14ac:dyDescent="0.3">
      <c r="A10" s="528" t="s">
        <v>426</v>
      </c>
      <c r="B10" s="529">
        <v>340400</v>
      </c>
      <c r="C10" s="530" t="s">
        <v>422</v>
      </c>
      <c r="D10" s="530" t="s">
        <v>422</v>
      </c>
      <c r="E10" s="530" t="s">
        <v>422</v>
      </c>
      <c r="F10" s="530">
        <v>1.4829999999999999E-2</v>
      </c>
      <c r="G10" s="531">
        <v>1.4829999999999999E-2</v>
      </c>
      <c r="H10" s="532">
        <v>5048.1319999999996</v>
      </c>
      <c r="I10" s="559"/>
    </row>
    <row r="11" spans="1:9" ht="15.75" thickBot="1" x14ac:dyDescent="0.3">
      <c r="A11" s="533" t="s">
        <v>427</v>
      </c>
      <c r="B11" s="534">
        <v>50000</v>
      </c>
      <c r="C11" s="535">
        <v>3.1199999999999999E-3</v>
      </c>
      <c r="D11" s="536" t="s">
        <v>422</v>
      </c>
      <c r="E11" s="535">
        <v>6.3799999999999996E-2</v>
      </c>
      <c r="F11" s="535">
        <v>4.2799999999999998E-2</v>
      </c>
      <c r="G11" s="535">
        <v>0.10972</v>
      </c>
      <c r="H11" s="537">
        <v>5486</v>
      </c>
      <c r="I11" s="539"/>
    </row>
    <row r="12" spans="1:9" ht="15.75" thickBot="1" x14ac:dyDescent="0.3">
      <c r="A12" s="533" t="s">
        <v>428</v>
      </c>
      <c r="B12" s="534">
        <v>150000</v>
      </c>
      <c r="C12" s="535">
        <v>3.1199999999999999E-3</v>
      </c>
      <c r="D12" s="536" t="s">
        <v>422</v>
      </c>
      <c r="E12" s="535">
        <v>5.6000000000000001E-2</v>
      </c>
      <c r="F12" s="535">
        <v>1.755E-2</v>
      </c>
      <c r="G12" s="535">
        <v>7.6670000000000002E-2</v>
      </c>
      <c r="H12" s="576">
        <v>11500.5</v>
      </c>
      <c r="I12" s="539"/>
    </row>
    <row r="13" spans="1:9" ht="15.75" thickBot="1" x14ac:dyDescent="0.3">
      <c r="H13" s="538">
        <v>365938.2132</v>
      </c>
      <c r="I13" s="539"/>
    </row>
    <row r="14" spans="1:9" x14ac:dyDescent="0.25">
      <c r="H14" s="539"/>
      <c r="I14" s="539"/>
    </row>
    <row r="15" spans="1:9" ht="15.75" thickBot="1" x14ac:dyDescent="0.3">
      <c r="A15" s="540" t="s">
        <v>429</v>
      </c>
      <c r="B15" s="540" t="s">
        <v>127</v>
      </c>
      <c r="C15" s="510"/>
      <c r="D15" s="510"/>
      <c r="E15" s="510"/>
      <c r="F15" s="510"/>
      <c r="G15" s="510" t="s">
        <v>417</v>
      </c>
      <c r="H15" s="541" t="s">
        <v>418</v>
      </c>
      <c r="I15" s="541"/>
    </row>
    <row r="16" spans="1:9" ht="30" x14ac:dyDescent="0.25">
      <c r="A16" s="542" t="s">
        <v>430</v>
      </c>
      <c r="B16" s="543">
        <v>7635420</v>
      </c>
      <c r="C16" s="468"/>
      <c r="D16" s="468"/>
      <c r="E16" s="468"/>
      <c r="F16" s="468"/>
      <c r="G16" s="544">
        <v>2.4961298789064647E-3</v>
      </c>
      <c r="H16" s="527">
        <v>19059</v>
      </c>
      <c r="I16" s="559"/>
    </row>
    <row r="17" spans="1:13" x14ac:dyDescent="0.25">
      <c r="A17" s="545" t="s">
        <v>431</v>
      </c>
      <c r="B17" s="546">
        <v>7635420</v>
      </c>
      <c r="G17" s="544">
        <v>1.4974945713529838E-3</v>
      </c>
      <c r="H17" s="525">
        <v>11434</v>
      </c>
      <c r="I17" s="559"/>
    </row>
    <row r="18" spans="1:13" ht="30" x14ac:dyDescent="0.25">
      <c r="A18" s="545" t="s">
        <v>432</v>
      </c>
      <c r="B18" s="546">
        <v>7635420</v>
      </c>
      <c r="G18" s="544">
        <v>1.1557975854635371E-2</v>
      </c>
      <c r="H18" s="578">
        <v>88250</v>
      </c>
      <c r="I18" s="559"/>
    </row>
    <row r="19" spans="1:13" x14ac:dyDescent="0.25">
      <c r="A19" s="518" t="s">
        <v>433</v>
      </c>
      <c r="B19" s="546">
        <v>7635420</v>
      </c>
      <c r="G19" s="544">
        <v>5.7626168567020547E-3</v>
      </c>
      <c r="H19" s="525">
        <v>44000</v>
      </c>
      <c r="I19" s="552"/>
      <c r="J19" s="3"/>
      <c r="K19" s="3"/>
    </row>
    <row r="20" spans="1:13" ht="30.75" thickBot="1" x14ac:dyDescent="0.3">
      <c r="A20" s="545" t="s">
        <v>434</v>
      </c>
      <c r="B20" s="546">
        <v>7635420</v>
      </c>
      <c r="G20" s="544">
        <v>1.0477485194003734E-3</v>
      </c>
      <c r="H20" s="572">
        <v>8000</v>
      </c>
      <c r="I20" s="806" t="s">
        <v>442</v>
      </c>
      <c r="J20" s="807"/>
      <c r="K20" s="807"/>
    </row>
    <row r="21" spans="1:13" ht="30.75" thickBot="1" x14ac:dyDescent="0.3">
      <c r="A21" s="545" t="s">
        <v>435</v>
      </c>
      <c r="B21" s="546">
        <v>7635420</v>
      </c>
      <c r="G21" s="544">
        <v>2.3574341686508405E-3</v>
      </c>
      <c r="H21" s="580">
        <v>18000</v>
      </c>
      <c r="I21" s="552"/>
      <c r="J21" s="569" t="s">
        <v>439</v>
      </c>
      <c r="K21" s="570" t="s">
        <v>475</v>
      </c>
    </row>
    <row r="22" spans="1:13" x14ac:dyDescent="0.25">
      <c r="A22" s="545" t="s">
        <v>436</v>
      </c>
      <c r="B22" s="546">
        <v>7635420</v>
      </c>
      <c r="G22" s="544">
        <v>3.1696802533455921E-2</v>
      </c>
      <c r="H22" s="553">
        <v>242018.40000000002</v>
      </c>
      <c r="I22" s="553" t="s">
        <v>441</v>
      </c>
      <c r="J22" s="556">
        <f>'2015Summary METER to CASH (Base'!W25</f>
        <v>223436.58785000001</v>
      </c>
      <c r="K22" s="588">
        <f>'2018 Summary From Inputs'!W26</f>
        <v>210295.45335480155</v>
      </c>
      <c r="L22" s="808" t="s">
        <v>476</v>
      </c>
      <c r="M22" s="809"/>
    </row>
    <row r="23" spans="1:13" ht="15.75" thickBot="1" x14ac:dyDescent="0.3">
      <c r="A23" s="528" t="s">
        <v>437</v>
      </c>
      <c r="B23" s="547">
        <v>7635420</v>
      </c>
      <c r="G23" s="544">
        <v>9.6445251210804384E-3</v>
      </c>
      <c r="H23" s="574">
        <v>73640</v>
      </c>
      <c r="I23" s="562" t="s">
        <v>289</v>
      </c>
      <c r="J23" s="560">
        <f>'2015Summary METER to CASH (Base'!W26</f>
        <v>139007</v>
      </c>
      <c r="K23" s="589">
        <f>'2018 Summary From Inputs'!W27</f>
        <v>121083.35728292682</v>
      </c>
      <c r="L23" s="810"/>
      <c r="M23" s="809"/>
    </row>
    <row r="24" spans="1:13" x14ac:dyDescent="0.25">
      <c r="A24" s="373"/>
      <c r="B24" s="468"/>
      <c r="G24" s="544"/>
      <c r="H24" s="548"/>
      <c r="I24" s="563" t="s">
        <v>34</v>
      </c>
      <c r="J24" s="561">
        <f>SUM(J22:J23)</f>
        <v>362443.58785000001</v>
      </c>
      <c r="K24" s="557">
        <f>SUM(K22:K23)</f>
        <v>331378.81063772837</v>
      </c>
    </row>
    <row r="25" spans="1:13" x14ac:dyDescent="0.25">
      <c r="A25" s="549" t="s">
        <v>438</v>
      </c>
      <c r="B25" s="550"/>
      <c r="C25" s="550"/>
      <c r="D25" s="550"/>
      <c r="E25" s="550"/>
      <c r="F25" s="550"/>
      <c r="G25" s="551">
        <v>6.6060727504184458E-2</v>
      </c>
      <c r="H25" s="554">
        <v>504401.4</v>
      </c>
      <c r="I25" s="563"/>
      <c r="J25" s="561"/>
      <c r="K25" s="557"/>
    </row>
    <row r="26" spans="1:13" x14ac:dyDescent="0.25">
      <c r="I26" s="563"/>
      <c r="J26" s="568" t="s">
        <v>444</v>
      </c>
      <c r="K26" s="565"/>
    </row>
    <row r="27" spans="1:13" x14ac:dyDescent="0.25">
      <c r="I27" s="563"/>
      <c r="J27" s="561" t="s">
        <v>445</v>
      </c>
      <c r="K27" s="571">
        <f>H20</f>
        <v>8000</v>
      </c>
    </row>
    <row r="28" spans="1:13" x14ac:dyDescent="0.25">
      <c r="I28" s="563"/>
      <c r="J28" s="561" t="s">
        <v>447</v>
      </c>
      <c r="K28" s="573">
        <f>H23</f>
        <v>73640</v>
      </c>
    </row>
    <row r="29" spans="1:13" x14ac:dyDescent="0.25">
      <c r="I29" s="563"/>
      <c r="J29" s="561" t="s">
        <v>446</v>
      </c>
      <c r="K29" s="581">
        <f>H21</f>
        <v>18000</v>
      </c>
    </row>
    <row r="30" spans="1:13" ht="30" x14ac:dyDescent="0.25">
      <c r="I30" s="563"/>
      <c r="J30" s="564" t="s">
        <v>449</v>
      </c>
      <c r="K30" s="575">
        <f>H12</f>
        <v>11500.5</v>
      </c>
    </row>
    <row r="31" spans="1:13" ht="51" customHeight="1" thickBot="1" x14ac:dyDescent="0.3">
      <c r="I31" s="563"/>
      <c r="J31" s="566" t="s">
        <v>451</v>
      </c>
      <c r="K31" s="577">
        <v>20000</v>
      </c>
    </row>
    <row r="32" spans="1:13" ht="15.75" thickBot="1" x14ac:dyDescent="0.3">
      <c r="I32" s="555" t="s">
        <v>443</v>
      </c>
      <c r="J32" s="555" t="s">
        <v>448</v>
      </c>
      <c r="K32" s="567">
        <f>SUM(K24:K31)</f>
        <v>462519.31063772837</v>
      </c>
    </row>
  </sheetData>
  <mergeCells count="3">
    <mergeCell ref="A2:H2"/>
    <mergeCell ref="I20:K20"/>
    <mergeCell ref="L22:M23"/>
  </mergeCells>
  <pageMargins left="0.2" right="0.2" top="0.75" bottom="0.75" header="0.3" footer="0.3"/>
  <pageSetup scale="65" orientation="landscape" r:id="rId1"/>
  <headerFooter>
    <oddHeader>&amp;RExh. RJW-2 Wyman WP5</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BA54"/>
  <sheetViews>
    <sheetView zoomScale="50" zoomScaleNormal="50" workbookViewId="0">
      <pane xSplit="2" ySplit="8" topLeftCell="C9" activePane="bottomRight" state="frozen"/>
      <selection activeCell="P64" sqref="P64"/>
      <selection pane="topRight" activeCell="P64" sqref="P64"/>
      <selection pane="bottomLeft" activeCell="P64" sqref="P64"/>
      <selection pane="bottomRight" activeCell="F4" sqref="F4"/>
    </sheetView>
  </sheetViews>
  <sheetFormatPr defaultRowHeight="15" x14ac:dyDescent="0.25"/>
  <cols>
    <col min="1" max="1" width="21.28515625" customWidth="1"/>
    <col min="2" max="2" width="1.28515625" style="3" customWidth="1"/>
    <col min="3" max="3" width="33.85546875" style="1" customWidth="1"/>
    <col min="4" max="4" width="16.42578125" style="1" customWidth="1"/>
    <col min="5" max="5" width="12.7109375" style="1" customWidth="1"/>
    <col min="6" max="6" width="15.7109375" style="1" customWidth="1"/>
    <col min="7" max="7" width="32.42578125" style="1" customWidth="1"/>
    <col min="8" max="8" width="17.28515625" style="1" customWidth="1"/>
    <col min="9" max="9" width="12.7109375" style="1" customWidth="1"/>
    <col min="10" max="10" width="15.7109375" style="1" customWidth="1"/>
    <col min="11" max="11" width="32.42578125" style="1" customWidth="1"/>
    <col min="12" max="12" width="16.42578125" style="1" customWidth="1"/>
    <col min="13" max="13" width="12.7109375" style="1" customWidth="1"/>
    <col min="14" max="14" width="16" style="1" customWidth="1"/>
    <col min="15" max="15" width="38.28515625" style="1" customWidth="1"/>
    <col min="16" max="16" width="16.42578125" style="1" customWidth="1"/>
    <col min="17" max="17" width="12.7109375" style="1" customWidth="1"/>
    <col min="18" max="18" width="15.5703125" style="1" customWidth="1"/>
    <col min="19" max="19" width="1.7109375" customWidth="1"/>
    <col min="20" max="22" width="17.42578125" customWidth="1"/>
    <col min="23" max="23" width="18.5703125" customWidth="1"/>
    <col min="25" max="25" width="22.85546875" customWidth="1"/>
  </cols>
  <sheetData>
    <row r="1" spans="1:53" ht="32.450000000000003" customHeight="1" x14ac:dyDescent="0.5">
      <c r="C1" s="139"/>
      <c r="D1" s="139"/>
      <c r="E1" s="139"/>
      <c r="F1" s="139"/>
      <c r="G1" s="488"/>
      <c r="H1" s="488"/>
      <c r="I1" s="761" t="s">
        <v>399</v>
      </c>
      <c r="J1" s="762"/>
      <c r="K1" s="762"/>
      <c r="L1" s="762"/>
      <c r="M1" s="762"/>
      <c r="N1" s="762"/>
      <c r="P1" s="139"/>
      <c r="Q1" s="139"/>
      <c r="R1" s="139"/>
      <c r="T1" t="s">
        <v>500</v>
      </c>
    </row>
    <row r="2" spans="1:53" ht="20.45" customHeight="1" x14ac:dyDescent="0.25">
      <c r="G2" s="764"/>
      <c r="H2" s="764"/>
      <c r="I2" s="764"/>
      <c r="J2" s="764"/>
      <c r="K2" s="764"/>
      <c r="L2" s="764"/>
      <c r="M2" s="764"/>
      <c r="N2" s="139"/>
    </row>
    <row r="3" spans="1:53" s="2" customFormat="1" ht="73.150000000000006" customHeight="1" thickBot="1" x14ac:dyDescent="0.4">
      <c r="A3" s="4"/>
      <c r="B3" s="5"/>
      <c r="C3" s="14"/>
      <c r="D3" s="15" t="s">
        <v>18</v>
      </c>
      <c r="E3" s="18" t="s">
        <v>21</v>
      </c>
      <c r="F3" s="673" t="s">
        <v>25</v>
      </c>
      <c r="G3" s="14"/>
      <c r="H3" s="15" t="s">
        <v>18</v>
      </c>
      <c r="I3" s="18" t="s">
        <v>21</v>
      </c>
      <c r="J3" s="673" t="s">
        <v>25</v>
      </c>
      <c r="K3" s="14"/>
      <c r="L3" s="15" t="s">
        <v>18</v>
      </c>
      <c r="M3" s="18" t="s">
        <v>21</v>
      </c>
      <c r="N3" s="673" t="s">
        <v>25</v>
      </c>
      <c r="O3" s="14"/>
      <c r="P3" s="15" t="s">
        <v>18</v>
      </c>
      <c r="Q3" s="18" t="s">
        <v>21</v>
      </c>
      <c r="R3" s="673" t="s">
        <v>25</v>
      </c>
    </row>
    <row r="4" spans="1:53" ht="27.6" customHeight="1" thickBot="1" x14ac:dyDescent="0.55000000000000004">
      <c r="A4" s="7"/>
      <c r="B4" s="8"/>
      <c r="C4" s="9"/>
      <c r="D4" s="613" t="s">
        <v>22</v>
      </c>
      <c r="E4" s="613" t="s">
        <v>23</v>
      </c>
      <c r="F4" s="674" t="s">
        <v>501</v>
      </c>
      <c r="G4" s="662"/>
      <c r="H4" s="613" t="s">
        <v>22</v>
      </c>
      <c r="I4" s="613" t="s">
        <v>23</v>
      </c>
      <c r="J4" s="674" t="s">
        <v>501</v>
      </c>
      <c r="K4" s="662"/>
      <c r="L4" s="613" t="s">
        <v>22</v>
      </c>
      <c r="M4" s="613" t="s">
        <v>23</v>
      </c>
      <c r="N4" s="674" t="s">
        <v>501</v>
      </c>
      <c r="O4" s="662"/>
      <c r="P4" s="613" t="s">
        <v>22</v>
      </c>
      <c r="Q4" s="613" t="s">
        <v>23</v>
      </c>
      <c r="R4" s="674" t="s">
        <v>501</v>
      </c>
      <c r="T4" s="765" t="s">
        <v>499</v>
      </c>
      <c r="U4" s="766"/>
      <c r="V4" s="766"/>
      <c r="W4" s="767"/>
      <c r="Y4" s="2"/>
    </row>
    <row r="5" spans="1:53" ht="20.45" customHeight="1" thickBot="1" x14ac:dyDescent="0.4">
      <c r="A5" s="7" t="s">
        <v>390</v>
      </c>
      <c r="B5" s="8"/>
      <c r="C5" s="9"/>
      <c r="D5" s="623">
        <f>Customers!D3</f>
        <v>6957485</v>
      </c>
      <c r="E5" s="623">
        <f>Customers!E3</f>
        <v>693226</v>
      </c>
      <c r="F5" s="694">
        <f>Customers!F3</f>
        <v>23142</v>
      </c>
      <c r="G5" s="663"/>
      <c r="H5" s="624">
        <f>Customers!G3</f>
        <v>6937370</v>
      </c>
      <c r="I5" s="624">
        <f>Customers!H3</f>
        <v>693226</v>
      </c>
      <c r="J5" s="675">
        <f>Customers!I3</f>
        <v>23142</v>
      </c>
      <c r="K5" s="663"/>
      <c r="L5" s="624">
        <f>Customers!J3</f>
        <v>6139122</v>
      </c>
      <c r="M5" s="624">
        <f>Customers!K3</f>
        <v>654481</v>
      </c>
      <c r="N5" s="675">
        <f>Customers!L3</f>
        <v>23142</v>
      </c>
      <c r="O5" s="663"/>
      <c r="P5" s="624">
        <f>Customers!M3</f>
        <v>130756.86812123199</v>
      </c>
      <c r="Q5" s="624">
        <f>Customers!N3</f>
        <v>6266.4316472939427</v>
      </c>
      <c r="R5" s="675">
        <f>Customers!O3</f>
        <v>20.487267645737127</v>
      </c>
      <c r="S5" s="373"/>
      <c r="T5" s="613" t="s">
        <v>22</v>
      </c>
      <c r="U5" s="613" t="s">
        <v>23</v>
      </c>
      <c r="V5" s="603" t="s">
        <v>501</v>
      </c>
      <c r="W5" s="639" t="s">
        <v>34</v>
      </c>
      <c r="Y5" s="2"/>
    </row>
    <row r="6" spans="1:53" ht="20.45" customHeight="1" thickBot="1" x14ac:dyDescent="0.4">
      <c r="A6" s="7" t="s">
        <v>392</v>
      </c>
      <c r="B6" s="8"/>
      <c r="C6" s="9"/>
      <c r="D6" s="623">
        <f>Customers!D4</f>
        <v>853325</v>
      </c>
      <c r="E6" s="623">
        <f>Customers!E4</f>
        <v>68580</v>
      </c>
      <c r="F6" s="694">
        <f>Customers!F4</f>
        <v>1915</v>
      </c>
      <c r="G6" s="663"/>
      <c r="H6" s="624">
        <f>Customers!G4</f>
        <v>846712</v>
      </c>
      <c r="I6" s="624">
        <f>Customers!H4</f>
        <v>68580</v>
      </c>
      <c r="J6" s="675">
        <f>Customers!I4</f>
        <v>1915</v>
      </c>
      <c r="K6" s="663"/>
      <c r="L6" s="624">
        <f>Customers!J4</f>
        <v>744805</v>
      </c>
      <c r="M6" s="624">
        <f>Customers!K4</f>
        <v>69296</v>
      </c>
      <c r="N6" s="675">
        <f>Customers!L4</f>
        <v>1915</v>
      </c>
      <c r="O6" s="663"/>
      <c r="P6" s="624">
        <f>Customers!M4</f>
        <v>16037.131878768014</v>
      </c>
      <c r="Q6" s="624">
        <f>Customers!N4</f>
        <v>768.56835270605734</v>
      </c>
      <c r="R6" s="675">
        <f>Customers!O4</f>
        <v>2.5127323542628739</v>
      </c>
      <c r="S6" s="373"/>
      <c r="T6" s="370">
        <f>Customers!L27</f>
        <v>649132</v>
      </c>
      <c r="U6" s="370">
        <f>Customers!L28</f>
        <v>63091</v>
      </c>
      <c r="V6" s="370">
        <f>Customers!L29</f>
        <v>2061</v>
      </c>
      <c r="W6" s="633">
        <f>SUM(T6:V8)</f>
        <v>714284</v>
      </c>
      <c r="Y6" s="2"/>
    </row>
    <row r="7" spans="1:53" ht="20.45" customHeight="1" thickTop="1" thickBot="1" x14ac:dyDescent="0.4">
      <c r="A7" s="7"/>
      <c r="B7" s="8"/>
      <c r="C7" s="374" t="s">
        <v>360</v>
      </c>
      <c r="D7" s="369">
        <f>(D5+D6)/12</f>
        <v>650900.83333333337</v>
      </c>
      <c r="E7" s="369">
        <f>(E5+E6)/12</f>
        <v>63483.833333333336</v>
      </c>
      <c r="F7" s="369">
        <f>(F5+F6)/12</f>
        <v>2088.0833333333335</v>
      </c>
      <c r="G7" s="664" t="s">
        <v>361</v>
      </c>
      <c r="H7" s="369">
        <f>(H5+H6)/12</f>
        <v>648673.5</v>
      </c>
      <c r="I7" s="369">
        <f>(I5+I6)/12</f>
        <v>63483.833333333336</v>
      </c>
      <c r="J7" s="369">
        <f>(J5+J6)/12</f>
        <v>2088.0833333333335</v>
      </c>
      <c r="K7" s="664" t="s">
        <v>362</v>
      </c>
      <c r="L7" s="369">
        <f>(L5+L6)/12</f>
        <v>573660.58333333337</v>
      </c>
      <c r="M7" s="369">
        <f>(M5+M6)/12</f>
        <v>60314.75</v>
      </c>
      <c r="N7" s="369">
        <f>(N5+N6)/12</f>
        <v>2088.0833333333335</v>
      </c>
      <c r="O7" s="664" t="s">
        <v>363</v>
      </c>
      <c r="P7" s="369">
        <f>(P5+P6)/12</f>
        <v>12232.833333333334</v>
      </c>
      <c r="Q7" s="369">
        <f>(Q5+Q6)/12</f>
        <v>586.25</v>
      </c>
      <c r="R7" s="369">
        <f>(R5+R6)/12</f>
        <v>1.9166666666666667</v>
      </c>
      <c r="T7" s="758"/>
      <c r="U7" s="758"/>
      <c r="V7" s="758"/>
      <c r="W7" s="758" t="s">
        <v>337</v>
      </c>
    </row>
    <row r="8" spans="1:53" s="2" customFormat="1" ht="21.75" thickTop="1" x14ac:dyDescent="0.35">
      <c r="A8" s="4"/>
      <c r="B8" s="5"/>
      <c r="C8" s="327" t="s">
        <v>0</v>
      </c>
      <c r="D8" s="19"/>
      <c r="E8" s="20"/>
      <c r="F8" s="676"/>
      <c r="G8" s="20" t="s">
        <v>1</v>
      </c>
      <c r="H8" s="20"/>
      <c r="I8" s="20"/>
      <c r="J8" s="676"/>
      <c r="K8" s="20" t="s">
        <v>249</v>
      </c>
      <c r="L8" s="20"/>
      <c r="M8" s="20"/>
      <c r="N8" s="676"/>
      <c r="O8" s="20" t="s">
        <v>3</v>
      </c>
      <c r="P8" s="20"/>
      <c r="Q8" s="20"/>
      <c r="R8" s="676"/>
      <c r="T8" s="759" t="s">
        <v>336</v>
      </c>
      <c r="U8" s="759" t="s">
        <v>336</v>
      </c>
      <c r="V8" s="759" t="s">
        <v>336</v>
      </c>
      <c r="W8" s="759"/>
      <c r="BA8" s="6"/>
    </row>
    <row r="9" spans="1:53" ht="120" customHeight="1" x14ac:dyDescent="0.35">
      <c r="A9" s="312" t="s">
        <v>8</v>
      </c>
      <c r="B9" s="5"/>
      <c r="C9" s="328" t="s">
        <v>16</v>
      </c>
      <c r="D9" s="308">
        <f>'Meter Reading'!E7</f>
        <v>26760.439398000002</v>
      </c>
      <c r="E9" s="308">
        <f>'Meter Reading'!F7</f>
        <v>2167.3119649999999</v>
      </c>
      <c r="F9" s="677">
        <f>'Meter Reading'!G7</f>
        <v>0</v>
      </c>
      <c r="G9" s="665" t="s">
        <v>17</v>
      </c>
      <c r="H9" s="308">
        <f>Billing!E7</f>
        <v>3441884.8067899998</v>
      </c>
      <c r="I9" s="308">
        <f>Billing!F7</f>
        <v>393339.83981499996</v>
      </c>
      <c r="J9" s="677">
        <f>Billing!G7</f>
        <v>11977.528000000002</v>
      </c>
      <c r="K9" s="665" t="s">
        <v>303</v>
      </c>
      <c r="L9" s="308">
        <f>'Payment Processing'!E7</f>
        <v>640265.95629200002</v>
      </c>
      <c r="M9" s="308">
        <f>'Payment Processing'!F7</f>
        <v>53661.471661999996</v>
      </c>
      <c r="N9" s="677">
        <f>'Payment Processing'!G7</f>
        <v>2309.9983199999997</v>
      </c>
      <c r="O9" s="665" t="s">
        <v>304</v>
      </c>
      <c r="P9" s="308">
        <f>Collections!E7</f>
        <v>288258.248226</v>
      </c>
      <c r="Q9" s="308">
        <f>Collections!F7</f>
        <v>24334.117876</v>
      </c>
      <c r="R9" s="677">
        <f>Collections!G7</f>
        <v>0</v>
      </c>
      <c r="T9" s="308">
        <f>D9+H9+L9+P9</f>
        <v>4397169.4507059995</v>
      </c>
      <c r="U9" s="308">
        <f t="shared" ref="U9:V9" si="0">E9+I9+M9+Q9</f>
        <v>473502.74131799996</v>
      </c>
      <c r="V9" s="340">
        <f t="shared" si="0"/>
        <v>14287.526320000001</v>
      </c>
      <c r="W9" s="308">
        <f>SUM(T9:V9)</f>
        <v>4884959.7183439992</v>
      </c>
    </row>
    <row r="10" spans="1:53" ht="21" x14ac:dyDescent="0.35">
      <c r="A10" s="313"/>
      <c r="B10" s="5"/>
      <c r="C10" s="329" t="s">
        <v>67</v>
      </c>
      <c r="D10" s="314">
        <f>'Meter Reading'!I47</f>
        <v>26760.439398000002</v>
      </c>
      <c r="E10" s="314">
        <f>'Meter Reading'!S47</f>
        <v>2167.3119649999999</v>
      </c>
      <c r="F10" s="678">
        <f>'Meter Reading'!AC47</f>
        <v>0</v>
      </c>
      <c r="G10" s="666" t="s">
        <v>67</v>
      </c>
      <c r="H10" s="314">
        <f>Billing!I47</f>
        <v>761132.11979000003</v>
      </c>
      <c r="I10" s="314">
        <f>Billing!S47</f>
        <v>77555.054814999996</v>
      </c>
      <c r="J10" s="678">
        <f>Billing!AC47</f>
        <v>0</v>
      </c>
      <c r="K10" s="666" t="s">
        <v>67</v>
      </c>
      <c r="L10" s="314">
        <f>'Payment Processing'!I48</f>
        <v>393315.20029200002</v>
      </c>
      <c r="M10" s="314">
        <f>'Payment Processing'!S48</f>
        <v>37688.767661999998</v>
      </c>
      <c r="N10" s="678">
        <f>'Payment Processing'!AC48</f>
        <v>2273.4583199999997</v>
      </c>
      <c r="O10" s="666" t="s">
        <v>67</v>
      </c>
      <c r="P10" s="314">
        <f>Collections!I47</f>
        <v>157637.04822599998</v>
      </c>
      <c r="Q10" s="314">
        <f>Collections!S47</f>
        <v>17459.317876000001</v>
      </c>
      <c r="R10" s="678">
        <f>Collections!AC47</f>
        <v>0</v>
      </c>
      <c r="T10" s="314">
        <f t="shared" ref="T10:T29" si="1">D10+H10+L10+P10</f>
        <v>1338844.8077060001</v>
      </c>
      <c r="U10" s="314">
        <f t="shared" ref="U10:U29" si="2">E10+I10+M10+Q10</f>
        <v>134870.452318</v>
      </c>
      <c r="V10" s="342">
        <f t="shared" ref="V10:V29" si="3">F10+J10+N10+R10</f>
        <v>2273.4583199999997</v>
      </c>
      <c r="W10" s="314">
        <f t="shared" ref="W10:W29" si="4">SUM(T10:V10)</f>
        <v>1475988.7183439999</v>
      </c>
    </row>
    <row r="11" spans="1:53" ht="21" x14ac:dyDescent="0.35">
      <c r="A11" s="310"/>
      <c r="B11" s="5"/>
      <c r="C11" s="330" t="s">
        <v>289</v>
      </c>
      <c r="D11" s="314">
        <f>'Meter Reading'!I48</f>
        <v>0</v>
      </c>
      <c r="E11" s="314">
        <f>'Meter Reading'!S48</f>
        <v>0</v>
      </c>
      <c r="F11" s="678">
        <f>'Meter Reading'!AC48</f>
        <v>0</v>
      </c>
      <c r="G11" s="667" t="s">
        <v>289</v>
      </c>
      <c r="H11" s="314">
        <f>Billing!I48</f>
        <v>2680752.6869999999</v>
      </c>
      <c r="I11" s="314">
        <f>Billing!S48</f>
        <v>315784.78499999997</v>
      </c>
      <c r="J11" s="678">
        <f>Billing!AC48</f>
        <v>11977.528000000002</v>
      </c>
      <c r="K11" s="667" t="s">
        <v>289</v>
      </c>
      <c r="L11" s="314">
        <f>'Payment Processing'!I49</f>
        <v>246950.75599999999</v>
      </c>
      <c r="M11" s="314">
        <f>'Payment Processing'!S49</f>
        <v>15972.704</v>
      </c>
      <c r="N11" s="678">
        <f>'Payment Processing'!AC49</f>
        <v>36.54</v>
      </c>
      <c r="O11" s="667" t="s">
        <v>289</v>
      </c>
      <c r="P11" s="314">
        <f>Collections!I48</f>
        <v>130621.2</v>
      </c>
      <c r="Q11" s="314">
        <f>Collections!S48</f>
        <v>6874.8</v>
      </c>
      <c r="R11" s="678">
        <f>Collections!AC48</f>
        <v>0</v>
      </c>
      <c r="T11" s="315">
        <f t="shared" si="1"/>
        <v>3058324.6430000002</v>
      </c>
      <c r="U11" s="315">
        <f t="shared" si="2"/>
        <v>338632.28899999999</v>
      </c>
      <c r="V11" s="344">
        <f t="shared" si="3"/>
        <v>12014.068000000003</v>
      </c>
      <c r="W11" s="315">
        <f t="shared" si="4"/>
        <v>3408971</v>
      </c>
    </row>
    <row r="12" spans="1:53" ht="291.60000000000002" customHeight="1" x14ac:dyDescent="0.35">
      <c r="A12" s="307" t="s">
        <v>4</v>
      </c>
      <c r="B12" s="5"/>
      <c r="C12" s="331"/>
      <c r="D12" s="316">
        <v>0</v>
      </c>
      <c r="E12" s="316">
        <v>0</v>
      </c>
      <c r="F12" s="688">
        <v>0</v>
      </c>
      <c r="G12" s="665" t="s">
        <v>338</v>
      </c>
      <c r="H12" s="308">
        <f>Billing!E50</f>
        <v>2733598.0414367509</v>
      </c>
      <c r="I12" s="308">
        <f>Billing!F50</f>
        <v>267529.47740719659</v>
      </c>
      <c r="J12" s="677">
        <f>Billing!G50</f>
        <v>8799.4661572527966</v>
      </c>
      <c r="K12" s="668"/>
      <c r="L12" s="316">
        <v>0</v>
      </c>
      <c r="M12" s="316">
        <v>0</v>
      </c>
      <c r="N12" s="688">
        <v>0</v>
      </c>
      <c r="O12" s="665" t="s">
        <v>305</v>
      </c>
      <c r="P12" s="308">
        <f>Collections!E50</f>
        <v>1254638.709617347</v>
      </c>
      <c r="Q12" s="308">
        <f>Collections!F50</f>
        <v>60127.684524967197</v>
      </c>
      <c r="R12" s="677">
        <f>Collections!G50</f>
        <v>196.5794945379169</v>
      </c>
      <c r="T12" s="308">
        <f t="shared" si="1"/>
        <v>3988236.7510540979</v>
      </c>
      <c r="U12" s="308">
        <f t="shared" si="2"/>
        <v>327657.16193216381</v>
      </c>
      <c r="V12" s="340">
        <f t="shared" si="3"/>
        <v>8996.0456517907132</v>
      </c>
      <c r="W12" s="308">
        <f t="shared" si="4"/>
        <v>4324889.9586380525</v>
      </c>
    </row>
    <row r="13" spans="1:53" ht="21" x14ac:dyDescent="0.35">
      <c r="A13" s="317"/>
      <c r="B13" s="5"/>
      <c r="C13" s="332" t="s">
        <v>67</v>
      </c>
      <c r="D13" s="319">
        <v>0</v>
      </c>
      <c r="E13" s="319">
        <v>0</v>
      </c>
      <c r="F13" s="680">
        <v>0</v>
      </c>
      <c r="G13" s="666" t="s">
        <v>67</v>
      </c>
      <c r="H13" s="314">
        <f>Billing!I95</f>
        <v>2188854.1041447641</v>
      </c>
      <c r="I13" s="314">
        <f>Billing!S95</f>
        <v>214216.93523553663</v>
      </c>
      <c r="J13" s="678">
        <f>Billing!AC95</f>
        <v>7045.9326208993371</v>
      </c>
      <c r="K13" s="669" t="s">
        <v>67</v>
      </c>
      <c r="L13" s="319">
        <v>0</v>
      </c>
      <c r="M13" s="319">
        <v>0</v>
      </c>
      <c r="N13" s="680">
        <v>0</v>
      </c>
      <c r="O13" s="666" t="s">
        <v>67</v>
      </c>
      <c r="P13" s="314">
        <f>Collections!I95</f>
        <v>961578.78217044577</v>
      </c>
      <c r="Q13" s="314">
        <f>Collections!S95</f>
        <v>46082.99203352374</v>
      </c>
      <c r="R13" s="678">
        <f>Collections!AC95</f>
        <v>150.66223408259361</v>
      </c>
      <c r="T13" s="314">
        <f t="shared" si="1"/>
        <v>3150432.8863152098</v>
      </c>
      <c r="U13" s="314">
        <f t="shared" si="2"/>
        <v>260299.92726906037</v>
      </c>
      <c r="V13" s="342">
        <f t="shared" si="3"/>
        <v>7196.5948549819304</v>
      </c>
      <c r="W13" s="314">
        <f t="shared" si="4"/>
        <v>3417929.4084392521</v>
      </c>
    </row>
    <row r="14" spans="1:53" ht="21" x14ac:dyDescent="0.35">
      <c r="A14" s="320"/>
      <c r="B14" s="5"/>
      <c r="C14" s="333" t="s">
        <v>289</v>
      </c>
      <c r="D14" s="322">
        <v>0</v>
      </c>
      <c r="E14" s="322">
        <v>0</v>
      </c>
      <c r="F14" s="689">
        <v>0</v>
      </c>
      <c r="G14" s="667" t="s">
        <v>289</v>
      </c>
      <c r="H14" s="314">
        <f>Billing!I96</f>
        <v>544743.93729198666</v>
      </c>
      <c r="I14" s="314">
        <f>Billing!S96</f>
        <v>53312.542171659959</v>
      </c>
      <c r="J14" s="678">
        <f>Billing!AC96</f>
        <v>1753.5335363534593</v>
      </c>
      <c r="K14" s="670" t="s">
        <v>289</v>
      </c>
      <c r="L14" s="322">
        <v>0</v>
      </c>
      <c r="M14" s="322">
        <v>0</v>
      </c>
      <c r="N14" s="689">
        <v>0</v>
      </c>
      <c r="O14" s="667" t="s">
        <v>289</v>
      </c>
      <c r="P14" s="314">
        <f>Collections!I96</f>
        <v>293059.92744690122</v>
      </c>
      <c r="Q14" s="314">
        <f>Collections!S96</f>
        <v>14044.692491443451</v>
      </c>
      <c r="R14" s="678">
        <f>Collections!AC96</f>
        <v>45.917260455323301</v>
      </c>
      <c r="T14" s="315">
        <f t="shared" si="1"/>
        <v>837803.86473888787</v>
      </c>
      <c r="U14" s="315">
        <f t="shared" si="2"/>
        <v>67357.234663103416</v>
      </c>
      <c r="V14" s="344">
        <f t="shared" si="3"/>
        <v>1799.4507968087826</v>
      </c>
      <c r="W14" s="315">
        <f t="shared" si="4"/>
        <v>906960.55019880016</v>
      </c>
    </row>
    <row r="15" spans="1:53" ht="70.900000000000006" customHeight="1" x14ac:dyDescent="0.35">
      <c r="A15" s="312" t="s">
        <v>5</v>
      </c>
      <c r="B15" s="5"/>
      <c r="C15" s="328" t="s">
        <v>15</v>
      </c>
      <c r="D15" s="308">
        <f>'Meter Reading'!E50</f>
        <v>0</v>
      </c>
      <c r="E15" s="308">
        <f>'Meter Reading'!F50</f>
        <v>4029.6458827993793</v>
      </c>
      <c r="F15" s="677">
        <f>'Meter Reading'!G50</f>
        <v>44810.427262778067</v>
      </c>
      <c r="G15" s="665" t="s">
        <v>9</v>
      </c>
      <c r="H15" s="308">
        <f>Billing!E98</f>
        <v>0</v>
      </c>
      <c r="I15" s="308">
        <f>Billing!F98</f>
        <v>101167.92131299998</v>
      </c>
      <c r="J15" s="677">
        <f>Billing!G98</f>
        <v>281372.08834833326</v>
      </c>
      <c r="K15" s="665" t="s">
        <v>12</v>
      </c>
      <c r="L15" s="308">
        <f>'Payment Processing'!E51</f>
        <v>8743.7062330000008</v>
      </c>
      <c r="M15" s="308">
        <f>'Payment Processing'!F51</f>
        <v>2150.6443140000001</v>
      </c>
      <c r="N15" s="677">
        <f>'Payment Processing'!G51</f>
        <v>0</v>
      </c>
      <c r="O15" s="665" t="s">
        <v>12</v>
      </c>
      <c r="P15" s="308">
        <f>Collections!E98</f>
        <v>0</v>
      </c>
      <c r="Q15" s="308">
        <f>Collections!F98</f>
        <v>30177.796298000001</v>
      </c>
      <c r="R15" s="677">
        <f>Collections!G98</f>
        <v>910.40042400000004</v>
      </c>
      <c r="T15" s="308">
        <f t="shared" si="1"/>
        <v>8743.7062330000008</v>
      </c>
      <c r="U15" s="308">
        <f t="shared" si="2"/>
        <v>137526.00780779938</v>
      </c>
      <c r="V15" s="340">
        <f t="shared" si="3"/>
        <v>327092.9160351113</v>
      </c>
      <c r="W15" s="308">
        <f t="shared" si="4"/>
        <v>473362.63007591071</v>
      </c>
    </row>
    <row r="16" spans="1:53" ht="21" x14ac:dyDescent="0.35">
      <c r="A16" s="313" t="s">
        <v>339</v>
      </c>
      <c r="B16" s="5"/>
      <c r="C16" s="329" t="s">
        <v>67</v>
      </c>
      <c r="D16" s="314">
        <f>'Meter Reading'!I92</f>
        <v>0</v>
      </c>
      <c r="E16" s="314">
        <f>'Meter Reading'!S92</f>
        <v>3878.6458827993793</v>
      </c>
      <c r="F16" s="678">
        <f>'Meter Reading'!AC92</f>
        <v>43195.427262778067</v>
      </c>
      <c r="G16" s="666" t="s">
        <v>67</v>
      </c>
      <c r="H16" s="314">
        <f>Billing!I139</f>
        <v>0</v>
      </c>
      <c r="I16" s="314">
        <f>Billing!S139</f>
        <v>92986.52131299999</v>
      </c>
      <c r="J16" s="678">
        <f>Billing!AC139</f>
        <v>264786.48834833328</v>
      </c>
      <c r="K16" s="666" t="s">
        <v>67</v>
      </c>
      <c r="L16" s="314">
        <f>'Payment Processing'!I93</f>
        <v>8173.7062329999999</v>
      </c>
      <c r="M16" s="314">
        <f>'Payment Processing'!S93</f>
        <v>2010.6443140000001</v>
      </c>
      <c r="N16" s="678">
        <f>'Payment Processing'!AC93</f>
        <v>0</v>
      </c>
      <c r="O16" s="666" t="s">
        <v>67</v>
      </c>
      <c r="P16" s="314">
        <f>Collections!I140</f>
        <v>0</v>
      </c>
      <c r="Q16" s="314">
        <f>Collections!S140</f>
        <v>29059.796298000001</v>
      </c>
      <c r="R16" s="678">
        <f>Collections!AC140</f>
        <v>877.40042400000004</v>
      </c>
      <c r="T16" s="314">
        <f t="shared" si="1"/>
        <v>8173.7062329999999</v>
      </c>
      <c r="U16" s="314">
        <f t="shared" si="2"/>
        <v>127935.60780779937</v>
      </c>
      <c r="V16" s="342">
        <f t="shared" si="3"/>
        <v>308859.31603511132</v>
      </c>
      <c r="W16" s="314">
        <f t="shared" si="4"/>
        <v>444968.63007591071</v>
      </c>
    </row>
    <row r="17" spans="1:23" ht="21" x14ac:dyDescent="0.35">
      <c r="A17" s="310"/>
      <c r="B17" s="5"/>
      <c r="C17" s="330" t="s">
        <v>549</v>
      </c>
      <c r="D17" s="314">
        <f>'Meter Reading'!I93</f>
        <v>0</v>
      </c>
      <c r="E17" s="314">
        <f>'Meter Reading'!S93</f>
        <v>151</v>
      </c>
      <c r="F17" s="678">
        <f>'Meter Reading'!AC93</f>
        <v>1615</v>
      </c>
      <c r="G17" s="667" t="s">
        <v>549</v>
      </c>
      <c r="H17" s="314">
        <f>Billing!I140</f>
        <v>0</v>
      </c>
      <c r="I17" s="314">
        <f>Billing!S140</f>
        <v>8181.4</v>
      </c>
      <c r="J17" s="678">
        <f>Billing!AC140</f>
        <v>16585.599999999999</v>
      </c>
      <c r="K17" s="667" t="s">
        <v>289</v>
      </c>
      <c r="L17" s="314">
        <f>'Payment Processing'!I94</f>
        <v>570</v>
      </c>
      <c r="M17" s="314">
        <f>'Payment Processing'!S94</f>
        <v>140</v>
      </c>
      <c r="N17" s="678">
        <f>'Payment Processing'!AC94</f>
        <v>0</v>
      </c>
      <c r="O17" s="667" t="s">
        <v>289</v>
      </c>
      <c r="P17" s="314">
        <f>Collections!I141</f>
        <v>0</v>
      </c>
      <c r="Q17" s="314">
        <f>Collections!S141</f>
        <v>1118</v>
      </c>
      <c r="R17" s="678">
        <f>Collections!AC141</f>
        <v>33</v>
      </c>
      <c r="T17" s="315">
        <f t="shared" si="1"/>
        <v>570</v>
      </c>
      <c r="U17" s="315">
        <f t="shared" si="2"/>
        <v>9590.4</v>
      </c>
      <c r="V17" s="344">
        <f t="shared" si="3"/>
        <v>18233.599999999999</v>
      </c>
      <c r="W17" s="315">
        <f t="shared" si="4"/>
        <v>28394</v>
      </c>
    </row>
    <row r="18" spans="1:23" ht="85.15" customHeight="1" x14ac:dyDescent="0.35">
      <c r="A18" s="307" t="s">
        <v>6</v>
      </c>
      <c r="B18" s="5"/>
      <c r="C18" s="328" t="s">
        <v>306</v>
      </c>
      <c r="D18" s="308">
        <f>'Meter Reading'!E95</f>
        <v>39590.008439999998</v>
      </c>
      <c r="E18" s="308">
        <f>'Meter Reading'!F95</f>
        <v>3891.34276</v>
      </c>
      <c r="F18" s="677">
        <f>'Meter Reading'!G95</f>
        <v>78.464200000000005</v>
      </c>
      <c r="G18" s="665" t="s">
        <v>384</v>
      </c>
      <c r="H18" s="308">
        <f>Billing!E142</f>
        <v>326669.03263999999</v>
      </c>
      <c r="I18" s="308">
        <f>Billing!F142</f>
        <v>31973.400560000002</v>
      </c>
      <c r="J18" s="677">
        <f>Billing!G142</f>
        <v>0</v>
      </c>
      <c r="K18" s="668"/>
      <c r="L18" s="309">
        <v>0</v>
      </c>
      <c r="M18" s="309">
        <v>0</v>
      </c>
      <c r="N18" s="690">
        <v>0</v>
      </c>
      <c r="O18" s="665" t="s">
        <v>307</v>
      </c>
      <c r="P18" s="308">
        <f>Collections!E143</f>
        <v>83229.288039999999</v>
      </c>
      <c r="Q18" s="308">
        <f>Collections!F143</f>
        <v>4048.2711599999998</v>
      </c>
      <c r="R18" s="677">
        <f>Collections!G143</f>
        <v>0</v>
      </c>
      <c r="T18" s="308">
        <f t="shared" si="1"/>
        <v>449488.32912000001</v>
      </c>
      <c r="U18" s="308">
        <f t="shared" si="2"/>
        <v>39913.014479999998</v>
      </c>
      <c r="V18" s="340">
        <f t="shared" si="3"/>
        <v>78.464200000000005</v>
      </c>
      <c r="W18" s="308">
        <f t="shared" si="4"/>
        <v>489479.80780000001</v>
      </c>
    </row>
    <row r="19" spans="1:23" ht="21" x14ac:dyDescent="0.35">
      <c r="A19" s="317"/>
      <c r="B19" s="5"/>
      <c r="C19" s="329" t="s">
        <v>67</v>
      </c>
      <c r="D19" s="314">
        <f>'Meter Reading'!I133</f>
        <v>37914.008439999998</v>
      </c>
      <c r="E19" s="314">
        <f>'Meter Reading'!S133</f>
        <v>3726.34276</v>
      </c>
      <c r="F19" s="678">
        <f>'Meter Reading'!AC133</f>
        <v>75.464200000000005</v>
      </c>
      <c r="G19" s="666" t="s">
        <v>67</v>
      </c>
      <c r="H19" s="314">
        <f>Billing!I180</f>
        <v>312838.03263999999</v>
      </c>
      <c r="I19" s="314">
        <f>Billing!S180</f>
        <v>30619.400560000002</v>
      </c>
      <c r="J19" s="678">
        <f>Billing!AC180</f>
        <v>0</v>
      </c>
      <c r="K19" s="669" t="s">
        <v>67</v>
      </c>
      <c r="L19" s="318">
        <v>0</v>
      </c>
      <c r="M19" s="318">
        <v>0</v>
      </c>
      <c r="N19" s="691">
        <v>0</v>
      </c>
      <c r="O19" s="666" t="s">
        <v>67</v>
      </c>
      <c r="P19" s="314">
        <f>Collections!I181</f>
        <v>79705.288039999999</v>
      </c>
      <c r="Q19" s="314">
        <f>Collections!S181</f>
        <v>3877.2711599999998</v>
      </c>
      <c r="R19" s="678">
        <f>Collections!AC181</f>
        <v>0</v>
      </c>
      <c r="T19" s="314">
        <f t="shared" si="1"/>
        <v>430457.32912000001</v>
      </c>
      <c r="U19" s="314">
        <f t="shared" si="2"/>
        <v>38223.014479999998</v>
      </c>
      <c r="V19" s="342">
        <f t="shared" si="3"/>
        <v>75.464200000000005</v>
      </c>
      <c r="W19" s="314">
        <f t="shared" si="4"/>
        <v>468755.80780000001</v>
      </c>
    </row>
    <row r="20" spans="1:23" ht="21" x14ac:dyDescent="0.35">
      <c r="A20" s="320"/>
      <c r="B20" s="5"/>
      <c r="C20" s="329" t="s">
        <v>289</v>
      </c>
      <c r="D20" s="314">
        <f>'Meter Reading'!I134</f>
        <v>1676</v>
      </c>
      <c r="E20" s="314">
        <f>'Meter Reading'!S134</f>
        <v>165</v>
      </c>
      <c r="F20" s="678">
        <f>'Meter Reading'!AC134</f>
        <v>3</v>
      </c>
      <c r="G20" s="667" t="s">
        <v>289</v>
      </c>
      <c r="H20" s="314">
        <f>Billing!I181</f>
        <v>13831</v>
      </c>
      <c r="I20" s="314">
        <f>Billing!S181</f>
        <v>1354</v>
      </c>
      <c r="J20" s="678">
        <f>Billing!AC181</f>
        <v>0</v>
      </c>
      <c r="K20" s="670" t="s">
        <v>289</v>
      </c>
      <c r="L20" s="321">
        <v>0</v>
      </c>
      <c r="M20" s="321">
        <v>0</v>
      </c>
      <c r="N20" s="692">
        <v>0</v>
      </c>
      <c r="O20" s="667" t="s">
        <v>289</v>
      </c>
      <c r="P20" s="314">
        <f>Collections!I182</f>
        <v>3524</v>
      </c>
      <c r="Q20" s="314">
        <f>Collections!S182</f>
        <v>171</v>
      </c>
      <c r="R20" s="678">
        <f>Collections!AC182</f>
        <v>0</v>
      </c>
      <c r="T20" s="311">
        <f t="shared" si="1"/>
        <v>19031</v>
      </c>
      <c r="U20" s="311">
        <f t="shared" si="2"/>
        <v>1690</v>
      </c>
      <c r="V20" s="353">
        <f t="shared" si="3"/>
        <v>3</v>
      </c>
      <c r="W20" s="311">
        <f t="shared" si="4"/>
        <v>20724</v>
      </c>
    </row>
    <row r="21" spans="1:23" ht="56.45" customHeight="1" x14ac:dyDescent="0.35">
      <c r="A21" s="312" t="s">
        <v>52</v>
      </c>
      <c r="B21" s="5"/>
      <c r="C21" s="328" t="s">
        <v>14</v>
      </c>
      <c r="D21" s="308">
        <f>'Meter Reading'!E136</f>
        <v>770312.59009081672</v>
      </c>
      <c r="E21" s="308">
        <f>'Meter Reading'!F136</f>
        <v>74685.748028237285</v>
      </c>
      <c r="F21" s="677">
        <f>'Meter Reading'!G136</f>
        <v>2456.2294709460698</v>
      </c>
      <c r="G21" s="665" t="s">
        <v>383</v>
      </c>
      <c r="H21" s="308">
        <f>Billing!E183</f>
        <v>5278553.4671258768</v>
      </c>
      <c r="I21" s="308">
        <f>Billing!F183</f>
        <v>516616.45907612337</v>
      </c>
      <c r="J21" s="677">
        <f>Billing!G183</f>
        <v>0</v>
      </c>
      <c r="K21" s="668" t="s">
        <v>13</v>
      </c>
      <c r="L21" s="309">
        <v>0</v>
      </c>
      <c r="M21" s="309">
        <v>0</v>
      </c>
      <c r="N21" s="690">
        <v>0</v>
      </c>
      <c r="O21" s="665" t="s">
        <v>308</v>
      </c>
      <c r="P21" s="308">
        <f>Collections!E184</f>
        <v>1215213.161278822</v>
      </c>
      <c r="Q21" s="308">
        <f>Collections!F184</f>
        <v>58238.240238678089</v>
      </c>
      <c r="R21" s="677">
        <f>Collections!G184</f>
        <v>0</v>
      </c>
      <c r="T21" s="308">
        <f t="shared" si="1"/>
        <v>7264079.2184955161</v>
      </c>
      <c r="U21" s="308">
        <f t="shared" si="2"/>
        <v>649540.44734303874</v>
      </c>
      <c r="V21" s="340">
        <f t="shared" si="3"/>
        <v>2456.2294709460698</v>
      </c>
      <c r="W21" s="308">
        <f t="shared" si="4"/>
        <v>7916075.8953095004</v>
      </c>
    </row>
    <row r="22" spans="1:23" ht="21" x14ac:dyDescent="0.35">
      <c r="A22" s="313"/>
      <c r="B22" s="5"/>
      <c r="C22" s="329" t="s">
        <v>67</v>
      </c>
      <c r="D22" s="314">
        <f>'Meter Reading'!I175</f>
        <v>683980.59009081672</v>
      </c>
      <c r="E22" s="314">
        <f>'Meter Reading'!S175</f>
        <v>66315.748028237285</v>
      </c>
      <c r="F22" s="678">
        <f>'Meter Reading'!AC175</f>
        <v>2181.2294709460698</v>
      </c>
      <c r="G22" s="666" t="s">
        <v>67</v>
      </c>
      <c r="H22" s="314">
        <f>Billing!I223</f>
        <v>4686965.4671258768</v>
      </c>
      <c r="I22" s="314">
        <f>Billing!S223</f>
        <v>458717.45907612337</v>
      </c>
      <c r="J22" s="678">
        <f>Billing!AC223</f>
        <v>0</v>
      </c>
      <c r="K22" s="669" t="s">
        <v>67</v>
      </c>
      <c r="L22" s="318">
        <v>0</v>
      </c>
      <c r="M22" s="318">
        <v>0</v>
      </c>
      <c r="N22" s="691">
        <v>0</v>
      </c>
      <c r="O22" s="666" t="s">
        <v>67</v>
      </c>
      <c r="P22" s="314">
        <f>Collections!I223</f>
        <v>1079019.161278822</v>
      </c>
      <c r="Q22" s="314">
        <f>Collections!S223</f>
        <v>51711.240238678089</v>
      </c>
      <c r="R22" s="678">
        <f>Collections!AC223</f>
        <v>0</v>
      </c>
      <c r="T22" s="314">
        <f t="shared" si="1"/>
        <v>6449965.2184955161</v>
      </c>
      <c r="U22" s="314">
        <f t="shared" si="2"/>
        <v>576744.44734303874</v>
      </c>
      <c r="V22" s="342">
        <f t="shared" si="3"/>
        <v>2181.2294709460698</v>
      </c>
      <c r="W22" s="314">
        <f t="shared" si="4"/>
        <v>7028890.8953095004</v>
      </c>
    </row>
    <row r="23" spans="1:23" ht="21" x14ac:dyDescent="0.35">
      <c r="A23" s="310"/>
      <c r="B23" s="5"/>
      <c r="C23" s="330" t="s">
        <v>549</v>
      </c>
      <c r="D23" s="314">
        <f>'Meter Reading'!I176</f>
        <v>86332</v>
      </c>
      <c r="E23" s="314">
        <f>'Meter Reading'!S176</f>
        <v>8370</v>
      </c>
      <c r="F23" s="678">
        <f>'Meter Reading'!AC176</f>
        <v>275</v>
      </c>
      <c r="G23" s="667" t="s">
        <v>289</v>
      </c>
      <c r="H23" s="314">
        <f>Billing!I224</f>
        <v>591588</v>
      </c>
      <c r="I23" s="314">
        <f>Billing!S224</f>
        <v>57899</v>
      </c>
      <c r="J23" s="678">
        <f>Billing!AC224</f>
        <v>0</v>
      </c>
      <c r="K23" s="670" t="s">
        <v>289</v>
      </c>
      <c r="L23" s="321">
        <v>0</v>
      </c>
      <c r="M23" s="321">
        <v>0</v>
      </c>
      <c r="N23" s="692">
        <v>0</v>
      </c>
      <c r="O23" s="667" t="s">
        <v>289</v>
      </c>
      <c r="P23" s="314">
        <f>Collections!I224</f>
        <v>136194</v>
      </c>
      <c r="Q23" s="314">
        <f>Collections!S224</f>
        <v>6527</v>
      </c>
      <c r="R23" s="678">
        <f>Collections!AC224</f>
        <v>0</v>
      </c>
      <c r="T23" s="315">
        <f t="shared" si="1"/>
        <v>814114</v>
      </c>
      <c r="U23" s="315">
        <f t="shared" si="2"/>
        <v>72796</v>
      </c>
      <c r="V23" s="344">
        <f t="shared" si="3"/>
        <v>275</v>
      </c>
      <c r="W23" s="315">
        <f t="shared" si="4"/>
        <v>887185</v>
      </c>
    </row>
    <row r="24" spans="1:23" ht="82.9" customHeight="1" x14ac:dyDescent="0.35">
      <c r="A24" s="307" t="s">
        <v>7</v>
      </c>
      <c r="B24" s="5"/>
      <c r="C24" s="331"/>
      <c r="D24" s="316">
        <v>0</v>
      </c>
      <c r="E24" s="316">
        <v>0</v>
      </c>
      <c r="F24" s="688">
        <v>0</v>
      </c>
      <c r="G24" s="665" t="s">
        <v>11</v>
      </c>
      <c r="H24" s="308">
        <f>Billing!E226</f>
        <v>310307.20874999999</v>
      </c>
      <c r="I24" s="308">
        <f>Billing!F226</f>
        <v>39050.124499999998</v>
      </c>
      <c r="J24" s="677">
        <f>Billing!G226</f>
        <v>1379.3741</v>
      </c>
      <c r="K24" s="668"/>
      <c r="L24" s="316">
        <v>0</v>
      </c>
      <c r="M24" s="316">
        <v>0</v>
      </c>
      <c r="N24" s="688">
        <v>0</v>
      </c>
      <c r="O24" s="665" t="s">
        <v>309</v>
      </c>
      <c r="P24" s="308">
        <f>Collections!E226</f>
        <v>10420.0173</v>
      </c>
      <c r="Q24" s="308">
        <f>Collections!F226</f>
        <v>1286.8632</v>
      </c>
      <c r="R24" s="677">
        <f>Collections!G226</f>
        <v>0</v>
      </c>
      <c r="T24" s="308">
        <f t="shared" si="1"/>
        <v>320727.22605</v>
      </c>
      <c r="U24" s="308">
        <f t="shared" si="2"/>
        <v>40336.987699999998</v>
      </c>
      <c r="V24" s="340">
        <f t="shared" si="3"/>
        <v>1379.3741</v>
      </c>
      <c r="W24" s="308">
        <f t="shared" si="4"/>
        <v>362443.58785000001</v>
      </c>
    </row>
    <row r="25" spans="1:23" ht="21" x14ac:dyDescent="0.35">
      <c r="A25" s="317"/>
      <c r="B25" s="5"/>
      <c r="C25" s="332" t="s">
        <v>67</v>
      </c>
      <c r="D25" s="319">
        <v>0</v>
      </c>
      <c r="E25" s="319">
        <v>0</v>
      </c>
      <c r="F25" s="680">
        <v>0</v>
      </c>
      <c r="G25" s="666" t="s">
        <v>67</v>
      </c>
      <c r="H25" s="314">
        <f>Billing!I264</f>
        <v>188983.20875000002</v>
      </c>
      <c r="I25" s="314">
        <f>Billing!S264</f>
        <v>21954.124499999998</v>
      </c>
      <c r="J25" s="678">
        <f>Billing!AC264</f>
        <v>792.3741</v>
      </c>
      <c r="K25" s="669" t="s">
        <v>67</v>
      </c>
      <c r="L25" s="319">
        <v>0</v>
      </c>
      <c r="M25" s="319">
        <v>0</v>
      </c>
      <c r="N25" s="680">
        <v>0</v>
      </c>
      <c r="O25" s="666" t="s">
        <v>67</v>
      </c>
      <c r="P25" s="314">
        <f>Collections!I264</f>
        <v>10420.0173</v>
      </c>
      <c r="Q25" s="314">
        <f>Collections!S264</f>
        <v>1286.8632</v>
      </c>
      <c r="R25" s="678">
        <f>Collections!AC264</f>
        <v>0</v>
      </c>
      <c r="T25" s="314">
        <f t="shared" si="1"/>
        <v>199403.22605000003</v>
      </c>
      <c r="U25" s="314">
        <f t="shared" si="2"/>
        <v>23240.987699999998</v>
      </c>
      <c r="V25" s="342">
        <f t="shared" si="3"/>
        <v>792.3741</v>
      </c>
      <c r="W25" s="314">
        <f t="shared" si="4"/>
        <v>223436.58785000001</v>
      </c>
    </row>
    <row r="26" spans="1:23" ht="21" x14ac:dyDescent="0.35">
      <c r="A26" s="320"/>
      <c r="B26" s="5"/>
      <c r="C26" s="333" t="s">
        <v>289</v>
      </c>
      <c r="D26" s="322">
        <v>0</v>
      </c>
      <c r="E26" s="322">
        <v>0</v>
      </c>
      <c r="F26" s="689">
        <v>0</v>
      </c>
      <c r="G26" s="667" t="s">
        <v>289</v>
      </c>
      <c r="H26" s="314">
        <f>Billing!I265</f>
        <v>121324</v>
      </c>
      <c r="I26" s="314">
        <f>Billing!S265</f>
        <v>17096</v>
      </c>
      <c r="J26" s="678">
        <f>Billing!AC265</f>
        <v>587</v>
      </c>
      <c r="K26" s="670" t="s">
        <v>289</v>
      </c>
      <c r="L26" s="322">
        <v>0</v>
      </c>
      <c r="M26" s="322">
        <v>0</v>
      </c>
      <c r="N26" s="689">
        <v>0</v>
      </c>
      <c r="O26" s="667" t="s">
        <v>289</v>
      </c>
      <c r="P26" s="314">
        <f>Collections!I265</f>
        <v>0</v>
      </c>
      <c r="Q26" s="314">
        <f>Collections!S265</f>
        <v>0</v>
      </c>
      <c r="R26" s="678">
        <f>Collections!AC265</f>
        <v>0</v>
      </c>
      <c r="T26" s="315">
        <f t="shared" si="1"/>
        <v>121324</v>
      </c>
      <c r="U26" s="315">
        <f t="shared" si="2"/>
        <v>17096</v>
      </c>
      <c r="V26" s="344">
        <f t="shared" si="3"/>
        <v>587</v>
      </c>
      <c r="W26" s="315">
        <f t="shared" si="4"/>
        <v>139007</v>
      </c>
    </row>
    <row r="27" spans="1:23" ht="50.45" customHeight="1" x14ac:dyDescent="0.25">
      <c r="A27" s="323" t="s">
        <v>10</v>
      </c>
      <c r="C27" s="334"/>
      <c r="D27" s="316">
        <v>0</v>
      </c>
      <c r="E27" s="316">
        <v>0</v>
      </c>
      <c r="F27" s="688">
        <v>0</v>
      </c>
      <c r="G27" s="685"/>
      <c r="H27" s="324"/>
      <c r="I27" s="324"/>
      <c r="J27" s="679"/>
      <c r="K27" s="665" t="s">
        <v>335</v>
      </c>
      <c r="L27" s="308">
        <f>'Payment Processing'!E96</f>
        <v>1377057.4526405602</v>
      </c>
      <c r="M27" s="308">
        <f>'Payment Processing'!F96</f>
        <v>146365.73124380747</v>
      </c>
      <c r="N27" s="677">
        <f>'Payment Processing'!G96</f>
        <v>6773.5265776322876</v>
      </c>
      <c r="O27" s="685" t="s">
        <v>310</v>
      </c>
      <c r="P27" s="324">
        <v>0</v>
      </c>
      <c r="Q27" s="324">
        <v>0</v>
      </c>
      <c r="R27" s="679">
        <v>0</v>
      </c>
      <c r="T27" s="308">
        <f t="shared" si="1"/>
        <v>1377057.4526405602</v>
      </c>
      <c r="U27" s="308">
        <f t="shared" si="2"/>
        <v>146365.73124380747</v>
      </c>
      <c r="V27" s="340">
        <f t="shared" si="3"/>
        <v>6773.5265776322876</v>
      </c>
      <c r="W27" s="308">
        <f t="shared" si="4"/>
        <v>1530196.710462</v>
      </c>
    </row>
    <row r="28" spans="1:23" ht="21.6" customHeight="1" x14ac:dyDescent="0.25">
      <c r="A28" s="325"/>
      <c r="C28" s="332" t="s">
        <v>67</v>
      </c>
      <c r="D28" s="319">
        <v>0</v>
      </c>
      <c r="E28" s="319">
        <v>0</v>
      </c>
      <c r="F28" s="680">
        <v>0</v>
      </c>
      <c r="G28" s="669" t="s">
        <v>67</v>
      </c>
      <c r="H28" s="319">
        <v>0</v>
      </c>
      <c r="I28" s="319">
        <v>0</v>
      </c>
      <c r="J28" s="680">
        <v>0</v>
      </c>
      <c r="K28" s="666" t="s">
        <v>67</v>
      </c>
      <c r="L28" s="314">
        <f>'Payment Processing'!I134</f>
        <v>1767.570154</v>
      </c>
      <c r="M28" s="314">
        <f>'Payment Processing'!S134</f>
        <v>1767.570154</v>
      </c>
      <c r="N28" s="678">
        <f>'Payment Processing'!AC134</f>
        <v>1767.570154</v>
      </c>
      <c r="O28" s="669" t="s">
        <v>67</v>
      </c>
      <c r="P28" s="319">
        <v>0</v>
      </c>
      <c r="Q28" s="319">
        <v>0</v>
      </c>
      <c r="R28" s="680">
        <v>0</v>
      </c>
      <c r="T28" s="314">
        <f t="shared" si="1"/>
        <v>1767.570154</v>
      </c>
      <c r="U28" s="314">
        <f t="shared" si="2"/>
        <v>1767.570154</v>
      </c>
      <c r="V28" s="342">
        <f t="shared" si="3"/>
        <v>1767.570154</v>
      </c>
      <c r="W28" s="314">
        <f t="shared" si="4"/>
        <v>5302.710462</v>
      </c>
    </row>
    <row r="29" spans="1:23" ht="21.6" customHeight="1" thickBot="1" x14ac:dyDescent="0.3">
      <c r="A29" s="326"/>
      <c r="C29" s="335" t="s">
        <v>289</v>
      </c>
      <c r="D29" s="336">
        <v>0</v>
      </c>
      <c r="E29" s="336">
        <v>0</v>
      </c>
      <c r="F29" s="695">
        <v>0</v>
      </c>
      <c r="G29" s="686" t="s">
        <v>289</v>
      </c>
      <c r="H29" s="350">
        <v>0</v>
      </c>
      <c r="I29" s="350">
        <v>0</v>
      </c>
      <c r="J29" s="681">
        <v>0</v>
      </c>
      <c r="K29" s="671" t="s">
        <v>289</v>
      </c>
      <c r="L29" s="351">
        <f>'Payment Processing'!I135</f>
        <v>1375289.8824865601</v>
      </c>
      <c r="M29" s="351">
        <f>'Payment Processing'!S135</f>
        <v>144598.16108980749</v>
      </c>
      <c r="N29" s="693">
        <f>'Payment Processing'!AC135</f>
        <v>5005.9564236322876</v>
      </c>
      <c r="O29" s="686" t="s">
        <v>289</v>
      </c>
      <c r="P29" s="350">
        <v>0</v>
      </c>
      <c r="Q29" s="350">
        <v>0</v>
      </c>
      <c r="R29" s="681">
        <v>0</v>
      </c>
      <c r="T29" s="351">
        <f t="shared" si="1"/>
        <v>1375289.8824865601</v>
      </c>
      <c r="U29" s="351">
        <f t="shared" si="2"/>
        <v>144598.16108980749</v>
      </c>
      <c r="V29" s="352">
        <f t="shared" si="3"/>
        <v>5005.9564236322876</v>
      </c>
      <c r="W29" s="351">
        <f t="shared" si="4"/>
        <v>1524894</v>
      </c>
    </row>
    <row r="30" spans="1:23" ht="16.5" thickTop="1" thickBot="1" x14ac:dyDescent="0.3">
      <c r="F30" s="682"/>
      <c r="J30" s="682"/>
      <c r="N30" s="682"/>
      <c r="R30" s="682"/>
    </row>
    <row r="31" spans="1:23" ht="21.75" thickBot="1" x14ac:dyDescent="0.3">
      <c r="A31" s="323" t="s">
        <v>370</v>
      </c>
      <c r="C31" s="297" t="s">
        <v>67</v>
      </c>
      <c r="D31" s="412">
        <f t="shared" ref="D31:F32" si="5">D10+D13+D16+D19+D22+D25+D28</f>
        <v>748655.03792881675</v>
      </c>
      <c r="E31" s="412">
        <f t="shared" si="5"/>
        <v>76088.048636036663</v>
      </c>
      <c r="F31" s="683">
        <f t="shared" si="5"/>
        <v>45452.120933724138</v>
      </c>
      <c r="G31" s="672"/>
      <c r="H31" s="412">
        <f t="shared" ref="H31:J32" si="6">H10+H13+H16+H19+H22+H25+H28</f>
        <v>8138772.9324506409</v>
      </c>
      <c r="I31" s="412">
        <f t="shared" si="6"/>
        <v>896049.49549966003</v>
      </c>
      <c r="J31" s="683">
        <f t="shared" si="6"/>
        <v>272624.79506923264</v>
      </c>
      <c r="K31" s="672"/>
      <c r="L31" s="412">
        <f t="shared" ref="L31:N32" si="7">L10+L13+L16+L19+L22+L25+L28</f>
        <v>403256.47667900001</v>
      </c>
      <c r="M31" s="412">
        <f t="shared" si="7"/>
        <v>41466.982129999997</v>
      </c>
      <c r="N31" s="683">
        <f t="shared" si="7"/>
        <v>4041.0284739999997</v>
      </c>
      <c r="O31" s="687"/>
      <c r="P31" s="412">
        <f>P10+P13+P16+P19+P22+P25+P28</f>
        <v>2288360.2970152679</v>
      </c>
      <c r="Q31" s="412">
        <f t="shared" ref="P31:R32" si="8">Q10+Q13+Q16+Q19+Q22+Q25+Q28</f>
        <v>149477.48080620184</v>
      </c>
      <c r="R31" s="683">
        <f t="shared" si="8"/>
        <v>1028.0626580825938</v>
      </c>
      <c r="T31" s="408">
        <f t="shared" ref="T31:V32" si="9">D31+H31+L31+P31</f>
        <v>11579044.744073724</v>
      </c>
      <c r="U31" s="408">
        <f t="shared" si="9"/>
        <v>1163082.0070718986</v>
      </c>
      <c r="V31" s="408">
        <f t="shared" si="9"/>
        <v>323146.00713503937</v>
      </c>
      <c r="W31" s="409">
        <f>SUM(T31:V31)</f>
        <v>13065272.758280663</v>
      </c>
    </row>
    <row r="32" spans="1:23" ht="21.75" thickBot="1" x14ac:dyDescent="0.3">
      <c r="A32" s="325"/>
      <c r="C32" s="297" t="s">
        <v>289</v>
      </c>
      <c r="D32" s="412">
        <f t="shared" si="5"/>
        <v>88008</v>
      </c>
      <c r="E32" s="412">
        <f t="shared" si="5"/>
        <v>8686</v>
      </c>
      <c r="F32" s="683">
        <f t="shared" si="5"/>
        <v>1893</v>
      </c>
      <c r="G32" s="672"/>
      <c r="H32" s="412">
        <f t="shared" si="6"/>
        <v>3952239.6242919867</v>
      </c>
      <c r="I32" s="412">
        <f t="shared" si="6"/>
        <v>453627.72717165994</v>
      </c>
      <c r="J32" s="683">
        <f t="shared" si="6"/>
        <v>30903.661536353458</v>
      </c>
      <c r="K32" s="672"/>
      <c r="L32" s="412">
        <f t="shared" si="7"/>
        <v>1622810.6384865602</v>
      </c>
      <c r="M32" s="412">
        <f t="shared" si="7"/>
        <v>160710.86508980748</v>
      </c>
      <c r="N32" s="683">
        <f t="shared" si="7"/>
        <v>5042.4964236322876</v>
      </c>
      <c r="O32" s="687"/>
      <c r="P32" s="412">
        <f t="shared" si="8"/>
        <v>563399.12744690129</v>
      </c>
      <c r="Q32" s="412">
        <f t="shared" si="8"/>
        <v>28735.492491443452</v>
      </c>
      <c r="R32" s="683">
        <f t="shared" si="8"/>
        <v>78.917260455323301</v>
      </c>
      <c r="T32" s="408">
        <f t="shared" si="9"/>
        <v>6226457.3902254477</v>
      </c>
      <c r="U32" s="408">
        <f t="shared" si="9"/>
        <v>651760.08475291077</v>
      </c>
      <c r="V32" s="408">
        <f t="shared" si="9"/>
        <v>37918.075220441067</v>
      </c>
      <c r="W32" s="409">
        <f>SUM(T32:V32)</f>
        <v>6916135.5501987999</v>
      </c>
    </row>
    <row r="33" spans="1:25" ht="19.899999999999999" customHeight="1" thickBot="1" x14ac:dyDescent="0.3">
      <c r="A33" s="326"/>
      <c r="C33" s="379" t="s">
        <v>34</v>
      </c>
      <c r="D33" s="412">
        <f>D9+D12+D15+D18+D21+D24+D27</f>
        <v>836663.03792881675</v>
      </c>
      <c r="E33" s="412">
        <f>E9+E12+E15+E18+E21+E24+E27</f>
        <v>84774.048636036663</v>
      </c>
      <c r="F33" s="683">
        <f>F9+F12+F15+F18+F21+F24+F27</f>
        <v>47345.120933724138</v>
      </c>
      <c r="G33" s="672"/>
      <c r="H33" s="412">
        <f>H9+H12+H15+H18+H21+H24+H27</f>
        <v>12091012.556742627</v>
      </c>
      <c r="I33" s="412">
        <f>I9+I12+I15+I18+I21+I24+I27</f>
        <v>1349677.22267132</v>
      </c>
      <c r="J33" s="683">
        <f>J9+J12+J15+J18+J21+J24+J27</f>
        <v>303528.45660558605</v>
      </c>
      <c r="K33" s="672"/>
      <c r="L33" s="412">
        <f>L9+L12+L15+L18+L21+L24+L27</f>
        <v>2026067.1151655603</v>
      </c>
      <c r="M33" s="412">
        <f>M9+M12+M15+M18+M21+M24+M27</f>
        <v>202177.84721980747</v>
      </c>
      <c r="N33" s="683">
        <f>N9+N12+N15+N18+N21+N24+N27</f>
        <v>9083.5248976322873</v>
      </c>
      <c r="O33" s="687"/>
      <c r="P33" s="412">
        <f>P9+P12+P15+P18+P21+P24+P27</f>
        <v>2851759.4244621689</v>
      </c>
      <c r="Q33" s="412">
        <f>Q9+Q12+Q15+Q18+Q21+Q24+Q27</f>
        <v>178212.97329764528</v>
      </c>
      <c r="R33" s="683">
        <f>R9+R12+R15+R18+R21+R24+R27</f>
        <v>1106.979918537917</v>
      </c>
      <c r="T33" s="410">
        <f t="shared" ref="T33" si="10">D33+H33+L33+P33</f>
        <v>17805502.13429917</v>
      </c>
      <c r="U33" s="410">
        <f t="shared" ref="U33" si="11">E33+I33+M33+Q33</f>
        <v>1814842.0918248096</v>
      </c>
      <c r="V33" s="410">
        <f t="shared" ref="V33" si="12">F33+J33+N33+R33</f>
        <v>361064.08235548041</v>
      </c>
      <c r="W33" s="411">
        <f t="shared" ref="W33" si="13">SUM(T33:V33)</f>
        <v>19981408.308479462</v>
      </c>
      <c r="Y33" s="411">
        <v>20385877.282041486</v>
      </c>
    </row>
    <row r="34" spans="1:25" ht="19.899999999999999" customHeight="1" x14ac:dyDescent="0.25">
      <c r="A34" s="634" t="s">
        <v>555</v>
      </c>
      <c r="C34" s="634" t="s">
        <v>0</v>
      </c>
      <c r="D34" s="661">
        <f>SUM(D33:F33)</f>
        <v>968782.20749857754</v>
      </c>
      <c r="E34" s="636"/>
      <c r="F34" s="684"/>
      <c r="G34" s="634" t="s">
        <v>1</v>
      </c>
      <c r="H34" s="661">
        <f>SUM(H33:J33)</f>
        <v>13744218.236019533</v>
      </c>
      <c r="I34" s="636"/>
      <c r="J34" s="684"/>
      <c r="K34" s="634" t="s">
        <v>249</v>
      </c>
      <c r="L34" s="661">
        <f>SUM(L33:N33)</f>
        <v>2237328.4872829998</v>
      </c>
      <c r="M34" s="636"/>
      <c r="N34" s="684"/>
      <c r="O34" s="634" t="s">
        <v>3</v>
      </c>
      <c r="P34" s="661">
        <f>SUM(P33:R33)</f>
        <v>3031079.3776783524</v>
      </c>
      <c r="Q34" s="636"/>
      <c r="R34" s="684"/>
      <c r="T34" s="661"/>
      <c r="U34" s="661"/>
      <c r="V34" s="661"/>
      <c r="W34" s="661"/>
    </row>
    <row r="35" spans="1:25" ht="21" x14ac:dyDescent="0.25">
      <c r="B35"/>
      <c r="C35"/>
      <c r="D35"/>
      <c r="E35"/>
      <c r="F35" s="684"/>
      <c r="G35" s="634"/>
      <c r="H35"/>
      <c r="I35"/>
      <c r="J35" s="684"/>
      <c r="K35" s="634"/>
      <c r="L35"/>
      <c r="M35"/>
      <c r="N35" s="684"/>
      <c r="O35" s="634"/>
      <c r="P35"/>
      <c r="Q35"/>
      <c r="R35" s="684"/>
      <c r="S35" s="634"/>
    </row>
    <row r="36" spans="1:25" ht="31.5" x14ac:dyDescent="0.25">
      <c r="C36" s="635" t="s">
        <v>498</v>
      </c>
      <c r="D36" s="638">
        <f>D33/(T$6)</f>
        <v>1.2888950751600856</v>
      </c>
      <c r="E36" s="638">
        <f>E33/(U$6)</f>
        <v>1.3436789500251487</v>
      </c>
      <c r="F36" s="696">
        <f>F33/(V$6)</f>
        <v>22.971916998410546</v>
      </c>
      <c r="G36" s="634"/>
      <c r="H36" s="638">
        <f>H33/(T$6)</f>
        <v>18.62643122930718</v>
      </c>
      <c r="I36" s="638">
        <f>I33/(U$6)</f>
        <v>21.392547632329808</v>
      </c>
      <c r="J36" s="696">
        <f>J33/(V$6)</f>
        <v>147.27241950780498</v>
      </c>
      <c r="K36" s="634"/>
      <c r="L36" s="638">
        <f>L33/(T$6)</f>
        <v>3.1211943259083825</v>
      </c>
      <c r="M36" s="638">
        <f>M33/(U$6)</f>
        <v>3.2045433931909062</v>
      </c>
      <c r="N36" s="696">
        <f>N33/(V$6)</f>
        <v>4.4073386208793242</v>
      </c>
      <c r="O36" s="634"/>
      <c r="P36" s="638">
        <f>P33/(T$6)</f>
        <v>4.3931887882005034</v>
      </c>
      <c r="Q36" s="638">
        <f>Q33/(U$6)</f>
        <v>2.8246972357015308</v>
      </c>
      <c r="R36" s="696">
        <f>R33/(V$6)</f>
        <v>0.53710816037744635</v>
      </c>
      <c r="S36" s="634"/>
      <c r="T36" s="638">
        <f>(T33/T6)</f>
        <v>27.429709418576145</v>
      </c>
      <c r="U36" s="638">
        <f>(U33/U6)</f>
        <v>28.765467211247397</v>
      </c>
      <c r="V36" s="638">
        <f>(V33/V6)</f>
        <v>175.18878328747229</v>
      </c>
      <c r="W36" s="638">
        <f>(W33/W6)</f>
        <v>27.974038769564295</v>
      </c>
    </row>
    <row r="38" spans="1:25" x14ac:dyDescent="0.25">
      <c r="C38" s="760" t="s">
        <v>496</v>
      </c>
      <c r="D38" s="760"/>
      <c r="E38" s="760"/>
      <c r="F38" s="760"/>
      <c r="G38" s="760"/>
      <c r="H38" s="760"/>
      <c r="I38" s="760"/>
      <c r="J38" s="760"/>
      <c r="K38" s="760"/>
      <c r="L38" s="760"/>
      <c r="M38" s="760"/>
      <c r="N38" s="760"/>
      <c r="O38" s="760"/>
      <c r="P38" s="760"/>
      <c r="Q38" s="760"/>
      <c r="R38" s="760"/>
      <c r="S38" s="760"/>
      <c r="T38" s="760"/>
    </row>
    <row r="39" spans="1:25" x14ac:dyDescent="0.25">
      <c r="C39" s="760"/>
      <c r="D39" s="760"/>
      <c r="E39" s="760"/>
      <c r="F39" s="760"/>
      <c r="G39" s="760"/>
      <c r="H39" s="760"/>
      <c r="I39" s="760"/>
      <c r="J39" s="760"/>
      <c r="K39" s="760"/>
      <c r="L39" s="760"/>
      <c r="M39" s="760"/>
      <c r="N39" s="760"/>
      <c r="O39" s="760"/>
      <c r="P39" s="760"/>
      <c r="Q39" s="760"/>
      <c r="R39" s="760"/>
      <c r="S39" s="760"/>
      <c r="T39" s="760"/>
    </row>
    <row r="40" spans="1:25" x14ac:dyDescent="0.25">
      <c r="C40" s="768" t="s">
        <v>550</v>
      </c>
      <c r="D40" s="768"/>
      <c r="E40" s="768"/>
      <c r="F40" s="768"/>
      <c r="G40" s="768"/>
      <c r="H40" s="768"/>
      <c r="I40" s="768"/>
      <c r="J40" s="768"/>
      <c r="K40" s="768"/>
      <c r="L40" s="768"/>
      <c r="M40" s="768"/>
      <c r="N40" s="768"/>
      <c r="O40" s="768"/>
      <c r="P40" s="768"/>
      <c r="Q40" s="768"/>
      <c r="R40" s="768"/>
      <c r="S40" s="768"/>
      <c r="T40" s="768"/>
    </row>
    <row r="46" spans="1:25" x14ac:dyDescent="0.25">
      <c r="O46" s="486"/>
      <c r="P46" s="486"/>
    </row>
    <row r="47" spans="1:25" x14ac:dyDescent="0.25">
      <c r="O47" s="486"/>
      <c r="P47" s="486"/>
    </row>
    <row r="48" spans="1:25" x14ac:dyDescent="0.25">
      <c r="O48" s="486"/>
      <c r="P48" s="486"/>
    </row>
    <row r="49" spans="14:17" x14ac:dyDescent="0.25">
      <c r="O49" s="486"/>
      <c r="P49" s="486"/>
    </row>
    <row r="50" spans="14:17" x14ac:dyDescent="0.25">
      <c r="N50" s="298"/>
      <c r="O50" s="486"/>
      <c r="P50" s="486"/>
      <c r="Q50" s="298"/>
    </row>
    <row r="51" spans="14:17" x14ac:dyDescent="0.25">
      <c r="N51" s="298"/>
      <c r="O51" s="486"/>
      <c r="P51" s="486"/>
      <c r="Q51" s="298"/>
    </row>
    <row r="52" spans="14:17" x14ac:dyDescent="0.25">
      <c r="N52" s="298"/>
      <c r="O52" s="298"/>
      <c r="P52" s="298"/>
      <c r="Q52" s="298"/>
    </row>
    <row r="53" spans="14:17" x14ac:dyDescent="0.25">
      <c r="N53" s="298"/>
      <c r="O53" s="298"/>
      <c r="P53" s="298"/>
      <c r="Q53" s="298"/>
    </row>
    <row r="54" spans="14:17" x14ac:dyDescent="0.25">
      <c r="N54" s="298"/>
      <c r="O54" s="298"/>
      <c r="P54" s="298"/>
      <c r="Q54" s="298"/>
    </row>
  </sheetData>
  <mergeCells count="9">
    <mergeCell ref="C40:T40"/>
    <mergeCell ref="G2:M2"/>
    <mergeCell ref="W7:W8"/>
    <mergeCell ref="I1:N1"/>
    <mergeCell ref="C38:T39"/>
    <mergeCell ref="T7:T8"/>
    <mergeCell ref="U7:U8"/>
    <mergeCell ref="V7:V8"/>
    <mergeCell ref="T4:W4"/>
  </mergeCells>
  <printOptions horizontalCentered="1"/>
  <pageMargins left="0.04" right="0.1" top="0.6" bottom="0.4" header="0.44" footer="0.3"/>
  <pageSetup paperSize="17" scale="32" orientation="landscape" r:id="rId1"/>
  <headerFooter>
    <oddHeader>&amp;RExh. RJW-2 Wyman WP5</oddHeader>
    <oddFooter>&amp;L&amp;Z&amp;F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92D050"/>
  </sheetPr>
  <dimension ref="A1:H391"/>
  <sheetViews>
    <sheetView zoomScaleNormal="100" workbookViewId="0">
      <selection activeCell="C376" sqref="C376"/>
    </sheetView>
  </sheetViews>
  <sheetFormatPr defaultRowHeight="15" x14ac:dyDescent="0.25"/>
  <cols>
    <col min="1" max="1" width="32" customWidth="1"/>
    <col min="2" max="2" width="18.140625" bestFit="1" customWidth="1"/>
    <col min="3" max="3" width="24" bestFit="1" customWidth="1"/>
    <col min="4" max="4" width="16" bestFit="1" customWidth="1"/>
    <col min="5" max="5" width="22.7109375" bestFit="1" customWidth="1"/>
    <col min="6" max="6" width="22.28515625" bestFit="1" customWidth="1"/>
    <col min="7" max="7" width="18.5703125" hidden="1" customWidth="1"/>
    <col min="8" max="8" width="19.140625" hidden="1" customWidth="1"/>
    <col min="9" max="10" width="13.7109375" bestFit="1" customWidth="1"/>
  </cols>
  <sheetData>
    <row r="1" spans="1:8" ht="33.75" customHeight="1" thickBot="1" x14ac:dyDescent="0.3">
      <c r="B1" s="802"/>
      <c r="C1" s="803"/>
      <c r="D1" s="140"/>
      <c r="E1" s="141" t="s">
        <v>130</v>
      </c>
      <c r="F1" s="198" t="s">
        <v>54</v>
      </c>
      <c r="G1" s="141" t="s">
        <v>131</v>
      </c>
      <c r="H1" s="141" t="s">
        <v>132</v>
      </c>
    </row>
    <row r="2" spans="1:8" ht="15.75" thickBot="1" x14ac:dyDescent="0.3">
      <c r="A2" t="s">
        <v>220</v>
      </c>
      <c r="B2" s="141" t="s">
        <v>55</v>
      </c>
      <c r="C2" s="141" t="s">
        <v>56</v>
      </c>
      <c r="D2" s="142"/>
      <c r="E2" s="140" t="s">
        <v>57</v>
      </c>
      <c r="F2" s="140" t="s">
        <v>57</v>
      </c>
      <c r="G2" s="140" t="s">
        <v>57</v>
      </c>
      <c r="H2" s="140" t="s">
        <v>29</v>
      </c>
    </row>
    <row r="3" spans="1:8" ht="15" hidden="1" customHeight="1" thickBot="1" x14ac:dyDescent="0.3">
      <c r="B3" s="811" t="s">
        <v>58</v>
      </c>
      <c r="C3" s="812"/>
      <c r="D3" s="813"/>
      <c r="E3" s="143">
        <v>41992615.32</v>
      </c>
      <c r="F3" s="143">
        <v>38467496.659999996</v>
      </c>
      <c r="G3" s="143">
        <v>-3525.1186600000001</v>
      </c>
      <c r="H3" s="191">
        <v>-8.3946156559605398E-2</v>
      </c>
    </row>
    <row r="4" spans="1:8" ht="15" hidden="1" customHeight="1" thickBot="1" x14ac:dyDescent="0.3">
      <c r="A4" s="199" t="str">
        <f>B4&amp;C4</f>
        <v>CUST SEG SRVCSALARY PAYROLL</v>
      </c>
      <c r="B4" s="144" t="s">
        <v>133</v>
      </c>
      <c r="C4" s="145" t="s">
        <v>59</v>
      </c>
      <c r="D4" s="146" t="s">
        <v>60</v>
      </c>
      <c r="E4" s="147">
        <v>415804.1</v>
      </c>
      <c r="F4" s="147">
        <v>387502.25999999995</v>
      </c>
      <c r="G4" s="147">
        <v>-28.301839999999999</v>
      </c>
      <c r="H4" s="192">
        <v>-6.8065322107213402E-2</v>
      </c>
    </row>
    <row r="5" spans="1:8" ht="23.25" hidden="1" thickBot="1" x14ac:dyDescent="0.3">
      <c r="A5" s="199" t="str">
        <f t="shared" ref="A5:A68" si="0">B5&amp;C5</f>
        <v>CUST SEG SRVCSALARY BONUS PAYROLL</v>
      </c>
      <c r="B5" s="144" t="s">
        <v>133</v>
      </c>
      <c r="C5" s="145" t="s">
        <v>134</v>
      </c>
      <c r="D5" s="146" t="s">
        <v>135</v>
      </c>
      <c r="E5" s="151">
        <v>0</v>
      </c>
      <c r="F5" s="148">
        <v>356.91</v>
      </c>
      <c r="G5" s="148">
        <v>0.35691000000000001</v>
      </c>
      <c r="H5" s="151" t="s">
        <v>136</v>
      </c>
    </row>
    <row r="6" spans="1:8" ht="15.75" hidden="1" thickBot="1" x14ac:dyDescent="0.3">
      <c r="A6" s="199" t="str">
        <f t="shared" si="0"/>
        <v>CUST SEG SRVCVACATION, SICK &amp; HOL</v>
      </c>
      <c r="B6" s="144" t="s">
        <v>133</v>
      </c>
      <c r="C6" s="145" t="s">
        <v>61</v>
      </c>
      <c r="D6" s="146" t="s">
        <v>62</v>
      </c>
      <c r="E6" s="147">
        <v>64740.719999999994</v>
      </c>
      <c r="F6" s="147">
        <v>61042.299999999996</v>
      </c>
      <c r="G6" s="147">
        <v>-3.69842</v>
      </c>
      <c r="H6" s="192">
        <v>-5.7126643015400484E-2</v>
      </c>
    </row>
    <row r="7" spans="1:8" ht="15.75" hidden="1" thickBot="1" x14ac:dyDescent="0.3">
      <c r="A7" s="199" t="str">
        <f t="shared" si="0"/>
        <v>CUST SEG SRVCPAYROLL OVERHEAD</v>
      </c>
      <c r="B7" s="144" t="s">
        <v>133</v>
      </c>
      <c r="C7" s="145" t="s">
        <v>63</v>
      </c>
      <c r="D7" s="146" t="s">
        <v>64</v>
      </c>
      <c r="E7" s="148">
        <v>345200.51999999996</v>
      </c>
      <c r="F7" s="148">
        <v>325741.10000000003</v>
      </c>
      <c r="G7" s="148">
        <v>-19.459420000000001</v>
      </c>
      <c r="H7" s="193">
        <v>-5.6371351931914927E-2</v>
      </c>
    </row>
    <row r="8" spans="1:8" ht="15.75" thickBot="1" x14ac:dyDescent="0.3">
      <c r="A8" s="354" t="str">
        <f t="shared" si="0"/>
        <v>CUST SEG SRVCPayroll</v>
      </c>
      <c r="B8" s="144" t="s">
        <v>133</v>
      </c>
      <c r="C8" s="149" t="s">
        <v>67</v>
      </c>
      <c r="D8" s="150" t="s">
        <v>68</v>
      </c>
      <c r="E8" s="195">
        <v>825745.34000000008</v>
      </c>
      <c r="F8" s="195">
        <v>774642.57</v>
      </c>
      <c r="G8" s="195">
        <v>-51.10277</v>
      </c>
      <c r="H8" s="196">
        <v>-6.1886840318105971E-2</v>
      </c>
    </row>
    <row r="9" spans="1:8" ht="15.75" hidden="1" thickBot="1" x14ac:dyDescent="0.3">
      <c r="A9" s="199" t="str">
        <f t="shared" si="0"/>
        <v>CUST SEG SRVCEDUCATION</v>
      </c>
      <c r="B9" s="144" t="s">
        <v>133</v>
      </c>
      <c r="C9" s="145" t="s">
        <v>69</v>
      </c>
      <c r="D9" s="146" t="s">
        <v>70</v>
      </c>
      <c r="E9" s="195">
        <v>3000</v>
      </c>
      <c r="F9" s="195">
        <v>509.38000000000005</v>
      </c>
      <c r="G9" s="195">
        <v>-2.4906199999999998</v>
      </c>
      <c r="H9" s="196">
        <v>-0.83020666666666676</v>
      </c>
    </row>
    <row r="10" spans="1:8" ht="15.75" hidden="1" thickBot="1" x14ac:dyDescent="0.3">
      <c r="A10" s="199" t="str">
        <f t="shared" si="0"/>
        <v>CUST SEG SRVCMILEAGE REIMBURSE</v>
      </c>
      <c r="B10" s="144" t="s">
        <v>133</v>
      </c>
      <c r="C10" s="145" t="s">
        <v>137</v>
      </c>
      <c r="D10" s="146" t="s">
        <v>138</v>
      </c>
      <c r="E10" s="195">
        <v>12000</v>
      </c>
      <c r="F10" s="195">
        <v>10716.34</v>
      </c>
      <c r="G10" s="195">
        <v>-1.28366</v>
      </c>
      <c r="H10" s="196">
        <v>-0.10697166666666683</v>
      </c>
    </row>
    <row r="11" spans="1:8" ht="15.75" hidden="1" thickBot="1" x14ac:dyDescent="0.3">
      <c r="A11" s="199" t="str">
        <f t="shared" si="0"/>
        <v>CUST SEG SRVCDUES/MEMBERSHIP</v>
      </c>
      <c r="B11" s="144" t="s">
        <v>133</v>
      </c>
      <c r="C11" s="145" t="s">
        <v>139</v>
      </c>
      <c r="D11" s="146" t="s">
        <v>140</v>
      </c>
      <c r="E11" s="195">
        <v>5200</v>
      </c>
      <c r="F11" s="195">
        <v>3140</v>
      </c>
      <c r="G11" s="195">
        <v>-2.06</v>
      </c>
      <c r="H11" s="196">
        <v>-0.39615384615384613</v>
      </c>
    </row>
    <row r="12" spans="1:8" ht="15.75" hidden="1" thickBot="1" x14ac:dyDescent="0.3">
      <c r="A12" s="199" t="str">
        <f t="shared" si="0"/>
        <v>CUST SEG SRVCOTHER CONTRACT WORK</v>
      </c>
      <c r="B12" s="144" t="s">
        <v>133</v>
      </c>
      <c r="C12" s="145" t="s">
        <v>101</v>
      </c>
      <c r="D12" s="146" t="s">
        <v>102</v>
      </c>
      <c r="E12" s="194">
        <v>0</v>
      </c>
      <c r="F12" s="147">
        <v>922.89</v>
      </c>
      <c r="G12" s="147">
        <v>0.92288999999999999</v>
      </c>
      <c r="H12" s="194" t="s">
        <v>136</v>
      </c>
    </row>
    <row r="13" spans="1:8" ht="15.75" hidden="1" thickBot="1" x14ac:dyDescent="0.3">
      <c r="A13" s="199" t="str">
        <f t="shared" si="0"/>
        <v>CUST SEG SRVCMISCELLANEOUS</v>
      </c>
      <c r="B13" s="144" t="s">
        <v>133</v>
      </c>
      <c r="C13" s="145" t="s">
        <v>103</v>
      </c>
      <c r="D13" s="146" t="s">
        <v>104</v>
      </c>
      <c r="E13" s="151">
        <v>0</v>
      </c>
      <c r="F13" s="148">
        <v>107.88000000000001</v>
      </c>
      <c r="G13" s="148">
        <v>0.10788</v>
      </c>
      <c r="H13" s="151" t="s">
        <v>136</v>
      </c>
    </row>
    <row r="14" spans="1:8" ht="15.75" hidden="1" thickBot="1" x14ac:dyDescent="0.3">
      <c r="A14" s="199" t="str">
        <f t="shared" si="0"/>
        <v>CUST SEG SRVCPOSTAGE</v>
      </c>
      <c r="B14" s="144" t="s">
        <v>133</v>
      </c>
      <c r="C14" s="145" t="s">
        <v>109</v>
      </c>
      <c r="D14" s="146" t="s">
        <v>110</v>
      </c>
      <c r="E14" s="194">
        <v>0</v>
      </c>
      <c r="F14" s="147">
        <v>5.75</v>
      </c>
      <c r="G14" s="147">
        <v>5.7499999999999999E-3</v>
      </c>
      <c r="H14" s="194" t="s">
        <v>136</v>
      </c>
    </row>
    <row r="15" spans="1:8" ht="15.75" hidden="1" thickBot="1" x14ac:dyDescent="0.3">
      <c r="A15" s="199" t="str">
        <f t="shared" si="0"/>
        <v>CUST SEG SRVCOFFICE SUPPLIES</v>
      </c>
      <c r="B15" s="144" t="s">
        <v>133</v>
      </c>
      <c r="C15" s="145" t="s">
        <v>73</v>
      </c>
      <c r="D15" s="146" t="s">
        <v>74</v>
      </c>
      <c r="E15" s="151">
        <v>0</v>
      </c>
      <c r="F15" s="148">
        <v>1037.3499999999999</v>
      </c>
      <c r="G15" s="148">
        <v>1.03735</v>
      </c>
      <c r="H15" s="151" t="s">
        <v>136</v>
      </c>
    </row>
    <row r="16" spans="1:8" ht="15.75" hidden="1" thickBot="1" x14ac:dyDescent="0.3">
      <c r="A16" s="199" t="str">
        <f t="shared" si="0"/>
        <v>CUST SEG SRVCPRINTING</v>
      </c>
      <c r="B16" s="144" t="s">
        <v>133</v>
      </c>
      <c r="C16" s="145" t="s">
        <v>111</v>
      </c>
      <c r="D16" s="146" t="s">
        <v>112</v>
      </c>
      <c r="E16" s="194">
        <v>0</v>
      </c>
      <c r="F16" s="147">
        <v>160.89000000000001</v>
      </c>
      <c r="G16" s="147">
        <v>0.16089000000000001</v>
      </c>
      <c r="H16" s="194" t="s">
        <v>136</v>
      </c>
    </row>
    <row r="17" spans="1:8" ht="15.75" hidden="1" thickBot="1" x14ac:dyDescent="0.3">
      <c r="A17" s="199" t="str">
        <f t="shared" si="0"/>
        <v>CUST SEG SRVCBOOKS AND MAGAZINES</v>
      </c>
      <c r="B17" s="144" t="s">
        <v>133</v>
      </c>
      <c r="C17" s="145" t="s">
        <v>141</v>
      </c>
      <c r="D17" s="146" t="s">
        <v>142</v>
      </c>
      <c r="E17" s="151">
        <v>0</v>
      </c>
      <c r="F17" s="148">
        <v>971.28000000000009</v>
      </c>
      <c r="G17" s="148">
        <v>0.97128000000000003</v>
      </c>
      <c r="H17" s="151" t="s">
        <v>136</v>
      </c>
    </row>
    <row r="18" spans="1:8" ht="15.75" hidden="1" thickBot="1" x14ac:dyDescent="0.3">
      <c r="A18" s="199" t="str">
        <f t="shared" si="0"/>
        <v>CUST SEG SRVCREFRESHMENTS</v>
      </c>
      <c r="B18" s="144" t="s">
        <v>133</v>
      </c>
      <c r="C18" s="145" t="s">
        <v>113</v>
      </c>
      <c r="D18" s="146" t="s">
        <v>114</v>
      </c>
      <c r="E18" s="194">
        <v>0</v>
      </c>
      <c r="F18" s="147">
        <v>281.52</v>
      </c>
      <c r="G18" s="147">
        <v>0.28151999999999999</v>
      </c>
      <c r="H18" s="194" t="s">
        <v>136</v>
      </c>
    </row>
    <row r="19" spans="1:8" ht="15.75" hidden="1" thickBot="1" x14ac:dyDescent="0.3">
      <c r="A19" s="199" t="str">
        <f t="shared" si="0"/>
        <v>CUST SEG SRVCDEALER RELATIONS</v>
      </c>
      <c r="B19" s="144" t="s">
        <v>133</v>
      </c>
      <c r="C19" s="145" t="s">
        <v>143</v>
      </c>
      <c r="D19" s="146" t="s">
        <v>144</v>
      </c>
      <c r="E19" s="195">
        <v>7000</v>
      </c>
      <c r="F19" s="195">
        <v>2516.5299999999997</v>
      </c>
      <c r="G19" s="195">
        <v>-4.4834699999999996</v>
      </c>
      <c r="H19" s="196">
        <v>-0.64049571428571428</v>
      </c>
    </row>
    <row r="20" spans="1:8" ht="15.75" hidden="1" thickBot="1" x14ac:dyDescent="0.3">
      <c r="A20" s="199" t="str">
        <f t="shared" si="0"/>
        <v>CUST SEG SRVCPARKING</v>
      </c>
      <c r="B20" s="144" t="s">
        <v>133</v>
      </c>
      <c r="C20" s="145" t="s">
        <v>145</v>
      </c>
      <c r="D20" s="146" t="s">
        <v>146</v>
      </c>
      <c r="E20" s="194">
        <v>0</v>
      </c>
      <c r="F20" s="147">
        <v>93.149999999999991</v>
      </c>
      <c r="G20" s="147">
        <v>9.3149999999999997E-2</v>
      </c>
      <c r="H20" s="194" t="s">
        <v>136</v>
      </c>
    </row>
    <row r="21" spans="1:8" ht="15.75" hidden="1" thickBot="1" x14ac:dyDescent="0.3">
      <c r="A21" s="199" t="str">
        <f t="shared" si="0"/>
        <v>CUST SEG SRVCLAUNDRY</v>
      </c>
      <c r="B21" s="144" t="s">
        <v>133</v>
      </c>
      <c r="C21" s="145" t="s">
        <v>147</v>
      </c>
      <c r="D21" s="146" t="s">
        <v>148</v>
      </c>
      <c r="E21" s="151">
        <v>0</v>
      </c>
      <c r="F21" s="148">
        <v>67.25</v>
      </c>
      <c r="G21" s="148">
        <v>6.7250000000000004E-2</v>
      </c>
      <c r="H21" s="151" t="s">
        <v>136</v>
      </c>
    </row>
    <row r="22" spans="1:8" ht="15.75" hidden="1" thickBot="1" x14ac:dyDescent="0.3">
      <c r="A22" s="199" t="str">
        <f t="shared" si="0"/>
        <v>CUST SEG SRVCPROFESSIONAL SERVICE</v>
      </c>
      <c r="B22" s="144" t="s">
        <v>133</v>
      </c>
      <c r="C22" s="145" t="s">
        <v>149</v>
      </c>
      <c r="D22" s="146" t="s">
        <v>150</v>
      </c>
      <c r="E22" s="195">
        <v>14500</v>
      </c>
      <c r="F22" s="195">
        <v>10025</v>
      </c>
      <c r="G22" s="195">
        <v>-4.4749999999999996</v>
      </c>
      <c r="H22" s="196">
        <v>-0.30862068965517242</v>
      </c>
    </row>
    <row r="23" spans="1:8" ht="15.75" hidden="1" thickBot="1" x14ac:dyDescent="0.3">
      <c r="A23" s="199" t="str">
        <f t="shared" si="0"/>
        <v>CUST SEG SRVCPERMITS AND FEES</v>
      </c>
      <c r="B23" s="144" t="s">
        <v>133</v>
      </c>
      <c r="C23" s="145" t="s">
        <v>151</v>
      </c>
      <c r="D23" s="146" t="s">
        <v>152</v>
      </c>
      <c r="E23" s="151">
        <v>0</v>
      </c>
      <c r="F23" s="148">
        <v>128</v>
      </c>
      <c r="G23" s="148">
        <v>0.128</v>
      </c>
      <c r="H23" s="151" t="s">
        <v>136</v>
      </c>
    </row>
    <row r="24" spans="1:8" ht="15.75" hidden="1" thickBot="1" x14ac:dyDescent="0.3">
      <c r="A24" s="199" t="str">
        <f t="shared" si="0"/>
        <v>CUST SEG SRVCCORPORATE IDENTITY</v>
      </c>
      <c r="B24" s="144" t="s">
        <v>133</v>
      </c>
      <c r="C24" s="145" t="s">
        <v>153</v>
      </c>
      <c r="D24" s="146" t="s">
        <v>154</v>
      </c>
      <c r="E24" s="195">
        <v>11500</v>
      </c>
      <c r="F24" s="195">
        <v>2967.13</v>
      </c>
      <c r="G24" s="195">
        <v>-8.5328700000000008</v>
      </c>
      <c r="H24" s="196">
        <v>-0.74198869565217374</v>
      </c>
    </row>
    <row r="25" spans="1:8" ht="15.75" hidden="1" thickBot="1" x14ac:dyDescent="0.3">
      <c r="A25" s="199" t="str">
        <f t="shared" si="0"/>
        <v>CUST SEG SRVCMEALS AND ENTERTAIN</v>
      </c>
      <c r="B25" s="144" t="s">
        <v>133</v>
      </c>
      <c r="C25" s="145" t="s">
        <v>75</v>
      </c>
      <c r="D25" s="146" t="s">
        <v>76</v>
      </c>
      <c r="E25" s="195">
        <v>18600</v>
      </c>
      <c r="F25" s="195">
        <v>10363.98</v>
      </c>
      <c r="G25" s="195">
        <v>-8.2360199999999999</v>
      </c>
      <c r="H25" s="196">
        <v>-0.4427967741935484</v>
      </c>
    </row>
    <row r="26" spans="1:8" ht="15.75" hidden="1" thickBot="1" x14ac:dyDescent="0.3">
      <c r="A26" s="199" t="str">
        <f t="shared" si="0"/>
        <v>CUST SEG SRVCTRAVEL IN TERRITORY</v>
      </c>
      <c r="B26" s="144" t="s">
        <v>133</v>
      </c>
      <c r="C26" s="145" t="s">
        <v>121</v>
      </c>
      <c r="D26" s="146" t="s">
        <v>122</v>
      </c>
      <c r="E26" s="194">
        <v>0</v>
      </c>
      <c r="F26" s="147">
        <v>109.39999999999999</v>
      </c>
      <c r="G26" s="147">
        <v>0.1094</v>
      </c>
      <c r="H26" s="194" t="s">
        <v>136</v>
      </c>
    </row>
    <row r="27" spans="1:8" ht="15.75" hidden="1" thickBot="1" x14ac:dyDescent="0.3">
      <c r="A27" s="199" t="str">
        <f t="shared" si="0"/>
        <v>CUST SEG SRVCCONFERENCE TRAVEL</v>
      </c>
      <c r="B27" s="144" t="s">
        <v>133</v>
      </c>
      <c r="C27" s="145" t="s">
        <v>77</v>
      </c>
      <c r="D27" s="146" t="s">
        <v>78</v>
      </c>
      <c r="E27" s="195">
        <v>17000</v>
      </c>
      <c r="F27" s="195">
        <v>8992.75</v>
      </c>
      <c r="G27" s="195">
        <v>-8.0072500000000009</v>
      </c>
      <c r="H27" s="196">
        <v>-0.47101470588235295</v>
      </c>
    </row>
    <row r="28" spans="1:8" ht="15.75" hidden="1" thickBot="1" x14ac:dyDescent="0.3">
      <c r="A28" s="199" t="str">
        <f t="shared" si="0"/>
        <v>CUST SEG SRVCBUSINESS TRAVEL</v>
      </c>
      <c r="B28" s="144" t="s">
        <v>133</v>
      </c>
      <c r="C28" s="145" t="s">
        <v>79</v>
      </c>
      <c r="D28" s="146" t="s">
        <v>80</v>
      </c>
      <c r="E28" s="147">
        <v>0</v>
      </c>
      <c r="F28" s="194">
        <v>0</v>
      </c>
      <c r="G28" s="147">
        <v>0</v>
      </c>
      <c r="H28" s="194" t="s">
        <v>136</v>
      </c>
    </row>
    <row r="29" spans="1:8" ht="15.75" hidden="1" thickBot="1" x14ac:dyDescent="0.3">
      <c r="A29" s="199" t="str">
        <f t="shared" si="0"/>
        <v>CUST SEG SRVCEMPLOYEE AWARDS</v>
      </c>
      <c r="B29" s="144" t="s">
        <v>133</v>
      </c>
      <c r="C29" s="145" t="s">
        <v>81</v>
      </c>
      <c r="D29" s="146" t="s">
        <v>82</v>
      </c>
      <c r="E29" s="148">
        <v>0</v>
      </c>
      <c r="F29" s="148">
        <v>654.93999999999994</v>
      </c>
      <c r="G29" s="148">
        <v>0.65493999999999997</v>
      </c>
      <c r="H29" s="151" t="s">
        <v>136</v>
      </c>
    </row>
    <row r="30" spans="1:8" ht="15.75" hidden="1" thickBot="1" x14ac:dyDescent="0.3">
      <c r="A30" s="199" t="str">
        <f t="shared" si="0"/>
        <v>CUST SEG SRVCEMPLOYEE AWRDS MLS &amp;</v>
      </c>
      <c r="B30" s="144" t="s">
        <v>133</v>
      </c>
      <c r="C30" s="145" t="s">
        <v>123</v>
      </c>
      <c r="D30" s="146" t="s">
        <v>124</v>
      </c>
      <c r="E30" s="194">
        <v>0</v>
      </c>
      <c r="F30" s="147">
        <v>256.49</v>
      </c>
      <c r="G30" s="147">
        <v>0.25649</v>
      </c>
      <c r="H30" s="194" t="s">
        <v>136</v>
      </c>
    </row>
    <row r="31" spans="1:8" ht="15.75" hidden="1" thickBot="1" x14ac:dyDescent="0.3">
      <c r="A31" s="199" t="str">
        <f t="shared" si="0"/>
        <v>CUST SEG SRVCMISC. EXPENSE BUDGET</v>
      </c>
      <c r="B31" s="144" t="s">
        <v>133</v>
      </c>
      <c r="C31" s="145" t="s">
        <v>83</v>
      </c>
      <c r="D31" s="146" t="s">
        <v>84</v>
      </c>
      <c r="E31" s="195">
        <v>6000</v>
      </c>
      <c r="F31" s="197">
        <v>0</v>
      </c>
      <c r="G31" s="195">
        <v>-6</v>
      </c>
      <c r="H31" s="196">
        <v>-1</v>
      </c>
    </row>
    <row r="32" spans="1:8" ht="15.75" thickBot="1" x14ac:dyDescent="0.3">
      <c r="A32" s="354" t="str">
        <f t="shared" si="0"/>
        <v>CUST SEG SRVCNon-Payroll</v>
      </c>
      <c r="B32" s="144" t="s">
        <v>133</v>
      </c>
      <c r="C32" s="149" t="s">
        <v>85</v>
      </c>
      <c r="D32" s="150" t="s">
        <v>86</v>
      </c>
      <c r="E32" s="195">
        <v>94800</v>
      </c>
      <c r="F32" s="195">
        <v>54027.9</v>
      </c>
      <c r="G32" s="195">
        <v>-40.772100000000002</v>
      </c>
      <c r="H32" s="196">
        <v>-0.43008544303797469</v>
      </c>
    </row>
    <row r="33" spans="1:8" ht="23.25" hidden="1" thickBot="1" x14ac:dyDescent="0.3">
      <c r="A33" s="199" t="str">
        <f t="shared" si="0"/>
        <v>CUST SEG SRVCEXPENSE ACCOUNTS</v>
      </c>
      <c r="B33" s="144" t="s">
        <v>133</v>
      </c>
      <c r="C33" s="144" t="s">
        <v>87</v>
      </c>
      <c r="D33" s="144" t="s">
        <v>87</v>
      </c>
      <c r="E33" s="148">
        <v>920545.34</v>
      </c>
      <c r="F33" s="148">
        <v>828670.47</v>
      </c>
      <c r="G33" s="148">
        <v>-91.874870000000001</v>
      </c>
      <c r="H33" s="193">
        <v>-9.9804828733368101E-2</v>
      </c>
    </row>
    <row r="34" spans="1:8" ht="15.75" hidden="1" thickBot="1" x14ac:dyDescent="0.3">
      <c r="A34" s="199" t="str">
        <f t="shared" si="0"/>
        <v>MAJ ACCT SERV TEAMHOURLY REGULAR  PAY</v>
      </c>
      <c r="B34" s="144" t="s">
        <v>155</v>
      </c>
      <c r="C34" s="145" t="s">
        <v>91</v>
      </c>
      <c r="D34" s="146" t="s">
        <v>92</v>
      </c>
      <c r="E34" s="147">
        <v>191671.83</v>
      </c>
      <c r="F34" s="147">
        <v>171470.97</v>
      </c>
      <c r="G34" s="147">
        <v>-20.200859999999999</v>
      </c>
      <c r="H34" s="192">
        <v>-0.10539295210986427</v>
      </c>
    </row>
    <row r="35" spans="1:8" ht="15.75" hidden="1" thickBot="1" x14ac:dyDescent="0.3">
      <c r="A35" s="199" t="str">
        <f t="shared" si="0"/>
        <v>MAJ ACCT SERV TEAMHOURLY OVERTIME PAY</v>
      </c>
      <c r="B35" s="144" t="s">
        <v>155</v>
      </c>
      <c r="C35" s="145" t="s">
        <v>93</v>
      </c>
      <c r="D35" s="146" t="s">
        <v>94</v>
      </c>
      <c r="E35" s="148">
        <v>4512.1900000000005</v>
      </c>
      <c r="F35" s="148">
        <v>2979.32</v>
      </c>
      <c r="G35" s="148">
        <v>-1.53287</v>
      </c>
      <c r="H35" s="193">
        <v>-0.33971752076042899</v>
      </c>
    </row>
    <row r="36" spans="1:8" ht="23.25" hidden="1" thickBot="1" x14ac:dyDescent="0.3">
      <c r="A36" s="199" t="str">
        <f t="shared" si="0"/>
        <v>MAJ ACCT SERV TEAMHOURLY BONUS PAYROLL</v>
      </c>
      <c r="B36" s="144" t="s">
        <v>155</v>
      </c>
      <c r="C36" s="145" t="s">
        <v>95</v>
      </c>
      <c r="D36" s="146" t="s">
        <v>96</v>
      </c>
      <c r="E36" s="194">
        <v>0</v>
      </c>
      <c r="F36" s="147">
        <v>53.53</v>
      </c>
      <c r="G36" s="147">
        <v>5.3530000000000001E-2</v>
      </c>
      <c r="H36" s="194" t="s">
        <v>136</v>
      </c>
    </row>
    <row r="37" spans="1:8" ht="15.75" hidden="1" thickBot="1" x14ac:dyDescent="0.3">
      <c r="A37" s="199" t="str">
        <f t="shared" si="0"/>
        <v>MAJ ACCT SERV TEAMVACATION, SICK &amp; HOL</v>
      </c>
      <c r="B37" s="144" t="s">
        <v>155</v>
      </c>
      <c r="C37" s="145" t="s">
        <v>61</v>
      </c>
      <c r="D37" s="146" t="s">
        <v>62</v>
      </c>
      <c r="E37" s="148">
        <v>29843.25</v>
      </c>
      <c r="F37" s="148">
        <v>27093.98</v>
      </c>
      <c r="G37" s="148">
        <v>-2.7492700000000001</v>
      </c>
      <c r="H37" s="193">
        <v>-9.2123679559029503E-2</v>
      </c>
    </row>
    <row r="38" spans="1:8" ht="15.75" hidden="1" thickBot="1" x14ac:dyDescent="0.3">
      <c r="A38" s="199" t="str">
        <f t="shared" si="0"/>
        <v>MAJ ACCT SERV TEAMPAYROLL OVERHEAD</v>
      </c>
      <c r="B38" s="144" t="s">
        <v>155</v>
      </c>
      <c r="C38" s="145" t="s">
        <v>63</v>
      </c>
      <c r="D38" s="146" t="s">
        <v>64</v>
      </c>
      <c r="E38" s="147">
        <v>159125.96</v>
      </c>
      <c r="F38" s="147">
        <v>145236.49</v>
      </c>
      <c r="G38" s="147">
        <v>-13.889469999999999</v>
      </c>
      <c r="H38" s="192">
        <v>-8.7286009146464866E-2</v>
      </c>
    </row>
    <row r="39" spans="1:8" ht="15.75" hidden="1" thickBot="1" x14ac:dyDescent="0.3">
      <c r="A39" s="199" t="str">
        <f t="shared" si="0"/>
        <v>MAJ ACCT SERV TEAMNWN/580105</v>
      </c>
      <c r="B39" s="144" t="s">
        <v>155</v>
      </c>
      <c r="C39" s="145" t="s">
        <v>156</v>
      </c>
      <c r="D39" s="146" t="s">
        <v>157</v>
      </c>
      <c r="E39" s="148">
        <v>72301.2</v>
      </c>
      <c r="F39" s="148">
        <v>75379.009999999995</v>
      </c>
      <c r="G39" s="148">
        <v>3.0778099999999999</v>
      </c>
      <c r="H39" s="193">
        <v>4.2569279624681364E-2</v>
      </c>
    </row>
    <row r="40" spans="1:8" ht="15.75" thickBot="1" x14ac:dyDescent="0.3">
      <c r="A40" s="355" t="str">
        <f t="shared" si="0"/>
        <v>MAJ ACCT SERV TEAMPayroll</v>
      </c>
      <c r="B40" s="144" t="s">
        <v>155</v>
      </c>
      <c r="C40" s="149" t="s">
        <v>67</v>
      </c>
      <c r="D40" s="150" t="s">
        <v>68</v>
      </c>
      <c r="E40" s="195">
        <f>E390</f>
        <v>1163601.49</v>
      </c>
      <c r="F40" s="195">
        <f>F390</f>
        <v>1091626.83</v>
      </c>
      <c r="G40" s="195">
        <v>-35.241129999999998</v>
      </c>
      <c r="H40" s="196">
        <v>-7.7037465786482962E-2</v>
      </c>
    </row>
    <row r="41" spans="1:8" ht="15.75" hidden="1" thickBot="1" x14ac:dyDescent="0.3">
      <c r="A41" s="199" t="str">
        <f t="shared" si="0"/>
        <v>MAJ ACCT SERV TEAMEDUCATION</v>
      </c>
      <c r="B41" s="144" t="s">
        <v>155</v>
      </c>
      <c r="C41" s="145" t="s">
        <v>69</v>
      </c>
      <c r="D41" s="146" t="s">
        <v>70</v>
      </c>
      <c r="E41" s="148">
        <v>3000</v>
      </c>
      <c r="F41" s="151">
        <v>0</v>
      </c>
      <c r="G41" s="148">
        <v>-3</v>
      </c>
      <c r="H41" s="193">
        <v>-1</v>
      </c>
    </row>
    <row r="42" spans="1:8" ht="15.75" hidden="1" thickBot="1" x14ac:dyDescent="0.3">
      <c r="A42" s="199" t="str">
        <f t="shared" si="0"/>
        <v>MAJ ACCT SERV TEAMMILEAGE REIMBURSE</v>
      </c>
      <c r="B42" s="144" t="s">
        <v>155</v>
      </c>
      <c r="C42" s="145" t="s">
        <v>137</v>
      </c>
      <c r="D42" s="146" t="s">
        <v>138</v>
      </c>
      <c r="E42" s="194">
        <v>0</v>
      </c>
      <c r="F42" s="147">
        <v>112.16</v>
      </c>
      <c r="G42" s="147">
        <v>0.11216</v>
      </c>
      <c r="H42" s="194" t="s">
        <v>136</v>
      </c>
    </row>
    <row r="43" spans="1:8" ht="15.75" hidden="1" thickBot="1" x14ac:dyDescent="0.3">
      <c r="A43" s="199" t="str">
        <f t="shared" si="0"/>
        <v>MAJ ACCT SERV TEAMOTHER CONTRACT WORK</v>
      </c>
      <c r="B43" s="144" t="s">
        <v>155</v>
      </c>
      <c r="C43" s="145" t="s">
        <v>101</v>
      </c>
      <c r="D43" s="146" t="s">
        <v>102</v>
      </c>
      <c r="E43" s="151">
        <v>0</v>
      </c>
      <c r="F43" s="148">
        <v>169.13</v>
      </c>
      <c r="G43" s="148">
        <v>0.16913</v>
      </c>
      <c r="H43" s="151" t="s">
        <v>136</v>
      </c>
    </row>
    <row r="44" spans="1:8" ht="15.75" hidden="1" thickBot="1" x14ac:dyDescent="0.3">
      <c r="A44" s="199" t="str">
        <f t="shared" si="0"/>
        <v>MAJ ACCT SERV TEAMMISCELLANEOUS</v>
      </c>
      <c r="B44" s="144" t="s">
        <v>155</v>
      </c>
      <c r="C44" s="145" t="s">
        <v>103</v>
      </c>
      <c r="D44" s="146" t="s">
        <v>104</v>
      </c>
      <c r="E44" s="194">
        <v>0</v>
      </c>
      <c r="F44" s="147">
        <v>7.28</v>
      </c>
      <c r="G44" s="147">
        <v>7.28E-3</v>
      </c>
      <c r="H44" s="194" t="s">
        <v>136</v>
      </c>
    </row>
    <row r="45" spans="1:8" ht="15.75" hidden="1" thickBot="1" x14ac:dyDescent="0.3">
      <c r="A45" s="199" t="str">
        <f t="shared" si="0"/>
        <v>MAJ ACCT SERV TEAMOFFICE SUPPLIES</v>
      </c>
      <c r="B45" s="144" t="s">
        <v>155</v>
      </c>
      <c r="C45" s="145" t="s">
        <v>73</v>
      </c>
      <c r="D45" s="146" t="s">
        <v>74</v>
      </c>
      <c r="E45" s="195">
        <v>3000</v>
      </c>
      <c r="F45" s="195">
        <v>5107.1900000000005</v>
      </c>
      <c r="G45" s="195">
        <v>2.1071900000000001</v>
      </c>
      <c r="H45" s="196">
        <v>0.70239666666666689</v>
      </c>
    </row>
    <row r="46" spans="1:8" ht="15.75" hidden="1" thickBot="1" x14ac:dyDescent="0.3">
      <c r="A46" s="199" t="str">
        <f t="shared" si="0"/>
        <v>MAJ ACCT SERV TEAMPRINTING</v>
      </c>
      <c r="B46" s="144" t="s">
        <v>155</v>
      </c>
      <c r="C46" s="145" t="s">
        <v>111</v>
      </c>
      <c r="D46" s="146" t="s">
        <v>112</v>
      </c>
      <c r="E46" s="194">
        <v>0</v>
      </c>
      <c r="F46" s="147">
        <v>1498.3500000000001</v>
      </c>
      <c r="G46" s="147">
        <v>1.4983500000000001</v>
      </c>
      <c r="H46" s="194" t="s">
        <v>136</v>
      </c>
    </row>
    <row r="47" spans="1:8" ht="15.75" hidden="1" thickBot="1" x14ac:dyDescent="0.3">
      <c r="A47" s="199" t="str">
        <f t="shared" si="0"/>
        <v>MAJ ACCT SERV TEAMREFRESHMENTS</v>
      </c>
      <c r="B47" s="144" t="s">
        <v>155</v>
      </c>
      <c r="C47" s="145" t="s">
        <v>113</v>
      </c>
      <c r="D47" s="146" t="s">
        <v>114</v>
      </c>
      <c r="E47" s="151">
        <v>0</v>
      </c>
      <c r="F47" s="148">
        <v>426.44</v>
      </c>
      <c r="G47" s="148">
        <v>0.42643999999999999</v>
      </c>
      <c r="H47" s="151" t="s">
        <v>136</v>
      </c>
    </row>
    <row r="48" spans="1:8" ht="15.75" hidden="1" thickBot="1" x14ac:dyDescent="0.3">
      <c r="A48" s="199" t="str">
        <f t="shared" si="0"/>
        <v>MAJ ACCT SERV TEAMMEALS AND ENTERTAIN</v>
      </c>
      <c r="B48" s="144" t="s">
        <v>155</v>
      </c>
      <c r="C48" s="145" t="s">
        <v>75</v>
      </c>
      <c r="D48" s="146" t="s">
        <v>76</v>
      </c>
      <c r="E48" s="147">
        <v>0</v>
      </c>
      <c r="F48" s="147">
        <v>61.519999999999996</v>
      </c>
      <c r="G48" s="147">
        <v>6.1519999999999998E-2</v>
      </c>
      <c r="H48" s="194" t="s">
        <v>136</v>
      </c>
    </row>
    <row r="49" spans="1:8" ht="15.75" hidden="1" thickBot="1" x14ac:dyDescent="0.3">
      <c r="A49" s="199" t="str">
        <f t="shared" si="0"/>
        <v>MAJ ACCT SERV TEAMCONFERENCE TRAVEL</v>
      </c>
      <c r="B49" s="144" t="s">
        <v>155</v>
      </c>
      <c r="C49" s="145" t="s">
        <v>77</v>
      </c>
      <c r="D49" s="146" t="s">
        <v>78</v>
      </c>
      <c r="E49" s="148">
        <v>5000</v>
      </c>
      <c r="F49" s="151">
        <v>0</v>
      </c>
      <c r="G49" s="148">
        <v>-5</v>
      </c>
      <c r="H49" s="193">
        <v>-1</v>
      </c>
    </row>
    <row r="50" spans="1:8" ht="15.75" hidden="1" thickBot="1" x14ac:dyDescent="0.3">
      <c r="A50" s="199" t="str">
        <f t="shared" si="0"/>
        <v>MAJ ACCT SERV TEAMEMPLOYEE AWARDS</v>
      </c>
      <c r="B50" s="144" t="s">
        <v>155</v>
      </c>
      <c r="C50" s="145" t="s">
        <v>81</v>
      </c>
      <c r="D50" s="146" t="s">
        <v>82</v>
      </c>
      <c r="E50" s="147">
        <v>1400</v>
      </c>
      <c r="F50" s="147">
        <v>338.68</v>
      </c>
      <c r="G50" s="147">
        <v>-1.06132</v>
      </c>
      <c r="H50" s="192">
        <v>-0.75808571428571425</v>
      </c>
    </row>
    <row r="51" spans="1:8" ht="15.75" hidden="1" thickBot="1" x14ac:dyDescent="0.3">
      <c r="A51" s="199" t="str">
        <f t="shared" si="0"/>
        <v>MAJ ACCT SERV TEAMEMPLOYEE AWRDS MLS &amp;</v>
      </c>
      <c r="B51" s="144" t="s">
        <v>155</v>
      </c>
      <c r="C51" s="145" t="s">
        <v>123</v>
      </c>
      <c r="D51" s="146" t="s">
        <v>124</v>
      </c>
      <c r="E51" s="151">
        <v>0</v>
      </c>
      <c r="F51" s="148">
        <v>239.74</v>
      </c>
      <c r="G51" s="148">
        <v>0.23974000000000001</v>
      </c>
      <c r="H51" s="151" t="s">
        <v>136</v>
      </c>
    </row>
    <row r="52" spans="1:8" ht="15.75" hidden="1" thickBot="1" x14ac:dyDescent="0.3">
      <c r="A52" s="199" t="str">
        <f t="shared" si="0"/>
        <v>MAJ ACCT SERV TEAMMISC. EXPENSE BUDGET</v>
      </c>
      <c r="B52" s="144" t="s">
        <v>155</v>
      </c>
      <c r="C52" s="145" t="s">
        <v>83</v>
      </c>
      <c r="D52" s="146" t="s">
        <v>84</v>
      </c>
      <c r="E52" s="195">
        <v>11000</v>
      </c>
      <c r="F52" s="197">
        <v>0</v>
      </c>
      <c r="G52" s="195">
        <v>-11</v>
      </c>
      <c r="H52" s="196">
        <v>-1</v>
      </c>
    </row>
    <row r="53" spans="1:8" ht="15.75" thickBot="1" x14ac:dyDescent="0.3">
      <c r="A53" s="355" t="str">
        <f t="shared" si="0"/>
        <v>MAJ ACCT SERV TEAMNon-Payroll</v>
      </c>
      <c r="B53" s="144" t="s">
        <v>155</v>
      </c>
      <c r="C53" s="149" t="s">
        <v>85</v>
      </c>
      <c r="D53" s="150" t="s">
        <v>86</v>
      </c>
      <c r="E53" s="195">
        <f>E391</f>
        <v>65048.08</v>
      </c>
      <c r="F53" s="195">
        <f>F391</f>
        <v>32908.129999999997</v>
      </c>
      <c r="G53" s="195">
        <v>-15.43951</v>
      </c>
      <c r="H53" s="196">
        <v>-0.65980811965811947</v>
      </c>
    </row>
    <row r="54" spans="1:8" ht="23.25" hidden="1" thickBot="1" x14ac:dyDescent="0.3">
      <c r="A54" s="199" t="str">
        <f t="shared" si="0"/>
        <v>MAJ ACCT SERV TEAMEXPENSE ACCOUNTS</v>
      </c>
      <c r="B54" s="144" t="s">
        <v>155</v>
      </c>
      <c r="C54" s="144" t="s">
        <v>87</v>
      </c>
      <c r="D54" s="144" t="s">
        <v>87</v>
      </c>
      <c r="E54" s="147">
        <v>480854.43</v>
      </c>
      <c r="F54" s="147">
        <v>430173.79</v>
      </c>
      <c r="G54" s="147">
        <v>-50.680639999999997</v>
      </c>
      <c r="H54" s="192">
        <v>-0.10539705332443351</v>
      </c>
    </row>
    <row r="55" spans="1:8" ht="23.25" hidden="1" thickBot="1" x14ac:dyDescent="0.3">
      <c r="A55" s="199" t="str">
        <f t="shared" si="0"/>
        <v>CUST CONTACT CENTERSALARY PAYROLL</v>
      </c>
      <c r="B55" s="144" t="s">
        <v>158</v>
      </c>
      <c r="C55" s="145" t="s">
        <v>59</v>
      </c>
      <c r="D55" s="146" t="s">
        <v>60</v>
      </c>
      <c r="E55" s="148">
        <v>830048.98</v>
      </c>
      <c r="F55" s="148">
        <v>782392.03999999992</v>
      </c>
      <c r="G55" s="148">
        <v>-47.656939999999999</v>
      </c>
      <c r="H55" s="193">
        <v>-5.7414611846158835E-2</v>
      </c>
    </row>
    <row r="56" spans="1:8" ht="23.25" hidden="1" thickBot="1" x14ac:dyDescent="0.3">
      <c r="A56" s="199" t="str">
        <f t="shared" si="0"/>
        <v>CUST CONTACT CENTERHOURLY DOUBLE PAY</v>
      </c>
      <c r="B56" s="144" t="s">
        <v>158</v>
      </c>
      <c r="C56" s="145" t="s">
        <v>89</v>
      </c>
      <c r="D56" s="146" t="s">
        <v>90</v>
      </c>
      <c r="E56" s="194">
        <v>0</v>
      </c>
      <c r="F56" s="147">
        <v>47247.64</v>
      </c>
      <c r="G56" s="147">
        <v>47.247639999999997</v>
      </c>
      <c r="H56" s="194" t="s">
        <v>136</v>
      </c>
    </row>
    <row r="57" spans="1:8" ht="23.25" hidden="1" thickBot="1" x14ac:dyDescent="0.3">
      <c r="A57" s="199" t="str">
        <f t="shared" si="0"/>
        <v>CUST CONTACT CENTERHOURLY REGULAR  PAY</v>
      </c>
      <c r="B57" s="144" t="s">
        <v>158</v>
      </c>
      <c r="C57" s="145" t="s">
        <v>91</v>
      </c>
      <c r="D57" s="146" t="s">
        <v>92</v>
      </c>
      <c r="E57" s="148">
        <v>4409154.38</v>
      </c>
      <c r="F57" s="148">
        <v>4071882.44</v>
      </c>
      <c r="G57" s="148">
        <v>-337.27193999999997</v>
      </c>
      <c r="H57" s="193">
        <v>-7.6493565643759559E-2</v>
      </c>
    </row>
    <row r="58" spans="1:8" ht="23.25" hidden="1" thickBot="1" x14ac:dyDescent="0.3">
      <c r="A58" s="199" t="str">
        <f t="shared" si="0"/>
        <v>CUST CONTACT CENTERHOURLY OVERTIME PAY</v>
      </c>
      <c r="B58" s="144" t="s">
        <v>158</v>
      </c>
      <c r="C58" s="145" t="s">
        <v>93</v>
      </c>
      <c r="D58" s="146" t="s">
        <v>94</v>
      </c>
      <c r="E58" s="147">
        <v>237854.05</v>
      </c>
      <c r="F58" s="147">
        <v>226472.1</v>
      </c>
      <c r="G58" s="147">
        <v>-11.38195</v>
      </c>
      <c r="H58" s="192">
        <v>-4.7852664270379416E-2</v>
      </c>
    </row>
    <row r="59" spans="1:8" ht="23.25" hidden="1" thickBot="1" x14ac:dyDescent="0.3">
      <c r="A59" s="199" t="str">
        <f t="shared" si="0"/>
        <v>CUST CONTACT CENTERP/T HOURLY PAYROLL</v>
      </c>
      <c r="B59" s="144" t="s">
        <v>158</v>
      </c>
      <c r="C59" s="145" t="s">
        <v>159</v>
      </c>
      <c r="D59" s="146" t="s">
        <v>160</v>
      </c>
      <c r="E59" s="148">
        <v>176151.83</v>
      </c>
      <c r="F59" s="148">
        <v>93374.12000000001</v>
      </c>
      <c r="G59" s="148">
        <v>-82.777709999999999</v>
      </c>
      <c r="H59" s="193">
        <v>-0.46992250946243375</v>
      </c>
    </row>
    <row r="60" spans="1:8" ht="23.25" hidden="1" thickBot="1" x14ac:dyDescent="0.3">
      <c r="A60" s="199" t="str">
        <f t="shared" si="0"/>
        <v>CUST CONTACT CENTERSALARY BONUS PAYROLL</v>
      </c>
      <c r="B60" s="144" t="s">
        <v>158</v>
      </c>
      <c r="C60" s="145" t="s">
        <v>134</v>
      </c>
      <c r="D60" s="146" t="s">
        <v>135</v>
      </c>
      <c r="E60" s="194">
        <v>0</v>
      </c>
      <c r="F60" s="147">
        <v>214.15</v>
      </c>
      <c r="G60" s="147">
        <v>0.21415000000000001</v>
      </c>
      <c r="H60" s="194" t="s">
        <v>136</v>
      </c>
    </row>
    <row r="61" spans="1:8" ht="23.25" hidden="1" thickBot="1" x14ac:dyDescent="0.3">
      <c r="A61" s="199" t="str">
        <f t="shared" si="0"/>
        <v>CUST CONTACT CENTERHOURLY BONUS PAYROLL</v>
      </c>
      <c r="B61" s="144" t="s">
        <v>158</v>
      </c>
      <c r="C61" s="145" t="s">
        <v>95</v>
      </c>
      <c r="D61" s="146" t="s">
        <v>96</v>
      </c>
      <c r="E61" s="151">
        <v>0</v>
      </c>
      <c r="F61" s="148">
        <v>449.03</v>
      </c>
      <c r="G61" s="148">
        <v>0.44902999999999998</v>
      </c>
      <c r="H61" s="151" t="s">
        <v>136</v>
      </c>
    </row>
    <row r="62" spans="1:8" ht="23.25" hidden="1" thickBot="1" x14ac:dyDescent="0.3">
      <c r="A62" s="199" t="str">
        <f t="shared" si="0"/>
        <v>CUST CONTACT CENTERVACATION, SICK &amp; HOL</v>
      </c>
      <c r="B62" s="144" t="s">
        <v>158</v>
      </c>
      <c r="C62" s="145" t="s">
        <v>61</v>
      </c>
      <c r="D62" s="146" t="s">
        <v>62</v>
      </c>
      <c r="E62" s="147">
        <v>843170.79999999993</v>
      </c>
      <c r="F62" s="147">
        <v>763100.25</v>
      </c>
      <c r="G62" s="147">
        <v>-80.070549999999997</v>
      </c>
      <c r="H62" s="192">
        <v>-9.4963618284693713E-2</v>
      </c>
    </row>
    <row r="63" spans="1:8" ht="23.25" hidden="1" thickBot="1" x14ac:dyDescent="0.3">
      <c r="A63" s="199" t="str">
        <f t="shared" si="0"/>
        <v>CUST CONTACT CENTERPAYROLL OVERHEAD</v>
      </c>
      <c r="B63" s="144" t="s">
        <v>158</v>
      </c>
      <c r="C63" s="145" t="s">
        <v>63</v>
      </c>
      <c r="D63" s="146" t="s">
        <v>64</v>
      </c>
      <c r="E63" s="148">
        <v>4495827.84</v>
      </c>
      <c r="F63" s="148">
        <v>4113302.31</v>
      </c>
      <c r="G63" s="148">
        <v>-382.52553</v>
      </c>
      <c r="H63" s="193">
        <v>-8.5084559198779358E-2</v>
      </c>
    </row>
    <row r="64" spans="1:8" ht="23.25" hidden="1" thickBot="1" x14ac:dyDescent="0.3">
      <c r="A64" s="199" t="str">
        <f t="shared" si="0"/>
        <v>CUST CONTACT CENTERNWN/580306</v>
      </c>
      <c r="B64" s="144" t="s">
        <v>158</v>
      </c>
      <c r="C64" s="145" t="s">
        <v>161</v>
      </c>
      <c r="D64" s="146" t="s">
        <v>162</v>
      </c>
      <c r="E64" s="194">
        <v>0</v>
      </c>
      <c r="F64" s="147">
        <v>11172.42</v>
      </c>
      <c r="G64" s="147">
        <v>11.172420000000001</v>
      </c>
      <c r="H64" s="194" t="s">
        <v>136</v>
      </c>
    </row>
    <row r="65" spans="1:8" ht="23.25" hidden="1" thickBot="1" x14ac:dyDescent="0.3">
      <c r="A65" s="199" t="str">
        <f t="shared" si="0"/>
        <v>CUST CONTACT CENTERHRLY - REGULAR ZTFSO</v>
      </c>
      <c r="B65" s="144" t="s">
        <v>158</v>
      </c>
      <c r="C65" s="145" t="s">
        <v>163</v>
      </c>
      <c r="D65" s="146" t="s">
        <v>164</v>
      </c>
      <c r="E65" s="151">
        <v>0</v>
      </c>
      <c r="F65" s="148">
        <v>-419.92</v>
      </c>
      <c r="G65" s="148">
        <v>-0.41992000000000002</v>
      </c>
      <c r="H65" s="151" t="s">
        <v>136</v>
      </c>
    </row>
    <row r="66" spans="1:8" ht="23.25" thickBot="1" x14ac:dyDescent="0.3">
      <c r="A66" s="356" t="str">
        <f t="shared" si="0"/>
        <v>CUST CONTACT CENTERPayroll</v>
      </c>
      <c r="B66" s="144" t="s">
        <v>158</v>
      </c>
      <c r="C66" s="149" t="s">
        <v>67</v>
      </c>
      <c r="D66" s="150" t="s">
        <v>68</v>
      </c>
      <c r="E66" s="195">
        <v>10992207.880000001</v>
      </c>
      <c r="F66" s="195">
        <v>10109186.58</v>
      </c>
      <c r="G66" s="195">
        <v>-883.0213</v>
      </c>
      <c r="H66" s="196">
        <v>-8.0331568474667422E-2</v>
      </c>
    </row>
    <row r="67" spans="1:8" ht="23.25" hidden="1" thickBot="1" x14ac:dyDescent="0.3">
      <c r="A67" s="199" t="str">
        <f t="shared" si="0"/>
        <v>CUST CONTACT CENTEREDUCATION</v>
      </c>
      <c r="B67" s="144" t="s">
        <v>158</v>
      </c>
      <c r="C67" s="145" t="s">
        <v>69</v>
      </c>
      <c r="D67" s="146" t="s">
        <v>70</v>
      </c>
      <c r="E67" s="151">
        <v>0</v>
      </c>
      <c r="F67" s="148">
        <v>4194.59</v>
      </c>
      <c r="G67" s="148">
        <v>4.1945899999999998</v>
      </c>
      <c r="H67" s="151" t="s">
        <v>136</v>
      </c>
    </row>
    <row r="68" spans="1:8" ht="23.25" hidden="1" thickBot="1" x14ac:dyDescent="0.3">
      <c r="A68" s="199" t="str">
        <f t="shared" si="0"/>
        <v>CUST CONTACT CENTERMATERIALS</v>
      </c>
      <c r="B68" s="144" t="s">
        <v>158</v>
      </c>
      <c r="C68" s="145" t="s">
        <v>99</v>
      </c>
      <c r="D68" s="146" t="s">
        <v>100</v>
      </c>
      <c r="E68" s="194">
        <v>0</v>
      </c>
      <c r="F68" s="147">
        <v>103.25</v>
      </c>
      <c r="G68" s="147">
        <v>0.10324999999999999</v>
      </c>
      <c r="H68" s="194" t="s">
        <v>136</v>
      </c>
    </row>
    <row r="69" spans="1:8" ht="23.25" hidden="1" thickBot="1" x14ac:dyDescent="0.3">
      <c r="A69" s="199" t="str">
        <f t="shared" ref="A69:A132" si="1">B69&amp;C69</f>
        <v>CUST CONTACT CENTERMATERIALS - CONS INV</v>
      </c>
      <c r="B69" s="144" t="s">
        <v>158</v>
      </c>
      <c r="C69" s="145" t="s">
        <v>165</v>
      </c>
      <c r="D69" s="146" t="s">
        <v>166</v>
      </c>
      <c r="E69" s="151">
        <v>0</v>
      </c>
      <c r="F69" s="148">
        <v>177.25</v>
      </c>
      <c r="G69" s="148">
        <v>0.17724999999999999</v>
      </c>
      <c r="H69" s="151" t="s">
        <v>136</v>
      </c>
    </row>
    <row r="70" spans="1:8" ht="23.25" hidden="1" thickBot="1" x14ac:dyDescent="0.3">
      <c r="A70" s="199" t="str">
        <f t="shared" si="1"/>
        <v>CUST CONTACT CENTERMILEAGE REIMBURSE</v>
      </c>
      <c r="B70" s="144" t="s">
        <v>158</v>
      </c>
      <c r="C70" s="145" t="s">
        <v>137</v>
      </c>
      <c r="D70" s="146" t="s">
        <v>138</v>
      </c>
      <c r="E70" s="195">
        <v>15489</v>
      </c>
      <c r="F70" s="195">
        <v>13123.26</v>
      </c>
      <c r="G70" s="195">
        <v>-2.3657400000000002</v>
      </c>
      <c r="H70" s="196">
        <v>-0.15273678094131315</v>
      </c>
    </row>
    <row r="71" spans="1:8" ht="23.25" hidden="1" thickBot="1" x14ac:dyDescent="0.3">
      <c r="A71" s="199" t="str">
        <f t="shared" si="1"/>
        <v>CUST CONTACT CENTERFURNITURE &lt; 500</v>
      </c>
      <c r="B71" s="144" t="s">
        <v>158</v>
      </c>
      <c r="C71" s="145" t="s">
        <v>167</v>
      </c>
      <c r="D71" s="146" t="s">
        <v>168</v>
      </c>
      <c r="E71" s="151">
        <v>0</v>
      </c>
      <c r="F71" s="148">
        <v>299.98999999999995</v>
      </c>
      <c r="G71" s="148">
        <v>0.29998999999999998</v>
      </c>
      <c r="H71" s="151" t="s">
        <v>136</v>
      </c>
    </row>
    <row r="72" spans="1:8" ht="23.25" hidden="1" thickBot="1" x14ac:dyDescent="0.3">
      <c r="A72" s="199" t="str">
        <f t="shared" si="1"/>
        <v>CUST CONTACT CENTERDUES/MEMBERSHIP</v>
      </c>
      <c r="B72" s="144" t="s">
        <v>158</v>
      </c>
      <c r="C72" s="145" t="s">
        <v>139</v>
      </c>
      <c r="D72" s="146" t="s">
        <v>140</v>
      </c>
      <c r="E72" s="194">
        <v>0</v>
      </c>
      <c r="F72" s="147">
        <v>40400</v>
      </c>
      <c r="G72" s="147">
        <v>40.4</v>
      </c>
      <c r="H72" s="194" t="s">
        <v>136</v>
      </c>
    </row>
    <row r="73" spans="1:8" ht="23.25" hidden="1" thickBot="1" x14ac:dyDescent="0.3">
      <c r="A73" s="199" t="str">
        <f t="shared" si="1"/>
        <v>CUST CONTACT CENTEROFFICE CONTRACT WORK</v>
      </c>
      <c r="B73" s="144" t="s">
        <v>158</v>
      </c>
      <c r="C73" s="145" t="s">
        <v>169</v>
      </c>
      <c r="D73" s="146" t="s">
        <v>170</v>
      </c>
      <c r="E73" s="151">
        <v>0</v>
      </c>
      <c r="F73" s="148">
        <v>240</v>
      </c>
      <c r="G73" s="148">
        <v>0.24</v>
      </c>
      <c r="H73" s="151" t="s">
        <v>136</v>
      </c>
    </row>
    <row r="74" spans="1:8" ht="23.25" hidden="1" thickBot="1" x14ac:dyDescent="0.3">
      <c r="A74" s="199" t="str">
        <f t="shared" si="1"/>
        <v>CUST CONTACT CENTEROTHER CONTRACT WORK</v>
      </c>
      <c r="B74" s="144" t="s">
        <v>158</v>
      </c>
      <c r="C74" s="145" t="s">
        <v>101</v>
      </c>
      <c r="D74" s="146" t="s">
        <v>102</v>
      </c>
      <c r="E74" s="195">
        <v>1162044</v>
      </c>
      <c r="F74" s="195">
        <v>1290352.27</v>
      </c>
      <c r="G74" s="195">
        <v>128.30826999999999</v>
      </c>
      <c r="H74" s="196">
        <v>0.11041601694944428</v>
      </c>
    </row>
    <row r="75" spans="1:8" ht="23.25" hidden="1" thickBot="1" x14ac:dyDescent="0.3">
      <c r="A75" s="199" t="str">
        <f t="shared" si="1"/>
        <v>CUST CONTACT CENTERMISCELLANEOUS</v>
      </c>
      <c r="B75" s="144" t="s">
        <v>158</v>
      </c>
      <c r="C75" s="145" t="s">
        <v>103</v>
      </c>
      <c r="D75" s="146" t="s">
        <v>104</v>
      </c>
      <c r="E75" s="151">
        <v>0</v>
      </c>
      <c r="F75" s="148">
        <v>-1694.55</v>
      </c>
      <c r="G75" s="148">
        <v>-1.69455</v>
      </c>
      <c r="H75" s="151" t="s">
        <v>136</v>
      </c>
    </row>
    <row r="76" spans="1:8" ht="23.25" hidden="1" thickBot="1" x14ac:dyDescent="0.3">
      <c r="A76" s="199" t="str">
        <f t="shared" si="1"/>
        <v>CUST CONTACT CENTERP CARD UNCODED CHARG</v>
      </c>
      <c r="B76" s="144" t="s">
        <v>158</v>
      </c>
      <c r="C76" s="145" t="s">
        <v>71</v>
      </c>
      <c r="D76" s="146" t="s">
        <v>72</v>
      </c>
      <c r="E76" s="194">
        <v>0</v>
      </c>
      <c r="F76" s="147">
        <v>1623.65</v>
      </c>
      <c r="G76" s="147">
        <v>1.62365</v>
      </c>
      <c r="H76" s="194" t="s">
        <v>136</v>
      </c>
    </row>
    <row r="77" spans="1:8" ht="23.25" hidden="1" thickBot="1" x14ac:dyDescent="0.3">
      <c r="A77" s="199" t="str">
        <f t="shared" si="1"/>
        <v>CUST CONTACT CENTERTELEPHONE</v>
      </c>
      <c r="B77" s="144" t="s">
        <v>158</v>
      </c>
      <c r="C77" s="145" t="s">
        <v>107</v>
      </c>
      <c r="D77" s="146" t="s">
        <v>108</v>
      </c>
      <c r="E77" s="195">
        <v>67090</v>
      </c>
      <c r="F77" s="195">
        <v>21322.48</v>
      </c>
      <c r="G77" s="195">
        <v>-45.767519999999998</v>
      </c>
      <c r="H77" s="196">
        <v>-0.68218095096139519</v>
      </c>
    </row>
    <row r="78" spans="1:8" ht="23.25" hidden="1" thickBot="1" x14ac:dyDescent="0.3">
      <c r="A78" s="199" t="str">
        <f t="shared" si="1"/>
        <v>CUST CONTACT CENTERPOSTAGE</v>
      </c>
      <c r="B78" s="144" t="s">
        <v>158</v>
      </c>
      <c r="C78" s="145" t="s">
        <v>109</v>
      </c>
      <c r="D78" s="146" t="s">
        <v>110</v>
      </c>
      <c r="E78" s="195">
        <v>342848</v>
      </c>
      <c r="F78" s="195">
        <v>310458.57999999996</v>
      </c>
      <c r="G78" s="195">
        <v>-32.389420000000001</v>
      </c>
      <c r="H78" s="196">
        <v>-9.4471660910957753E-2</v>
      </c>
    </row>
    <row r="79" spans="1:8" ht="23.25" hidden="1" thickBot="1" x14ac:dyDescent="0.3">
      <c r="A79" s="199" t="str">
        <f t="shared" si="1"/>
        <v>CUST CONTACT CENTEROFFICE SUPPLIES</v>
      </c>
      <c r="B79" s="144" t="s">
        <v>158</v>
      </c>
      <c r="C79" s="145" t="s">
        <v>73</v>
      </c>
      <c r="D79" s="146" t="s">
        <v>74</v>
      </c>
      <c r="E79" s="195">
        <v>24720</v>
      </c>
      <c r="F79" s="195">
        <v>22759.200000000001</v>
      </c>
      <c r="G79" s="195">
        <v>-1.9608000000000001</v>
      </c>
      <c r="H79" s="196">
        <v>-7.9320388349514687E-2</v>
      </c>
    </row>
    <row r="80" spans="1:8" ht="23.25" hidden="1" thickBot="1" x14ac:dyDescent="0.3">
      <c r="A80" s="199" t="str">
        <f t="shared" si="1"/>
        <v>CUST CONTACT CENTERPRINTING</v>
      </c>
      <c r="B80" s="144" t="s">
        <v>158</v>
      </c>
      <c r="C80" s="145" t="s">
        <v>111</v>
      </c>
      <c r="D80" s="146" t="s">
        <v>112</v>
      </c>
      <c r="E80" s="195">
        <v>38813.040000000001</v>
      </c>
      <c r="F80" s="195">
        <v>23439.800000000003</v>
      </c>
      <c r="G80" s="195">
        <v>-15.373239999999999</v>
      </c>
      <c r="H80" s="196">
        <v>-0.39608440874510209</v>
      </c>
    </row>
    <row r="81" spans="1:8" ht="23.25" hidden="1" thickBot="1" x14ac:dyDescent="0.3">
      <c r="A81" s="199" t="str">
        <f t="shared" si="1"/>
        <v>CUST CONTACT CENTERBOOKS AND MAGAZINES</v>
      </c>
      <c r="B81" s="144" t="s">
        <v>158</v>
      </c>
      <c r="C81" s="145" t="s">
        <v>141</v>
      </c>
      <c r="D81" s="146" t="s">
        <v>142</v>
      </c>
      <c r="E81" s="151">
        <v>0</v>
      </c>
      <c r="F81" s="148">
        <v>273</v>
      </c>
      <c r="G81" s="148">
        <v>0.27300000000000002</v>
      </c>
      <c r="H81" s="151" t="s">
        <v>136</v>
      </c>
    </row>
    <row r="82" spans="1:8" ht="23.25" hidden="1" thickBot="1" x14ac:dyDescent="0.3">
      <c r="A82" s="199" t="str">
        <f t="shared" si="1"/>
        <v>CUST CONTACT CENTERREFRESHMENTS</v>
      </c>
      <c r="B82" s="144" t="s">
        <v>158</v>
      </c>
      <c r="C82" s="145" t="s">
        <v>113</v>
      </c>
      <c r="D82" s="146" t="s">
        <v>114</v>
      </c>
      <c r="E82" s="195">
        <v>19982.04</v>
      </c>
      <c r="F82" s="195">
        <v>18070.27</v>
      </c>
      <c r="G82" s="195">
        <v>-1.91177</v>
      </c>
      <c r="H82" s="196">
        <v>-9.567441562523149E-2</v>
      </c>
    </row>
    <row r="83" spans="1:8" ht="23.25" hidden="1" thickBot="1" x14ac:dyDescent="0.3">
      <c r="A83" s="199" t="str">
        <f t="shared" si="1"/>
        <v>CUST CONTACT CENTERPARKING</v>
      </c>
      <c r="B83" s="144" t="s">
        <v>158</v>
      </c>
      <c r="C83" s="145" t="s">
        <v>145</v>
      </c>
      <c r="D83" s="146" t="s">
        <v>146</v>
      </c>
      <c r="E83" s="151">
        <v>0</v>
      </c>
      <c r="F83" s="148">
        <v>7069.58</v>
      </c>
      <c r="G83" s="148">
        <v>7.0695800000000002</v>
      </c>
      <c r="H83" s="151" t="s">
        <v>136</v>
      </c>
    </row>
    <row r="84" spans="1:8" ht="23.25" hidden="1" thickBot="1" x14ac:dyDescent="0.3">
      <c r="A84" s="199" t="str">
        <f t="shared" si="1"/>
        <v>CUST CONTACT CENTERLAUNDRY</v>
      </c>
      <c r="B84" s="144" t="s">
        <v>158</v>
      </c>
      <c r="C84" s="145" t="s">
        <v>147</v>
      </c>
      <c r="D84" s="146" t="s">
        <v>148</v>
      </c>
      <c r="E84" s="194">
        <v>0</v>
      </c>
      <c r="F84" s="147">
        <v>52.400000000000006</v>
      </c>
      <c r="G84" s="147">
        <v>5.2400000000000002E-2</v>
      </c>
      <c r="H84" s="194" t="s">
        <v>136</v>
      </c>
    </row>
    <row r="85" spans="1:8" ht="23.25" hidden="1" thickBot="1" x14ac:dyDescent="0.3">
      <c r="A85" s="199" t="str">
        <f t="shared" si="1"/>
        <v>CUST CONTACT CENTERCUSTOMER RECOVERY</v>
      </c>
      <c r="B85" s="144" t="s">
        <v>158</v>
      </c>
      <c r="C85" s="145" t="s">
        <v>171</v>
      </c>
      <c r="D85" s="146" t="s">
        <v>172</v>
      </c>
      <c r="E85" s="195">
        <v>18551</v>
      </c>
      <c r="F85" s="195">
        <v>6767.0199999999995</v>
      </c>
      <c r="G85" s="195">
        <v>-11.78398</v>
      </c>
      <c r="H85" s="196">
        <v>-0.63522074281709884</v>
      </c>
    </row>
    <row r="86" spans="1:8" ht="23.25" hidden="1" thickBot="1" x14ac:dyDescent="0.3">
      <c r="A86" s="199" t="str">
        <f t="shared" si="1"/>
        <v>CUST CONTACT CENTERMEAL TICKETS</v>
      </c>
      <c r="B86" s="144" t="s">
        <v>158</v>
      </c>
      <c r="C86" s="145" t="s">
        <v>173</v>
      </c>
      <c r="D86" s="146" t="s">
        <v>174</v>
      </c>
      <c r="E86" s="195">
        <v>1551</v>
      </c>
      <c r="F86" s="195">
        <v>5634.32</v>
      </c>
      <c r="G86" s="195">
        <v>4.0833199999999996</v>
      </c>
      <c r="H86" s="196">
        <v>2.632701482914249</v>
      </c>
    </row>
    <row r="87" spans="1:8" ht="23.25" hidden="1" thickBot="1" x14ac:dyDescent="0.3">
      <c r="A87" s="199" t="str">
        <f t="shared" si="1"/>
        <v>CUST CONTACT CENTERUNLEADED FUEL</v>
      </c>
      <c r="B87" s="144" t="s">
        <v>158</v>
      </c>
      <c r="C87" s="145" t="s">
        <v>175</v>
      </c>
      <c r="D87" s="146" t="s">
        <v>176</v>
      </c>
      <c r="E87" s="151">
        <v>0</v>
      </c>
      <c r="F87" s="148">
        <v>132.5</v>
      </c>
      <c r="G87" s="148">
        <v>0.13250000000000001</v>
      </c>
      <c r="H87" s="151" t="s">
        <v>136</v>
      </c>
    </row>
    <row r="88" spans="1:8" ht="23.25" hidden="1" thickBot="1" x14ac:dyDescent="0.3">
      <c r="A88" s="199" t="str">
        <f t="shared" si="1"/>
        <v>CUST CONTACT CENTERMEALS AND ENTERTAIN</v>
      </c>
      <c r="B88" s="144" t="s">
        <v>158</v>
      </c>
      <c r="C88" s="145" t="s">
        <v>75</v>
      </c>
      <c r="D88" s="146" t="s">
        <v>76</v>
      </c>
      <c r="E88" s="195">
        <v>6210.96</v>
      </c>
      <c r="F88" s="195">
        <v>3514.84</v>
      </c>
      <c r="G88" s="195">
        <v>-2.6961200000000001</v>
      </c>
      <c r="H88" s="196">
        <v>-0.43409070417455597</v>
      </c>
    </row>
    <row r="89" spans="1:8" ht="23.25" hidden="1" thickBot="1" x14ac:dyDescent="0.3">
      <c r="A89" s="199" t="str">
        <f t="shared" si="1"/>
        <v>CUST CONTACT CENTERTRAVEL IN TERRITORY</v>
      </c>
      <c r="B89" s="144" t="s">
        <v>158</v>
      </c>
      <c r="C89" s="145" t="s">
        <v>121</v>
      </c>
      <c r="D89" s="146" t="s">
        <v>122</v>
      </c>
      <c r="E89" s="195">
        <v>12678</v>
      </c>
      <c r="F89" s="148">
        <v>220.44</v>
      </c>
      <c r="G89" s="148">
        <v>-12.457560000000001</v>
      </c>
      <c r="H89" s="193">
        <v>-0.98261239943208711</v>
      </c>
    </row>
    <row r="90" spans="1:8" ht="23.25" hidden="1" thickBot="1" x14ac:dyDescent="0.3">
      <c r="A90" s="199" t="str">
        <f t="shared" si="1"/>
        <v>CUST CONTACT CENTERCONFERENCE TRAVEL</v>
      </c>
      <c r="B90" s="144" t="s">
        <v>158</v>
      </c>
      <c r="C90" s="145" t="s">
        <v>77</v>
      </c>
      <c r="D90" s="146" t="s">
        <v>78</v>
      </c>
      <c r="E90" s="195">
        <v>10000</v>
      </c>
      <c r="F90" s="195">
        <v>23402.48</v>
      </c>
      <c r="G90" s="147">
        <v>13.402480000000001</v>
      </c>
      <c r="H90" s="192">
        <v>1.3402480000000003</v>
      </c>
    </row>
    <row r="91" spans="1:8" ht="23.25" hidden="1" thickBot="1" x14ac:dyDescent="0.3">
      <c r="A91" s="199" t="str">
        <f t="shared" si="1"/>
        <v>CUST CONTACT CENTERBUSINESS TRAVEL</v>
      </c>
      <c r="B91" s="144" t="s">
        <v>158</v>
      </c>
      <c r="C91" s="145" t="s">
        <v>79</v>
      </c>
      <c r="D91" s="146" t="s">
        <v>80</v>
      </c>
      <c r="E91" s="151">
        <v>0</v>
      </c>
      <c r="F91" s="148">
        <v>1143.48</v>
      </c>
      <c r="G91" s="148">
        <v>1.1434800000000001</v>
      </c>
      <c r="H91" s="151" t="s">
        <v>136</v>
      </c>
    </row>
    <row r="92" spans="1:8" ht="23.25" hidden="1" thickBot="1" x14ac:dyDescent="0.3">
      <c r="A92" s="199" t="str">
        <f t="shared" si="1"/>
        <v>CUST CONTACT CENTEREMPLOYEE AWARDS</v>
      </c>
      <c r="B92" s="144" t="s">
        <v>158</v>
      </c>
      <c r="C92" s="145" t="s">
        <v>81</v>
      </c>
      <c r="D92" s="146" t="s">
        <v>82</v>
      </c>
      <c r="E92" s="195">
        <v>34142</v>
      </c>
      <c r="F92" s="195">
        <v>20487.29</v>
      </c>
      <c r="G92" s="147">
        <v>-13.65471</v>
      </c>
      <c r="H92" s="192">
        <v>-0.3999387850741023</v>
      </c>
    </row>
    <row r="93" spans="1:8" ht="23.25" hidden="1" thickBot="1" x14ac:dyDescent="0.3">
      <c r="A93" s="199" t="str">
        <f t="shared" si="1"/>
        <v>CUST CONTACT CENTEREMPLOYEE AWRDS MLS &amp;</v>
      </c>
      <c r="B93" s="144" t="s">
        <v>158</v>
      </c>
      <c r="C93" s="145" t="s">
        <v>123</v>
      </c>
      <c r="D93" s="146" t="s">
        <v>124</v>
      </c>
      <c r="E93" s="151">
        <v>0</v>
      </c>
      <c r="F93" s="148">
        <v>3849.18</v>
      </c>
      <c r="G93" s="148">
        <v>3.84918</v>
      </c>
      <c r="H93" s="151" t="s">
        <v>136</v>
      </c>
    </row>
    <row r="94" spans="1:8" ht="23.25" hidden="1" thickBot="1" x14ac:dyDescent="0.3">
      <c r="A94" s="199" t="str">
        <f t="shared" si="1"/>
        <v>CUST CONTACT CENTERNON EMPLOYEE GIFTS</v>
      </c>
      <c r="B94" s="144" t="s">
        <v>158</v>
      </c>
      <c r="C94" s="145" t="s">
        <v>125</v>
      </c>
      <c r="D94" s="146" t="s">
        <v>126</v>
      </c>
      <c r="E94" s="194">
        <v>0</v>
      </c>
      <c r="F94" s="147">
        <v>189.86</v>
      </c>
      <c r="G94" s="147">
        <v>0.18986</v>
      </c>
      <c r="H94" s="194" t="s">
        <v>136</v>
      </c>
    </row>
    <row r="95" spans="1:8" ht="23.25" hidden="1" thickBot="1" x14ac:dyDescent="0.3">
      <c r="A95" s="199" t="str">
        <f t="shared" si="1"/>
        <v>CUST CONTACT CENTERMISC. EXPENSE BUDGET</v>
      </c>
      <c r="B95" s="144" t="s">
        <v>158</v>
      </c>
      <c r="C95" s="145" t="s">
        <v>83</v>
      </c>
      <c r="D95" s="146" t="s">
        <v>84</v>
      </c>
      <c r="E95" s="148">
        <v>13131.96</v>
      </c>
      <c r="F95" s="151">
        <v>0</v>
      </c>
      <c r="G95" s="148">
        <v>-13.131959999999999</v>
      </c>
      <c r="H95" s="193">
        <v>-1</v>
      </c>
    </row>
    <row r="96" spans="1:8" ht="23.25" thickBot="1" x14ac:dyDescent="0.3">
      <c r="A96" s="356" t="str">
        <f t="shared" si="1"/>
        <v>CUST CONTACT CENTERNon-Payroll</v>
      </c>
      <c r="B96" s="144" t="s">
        <v>158</v>
      </c>
      <c r="C96" s="149" t="s">
        <v>85</v>
      </c>
      <c r="D96" s="150" t="s">
        <v>86</v>
      </c>
      <c r="E96" s="195">
        <v>1767251</v>
      </c>
      <c r="F96" s="195">
        <v>1817606.43</v>
      </c>
      <c r="G96" s="147">
        <v>50.355429999999998</v>
      </c>
      <c r="H96" s="192">
        <v>2.8493649176036775E-2</v>
      </c>
    </row>
    <row r="97" spans="1:8" ht="23.25" hidden="1" thickBot="1" x14ac:dyDescent="0.3">
      <c r="A97" s="199" t="str">
        <f t="shared" si="1"/>
        <v>CUST CONTACT CENTEREXPENSE ACCOUNTS</v>
      </c>
      <c r="B97" s="144" t="s">
        <v>158</v>
      </c>
      <c r="C97" s="144" t="s">
        <v>87</v>
      </c>
      <c r="D97" s="144" t="s">
        <v>87</v>
      </c>
      <c r="E97" s="148">
        <v>12759458.880000001</v>
      </c>
      <c r="F97" s="148">
        <v>11926793.01</v>
      </c>
      <c r="G97" s="148">
        <v>-832.66587000000004</v>
      </c>
      <c r="H97" s="193">
        <v>-6.5258713385187003E-2</v>
      </c>
    </row>
    <row r="98" spans="1:8" ht="15.75" hidden="1" thickBot="1" x14ac:dyDescent="0.3">
      <c r="A98" s="199" t="str">
        <f t="shared" si="1"/>
        <v>ACCOUNT SERVICESSALARY PAYROLL</v>
      </c>
      <c r="B98" s="144" t="s">
        <v>88</v>
      </c>
      <c r="C98" s="145" t="s">
        <v>59</v>
      </c>
      <c r="D98" s="146" t="s">
        <v>60</v>
      </c>
      <c r="E98" s="147">
        <v>247874.52</v>
      </c>
      <c r="F98" s="147">
        <v>246773.30000000002</v>
      </c>
      <c r="G98" s="147">
        <v>-1.1012200000000001</v>
      </c>
      <c r="H98" s="192">
        <v>-4.4426510639338328E-3</v>
      </c>
    </row>
    <row r="99" spans="1:8" ht="15.75" hidden="1" thickBot="1" x14ac:dyDescent="0.3">
      <c r="A99" s="199" t="str">
        <f t="shared" si="1"/>
        <v>ACCOUNT SERVICESHOURLY DOUBLE PAY</v>
      </c>
      <c r="B99" s="144" t="s">
        <v>88</v>
      </c>
      <c r="C99" s="145" t="s">
        <v>89</v>
      </c>
      <c r="D99" s="146" t="s">
        <v>90</v>
      </c>
      <c r="E99" s="151">
        <v>0</v>
      </c>
      <c r="F99" s="148">
        <v>412.96</v>
      </c>
      <c r="G99" s="148">
        <v>0.41295999999999999</v>
      </c>
      <c r="H99" s="151" t="s">
        <v>136</v>
      </c>
    </row>
    <row r="100" spans="1:8" ht="15.75" hidden="1" thickBot="1" x14ac:dyDescent="0.3">
      <c r="A100" s="199" t="str">
        <f t="shared" si="1"/>
        <v>ACCOUNT SERVICESHOURLY REGULAR  PAY</v>
      </c>
      <c r="B100" s="144" t="s">
        <v>88</v>
      </c>
      <c r="C100" s="145" t="s">
        <v>91</v>
      </c>
      <c r="D100" s="146" t="s">
        <v>92</v>
      </c>
      <c r="E100" s="147">
        <v>520442.81</v>
      </c>
      <c r="F100" s="147">
        <v>531486.96</v>
      </c>
      <c r="G100" s="147">
        <v>11.04415</v>
      </c>
      <c r="H100" s="192">
        <v>2.1220679367249098E-2</v>
      </c>
    </row>
    <row r="101" spans="1:8" ht="15.75" hidden="1" thickBot="1" x14ac:dyDescent="0.3">
      <c r="A101" s="199" t="str">
        <f t="shared" si="1"/>
        <v>ACCOUNT SERVICESHOURLY OVERTIME PAY</v>
      </c>
      <c r="B101" s="144" t="s">
        <v>88</v>
      </c>
      <c r="C101" s="145" t="s">
        <v>93</v>
      </c>
      <c r="D101" s="146" t="s">
        <v>94</v>
      </c>
      <c r="E101" s="148">
        <v>12032.5</v>
      </c>
      <c r="F101" s="148">
        <v>18743.88</v>
      </c>
      <c r="G101" s="148">
        <v>6.7113800000000001</v>
      </c>
      <c r="H101" s="193">
        <v>0.5577710367754003</v>
      </c>
    </row>
    <row r="102" spans="1:8" ht="23.25" hidden="1" thickBot="1" x14ac:dyDescent="0.3">
      <c r="A102" s="199" t="str">
        <f t="shared" si="1"/>
        <v>ACCOUNT SERVICESHOURLY BONUS PAYROLL</v>
      </c>
      <c r="B102" s="144" t="s">
        <v>88</v>
      </c>
      <c r="C102" s="145" t="s">
        <v>95</v>
      </c>
      <c r="D102" s="146" t="s">
        <v>96</v>
      </c>
      <c r="E102" s="194">
        <v>0</v>
      </c>
      <c r="F102" s="147">
        <v>142.80000000000001</v>
      </c>
      <c r="G102" s="147">
        <v>0.14280000000000001</v>
      </c>
      <c r="H102" s="194" t="s">
        <v>136</v>
      </c>
    </row>
    <row r="103" spans="1:8" ht="15.75" hidden="1" thickBot="1" x14ac:dyDescent="0.3">
      <c r="A103" s="199" t="str">
        <f t="shared" si="1"/>
        <v>ACCOUNT SERVICESVACATION, SICK &amp; HOL</v>
      </c>
      <c r="B103" s="144" t="s">
        <v>88</v>
      </c>
      <c r="C103" s="145" t="s">
        <v>61</v>
      </c>
      <c r="D103" s="146" t="s">
        <v>62</v>
      </c>
      <c r="E103" s="148">
        <v>119627.02</v>
      </c>
      <c r="F103" s="148">
        <v>120994.97</v>
      </c>
      <c r="G103" s="148">
        <v>1.36795</v>
      </c>
      <c r="H103" s="193">
        <v>1.1435125609582158E-2</v>
      </c>
    </row>
    <row r="104" spans="1:8" ht="15.75" hidden="1" thickBot="1" x14ac:dyDescent="0.3">
      <c r="A104" s="199" t="str">
        <f t="shared" si="1"/>
        <v>ACCOUNT SERVICESPAYROLL OVERHEAD</v>
      </c>
      <c r="B104" s="144" t="s">
        <v>88</v>
      </c>
      <c r="C104" s="145" t="s">
        <v>63</v>
      </c>
      <c r="D104" s="146" t="s">
        <v>64</v>
      </c>
      <c r="E104" s="147">
        <v>637857.04</v>
      </c>
      <c r="F104" s="147">
        <v>649104.4</v>
      </c>
      <c r="G104" s="147">
        <v>11.24736</v>
      </c>
      <c r="H104" s="192">
        <v>1.7633042037131053E-2</v>
      </c>
    </row>
    <row r="105" spans="1:8" ht="23.25" hidden="1" thickBot="1" x14ac:dyDescent="0.3">
      <c r="A105" s="199" t="str">
        <f t="shared" si="1"/>
        <v>ACCOUNT SERVICESSALARY PAYROLL ZTFSO</v>
      </c>
      <c r="B105" s="144" t="s">
        <v>88</v>
      </c>
      <c r="C105" s="145" t="s">
        <v>65</v>
      </c>
      <c r="D105" s="146" t="s">
        <v>66</v>
      </c>
      <c r="E105" s="148">
        <v>-72301.2</v>
      </c>
      <c r="F105" s="148">
        <v>-75379.009999999995</v>
      </c>
      <c r="G105" s="148">
        <v>-3.0778099999999999</v>
      </c>
      <c r="H105" s="193">
        <v>-4.2569279624680954E-2</v>
      </c>
    </row>
    <row r="106" spans="1:8" ht="15.75" hidden="1" thickBot="1" x14ac:dyDescent="0.3">
      <c r="A106" s="199" t="str">
        <f t="shared" si="1"/>
        <v>ACCOUNT SERVICESHRLY - OT ZTFSO</v>
      </c>
      <c r="B106" s="144" t="s">
        <v>88</v>
      </c>
      <c r="C106" s="145" t="s">
        <v>97</v>
      </c>
      <c r="D106" s="146" t="s">
        <v>98</v>
      </c>
      <c r="E106" s="194">
        <v>0</v>
      </c>
      <c r="F106" s="147">
        <v>-11475.78</v>
      </c>
      <c r="G106" s="147">
        <v>-11.47578</v>
      </c>
      <c r="H106" s="194" t="s">
        <v>136</v>
      </c>
    </row>
    <row r="107" spans="1:8" ht="15.75" thickBot="1" x14ac:dyDescent="0.3">
      <c r="A107" s="354" t="str">
        <f t="shared" si="1"/>
        <v>ACCOUNT SERVICESPayroll</v>
      </c>
      <c r="B107" s="144" t="s">
        <v>88</v>
      </c>
      <c r="C107" s="149" t="s">
        <v>67</v>
      </c>
      <c r="D107" s="150" t="s">
        <v>68</v>
      </c>
      <c r="E107" s="195">
        <v>1465532.69</v>
      </c>
      <c r="F107" s="195">
        <v>1480804.48</v>
      </c>
      <c r="G107" s="148">
        <v>15.271789999999999</v>
      </c>
      <c r="H107" s="193">
        <v>1.0420640975262066E-2</v>
      </c>
    </row>
    <row r="108" spans="1:8" ht="15.75" hidden="1" thickBot="1" x14ac:dyDescent="0.3">
      <c r="A108" s="354" t="str">
        <f t="shared" si="1"/>
        <v>ACCOUNT SERVICESEDUCATION</v>
      </c>
      <c r="B108" s="144" t="s">
        <v>88</v>
      </c>
      <c r="C108" s="145" t="s">
        <v>69</v>
      </c>
      <c r="D108" s="146" t="s">
        <v>70</v>
      </c>
      <c r="E108" s="194">
        <v>0</v>
      </c>
      <c r="F108" s="147">
        <v>307.83999999999997</v>
      </c>
      <c r="G108" s="147">
        <v>0.30784</v>
      </c>
      <c r="H108" s="194" t="s">
        <v>136</v>
      </c>
    </row>
    <row r="109" spans="1:8" ht="15.75" hidden="1" thickBot="1" x14ac:dyDescent="0.3">
      <c r="A109" s="354" t="str">
        <f t="shared" si="1"/>
        <v>ACCOUNT SERVICESMATERIALS</v>
      </c>
      <c r="B109" s="144" t="s">
        <v>88</v>
      </c>
      <c r="C109" s="145" t="s">
        <v>99</v>
      </c>
      <c r="D109" s="146" t="s">
        <v>100</v>
      </c>
      <c r="E109" s="151">
        <v>0</v>
      </c>
      <c r="F109" s="148">
        <v>0</v>
      </c>
      <c r="G109" s="148">
        <v>0</v>
      </c>
      <c r="H109" s="151" t="s">
        <v>136</v>
      </c>
    </row>
    <row r="110" spans="1:8" ht="15.75" hidden="1" thickBot="1" x14ac:dyDescent="0.3">
      <c r="A110" s="354" t="str">
        <f t="shared" si="1"/>
        <v>ACCOUNT SERVICESOTHER CONTRACT WORK</v>
      </c>
      <c r="B110" s="144" t="s">
        <v>88</v>
      </c>
      <c r="C110" s="145" t="s">
        <v>101</v>
      </c>
      <c r="D110" s="146" t="s">
        <v>102</v>
      </c>
      <c r="E110" s="195">
        <v>207600</v>
      </c>
      <c r="F110" s="195">
        <v>209366.19</v>
      </c>
      <c r="G110" s="147">
        <v>1.7661899999999999</v>
      </c>
      <c r="H110" s="192">
        <v>8.5076589595375843E-3</v>
      </c>
    </row>
    <row r="111" spans="1:8" ht="15.75" hidden="1" thickBot="1" x14ac:dyDescent="0.3">
      <c r="A111" s="354" t="str">
        <f t="shared" si="1"/>
        <v>ACCOUNT SERVICESMISCELLANEOUS</v>
      </c>
      <c r="B111" s="144" t="s">
        <v>88</v>
      </c>
      <c r="C111" s="145" t="s">
        <v>103</v>
      </c>
      <c r="D111" s="146" t="s">
        <v>104</v>
      </c>
      <c r="E111" s="151">
        <v>0</v>
      </c>
      <c r="F111" s="148">
        <v>251.94</v>
      </c>
      <c r="G111" s="148">
        <v>0.25194</v>
      </c>
      <c r="H111" s="151" t="s">
        <v>136</v>
      </c>
    </row>
    <row r="112" spans="1:8" ht="15.75" hidden="1" thickBot="1" x14ac:dyDescent="0.3">
      <c r="A112" s="354" t="str">
        <f t="shared" si="1"/>
        <v>ACCOUNT SERVICESP CARD UNCODED CHARG</v>
      </c>
      <c r="B112" s="144" t="s">
        <v>88</v>
      </c>
      <c r="C112" s="145" t="s">
        <v>71</v>
      </c>
      <c r="D112" s="146" t="s">
        <v>72</v>
      </c>
      <c r="E112" s="194">
        <v>0</v>
      </c>
      <c r="F112" s="147">
        <v>0</v>
      </c>
      <c r="G112" s="147">
        <v>0</v>
      </c>
      <c r="H112" s="194" t="s">
        <v>136</v>
      </c>
    </row>
    <row r="113" spans="1:8" ht="15.75" hidden="1" thickBot="1" x14ac:dyDescent="0.3">
      <c r="A113" s="354" t="str">
        <f t="shared" si="1"/>
        <v>ACCOUNT SERVICESBANK CHARGES</v>
      </c>
      <c r="B113" s="144" t="s">
        <v>88</v>
      </c>
      <c r="C113" s="145" t="s">
        <v>105</v>
      </c>
      <c r="D113" s="146" t="s">
        <v>106</v>
      </c>
      <c r="E113" s="151">
        <v>0</v>
      </c>
      <c r="F113" s="148">
        <v>1218</v>
      </c>
      <c r="G113" s="148">
        <v>1.218</v>
      </c>
      <c r="H113" s="151" t="s">
        <v>136</v>
      </c>
    </row>
    <row r="114" spans="1:8" ht="15.75" hidden="1" thickBot="1" x14ac:dyDescent="0.3">
      <c r="A114" s="354" t="str">
        <f t="shared" si="1"/>
        <v>ACCOUNT SERVICESTELEPHONE</v>
      </c>
      <c r="B114" s="144" t="s">
        <v>88</v>
      </c>
      <c r="C114" s="145" t="s">
        <v>107</v>
      </c>
      <c r="D114" s="146" t="s">
        <v>108</v>
      </c>
      <c r="E114" s="195">
        <v>1600</v>
      </c>
      <c r="F114" s="195">
        <v>1412.1200000000001</v>
      </c>
      <c r="G114" s="147">
        <v>-0.18787999999999999</v>
      </c>
      <c r="H114" s="192">
        <v>-0.11742499999999993</v>
      </c>
    </row>
    <row r="115" spans="1:8" ht="15.75" hidden="1" thickBot="1" x14ac:dyDescent="0.3">
      <c r="A115" s="354" t="str">
        <f t="shared" si="1"/>
        <v>ACCOUNT SERVICESPOSTAGE</v>
      </c>
      <c r="B115" s="144" t="s">
        <v>88</v>
      </c>
      <c r="C115" s="145" t="s">
        <v>109</v>
      </c>
      <c r="D115" s="146" t="s">
        <v>110</v>
      </c>
      <c r="E115" s="195">
        <v>2720791</v>
      </c>
      <c r="F115" s="195">
        <v>2663463.1599999997</v>
      </c>
      <c r="G115" s="148">
        <v>-57.327840000000002</v>
      </c>
      <c r="H115" s="193">
        <v>-2.1070284340105622E-2</v>
      </c>
    </row>
    <row r="116" spans="1:8" ht="15.75" hidden="1" thickBot="1" x14ac:dyDescent="0.3">
      <c r="A116" s="354" t="str">
        <f t="shared" si="1"/>
        <v>ACCOUNT SERVICESOFFICE SUPPLIES</v>
      </c>
      <c r="B116" s="144" t="s">
        <v>88</v>
      </c>
      <c r="C116" s="145" t="s">
        <v>73</v>
      </c>
      <c r="D116" s="146" t="s">
        <v>74</v>
      </c>
      <c r="E116" s="195">
        <v>3500</v>
      </c>
      <c r="F116" s="195">
        <v>4656.3999999999996</v>
      </c>
      <c r="G116" s="147">
        <v>1.1564000000000001</v>
      </c>
      <c r="H116" s="192">
        <v>0.33039999999999997</v>
      </c>
    </row>
    <row r="117" spans="1:8" ht="15.75" hidden="1" thickBot="1" x14ac:dyDescent="0.3">
      <c r="A117" s="354" t="str">
        <f t="shared" si="1"/>
        <v>ACCOUNT SERVICESPRINTING</v>
      </c>
      <c r="B117" s="144" t="s">
        <v>88</v>
      </c>
      <c r="C117" s="145" t="s">
        <v>111</v>
      </c>
      <c r="D117" s="146" t="s">
        <v>112</v>
      </c>
      <c r="E117" s="195">
        <v>322100</v>
      </c>
      <c r="F117" s="195">
        <v>330291.67</v>
      </c>
      <c r="G117" s="148">
        <v>8.1916700000000002</v>
      </c>
      <c r="H117" s="193">
        <v>2.5432070785470301E-2</v>
      </c>
    </row>
    <row r="118" spans="1:8" ht="15.75" hidden="1" thickBot="1" x14ac:dyDescent="0.3">
      <c r="A118" s="354" t="str">
        <f t="shared" si="1"/>
        <v>ACCOUNT SERVICESREFRESHMENTS</v>
      </c>
      <c r="B118" s="144" t="s">
        <v>88</v>
      </c>
      <c r="C118" s="145" t="s">
        <v>113</v>
      </c>
      <c r="D118" s="146" t="s">
        <v>114</v>
      </c>
      <c r="E118" s="194">
        <v>0</v>
      </c>
      <c r="F118" s="147">
        <v>139.16999999999999</v>
      </c>
      <c r="G118" s="147">
        <v>0.13916999999999999</v>
      </c>
      <c r="H118" s="194" t="s">
        <v>136</v>
      </c>
    </row>
    <row r="119" spans="1:8" ht="15.75" hidden="1" thickBot="1" x14ac:dyDescent="0.3">
      <c r="A119" s="354" t="str">
        <f t="shared" si="1"/>
        <v>ACCOUNT SERVICESPAYSTATION COMMISSIO</v>
      </c>
      <c r="B119" s="144" t="s">
        <v>88</v>
      </c>
      <c r="C119" s="145" t="s">
        <v>115</v>
      </c>
      <c r="D119" s="146" t="s">
        <v>116</v>
      </c>
      <c r="E119" s="195">
        <v>57000</v>
      </c>
      <c r="F119" s="195">
        <v>52478.450000000004</v>
      </c>
      <c r="G119" s="148">
        <v>-4.5215500000000004</v>
      </c>
      <c r="H119" s="193">
        <v>-7.9325438596491146E-2</v>
      </c>
    </row>
    <row r="120" spans="1:8" ht="15.75" hidden="1" thickBot="1" x14ac:dyDescent="0.3">
      <c r="A120" s="354" t="str">
        <f t="shared" si="1"/>
        <v>ACCOUNT SERVICESCASH RECEIPTS</v>
      </c>
      <c r="B120" s="144" t="s">
        <v>88</v>
      </c>
      <c r="C120" s="145" t="s">
        <v>117</v>
      </c>
      <c r="D120" s="146" t="s">
        <v>118</v>
      </c>
      <c r="E120" s="195">
        <v>-35000</v>
      </c>
      <c r="F120" s="195">
        <v>-43524.94</v>
      </c>
      <c r="G120" s="147">
        <v>-8.5249400000000009</v>
      </c>
      <c r="H120" s="192">
        <v>-0.24356971428571417</v>
      </c>
    </row>
    <row r="121" spans="1:8" ht="15.75" hidden="1" thickBot="1" x14ac:dyDescent="0.3">
      <c r="A121" s="354" t="str">
        <f t="shared" si="1"/>
        <v>ACCOUNT SERVICESCOLLECTION FEES</v>
      </c>
      <c r="B121" s="144" t="s">
        <v>88</v>
      </c>
      <c r="C121" s="145" t="s">
        <v>119</v>
      </c>
      <c r="D121" s="146" t="s">
        <v>120</v>
      </c>
      <c r="E121" s="195">
        <v>175071</v>
      </c>
      <c r="F121" s="195">
        <v>181021.19999999998</v>
      </c>
      <c r="G121" s="148">
        <v>5.9501999999999997</v>
      </c>
      <c r="H121" s="193">
        <v>3.3987353702212147E-2</v>
      </c>
    </row>
    <row r="122" spans="1:8" ht="15.75" hidden="1" thickBot="1" x14ac:dyDescent="0.3">
      <c r="A122" s="354" t="str">
        <f t="shared" si="1"/>
        <v>ACCOUNT SERVICESMEALS AND ENTERTAIN</v>
      </c>
      <c r="B122" s="144" t="s">
        <v>88</v>
      </c>
      <c r="C122" s="145" t="s">
        <v>75</v>
      </c>
      <c r="D122" s="146" t="s">
        <v>76</v>
      </c>
      <c r="E122" s="195">
        <v>2400</v>
      </c>
      <c r="F122" s="195">
        <v>586.30999999999995</v>
      </c>
      <c r="G122" s="147">
        <v>-1.81369</v>
      </c>
      <c r="H122" s="192">
        <v>-0.75570416666666673</v>
      </c>
    </row>
    <row r="123" spans="1:8" ht="15.75" hidden="1" thickBot="1" x14ac:dyDescent="0.3">
      <c r="A123" s="354" t="str">
        <f t="shared" si="1"/>
        <v>ACCOUNT SERVICESTRAVEL IN TERRITORY</v>
      </c>
      <c r="B123" s="144" t="s">
        <v>88</v>
      </c>
      <c r="C123" s="145" t="s">
        <v>121</v>
      </c>
      <c r="D123" s="146" t="s">
        <v>122</v>
      </c>
      <c r="E123" s="151">
        <v>0</v>
      </c>
      <c r="F123" s="148">
        <v>53</v>
      </c>
      <c r="G123" s="148">
        <v>5.2999999999999999E-2</v>
      </c>
      <c r="H123" s="151" t="s">
        <v>136</v>
      </c>
    </row>
    <row r="124" spans="1:8" ht="15.75" hidden="1" thickBot="1" x14ac:dyDescent="0.3">
      <c r="A124" s="354" t="str">
        <f t="shared" si="1"/>
        <v>ACCOUNT SERVICESCONFERENCE TRAVEL</v>
      </c>
      <c r="B124" s="144" t="s">
        <v>88</v>
      </c>
      <c r="C124" s="145" t="s">
        <v>77</v>
      </c>
      <c r="D124" s="146" t="s">
        <v>78</v>
      </c>
      <c r="E124" s="195">
        <v>15000</v>
      </c>
      <c r="F124" s="195">
        <v>4955.0999999999995</v>
      </c>
      <c r="G124" s="147">
        <v>-10.0449</v>
      </c>
      <c r="H124" s="192">
        <v>-0.66965999999999992</v>
      </c>
    </row>
    <row r="125" spans="1:8" ht="15.75" hidden="1" thickBot="1" x14ac:dyDescent="0.3">
      <c r="A125" s="354" t="str">
        <f t="shared" si="1"/>
        <v>ACCOUNT SERVICESBUSINESS TRAVEL</v>
      </c>
      <c r="B125" s="144" t="s">
        <v>88</v>
      </c>
      <c r="C125" s="145" t="s">
        <v>79</v>
      </c>
      <c r="D125" s="146" t="s">
        <v>80</v>
      </c>
      <c r="E125" s="151">
        <v>0</v>
      </c>
      <c r="F125" s="148">
        <v>96.13</v>
      </c>
      <c r="G125" s="148">
        <v>9.6129999999999993E-2</v>
      </c>
      <c r="H125" s="151" t="s">
        <v>136</v>
      </c>
    </row>
    <row r="126" spans="1:8" ht="15.75" hidden="1" thickBot="1" x14ac:dyDescent="0.3">
      <c r="A126" s="354" t="str">
        <f t="shared" si="1"/>
        <v>ACCOUNT SERVICESEMPLOYEE AWARDS</v>
      </c>
      <c r="B126" s="144" t="s">
        <v>88</v>
      </c>
      <c r="C126" s="145" t="s">
        <v>81</v>
      </c>
      <c r="D126" s="146" t="s">
        <v>82</v>
      </c>
      <c r="E126" s="194">
        <v>0</v>
      </c>
      <c r="F126" s="147">
        <v>1259.74</v>
      </c>
      <c r="G126" s="147">
        <v>1.2597400000000001</v>
      </c>
      <c r="H126" s="194" t="s">
        <v>136</v>
      </c>
    </row>
    <row r="127" spans="1:8" ht="15.75" hidden="1" thickBot="1" x14ac:dyDescent="0.3">
      <c r="A127" s="354" t="str">
        <f t="shared" si="1"/>
        <v>ACCOUNT SERVICESEMPLOYEE AWRDS MLS &amp;</v>
      </c>
      <c r="B127" s="144" t="s">
        <v>88</v>
      </c>
      <c r="C127" s="145" t="s">
        <v>123</v>
      </c>
      <c r="D127" s="146" t="s">
        <v>124</v>
      </c>
      <c r="E127" s="195">
        <v>2400</v>
      </c>
      <c r="F127" s="195">
        <v>2220.27</v>
      </c>
      <c r="G127" s="148">
        <v>-0.17973</v>
      </c>
      <c r="H127" s="193">
        <v>-7.4887499999999996E-2</v>
      </c>
    </row>
    <row r="128" spans="1:8" ht="15.75" hidden="1" thickBot="1" x14ac:dyDescent="0.3">
      <c r="A128" s="354" t="str">
        <f t="shared" si="1"/>
        <v>ACCOUNT SERVICESNON EMPLOYEE GIFTS</v>
      </c>
      <c r="B128" s="144" t="s">
        <v>88</v>
      </c>
      <c r="C128" s="145" t="s">
        <v>125</v>
      </c>
      <c r="D128" s="146" t="s">
        <v>126</v>
      </c>
      <c r="E128" s="194">
        <v>0</v>
      </c>
      <c r="F128" s="147">
        <v>75</v>
      </c>
      <c r="G128" s="147">
        <v>7.4999999999999997E-2</v>
      </c>
      <c r="H128" s="194" t="s">
        <v>136</v>
      </c>
    </row>
    <row r="129" spans="1:8" ht="15.75" hidden="1" thickBot="1" x14ac:dyDescent="0.3">
      <c r="A129" s="354" t="str">
        <f t="shared" si="1"/>
        <v>ACCOUNT SERVICESMISC. EXPENSE BUDGET</v>
      </c>
      <c r="B129" s="144" t="s">
        <v>88</v>
      </c>
      <c r="C129" s="145" t="s">
        <v>83</v>
      </c>
      <c r="D129" s="146" t="s">
        <v>84</v>
      </c>
      <c r="E129" s="195">
        <v>3600</v>
      </c>
      <c r="F129" s="151">
        <v>0</v>
      </c>
      <c r="G129" s="148">
        <v>-3.6</v>
      </c>
      <c r="H129" s="193">
        <v>-1</v>
      </c>
    </row>
    <row r="130" spans="1:8" ht="15.75" thickBot="1" x14ac:dyDescent="0.3">
      <c r="A130" s="354" t="str">
        <f t="shared" si="1"/>
        <v>ACCOUNT SERVICESNon-Payroll</v>
      </c>
      <c r="B130" s="144" t="s">
        <v>88</v>
      </c>
      <c r="C130" s="149" t="s">
        <v>85</v>
      </c>
      <c r="D130" s="150" t="s">
        <v>86</v>
      </c>
      <c r="E130" s="147">
        <v>3476062</v>
      </c>
      <c r="F130" s="147">
        <v>3410326.75</v>
      </c>
      <c r="G130" s="147">
        <v>-65.735249999999994</v>
      </c>
      <c r="H130" s="192">
        <v>-1.8910839334856513E-2</v>
      </c>
    </row>
    <row r="131" spans="1:8" ht="23.25" hidden="1" thickBot="1" x14ac:dyDescent="0.3">
      <c r="A131" s="199" t="str">
        <f t="shared" si="1"/>
        <v>ACCOUNT SERVICESEXPENSE ACCOUNTS</v>
      </c>
      <c r="B131" s="144" t="s">
        <v>88</v>
      </c>
      <c r="C131" s="144" t="s">
        <v>87</v>
      </c>
      <c r="D131" s="144" t="s">
        <v>87</v>
      </c>
      <c r="E131" s="148">
        <v>4941594.6899999995</v>
      </c>
      <c r="F131" s="148">
        <v>4891131.2299999995</v>
      </c>
      <c r="G131" s="148">
        <v>-50.463459999999998</v>
      </c>
      <c r="H131" s="193">
        <v>-1.0211978757003042E-2</v>
      </c>
    </row>
    <row r="132" spans="1:8" ht="15.75" hidden="1" thickBot="1" x14ac:dyDescent="0.3">
      <c r="A132" s="199" t="str">
        <f t="shared" si="1"/>
        <v>CUST FIELD SERVICESSALARY PAYROLL</v>
      </c>
      <c r="B132" s="144" t="s">
        <v>177</v>
      </c>
      <c r="C132" s="145" t="s">
        <v>59</v>
      </c>
      <c r="D132" s="146" t="s">
        <v>60</v>
      </c>
      <c r="E132" s="147">
        <v>1395906.06</v>
      </c>
      <c r="F132" s="147">
        <v>1542690.83</v>
      </c>
      <c r="G132" s="147">
        <v>146.78477000000001</v>
      </c>
      <c r="H132" s="192">
        <v>0.10515375941558704</v>
      </c>
    </row>
    <row r="133" spans="1:8" ht="15.75" hidden="1" thickBot="1" x14ac:dyDescent="0.3">
      <c r="A133" s="199" t="str">
        <f t="shared" ref="A133:A196" si="2">B133&amp;C133</f>
        <v>CUST FIELD SERVICESHOURLY PAYROLL</v>
      </c>
      <c r="B133" s="144" t="s">
        <v>177</v>
      </c>
      <c r="C133" s="145" t="s">
        <v>178</v>
      </c>
      <c r="D133" s="146" t="s">
        <v>179</v>
      </c>
      <c r="E133" s="151">
        <v>0</v>
      </c>
      <c r="F133" s="148">
        <v>-2960</v>
      </c>
      <c r="G133" s="148">
        <v>-2.96</v>
      </c>
      <c r="H133" s="151" t="s">
        <v>136</v>
      </c>
    </row>
    <row r="134" spans="1:8" ht="15.75" hidden="1" thickBot="1" x14ac:dyDescent="0.3">
      <c r="A134" s="199" t="str">
        <f t="shared" si="2"/>
        <v>CUST FIELD SERVICESHOURLY DOUBLE PAY</v>
      </c>
      <c r="B134" s="144" t="s">
        <v>177</v>
      </c>
      <c r="C134" s="145" t="s">
        <v>89</v>
      </c>
      <c r="D134" s="146" t="s">
        <v>90</v>
      </c>
      <c r="E134" s="194">
        <v>0</v>
      </c>
      <c r="F134" s="147">
        <v>96847.95</v>
      </c>
      <c r="G134" s="147">
        <v>96.847949999999997</v>
      </c>
      <c r="H134" s="194" t="s">
        <v>136</v>
      </c>
    </row>
    <row r="135" spans="1:8" ht="15.75" hidden="1" thickBot="1" x14ac:dyDescent="0.3">
      <c r="A135" s="199" t="str">
        <f t="shared" si="2"/>
        <v>CUST FIELD SERVICESHOURLY REGULAR  PAY</v>
      </c>
      <c r="B135" s="144" t="s">
        <v>177</v>
      </c>
      <c r="C135" s="145" t="s">
        <v>91</v>
      </c>
      <c r="D135" s="146" t="s">
        <v>92</v>
      </c>
      <c r="E135" s="148">
        <v>7677293.9699999997</v>
      </c>
      <c r="F135" s="148">
        <v>7069598.9299999997</v>
      </c>
      <c r="G135" s="148">
        <v>-607.69503999999995</v>
      </c>
      <c r="H135" s="193">
        <v>-7.915484835863322E-2</v>
      </c>
    </row>
    <row r="136" spans="1:8" ht="15.75" hidden="1" thickBot="1" x14ac:dyDescent="0.3">
      <c r="A136" s="199" t="str">
        <f t="shared" si="2"/>
        <v>CUST FIELD SERVICESHOURLY OVERTIME PAY</v>
      </c>
      <c r="B136" s="144" t="s">
        <v>177</v>
      </c>
      <c r="C136" s="145" t="s">
        <v>93</v>
      </c>
      <c r="D136" s="146" t="s">
        <v>94</v>
      </c>
      <c r="E136" s="147">
        <v>402045.77999999997</v>
      </c>
      <c r="F136" s="147">
        <v>294020.62</v>
      </c>
      <c r="G136" s="147">
        <v>-108.02516</v>
      </c>
      <c r="H136" s="192">
        <v>-0.26868870505244458</v>
      </c>
    </row>
    <row r="137" spans="1:8" ht="23.25" hidden="1" thickBot="1" x14ac:dyDescent="0.3">
      <c r="A137" s="199" t="str">
        <f t="shared" si="2"/>
        <v>CUST FIELD SERVICESSALARY BONUS PAYROLL</v>
      </c>
      <c r="B137" s="144" t="s">
        <v>177</v>
      </c>
      <c r="C137" s="145" t="s">
        <v>134</v>
      </c>
      <c r="D137" s="146" t="s">
        <v>135</v>
      </c>
      <c r="E137" s="151">
        <v>0</v>
      </c>
      <c r="F137" s="148">
        <v>2257.17</v>
      </c>
      <c r="G137" s="148">
        <v>2.2571699999999999</v>
      </c>
      <c r="H137" s="151" t="s">
        <v>136</v>
      </c>
    </row>
    <row r="138" spans="1:8" ht="23.25" hidden="1" thickBot="1" x14ac:dyDescent="0.3">
      <c r="A138" s="199" t="str">
        <f t="shared" si="2"/>
        <v>CUST FIELD SERVICESHOURLY BONUS PAYROLL</v>
      </c>
      <c r="B138" s="144" t="s">
        <v>177</v>
      </c>
      <c r="C138" s="145" t="s">
        <v>95</v>
      </c>
      <c r="D138" s="146" t="s">
        <v>96</v>
      </c>
      <c r="E138" s="194">
        <v>0</v>
      </c>
      <c r="F138" s="147">
        <v>1086.8800000000001</v>
      </c>
      <c r="G138" s="147">
        <v>1.0868800000000001</v>
      </c>
      <c r="H138" s="194" t="s">
        <v>136</v>
      </c>
    </row>
    <row r="139" spans="1:8" ht="15.75" hidden="1" thickBot="1" x14ac:dyDescent="0.3">
      <c r="A139" s="199" t="str">
        <f t="shared" si="2"/>
        <v>CUST FIELD SERVICESVACATION, SICK &amp; HOL</v>
      </c>
      <c r="B139" s="144" t="s">
        <v>177</v>
      </c>
      <c r="C139" s="145" t="s">
        <v>61</v>
      </c>
      <c r="D139" s="146" t="s">
        <v>62</v>
      </c>
      <c r="E139" s="148">
        <v>1412697.23</v>
      </c>
      <c r="F139" s="148">
        <v>1328357.4200000002</v>
      </c>
      <c r="G139" s="148">
        <v>-84.33981</v>
      </c>
      <c r="H139" s="193">
        <v>-5.9701263801586003E-2</v>
      </c>
    </row>
    <row r="140" spans="1:8" ht="15.75" hidden="1" thickBot="1" x14ac:dyDescent="0.3">
      <c r="A140" s="199" t="str">
        <f t="shared" si="2"/>
        <v>CUST FIELD SERVICESPAYROLL OVERHEAD</v>
      </c>
      <c r="B140" s="144" t="s">
        <v>177</v>
      </c>
      <c r="C140" s="145" t="s">
        <v>63</v>
      </c>
      <c r="D140" s="146" t="s">
        <v>64</v>
      </c>
      <c r="E140" s="147">
        <v>7532570.6699999999</v>
      </c>
      <c r="F140" s="147">
        <v>7145897.3799999999</v>
      </c>
      <c r="G140" s="147">
        <v>-386.67329000000001</v>
      </c>
      <c r="H140" s="192">
        <v>-5.1333509759159152E-2</v>
      </c>
    </row>
    <row r="141" spans="1:8" ht="15.75" hidden="1" thickBot="1" x14ac:dyDescent="0.3">
      <c r="A141" s="199" t="str">
        <f t="shared" si="2"/>
        <v>CUST FIELD SERVICESCOMMISSIONS</v>
      </c>
      <c r="B141" s="144" t="s">
        <v>177</v>
      </c>
      <c r="C141" s="145" t="s">
        <v>180</v>
      </c>
      <c r="D141" s="146" t="s">
        <v>181</v>
      </c>
      <c r="E141" s="151">
        <v>0</v>
      </c>
      <c r="F141" s="151">
        <v>0</v>
      </c>
      <c r="G141" s="151"/>
      <c r="H141" s="151"/>
    </row>
    <row r="142" spans="1:8" ht="15.75" hidden="1" thickBot="1" x14ac:dyDescent="0.3">
      <c r="A142" s="199" t="str">
        <f t="shared" si="2"/>
        <v>CUST FIELD SERVICESNWN/580105</v>
      </c>
      <c r="B142" s="144" t="s">
        <v>177</v>
      </c>
      <c r="C142" s="145" t="s">
        <v>156</v>
      </c>
      <c r="D142" s="146" t="s">
        <v>157</v>
      </c>
      <c r="E142" s="147">
        <v>223105.06</v>
      </c>
      <c r="F142" s="147">
        <v>72082.59</v>
      </c>
      <c r="G142" s="147">
        <v>-151.02247</v>
      </c>
      <c r="H142" s="192">
        <v>-0.67691189971218046</v>
      </c>
    </row>
    <row r="143" spans="1:8" ht="15.75" hidden="1" thickBot="1" x14ac:dyDescent="0.3">
      <c r="A143" s="199" t="str">
        <f t="shared" si="2"/>
        <v>CUST FIELD SERVICESNWN/580301</v>
      </c>
      <c r="B143" s="144" t="s">
        <v>177</v>
      </c>
      <c r="C143" s="145" t="s">
        <v>182</v>
      </c>
      <c r="D143" s="146" t="s">
        <v>183</v>
      </c>
      <c r="E143" s="151">
        <v>0</v>
      </c>
      <c r="F143" s="148">
        <v>136780.07999999999</v>
      </c>
      <c r="G143" s="148">
        <v>136.78008</v>
      </c>
      <c r="H143" s="151" t="s">
        <v>136</v>
      </c>
    </row>
    <row r="144" spans="1:8" ht="15.75" hidden="1" thickBot="1" x14ac:dyDescent="0.3">
      <c r="A144" s="199" t="str">
        <f t="shared" si="2"/>
        <v>CUST FIELD SERVICESNWN/580305</v>
      </c>
      <c r="B144" s="144" t="s">
        <v>177</v>
      </c>
      <c r="C144" s="145" t="s">
        <v>184</v>
      </c>
      <c r="D144" s="146" t="s">
        <v>185</v>
      </c>
      <c r="E144" s="194">
        <v>0</v>
      </c>
      <c r="F144" s="147">
        <v>12822448.75</v>
      </c>
      <c r="G144" s="147">
        <v>12822.44875</v>
      </c>
      <c r="H144" s="194" t="s">
        <v>136</v>
      </c>
    </row>
    <row r="145" spans="1:8" ht="15.75" hidden="1" thickBot="1" x14ac:dyDescent="0.3">
      <c r="A145" s="199" t="str">
        <f t="shared" si="2"/>
        <v>CUST FIELD SERVICESNWN/580306</v>
      </c>
      <c r="B145" s="144" t="s">
        <v>177</v>
      </c>
      <c r="C145" s="145" t="s">
        <v>161</v>
      </c>
      <c r="D145" s="146" t="s">
        <v>162</v>
      </c>
      <c r="E145" s="151">
        <v>0</v>
      </c>
      <c r="F145" s="148">
        <v>235817.37000000002</v>
      </c>
      <c r="G145" s="148">
        <v>235.81737000000001</v>
      </c>
      <c r="H145" s="151" t="s">
        <v>136</v>
      </c>
    </row>
    <row r="146" spans="1:8" ht="23.25" hidden="1" thickBot="1" x14ac:dyDescent="0.3">
      <c r="A146" s="199" t="str">
        <f t="shared" si="2"/>
        <v>CUST FIELD SERVICESSALARY PAYROLL ZTFSO</v>
      </c>
      <c r="B146" s="144" t="s">
        <v>177</v>
      </c>
      <c r="C146" s="145" t="s">
        <v>65</v>
      </c>
      <c r="D146" s="146" t="s">
        <v>66</v>
      </c>
      <c r="E146" s="147">
        <v>0</v>
      </c>
      <c r="F146" s="147">
        <v>-172521.71000000002</v>
      </c>
      <c r="G146" s="147">
        <v>-172.52171000000001</v>
      </c>
      <c r="H146" s="194" t="s">
        <v>136</v>
      </c>
    </row>
    <row r="147" spans="1:8" ht="15.75" hidden="1" thickBot="1" x14ac:dyDescent="0.3">
      <c r="A147" s="199" t="str">
        <f t="shared" si="2"/>
        <v>CUST FIELD SERVICESHRL - DBL TIME ZTFSO</v>
      </c>
      <c r="B147" s="144" t="s">
        <v>177</v>
      </c>
      <c r="C147" s="145" t="s">
        <v>186</v>
      </c>
      <c r="D147" s="146" t="s">
        <v>187</v>
      </c>
      <c r="E147" s="151">
        <v>0</v>
      </c>
      <c r="F147" s="148">
        <v>-115877.5</v>
      </c>
      <c r="G147" s="148">
        <v>-115.8775</v>
      </c>
      <c r="H147" s="151" t="s">
        <v>136</v>
      </c>
    </row>
    <row r="148" spans="1:8" ht="15.75" hidden="1" thickBot="1" x14ac:dyDescent="0.3">
      <c r="A148" s="199" t="str">
        <f t="shared" si="2"/>
        <v>CUST FIELD SERVICESHRLY - REGULAR ZTFSO</v>
      </c>
      <c r="B148" s="144" t="s">
        <v>177</v>
      </c>
      <c r="C148" s="145" t="s">
        <v>163</v>
      </c>
      <c r="D148" s="146" t="s">
        <v>164</v>
      </c>
      <c r="E148" s="147">
        <v>-306181.28000000003</v>
      </c>
      <c r="F148" s="147">
        <v>-13903592.08</v>
      </c>
      <c r="G148" s="147">
        <v>-13597.4108</v>
      </c>
      <c r="H148" s="192">
        <v>-44.409673902989759</v>
      </c>
    </row>
    <row r="149" spans="1:8" ht="15.75" hidden="1" thickBot="1" x14ac:dyDescent="0.3">
      <c r="A149" s="199" t="str">
        <f t="shared" si="2"/>
        <v>CUST FIELD SERVICESHRLY - OT ZTFSO</v>
      </c>
      <c r="B149" s="144" t="s">
        <v>177</v>
      </c>
      <c r="C149" s="145" t="s">
        <v>97</v>
      </c>
      <c r="D149" s="146" t="s">
        <v>98</v>
      </c>
      <c r="E149" s="151">
        <v>0</v>
      </c>
      <c r="F149" s="148">
        <v>-274813.07</v>
      </c>
      <c r="G149" s="148">
        <v>-274.81306999999998</v>
      </c>
      <c r="H149" s="151" t="s">
        <v>136</v>
      </c>
    </row>
    <row r="150" spans="1:8" ht="15.75" thickBot="1" x14ac:dyDescent="0.3">
      <c r="A150" s="355" t="str">
        <f t="shared" si="2"/>
        <v>CUST FIELD SERVICESPayroll</v>
      </c>
      <c r="B150" s="144" t="s">
        <v>177</v>
      </c>
      <c r="C150" s="149" t="s">
        <v>67</v>
      </c>
      <c r="D150" s="150" t="s">
        <v>68</v>
      </c>
      <c r="E150" s="195">
        <v>18337437.490000002</v>
      </c>
      <c r="F150" s="195">
        <v>16278121.609999999</v>
      </c>
      <c r="G150" s="147">
        <v>-2059.3158800000001</v>
      </c>
      <c r="H150" s="192">
        <v>-0.11230118063786235</v>
      </c>
    </row>
    <row r="151" spans="1:8" ht="15.75" hidden="1" thickBot="1" x14ac:dyDescent="0.3">
      <c r="A151" s="355" t="str">
        <f t="shared" si="2"/>
        <v>CUST FIELD SERVICESEDUCATION</v>
      </c>
      <c r="B151" s="144" t="s">
        <v>177</v>
      </c>
      <c r="C151" s="145" t="s">
        <v>69</v>
      </c>
      <c r="D151" s="146" t="s">
        <v>70</v>
      </c>
      <c r="E151" s="151">
        <v>0</v>
      </c>
      <c r="F151" s="195">
        <v>7418.43</v>
      </c>
      <c r="G151" s="148">
        <v>7.4184299999999999</v>
      </c>
      <c r="H151" s="151" t="s">
        <v>136</v>
      </c>
    </row>
    <row r="152" spans="1:8" ht="15.75" hidden="1" thickBot="1" x14ac:dyDescent="0.3">
      <c r="A152" s="355" t="str">
        <f t="shared" si="2"/>
        <v>CUST FIELD SERVICESMATERIALS</v>
      </c>
      <c r="B152" s="144" t="s">
        <v>177</v>
      </c>
      <c r="C152" s="145" t="s">
        <v>99</v>
      </c>
      <c r="D152" s="146" t="s">
        <v>100</v>
      </c>
      <c r="E152" s="195">
        <v>130000</v>
      </c>
      <c r="F152" s="195">
        <v>4906.66</v>
      </c>
      <c r="G152" s="147">
        <v>-125.09334</v>
      </c>
      <c r="H152" s="192">
        <v>-0.96225646153846156</v>
      </c>
    </row>
    <row r="153" spans="1:8" ht="15.75" hidden="1" thickBot="1" x14ac:dyDescent="0.3">
      <c r="A153" s="355" t="str">
        <f t="shared" si="2"/>
        <v>CUST FIELD SERVICESMATERIALS - CONS INV</v>
      </c>
      <c r="B153" s="144" t="s">
        <v>177</v>
      </c>
      <c r="C153" s="145" t="s">
        <v>165</v>
      </c>
      <c r="D153" s="146" t="s">
        <v>166</v>
      </c>
      <c r="E153" s="151">
        <v>0</v>
      </c>
      <c r="F153" s="195">
        <v>69097.37</v>
      </c>
      <c r="G153" s="148">
        <v>69.097369999999998</v>
      </c>
      <c r="H153" s="151" t="s">
        <v>136</v>
      </c>
    </row>
    <row r="154" spans="1:8" ht="15.75" hidden="1" thickBot="1" x14ac:dyDescent="0.3">
      <c r="A154" s="355" t="str">
        <f t="shared" si="2"/>
        <v>CUST FIELD SERVICESMATERIALS -CONS PIPE</v>
      </c>
      <c r="B154" s="144" t="s">
        <v>177</v>
      </c>
      <c r="C154" s="145" t="s">
        <v>188</v>
      </c>
      <c r="D154" s="146" t="s">
        <v>189</v>
      </c>
      <c r="E154" s="194">
        <v>0</v>
      </c>
      <c r="F154" s="147">
        <v>302.64000000000004</v>
      </c>
      <c r="G154" s="147">
        <v>0.30264000000000002</v>
      </c>
      <c r="H154" s="194" t="s">
        <v>136</v>
      </c>
    </row>
    <row r="155" spans="1:8" ht="15.75" hidden="1" thickBot="1" x14ac:dyDescent="0.3">
      <c r="A155" s="355" t="str">
        <f t="shared" si="2"/>
        <v>CUST FIELD SERVICESMILEAGE REIMBURSE</v>
      </c>
      <c r="B155" s="144" t="s">
        <v>177</v>
      </c>
      <c r="C155" s="145" t="s">
        <v>137</v>
      </c>
      <c r="D155" s="146" t="s">
        <v>138</v>
      </c>
      <c r="E155" s="195">
        <v>12000</v>
      </c>
      <c r="F155" s="195">
        <v>28298.2</v>
      </c>
      <c r="G155" s="148">
        <v>16.298200000000001</v>
      </c>
      <c r="H155" s="193">
        <v>1.3581833333333333</v>
      </c>
    </row>
    <row r="156" spans="1:8" ht="15.75" hidden="1" thickBot="1" x14ac:dyDescent="0.3">
      <c r="A156" s="355" t="str">
        <f t="shared" si="2"/>
        <v>CUST FIELD SERVICESTRANSPORTATION</v>
      </c>
      <c r="B156" s="144" t="s">
        <v>177</v>
      </c>
      <c r="C156" s="145" t="s">
        <v>190</v>
      </c>
      <c r="D156" s="146" t="s">
        <v>191</v>
      </c>
      <c r="E156" s="195">
        <v>235248</v>
      </c>
      <c r="F156" s="195">
        <v>235676.13</v>
      </c>
      <c r="G156" s="147">
        <v>0.42813000000000001</v>
      </c>
      <c r="H156" s="192">
        <v>1.8199092022036518E-3</v>
      </c>
    </row>
    <row r="157" spans="1:8" ht="15.75" hidden="1" thickBot="1" x14ac:dyDescent="0.3">
      <c r="A157" s="355" t="str">
        <f t="shared" si="2"/>
        <v>CUST FIELD SERVICESEQUIPMENT</v>
      </c>
      <c r="B157" s="144" t="s">
        <v>177</v>
      </c>
      <c r="C157" s="145" t="s">
        <v>36</v>
      </c>
      <c r="D157" s="146" t="s">
        <v>192</v>
      </c>
      <c r="E157" s="195">
        <v>1264000</v>
      </c>
      <c r="F157" s="195">
        <v>1343292.2799999998</v>
      </c>
      <c r="G157" s="148">
        <v>79.292280000000005</v>
      </c>
      <c r="H157" s="193">
        <v>6.2731234177215212E-2</v>
      </c>
    </row>
    <row r="158" spans="1:8" ht="15.75" hidden="1" thickBot="1" x14ac:dyDescent="0.3">
      <c r="A158" s="355" t="str">
        <f t="shared" si="2"/>
        <v>CUST FIELD SERVICESOTHER CONTRACT WORK</v>
      </c>
      <c r="B158" s="144" t="s">
        <v>177</v>
      </c>
      <c r="C158" s="145" t="s">
        <v>101</v>
      </c>
      <c r="D158" s="146" t="s">
        <v>102</v>
      </c>
      <c r="E158" s="195">
        <v>8400</v>
      </c>
      <c r="F158" s="195">
        <v>4022.3199999999997</v>
      </c>
      <c r="G158" s="147">
        <v>-4.3776799999999998</v>
      </c>
      <c r="H158" s="192">
        <v>-0.52115238095238092</v>
      </c>
    </row>
    <row r="159" spans="1:8" ht="15.75" hidden="1" thickBot="1" x14ac:dyDescent="0.3">
      <c r="A159" s="355" t="str">
        <f t="shared" si="2"/>
        <v>CUST FIELD SERVICESFLAGGING</v>
      </c>
      <c r="B159" s="144" t="s">
        <v>177</v>
      </c>
      <c r="C159" s="145" t="s">
        <v>193</v>
      </c>
      <c r="D159" s="146" t="s">
        <v>194</v>
      </c>
      <c r="E159" s="151">
        <v>0</v>
      </c>
      <c r="F159" s="148">
        <v>461.84999999999997</v>
      </c>
      <c r="G159" s="148">
        <v>0.46184999999999998</v>
      </c>
      <c r="H159" s="151" t="s">
        <v>136</v>
      </c>
    </row>
    <row r="160" spans="1:8" ht="15.75" hidden="1" thickBot="1" x14ac:dyDescent="0.3">
      <c r="A160" s="355" t="str">
        <f t="shared" si="2"/>
        <v>CUST FIELD SERVICESASPHALT PAVING</v>
      </c>
      <c r="B160" s="144" t="s">
        <v>177</v>
      </c>
      <c r="C160" s="145" t="s">
        <v>195</v>
      </c>
      <c r="D160" s="146" t="s">
        <v>196</v>
      </c>
      <c r="E160" s="194">
        <v>0</v>
      </c>
      <c r="F160" s="195">
        <v>1000.0899999999999</v>
      </c>
      <c r="G160" s="147">
        <v>1.0000899999999999</v>
      </c>
      <c r="H160" s="194" t="s">
        <v>136</v>
      </c>
    </row>
    <row r="161" spans="1:8" ht="15.75" hidden="1" thickBot="1" x14ac:dyDescent="0.3">
      <c r="A161" s="355" t="str">
        <f t="shared" si="2"/>
        <v>CUST FIELD SERVICESSAW CUTS</v>
      </c>
      <c r="B161" s="144" t="s">
        <v>177</v>
      </c>
      <c r="C161" s="145" t="s">
        <v>197</v>
      </c>
      <c r="D161" s="146" t="s">
        <v>198</v>
      </c>
      <c r="E161" s="151">
        <v>0</v>
      </c>
      <c r="F161" s="148">
        <v>160</v>
      </c>
      <c r="G161" s="148">
        <v>0.16</v>
      </c>
      <c r="H161" s="151" t="s">
        <v>136</v>
      </c>
    </row>
    <row r="162" spans="1:8" ht="15.75" hidden="1" thickBot="1" x14ac:dyDescent="0.3">
      <c r="A162" s="355" t="str">
        <f t="shared" si="2"/>
        <v>CUST FIELD SERVICESMISCELLANEOUS</v>
      </c>
      <c r="B162" s="144" t="s">
        <v>177</v>
      </c>
      <c r="C162" s="145" t="s">
        <v>103</v>
      </c>
      <c r="D162" s="146" t="s">
        <v>104</v>
      </c>
      <c r="E162" s="194">
        <v>0</v>
      </c>
      <c r="F162" s="147">
        <v>406.54</v>
      </c>
      <c r="G162" s="147">
        <v>0.40654000000000001</v>
      </c>
      <c r="H162" s="194" t="s">
        <v>136</v>
      </c>
    </row>
    <row r="163" spans="1:8" ht="15.75" hidden="1" thickBot="1" x14ac:dyDescent="0.3">
      <c r="A163" s="355" t="str">
        <f t="shared" si="2"/>
        <v>CUST FIELD SERVICESP CARD UNCODED CHARG</v>
      </c>
      <c r="B163" s="144" t="s">
        <v>177</v>
      </c>
      <c r="C163" s="145" t="s">
        <v>71</v>
      </c>
      <c r="D163" s="146" t="s">
        <v>72</v>
      </c>
      <c r="E163" s="151">
        <v>0</v>
      </c>
      <c r="F163" s="195">
        <v>1572.3</v>
      </c>
      <c r="G163" s="148">
        <v>1.5723</v>
      </c>
      <c r="H163" s="151" t="s">
        <v>136</v>
      </c>
    </row>
    <row r="164" spans="1:8" ht="15.75" hidden="1" thickBot="1" x14ac:dyDescent="0.3">
      <c r="A164" s="355" t="str">
        <f t="shared" si="2"/>
        <v>CUST FIELD SERVICESPOSTAGE</v>
      </c>
      <c r="B164" s="144" t="s">
        <v>177</v>
      </c>
      <c r="C164" s="145" t="s">
        <v>109</v>
      </c>
      <c r="D164" s="146" t="s">
        <v>110</v>
      </c>
      <c r="E164" s="194">
        <v>0</v>
      </c>
      <c r="F164" s="147">
        <v>36.369999999999997</v>
      </c>
      <c r="G164" s="147">
        <v>3.637E-2</v>
      </c>
      <c r="H164" s="194" t="s">
        <v>136</v>
      </c>
    </row>
    <row r="165" spans="1:8" ht="15.75" hidden="1" thickBot="1" x14ac:dyDescent="0.3">
      <c r="A165" s="355" t="str">
        <f t="shared" si="2"/>
        <v>CUST FIELD SERVICESCOMPANY GAS USE</v>
      </c>
      <c r="B165" s="144" t="s">
        <v>177</v>
      </c>
      <c r="C165" s="145" t="s">
        <v>199</v>
      </c>
      <c r="D165" s="146" t="s">
        <v>200</v>
      </c>
      <c r="E165" s="195">
        <v>115000</v>
      </c>
      <c r="F165" s="195">
        <v>88647.400000000009</v>
      </c>
      <c r="G165" s="148">
        <v>-26.352599999999999</v>
      </c>
      <c r="H165" s="193">
        <v>-0.2291530434782609</v>
      </c>
    </row>
    <row r="166" spans="1:8" ht="15.75" hidden="1" thickBot="1" x14ac:dyDescent="0.3">
      <c r="A166" s="355" t="str">
        <f t="shared" si="2"/>
        <v>CUST FIELD SERVICESOFFICE SUPPLIES</v>
      </c>
      <c r="B166" s="144" t="s">
        <v>177</v>
      </c>
      <c r="C166" s="145" t="s">
        <v>73</v>
      </c>
      <c r="D166" s="146" t="s">
        <v>74</v>
      </c>
      <c r="E166" s="195">
        <v>12000</v>
      </c>
      <c r="F166" s="195">
        <v>7843.9800000000005</v>
      </c>
      <c r="G166" s="147">
        <v>-4.1560199999999998</v>
      </c>
      <c r="H166" s="192">
        <v>-0.34633500000000006</v>
      </c>
    </row>
    <row r="167" spans="1:8" ht="15.75" hidden="1" thickBot="1" x14ac:dyDescent="0.3">
      <c r="A167" s="355" t="str">
        <f t="shared" si="2"/>
        <v>CUST FIELD SERVICESPRINTING</v>
      </c>
      <c r="B167" s="144" t="s">
        <v>177</v>
      </c>
      <c r="C167" s="145" t="s">
        <v>111</v>
      </c>
      <c r="D167" s="146" t="s">
        <v>112</v>
      </c>
      <c r="E167" s="195">
        <v>18000</v>
      </c>
      <c r="F167" s="195">
        <v>21108.78</v>
      </c>
      <c r="G167" s="148">
        <v>3.1087799999999999</v>
      </c>
      <c r="H167" s="193">
        <v>0.17270999999999995</v>
      </c>
    </row>
    <row r="168" spans="1:8" ht="15.75" hidden="1" thickBot="1" x14ac:dyDescent="0.3">
      <c r="A168" s="355" t="str">
        <f t="shared" si="2"/>
        <v>CUST FIELD SERVICESREFRESHMENTS</v>
      </c>
      <c r="B168" s="144" t="s">
        <v>177</v>
      </c>
      <c r="C168" s="145" t="s">
        <v>113</v>
      </c>
      <c r="D168" s="146" t="s">
        <v>114</v>
      </c>
      <c r="E168" s="195">
        <v>22000</v>
      </c>
      <c r="F168" s="195">
        <v>17817.5</v>
      </c>
      <c r="G168" s="147">
        <v>-4.1825000000000001</v>
      </c>
      <c r="H168" s="192">
        <v>-0.19011363636363637</v>
      </c>
    </row>
    <row r="169" spans="1:8" ht="15.75" hidden="1" thickBot="1" x14ac:dyDescent="0.3">
      <c r="A169" s="355" t="str">
        <f t="shared" si="2"/>
        <v>CUST FIELD SERVICESTOOL EXPENSE</v>
      </c>
      <c r="B169" s="144" t="s">
        <v>177</v>
      </c>
      <c r="C169" s="145" t="s">
        <v>201</v>
      </c>
      <c r="D169" s="146" t="s">
        <v>202</v>
      </c>
      <c r="E169" s="195">
        <v>18000</v>
      </c>
      <c r="F169" s="195">
        <v>4645.7300000000005</v>
      </c>
      <c r="G169" s="148">
        <v>-13.35427</v>
      </c>
      <c r="H169" s="193">
        <v>-0.74190388888888881</v>
      </c>
    </row>
    <row r="170" spans="1:8" ht="15.75" hidden="1" thickBot="1" x14ac:dyDescent="0.3">
      <c r="A170" s="355" t="str">
        <f t="shared" si="2"/>
        <v>CUST FIELD SERVICESCASH RECEIPTS</v>
      </c>
      <c r="B170" s="144" t="s">
        <v>177</v>
      </c>
      <c r="C170" s="145" t="s">
        <v>117</v>
      </c>
      <c r="D170" s="146" t="s">
        <v>118</v>
      </c>
      <c r="E170" s="194">
        <v>0</v>
      </c>
      <c r="F170" s="147">
        <v>208.5</v>
      </c>
      <c r="G170" s="147">
        <v>0.20849999999999999</v>
      </c>
      <c r="H170" s="194" t="s">
        <v>136</v>
      </c>
    </row>
    <row r="171" spans="1:8" ht="15.75" hidden="1" thickBot="1" x14ac:dyDescent="0.3">
      <c r="A171" s="355" t="str">
        <f t="shared" si="2"/>
        <v>CUST FIELD SERVICESPARKING</v>
      </c>
      <c r="B171" s="144" t="s">
        <v>177</v>
      </c>
      <c r="C171" s="145" t="s">
        <v>145</v>
      </c>
      <c r="D171" s="146" t="s">
        <v>146</v>
      </c>
      <c r="E171" s="195">
        <v>4800</v>
      </c>
      <c r="F171" s="195">
        <v>7499.1500000000005</v>
      </c>
      <c r="G171" s="148">
        <v>2.6991499999999999</v>
      </c>
      <c r="H171" s="193">
        <v>0.56232291666666656</v>
      </c>
    </row>
    <row r="172" spans="1:8" ht="15.75" hidden="1" thickBot="1" x14ac:dyDescent="0.3">
      <c r="A172" s="355" t="str">
        <f t="shared" si="2"/>
        <v>CUST FIELD SERVICESLAUNDRY</v>
      </c>
      <c r="B172" s="144" t="s">
        <v>177</v>
      </c>
      <c r="C172" s="145" t="s">
        <v>147</v>
      </c>
      <c r="D172" s="146" t="s">
        <v>148</v>
      </c>
      <c r="E172" s="195">
        <v>15000</v>
      </c>
      <c r="F172" s="195">
        <v>14682.800000000001</v>
      </c>
      <c r="G172" s="147">
        <v>-0.31719999999999998</v>
      </c>
      <c r="H172" s="192">
        <v>-2.1146666666666713E-2</v>
      </c>
    </row>
    <row r="173" spans="1:8" ht="15.75" hidden="1" thickBot="1" x14ac:dyDescent="0.3">
      <c r="A173" s="355" t="str">
        <f t="shared" si="2"/>
        <v>CUST FIELD SERVICESUNIFORMS</v>
      </c>
      <c r="B173" s="144" t="s">
        <v>177</v>
      </c>
      <c r="C173" s="145" t="s">
        <v>203</v>
      </c>
      <c r="D173" s="146" t="s">
        <v>204</v>
      </c>
      <c r="E173" s="195">
        <v>93000</v>
      </c>
      <c r="F173" s="195">
        <v>81555.16</v>
      </c>
      <c r="G173" s="148">
        <v>-11.444839999999999</v>
      </c>
      <c r="H173" s="193">
        <v>-0.12306279569892485</v>
      </c>
    </row>
    <row r="174" spans="1:8" ht="15.75" hidden="1" thickBot="1" x14ac:dyDescent="0.3">
      <c r="A174" s="355" t="str">
        <f t="shared" si="2"/>
        <v>CUST FIELD SERVICESCUSTOMER RECOVERY</v>
      </c>
      <c r="B174" s="144" t="s">
        <v>177</v>
      </c>
      <c r="C174" s="145" t="s">
        <v>171</v>
      </c>
      <c r="D174" s="146" t="s">
        <v>172</v>
      </c>
      <c r="E174" s="194">
        <v>0</v>
      </c>
      <c r="F174" s="147">
        <v>265</v>
      </c>
      <c r="G174" s="147">
        <v>0.26500000000000001</v>
      </c>
      <c r="H174" s="194" t="s">
        <v>136</v>
      </c>
    </row>
    <row r="175" spans="1:8" ht="15.75" hidden="1" thickBot="1" x14ac:dyDescent="0.3">
      <c r="A175" s="355" t="str">
        <f t="shared" si="2"/>
        <v>CUST FIELD SERVICESREPAIRS AND MAINT</v>
      </c>
      <c r="B175" s="144" t="s">
        <v>177</v>
      </c>
      <c r="C175" s="145" t="s">
        <v>205</v>
      </c>
      <c r="D175" s="146" t="s">
        <v>206</v>
      </c>
      <c r="E175" s="151">
        <v>0</v>
      </c>
      <c r="F175" s="148">
        <v>374.79</v>
      </c>
      <c r="G175" s="148">
        <v>0.37479000000000001</v>
      </c>
      <c r="H175" s="151" t="s">
        <v>136</v>
      </c>
    </row>
    <row r="176" spans="1:8" ht="15.75" hidden="1" thickBot="1" x14ac:dyDescent="0.3">
      <c r="A176" s="355" t="str">
        <f t="shared" si="2"/>
        <v>CUST FIELD SERVICESMEAL TICKETS</v>
      </c>
      <c r="B176" s="144" t="s">
        <v>177</v>
      </c>
      <c r="C176" s="145" t="s">
        <v>173</v>
      </c>
      <c r="D176" s="146" t="s">
        <v>174</v>
      </c>
      <c r="E176" s="195">
        <v>43200</v>
      </c>
      <c r="F176" s="195">
        <v>21821.26</v>
      </c>
      <c r="G176" s="147">
        <v>-21.378740000000001</v>
      </c>
      <c r="H176" s="192">
        <v>-0.49487824074074077</v>
      </c>
    </row>
    <row r="177" spans="1:8" ht="15.75" hidden="1" thickBot="1" x14ac:dyDescent="0.3">
      <c r="A177" s="355" t="str">
        <f t="shared" si="2"/>
        <v>CUST FIELD SERVICESSMALL TOOLS</v>
      </c>
      <c r="B177" s="144" t="s">
        <v>177</v>
      </c>
      <c r="C177" s="145" t="s">
        <v>207</v>
      </c>
      <c r="D177" s="146" t="s">
        <v>208</v>
      </c>
      <c r="E177" s="148">
        <v>0</v>
      </c>
      <c r="F177" s="195">
        <v>17870.79</v>
      </c>
      <c r="G177" s="148">
        <v>17.87079</v>
      </c>
      <c r="H177" s="151" t="s">
        <v>136</v>
      </c>
    </row>
    <row r="178" spans="1:8" ht="15.75" hidden="1" thickBot="1" x14ac:dyDescent="0.3">
      <c r="A178" s="355" t="str">
        <f t="shared" si="2"/>
        <v>CUST FIELD SERVICESMEALS AND ENTERTAIN</v>
      </c>
      <c r="B178" s="144" t="s">
        <v>177</v>
      </c>
      <c r="C178" s="145" t="s">
        <v>75</v>
      </c>
      <c r="D178" s="146" t="s">
        <v>76</v>
      </c>
      <c r="E178" s="195">
        <v>40000</v>
      </c>
      <c r="F178" s="195">
        <v>21668.84</v>
      </c>
      <c r="G178" s="147">
        <v>-18.331160000000001</v>
      </c>
      <c r="H178" s="192">
        <v>-0.45827900000000016</v>
      </c>
    </row>
    <row r="179" spans="1:8" ht="15.75" hidden="1" thickBot="1" x14ac:dyDescent="0.3">
      <c r="A179" s="355" t="str">
        <f t="shared" si="2"/>
        <v>CUST FIELD SERVICESTRAVEL IN TERRITORY</v>
      </c>
      <c r="B179" s="144" t="s">
        <v>177</v>
      </c>
      <c r="C179" s="145" t="s">
        <v>121</v>
      </c>
      <c r="D179" s="146" t="s">
        <v>122</v>
      </c>
      <c r="E179" s="195">
        <v>25000</v>
      </c>
      <c r="F179" s="195">
        <v>16020.849999999999</v>
      </c>
      <c r="G179" s="148">
        <v>-8.9791500000000006</v>
      </c>
      <c r="H179" s="193">
        <v>-0.35916600000000004</v>
      </c>
    </row>
    <row r="180" spans="1:8" ht="15.75" hidden="1" thickBot="1" x14ac:dyDescent="0.3">
      <c r="A180" s="355" t="str">
        <f t="shared" si="2"/>
        <v>CUST FIELD SERVICESCONFERENCE TRAVEL</v>
      </c>
      <c r="B180" s="144" t="s">
        <v>177</v>
      </c>
      <c r="C180" s="145" t="s">
        <v>77</v>
      </c>
      <c r="D180" s="146" t="s">
        <v>78</v>
      </c>
      <c r="E180" s="195">
        <v>24000</v>
      </c>
      <c r="F180" s="195">
        <v>16338.49</v>
      </c>
      <c r="G180" s="147">
        <v>-7.6615099999999998</v>
      </c>
      <c r="H180" s="192">
        <v>-0.31922958333333329</v>
      </c>
    </row>
    <row r="181" spans="1:8" ht="15.75" hidden="1" thickBot="1" x14ac:dyDescent="0.3">
      <c r="A181" s="355" t="str">
        <f t="shared" si="2"/>
        <v>CUST FIELD SERVICESBUSINESS TRAVEL</v>
      </c>
      <c r="B181" s="144" t="s">
        <v>177</v>
      </c>
      <c r="C181" s="145" t="s">
        <v>79</v>
      </c>
      <c r="D181" s="146" t="s">
        <v>80</v>
      </c>
      <c r="E181" s="151">
        <v>0</v>
      </c>
      <c r="F181" s="195">
        <v>16194.759999999998</v>
      </c>
      <c r="G181" s="148">
        <v>16.194759999999999</v>
      </c>
      <c r="H181" s="151" t="s">
        <v>136</v>
      </c>
    </row>
    <row r="182" spans="1:8" ht="15.75" hidden="1" thickBot="1" x14ac:dyDescent="0.3">
      <c r="A182" s="355" t="str">
        <f t="shared" si="2"/>
        <v>CUST FIELD SERVICESEMPLOYEE AWARDS</v>
      </c>
      <c r="B182" s="144" t="s">
        <v>177</v>
      </c>
      <c r="C182" s="145" t="s">
        <v>81</v>
      </c>
      <c r="D182" s="146" t="s">
        <v>82</v>
      </c>
      <c r="E182" s="147">
        <v>4800</v>
      </c>
      <c r="F182" s="147">
        <v>1346.75</v>
      </c>
      <c r="G182" s="147">
        <v>-3.4532500000000002</v>
      </c>
      <c r="H182" s="192">
        <v>-0.71942708333333327</v>
      </c>
    </row>
    <row r="183" spans="1:8" ht="15.75" hidden="1" thickBot="1" x14ac:dyDescent="0.3">
      <c r="A183" s="355" t="str">
        <f t="shared" si="2"/>
        <v>CUST FIELD SERVICESEMPLOYEE AWRDS MLS &amp;</v>
      </c>
      <c r="B183" s="144" t="s">
        <v>177</v>
      </c>
      <c r="C183" s="145" t="s">
        <v>123</v>
      </c>
      <c r="D183" s="146" t="s">
        <v>124</v>
      </c>
      <c r="E183" s="151">
        <v>0</v>
      </c>
      <c r="F183" s="148">
        <v>1979.69</v>
      </c>
      <c r="G183" s="148">
        <v>1.9796899999999999</v>
      </c>
      <c r="H183" s="151" t="s">
        <v>136</v>
      </c>
    </row>
    <row r="184" spans="1:8" ht="15.75" hidden="1" thickBot="1" x14ac:dyDescent="0.3">
      <c r="A184" s="355" t="str">
        <f t="shared" si="2"/>
        <v>CUST FIELD SERVICESNON EMPLOYEE GIFTS</v>
      </c>
      <c r="B184" s="144" t="s">
        <v>177</v>
      </c>
      <c r="C184" s="145" t="s">
        <v>125</v>
      </c>
      <c r="D184" s="146" t="s">
        <v>126</v>
      </c>
      <c r="E184" s="194">
        <v>0</v>
      </c>
      <c r="F184" s="147">
        <v>300</v>
      </c>
      <c r="G184" s="147">
        <v>0.3</v>
      </c>
      <c r="H184" s="194" t="s">
        <v>136</v>
      </c>
    </row>
    <row r="185" spans="1:8" ht="15.75" hidden="1" thickBot="1" x14ac:dyDescent="0.3">
      <c r="A185" s="355" t="str">
        <f t="shared" si="2"/>
        <v>CUST FIELD SERVICESNWN/581500</v>
      </c>
      <c r="B185" s="144" t="s">
        <v>177</v>
      </c>
      <c r="C185" s="145" t="s">
        <v>209</v>
      </c>
      <c r="D185" s="146" t="s">
        <v>210</v>
      </c>
      <c r="E185" s="151">
        <v>0</v>
      </c>
      <c r="F185" s="195">
        <v>3837.2799999999997</v>
      </c>
      <c r="G185" s="148">
        <v>3.8372799999999998</v>
      </c>
      <c r="H185" s="151" t="s">
        <v>136</v>
      </c>
    </row>
    <row r="186" spans="1:8" ht="15.75" hidden="1" thickBot="1" x14ac:dyDescent="0.3">
      <c r="A186" s="355" t="str">
        <f t="shared" si="2"/>
        <v>CUST FIELD SERVICESNWN/585800</v>
      </c>
      <c r="B186" s="144" t="s">
        <v>177</v>
      </c>
      <c r="C186" s="145" t="s">
        <v>211</v>
      </c>
      <c r="D186" s="146" t="s">
        <v>212</v>
      </c>
      <c r="E186" s="194">
        <v>0</v>
      </c>
      <c r="F186" s="195">
        <v>1702.9</v>
      </c>
      <c r="G186" s="147">
        <v>1.7029000000000001</v>
      </c>
      <c r="H186" s="194" t="s">
        <v>136</v>
      </c>
    </row>
    <row r="187" spans="1:8" ht="15.75" hidden="1" thickBot="1" x14ac:dyDescent="0.3">
      <c r="A187" s="355" t="str">
        <f t="shared" si="2"/>
        <v>CUST FIELD SERVICESMILEAGE REIMB ZTFSO</v>
      </c>
      <c r="B187" s="144" t="s">
        <v>177</v>
      </c>
      <c r="C187" s="145" t="s">
        <v>213</v>
      </c>
      <c r="D187" s="146" t="s">
        <v>214</v>
      </c>
      <c r="E187" s="151">
        <v>0</v>
      </c>
      <c r="F187" s="195">
        <v>-3836.1200000000003</v>
      </c>
      <c r="G187" s="148">
        <v>-3.8361200000000002</v>
      </c>
      <c r="H187" s="151" t="s">
        <v>136</v>
      </c>
    </row>
    <row r="188" spans="1:8" ht="15.75" hidden="1" thickBot="1" x14ac:dyDescent="0.3">
      <c r="A188" s="355" t="str">
        <f t="shared" si="2"/>
        <v>CUST FIELD SERVICESMEAL TICKETS ZTFSO</v>
      </c>
      <c r="B188" s="144" t="s">
        <v>177</v>
      </c>
      <c r="C188" s="145" t="s">
        <v>215</v>
      </c>
      <c r="D188" s="146" t="s">
        <v>216</v>
      </c>
      <c r="E188" s="194">
        <v>0</v>
      </c>
      <c r="F188" s="195">
        <v>-1924.3300000000002</v>
      </c>
      <c r="G188" s="147">
        <v>-1.9243300000000001</v>
      </c>
      <c r="H188" s="194" t="s">
        <v>136</v>
      </c>
    </row>
    <row r="189" spans="1:8" ht="15.75" hidden="1" thickBot="1" x14ac:dyDescent="0.3">
      <c r="A189" s="355" t="str">
        <f t="shared" si="2"/>
        <v>CUST FIELD SERVICESMISC. EXPENSE BUDGET</v>
      </c>
      <c r="B189" s="144" t="s">
        <v>177</v>
      </c>
      <c r="C189" s="145" t="s">
        <v>83</v>
      </c>
      <c r="D189" s="146" t="s">
        <v>84</v>
      </c>
      <c r="E189" s="195">
        <v>59900</v>
      </c>
      <c r="F189" s="151">
        <v>0</v>
      </c>
      <c r="G189" s="148">
        <v>-59.9</v>
      </c>
      <c r="H189" s="193">
        <v>-1</v>
      </c>
    </row>
    <row r="190" spans="1:8" ht="15.75" thickBot="1" x14ac:dyDescent="0.3">
      <c r="A190" s="355" t="str">
        <f t="shared" si="2"/>
        <v>CUST FIELD SERVICESNon-Payroll</v>
      </c>
      <c r="B190" s="144" t="s">
        <v>177</v>
      </c>
      <c r="C190" s="149" t="s">
        <v>85</v>
      </c>
      <c r="D190" s="150" t="s">
        <v>86</v>
      </c>
      <c r="E190" s="147">
        <v>2144348</v>
      </c>
      <c r="F190" s="147">
        <v>2054621.13</v>
      </c>
      <c r="G190" s="147">
        <v>-89.726870000000005</v>
      </c>
      <c r="H190" s="192">
        <v>-4.1843427466064231E-2</v>
      </c>
    </row>
    <row r="191" spans="1:8" ht="23.25" hidden="1" thickBot="1" x14ac:dyDescent="0.3">
      <c r="A191" s="355" t="str">
        <f t="shared" si="2"/>
        <v>CUST FIELD SERVICESEXPENSE ACCOUNTS</v>
      </c>
      <c r="B191" s="144" t="s">
        <v>177</v>
      </c>
      <c r="C191" s="144" t="s">
        <v>87</v>
      </c>
      <c r="D191" s="144" t="s">
        <v>87</v>
      </c>
      <c r="E191" s="148">
        <v>20481785.489999998</v>
      </c>
      <c r="F191" s="148">
        <v>18332742.740000002</v>
      </c>
      <c r="G191" s="148">
        <v>-2149.0427500000001</v>
      </c>
      <c r="H191" s="193">
        <v>-0.104924580479043</v>
      </c>
    </row>
    <row r="192" spans="1:8" ht="15.75" hidden="1" thickBot="1" x14ac:dyDescent="0.3">
      <c r="A192" s="199" t="str">
        <f t="shared" si="2"/>
        <v>RESOURCE MGMT CTRSALARY PAYROLL</v>
      </c>
      <c r="B192" s="144" t="s">
        <v>217</v>
      </c>
      <c r="C192" s="145" t="s">
        <v>59</v>
      </c>
      <c r="D192" s="146" t="s">
        <v>60</v>
      </c>
      <c r="E192" s="147">
        <v>1718272.1400000001</v>
      </c>
      <c r="F192" s="147">
        <v>1787057.66</v>
      </c>
      <c r="G192" s="147">
        <v>68.785520000000005</v>
      </c>
      <c r="H192" s="192">
        <v>4.0031796127475046E-2</v>
      </c>
    </row>
    <row r="193" spans="1:8" ht="15.75" hidden="1" thickBot="1" x14ac:dyDescent="0.3">
      <c r="A193" s="199" t="str">
        <f t="shared" si="2"/>
        <v>RESOURCE MGMT CTRHOURLY REGULAR  PAY</v>
      </c>
      <c r="B193" s="144" t="s">
        <v>217</v>
      </c>
      <c r="C193" s="145" t="s">
        <v>91</v>
      </c>
      <c r="D193" s="146" t="s">
        <v>92</v>
      </c>
      <c r="E193" s="148">
        <v>332560.73</v>
      </c>
      <c r="F193" s="148">
        <v>247650.72</v>
      </c>
      <c r="G193" s="148">
        <v>-84.91001</v>
      </c>
      <c r="H193" s="193">
        <v>-0.2553218174617311</v>
      </c>
    </row>
    <row r="194" spans="1:8" ht="15.75" hidden="1" thickBot="1" x14ac:dyDescent="0.3">
      <c r="A194" s="199" t="str">
        <f t="shared" si="2"/>
        <v>RESOURCE MGMT CTRHOURLY OVERTIME PAY</v>
      </c>
      <c r="B194" s="144" t="s">
        <v>217</v>
      </c>
      <c r="C194" s="145" t="s">
        <v>93</v>
      </c>
      <c r="D194" s="146" t="s">
        <v>94</v>
      </c>
      <c r="E194" s="147">
        <v>12032.5</v>
      </c>
      <c r="F194" s="147">
        <v>3448.77</v>
      </c>
      <c r="G194" s="147">
        <v>-8.5837299999999992</v>
      </c>
      <c r="H194" s="192">
        <v>-0.71337876584250992</v>
      </c>
    </row>
    <row r="195" spans="1:8" ht="23.25" hidden="1" thickBot="1" x14ac:dyDescent="0.3">
      <c r="A195" s="199" t="str">
        <f t="shared" si="2"/>
        <v>RESOURCE MGMT CTRSALARY BONUS PAYROLL</v>
      </c>
      <c r="B195" s="144" t="s">
        <v>217</v>
      </c>
      <c r="C195" s="145" t="s">
        <v>134</v>
      </c>
      <c r="D195" s="146" t="s">
        <v>135</v>
      </c>
      <c r="E195" s="151">
        <v>0</v>
      </c>
      <c r="F195" s="148">
        <v>588.92999999999995</v>
      </c>
      <c r="G195" s="148">
        <v>0.58892999999999995</v>
      </c>
      <c r="H195" s="151" t="s">
        <v>136</v>
      </c>
    </row>
    <row r="196" spans="1:8" ht="23.25" hidden="1" thickBot="1" x14ac:dyDescent="0.3">
      <c r="A196" s="199" t="str">
        <f t="shared" si="2"/>
        <v>RESOURCE MGMT CTRHOURLY BONUS PAYROLL</v>
      </c>
      <c r="B196" s="144" t="s">
        <v>217</v>
      </c>
      <c r="C196" s="145" t="s">
        <v>95</v>
      </c>
      <c r="D196" s="146" t="s">
        <v>96</v>
      </c>
      <c r="E196" s="194">
        <v>0</v>
      </c>
      <c r="F196" s="147">
        <v>178.44</v>
      </c>
      <c r="G196" s="147">
        <v>0.17843999999999999</v>
      </c>
      <c r="H196" s="194" t="s">
        <v>136</v>
      </c>
    </row>
    <row r="197" spans="1:8" ht="15.75" hidden="1" thickBot="1" x14ac:dyDescent="0.3">
      <c r="A197" s="199" t="str">
        <f t="shared" ref="A197:A260" si="3">B197&amp;C197</f>
        <v>RESOURCE MGMT CTRVACATION, SICK &amp; HOL</v>
      </c>
      <c r="B197" s="144" t="s">
        <v>217</v>
      </c>
      <c r="C197" s="145" t="s">
        <v>61</v>
      </c>
      <c r="D197" s="146" t="s">
        <v>62</v>
      </c>
      <c r="E197" s="148">
        <v>319314.64</v>
      </c>
      <c r="F197" s="148">
        <v>315138.98</v>
      </c>
      <c r="G197" s="148">
        <v>-4.1756599999999997</v>
      </c>
      <c r="H197" s="193">
        <v>-1.3076945047054631E-2</v>
      </c>
    </row>
    <row r="198" spans="1:8" ht="15.75" hidden="1" thickBot="1" x14ac:dyDescent="0.3">
      <c r="A198" s="199" t="str">
        <f t="shared" si="3"/>
        <v>RESOURCE MGMT CTRPAYROLL OVERHEAD</v>
      </c>
      <c r="B198" s="144" t="s">
        <v>217</v>
      </c>
      <c r="C198" s="145" t="s">
        <v>63</v>
      </c>
      <c r="D198" s="146" t="s">
        <v>64</v>
      </c>
      <c r="E198" s="147">
        <v>1702601.42</v>
      </c>
      <c r="F198" s="147">
        <v>1682522.99</v>
      </c>
      <c r="G198" s="147">
        <v>-20.078430000000001</v>
      </c>
      <c r="H198" s="192">
        <v>-1.179279528616858E-2</v>
      </c>
    </row>
    <row r="199" spans="1:8" ht="15.75" hidden="1" thickBot="1" x14ac:dyDescent="0.3">
      <c r="A199" s="199" t="str">
        <f t="shared" si="3"/>
        <v>RESOURCE MGMT CTRNWN/580305</v>
      </c>
      <c r="B199" s="144" t="s">
        <v>217</v>
      </c>
      <c r="C199" s="145" t="s">
        <v>184</v>
      </c>
      <c r="D199" s="146" t="s">
        <v>185</v>
      </c>
      <c r="E199" s="151">
        <v>0</v>
      </c>
      <c r="F199" s="148">
        <v>141199.69</v>
      </c>
      <c r="G199" s="148">
        <v>141.19969</v>
      </c>
      <c r="H199" s="151" t="s">
        <v>136</v>
      </c>
    </row>
    <row r="200" spans="1:8" ht="15.75" hidden="1" thickBot="1" x14ac:dyDescent="0.3">
      <c r="A200" s="199" t="str">
        <f t="shared" si="3"/>
        <v>RESOURCE MGMT CTRNWN/580306</v>
      </c>
      <c r="B200" s="144" t="s">
        <v>217</v>
      </c>
      <c r="C200" s="145" t="s">
        <v>161</v>
      </c>
      <c r="D200" s="146" t="s">
        <v>162</v>
      </c>
      <c r="E200" s="194">
        <v>0</v>
      </c>
      <c r="F200" s="147">
        <v>184.76000000000002</v>
      </c>
      <c r="G200" s="147">
        <v>0.18476000000000001</v>
      </c>
      <c r="H200" s="194" t="s">
        <v>136</v>
      </c>
    </row>
    <row r="201" spans="1:8" ht="23.25" hidden="1" thickBot="1" x14ac:dyDescent="0.3">
      <c r="A201" s="199" t="str">
        <f t="shared" si="3"/>
        <v>RESOURCE MGMT CTRSALARY PAYROLL ZTFSO</v>
      </c>
      <c r="B201" s="144" t="s">
        <v>217</v>
      </c>
      <c r="C201" s="145" t="s">
        <v>65</v>
      </c>
      <c r="D201" s="146" t="s">
        <v>66</v>
      </c>
      <c r="E201" s="148">
        <v>-1774404.94</v>
      </c>
      <c r="F201" s="148">
        <v>-1845900.57</v>
      </c>
      <c r="G201" s="148">
        <v>-71.495630000000006</v>
      </c>
      <c r="H201" s="193">
        <v>-4.0292736110169057E-2</v>
      </c>
    </row>
    <row r="202" spans="1:8" ht="15.75" hidden="1" thickBot="1" x14ac:dyDescent="0.3">
      <c r="A202" s="199" t="str">
        <f t="shared" si="3"/>
        <v>RESOURCE MGMT CTRHRLY - REGULAR ZTFSO</v>
      </c>
      <c r="B202" s="144" t="s">
        <v>217</v>
      </c>
      <c r="C202" s="145" t="s">
        <v>163</v>
      </c>
      <c r="D202" s="146" t="s">
        <v>164</v>
      </c>
      <c r="E202" s="147">
        <v>0</v>
      </c>
      <c r="F202" s="147">
        <v>-360809.61000000004</v>
      </c>
      <c r="G202" s="147">
        <v>-360.80961000000002</v>
      </c>
      <c r="H202" s="194" t="s">
        <v>136</v>
      </c>
    </row>
    <row r="203" spans="1:8" ht="15.75" hidden="1" thickBot="1" x14ac:dyDescent="0.3">
      <c r="A203" s="199" t="str">
        <f t="shared" si="3"/>
        <v>RESOURCE MGMT CTRHRLY - OT ZTFSO</v>
      </c>
      <c r="B203" s="144" t="s">
        <v>217</v>
      </c>
      <c r="C203" s="145" t="s">
        <v>97</v>
      </c>
      <c r="D203" s="146" t="s">
        <v>98</v>
      </c>
      <c r="E203" s="151">
        <v>0</v>
      </c>
      <c r="F203" s="148">
        <v>-406.45</v>
      </c>
      <c r="G203" s="148">
        <v>-0.40644999999999998</v>
      </c>
      <c r="H203" s="151" t="s">
        <v>136</v>
      </c>
    </row>
    <row r="204" spans="1:8" ht="15.75" thickBot="1" x14ac:dyDescent="0.3">
      <c r="A204" s="356" t="str">
        <f t="shared" si="3"/>
        <v>RESOURCE MGMT CTRPayroll</v>
      </c>
      <c r="B204" s="144" t="s">
        <v>217</v>
      </c>
      <c r="C204" s="149" t="s">
        <v>67</v>
      </c>
      <c r="D204" s="150" t="s">
        <v>68</v>
      </c>
      <c r="E204" s="195">
        <v>2310376.4900000002</v>
      </c>
      <c r="F204" s="195">
        <v>1970854.31</v>
      </c>
      <c r="G204" s="147">
        <v>-339.52217999999999</v>
      </c>
      <c r="H204" s="192">
        <v>-0.14695534752433365</v>
      </c>
    </row>
    <row r="205" spans="1:8" ht="15.75" hidden="1" thickBot="1" x14ac:dyDescent="0.3">
      <c r="A205" s="356" t="str">
        <f t="shared" si="3"/>
        <v>RESOURCE MGMT CTREDUCATION</v>
      </c>
      <c r="B205" s="144" t="s">
        <v>217</v>
      </c>
      <c r="C205" s="145" t="s">
        <v>69</v>
      </c>
      <c r="D205" s="146" t="s">
        <v>70</v>
      </c>
      <c r="E205" s="151">
        <v>0</v>
      </c>
      <c r="F205" s="148">
        <v>259.97999999999996</v>
      </c>
      <c r="G205" s="148">
        <v>0.25997999999999999</v>
      </c>
      <c r="H205" s="151" t="s">
        <v>136</v>
      </c>
    </row>
    <row r="206" spans="1:8" ht="15.75" hidden="1" thickBot="1" x14ac:dyDescent="0.3">
      <c r="A206" s="356" t="str">
        <f t="shared" si="3"/>
        <v>RESOURCE MGMT CTRMATERIALS - CONS INV</v>
      </c>
      <c r="B206" s="144" t="s">
        <v>217</v>
      </c>
      <c r="C206" s="145" t="s">
        <v>165</v>
      </c>
      <c r="D206" s="146" t="s">
        <v>166</v>
      </c>
      <c r="E206" s="194">
        <v>0</v>
      </c>
      <c r="F206" s="147">
        <v>1109.77</v>
      </c>
      <c r="G206" s="147">
        <v>1.1097699999999999</v>
      </c>
      <c r="H206" s="194" t="s">
        <v>136</v>
      </c>
    </row>
    <row r="207" spans="1:8" ht="15.75" hidden="1" thickBot="1" x14ac:dyDescent="0.3">
      <c r="A207" s="356" t="str">
        <f t="shared" si="3"/>
        <v>RESOURCE MGMT CTRMILEAGE REIMBURSE</v>
      </c>
      <c r="B207" s="144" t="s">
        <v>217</v>
      </c>
      <c r="C207" s="145" t="s">
        <v>137</v>
      </c>
      <c r="D207" s="146" t="s">
        <v>138</v>
      </c>
      <c r="E207" s="195">
        <v>3000</v>
      </c>
      <c r="F207" s="195">
        <v>2147.2000000000003</v>
      </c>
      <c r="G207" s="148">
        <v>-0.8528</v>
      </c>
      <c r="H207" s="193">
        <v>-0.28426666666666656</v>
      </c>
    </row>
    <row r="208" spans="1:8" ht="15.75" hidden="1" thickBot="1" x14ac:dyDescent="0.3">
      <c r="A208" s="356" t="str">
        <f t="shared" si="3"/>
        <v>RESOURCE MGMT CTRTRANSPORTATION</v>
      </c>
      <c r="B208" s="144" t="s">
        <v>217</v>
      </c>
      <c r="C208" s="145" t="s">
        <v>190</v>
      </c>
      <c r="D208" s="146" t="s">
        <v>191</v>
      </c>
      <c r="E208" s="147">
        <v>0</v>
      </c>
      <c r="F208" s="147">
        <v>132.64999999999998</v>
      </c>
      <c r="G208" s="147">
        <v>0.13264999999999999</v>
      </c>
      <c r="H208" s="194" t="s">
        <v>136</v>
      </c>
    </row>
    <row r="209" spans="1:8" ht="15.75" hidden="1" thickBot="1" x14ac:dyDescent="0.3">
      <c r="A209" s="356" t="str">
        <f t="shared" si="3"/>
        <v>RESOURCE MGMT CTRDUES/MEMBERSHIP</v>
      </c>
      <c r="B209" s="144" t="s">
        <v>217</v>
      </c>
      <c r="C209" s="145" t="s">
        <v>139</v>
      </c>
      <c r="D209" s="146" t="s">
        <v>140</v>
      </c>
      <c r="E209" s="151">
        <v>0</v>
      </c>
      <c r="F209" s="148">
        <v>230</v>
      </c>
      <c r="G209" s="148">
        <v>0.23</v>
      </c>
      <c r="H209" s="151" t="s">
        <v>136</v>
      </c>
    </row>
    <row r="210" spans="1:8" ht="15.75" hidden="1" thickBot="1" x14ac:dyDescent="0.3">
      <c r="A210" s="356" t="str">
        <f t="shared" si="3"/>
        <v>RESOURCE MGMT CTROFFICE CONTRACT WORK</v>
      </c>
      <c r="B210" s="144" t="s">
        <v>217</v>
      </c>
      <c r="C210" s="145" t="s">
        <v>169</v>
      </c>
      <c r="D210" s="146" t="s">
        <v>170</v>
      </c>
      <c r="E210" s="195">
        <v>40000</v>
      </c>
      <c r="F210" s="194">
        <v>0</v>
      </c>
      <c r="G210" s="147">
        <v>-40</v>
      </c>
      <c r="H210" s="192">
        <v>-1</v>
      </c>
    </row>
    <row r="211" spans="1:8" ht="15.75" hidden="1" thickBot="1" x14ac:dyDescent="0.3">
      <c r="A211" s="356" t="str">
        <f t="shared" si="3"/>
        <v>RESOURCE MGMT CTROTHER CONTRACT WORK</v>
      </c>
      <c r="B211" s="144" t="s">
        <v>217</v>
      </c>
      <c r="C211" s="145" t="s">
        <v>101</v>
      </c>
      <c r="D211" s="146" t="s">
        <v>102</v>
      </c>
      <c r="E211" s="151">
        <v>0</v>
      </c>
      <c r="F211" s="195">
        <v>766.24</v>
      </c>
      <c r="G211" s="148">
        <v>0.76624000000000003</v>
      </c>
      <c r="H211" s="151" t="s">
        <v>136</v>
      </c>
    </row>
    <row r="212" spans="1:8" ht="15.75" hidden="1" thickBot="1" x14ac:dyDescent="0.3">
      <c r="A212" s="356" t="str">
        <f t="shared" si="3"/>
        <v>RESOURCE MGMT CTRTRACKHOE</v>
      </c>
      <c r="B212" s="144" t="s">
        <v>217</v>
      </c>
      <c r="C212" s="145" t="s">
        <v>218</v>
      </c>
      <c r="D212" s="146" t="s">
        <v>219</v>
      </c>
      <c r="E212" s="194">
        <v>0</v>
      </c>
      <c r="F212" s="147">
        <v>-93.600000000000009</v>
      </c>
      <c r="G212" s="147">
        <v>-9.3600000000000003E-2</v>
      </c>
      <c r="H212" s="194" t="s">
        <v>136</v>
      </c>
    </row>
    <row r="213" spans="1:8" ht="15.75" hidden="1" thickBot="1" x14ac:dyDescent="0.3">
      <c r="A213" s="356" t="str">
        <f t="shared" si="3"/>
        <v>RESOURCE MGMT CTRMISCELLANEOUS</v>
      </c>
      <c r="B213" s="144" t="s">
        <v>217</v>
      </c>
      <c r="C213" s="145" t="s">
        <v>103</v>
      </c>
      <c r="D213" s="146" t="s">
        <v>104</v>
      </c>
      <c r="E213" s="151">
        <v>0</v>
      </c>
      <c r="F213" s="148">
        <v>44</v>
      </c>
      <c r="G213" s="148">
        <v>4.3999999999999997E-2</v>
      </c>
      <c r="H213" s="151" t="s">
        <v>136</v>
      </c>
    </row>
    <row r="214" spans="1:8" ht="15.75" hidden="1" thickBot="1" x14ac:dyDescent="0.3">
      <c r="A214" s="356" t="str">
        <f t="shared" si="3"/>
        <v>RESOURCE MGMT CTRP CARD UNCODED CHARG</v>
      </c>
      <c r="B214" s="144" t="s">
        <v>217</v>
      </c>
      <c r="C214" s="145" t="s">
        <v>71</v>
      </c>
      <c r="D214" s="146" t="s">
        <v>72</v>
      </c>
      <c r="E214" s="194">
        <v>0</v>
      </c>
      <c r="F214" s="147">
        <v>487.09000000000003</v>
      </c>
      <c r="G214" s="147">
        <v>0.48709000000000002</v>
      </c>
      <c r="H214" s="194" t="s">
        <v>136</v>
      </c>
    </row>
    <row r="215" spans="1:8" ht="15.75" hidden="1" thickBot="1" x14ac:dyDescent="0.3">
      <c r="A215" s="356" t="str">
        <f t="shared" si="3"/>
        <v>RESOURCE MGMT CTROFFICE SUPPLIES</v>
      </c>
      <c r="B215" s="144" t="s">
        <v>217</v>
      </c>
      <c r="C215" s="145" t="s">
        <v>73</v>
      </c>
      <c r="D215" s="146" t="s">
        <v>74</v>
      </c>
      <c r="E215" s="195">
        <v>4000</v>
      </c>
      <c r="F215" s="195">
        <v>3223.91</v>
      </c>
      <c r="G215" s="148">
        <v>-0.77608999999999995</v>
      </c>
      <c r="H215" s="193">
        <v>-0.19402250000000001</v>
      </c>
    </row>
    <row r="216" spans="1:8" ht="15.75" hidden="1" thickBot="1" x14ac:dyDescent="0.3">
      <c r="A216" s="356" t="str">
        <f t="shared" si="3"/>
        <v>RESOURCE MGMT CTRPRINTING</v>
      </c>
      <c r="B216" s="144" t="s">
        <v>217</v>
      </c>
      <c r="C216" s="145" t="s">
        <v>111</v>
      </c>
      <c r="D216" s="146" t="s">
        <v>112</v>
      </c>
      <c r="E216" s="195">
        <v>15000</v>
      </c>
      <c r="F216" s="195">
        <v>13135.25</v>
      </c>
      <c r="G216" s="147">
        <v>-1.8647499999999999</v>
      </c>
      <c r="H216" s="192">
        <v>-0.12431666666666677</v>
      </c>
    </row>
    <row r="217" spans="1:8" ht="15.75" hidden="1" thickBot="1" x14ac:dyDescent="0.3">
      <c r="A217" s="356" t="str">
        <f t="shared" si="3"/>
        <v>RESOURCE MGMT CTRREFRESHMENTS</v>
      </c>
      <c r="B217" s="144" t="s">
        <v>217</v>
      </c>
      <c r="C217" s="145" t="s">
        <v>113</v>
      </c>
      <c r="D217" s="146" t="s">
        <v>114</v>
      </c>
      <c r="E217" s="151">
        <v>0</v>
      </c>
      <c r="F217" s="148">
        <v>601.19999999999993</v>
      </c>
      <c r="G217" s="148">
        <v>0.60119999999999996</v>
      </c>
      <c r="H217" s="151" t="s">
        <v>136</v>
      </c>
    </row>
    <row r="218" spans="1:8" ht="15.75" hidden="1" thickBot="1" x14ac:dyDescent="0.3">
      <c r="A218" s="356" t="str">
        <f t="shared" si="3"/>
        <v>RESOURCE MGMT CTRPARKING</v>
      </c>
      <c r="B218" s="144" t="s">
        <v>217</v>
      </c>
      <c r="C218" s="145" t="s">
        <v>145</v>
      </c>
      <c r="D218" s="146" t="s">
        <v>146</v>
      </c>
      <c r="E218" s="195">
        <v>4500</v>
      </c>
      <c r="F218" s="195">
        <v>3907.2</v>
      </c>
      <c r="G218" s="147">
        <v>-0.59279999999999999</v>
      </c>
      <c r="H218" s="192">
        <v>-0.13173333333333326</v>
      </c>
    </row>
    <row r="219" spans="1:8" ht="15.75" hidden="1" thickBot="1" x14ac:dyDescent="0.3">
      <c r="A219" s="356" t="str">
        <f t="shared" si="3"/>
        <v>RESOURCE MGMT CTRPROFESSIONAL SERVICE</v>
      </c>
      <c r="B219" s="144" t="s">
        <v>217</v>
      </c>
      <c r="C219" s="145" t="s">
        <v>149</v>
      </c>
      <c r="D219" s="146" t="s">
        <v>150</v>
      </c>
      <c r="E219" s="148">
        <v>0</v>
      </c>
      <c r="F219" s="195">
        <v>39926.28</v>
      </c>
      <c r="G219" s="148">
        <v>39.926279999999998</v>
      </c>
      <c r="H219" s="151" t="s">
        <v>136</v>
      </c>
    </row>
    <row r="220" spans="1:8" ht="15.75" hidden="1" thickBot="1" x14ac:dyDescent="0.3">
      <c r="A220" s="356" t="str">
        <f t="shared" si="3"/>
        <v>RESOURCE MGMT CTRMEAL TICKETS</v>
      </c>
      <c r="B220" s="144" t="s">
        <v>217</v>
      </c>
      <c r="C220" s="145" t="s">
        <v>173</v>
      </c>
      <c r="D220" s="146" t="s">
        <v>174</v>
      </c>
      <c r="E220" s="194">
        <v>0</v>
      </c>
      <c r="F220" s="147">
        <v>20</v>
      </c>
      <c r="G220" s="147">
        <v>0.02</v>
      </c>
      <c r="H220" s="194" t="s">
        <v>136</v>
      </c>
    </row>
    <row r="221" spans="1:8" ht="15.75" hidden="1" thickBot="1" x14ac:dyDescent="0.3">
      <c r="A221" s="356" t="str">
        <f t="shared" si="3"/>
        <v>RESOURCE MGMT CTRPERMITS AND FEES</v>
      </c>
      <c r="B221" s="144" t="s">
        <v>217</v>
      </c>
      <c r="C221" s="145" t="s">
        <v>151</v>
      </c>
      <c r="D221" s="146" t="s">
        <v>152</v>
      </c>
      <c r="E221" s="151">
        <v>0</v>
      </c>
      <c r="F221" s="148">
        <v>42.24</v>
      </c>
      <c r="G221" s="148">
        <v>4.224E-2</v>
      </c>
      <c r="H221" s="151" t="s">
        <v>136</v>
      </c>
    </row>
    <row r="222" spans="1:8" ht="15.75" hidden="1" thickBot="1" x14ac:dyDescent="0.3">
      <c r="A222" s="356" t="str">
        <f t="shared" si="3"/>
        <v>RESOURCE MGMT CTRCORPORATE IDENTITY</v>
      </c>
      <c r="B222" s="144" t="s">
        <v>217</v>
      </c>
      <c r="C222" s="145" t="s">
        <v>153</v>
      </c>
      <c r="D222" s="146" t="s">
        <v>154</v>
      </c>
      <c r="E222" s="194">
        <v>0</v>
      </c>
      <c r="F222" s="147">
        <v>659.62</v>
      </c>
      <c r="G222" s="147">
        <v>0.65961999999999998</v>
      </c>
      <c r="H222" s="194" t="s">
        <v>136</v>
      </c>
    </row>
    <row r="223" spans="1:8" ht="15.75" hidden="1" thickBot="1" x14ac:dyDescent="0.3">
      <c r="A223" s="356" t="str">
        <f t="shared" si="3"/>
        <v>RESOURCE MGMT CTRMEALS AND ENTERTAIN</v>
      </c>
      <c r="B223" s="144" t="s">
        <v>217</v>
      </c>
      <c r="C223" s="145" t="s">
        <v>75</v>
      </c>
      <c r="D223" s="146" t="s">
        <v>76</v>
      </c>
      <c r="E223" s="195">
        <v>12000</v>
      </c>
      <c r="F223" s="195">
        <v>6864.9</v>
      </c>
      <c r="G223" s="148">
        <v>-5.1351000000000004</v>
      </c>
      <c r="H223" s="193">
        <v>-0.42792499999999994</v>
      </c>
    </row>
    <row r="224" spans="1:8" ht="15.75" hidden="1" thickBot="1" x14ac:dyDescent="0.3">
      <c r="A224" s="356" t="str">
        <f t="shared" si="3"/>
        <v>RESOURCE MGMT CTRTRAVEL IN TERRITORY</v>
      </c>
      <c r="B224" s="144" t="s">
        <v>217</v>
      </c>
      <c r="C224" s="145" t="s">
        <v>121</v>
      </c>
      <c r="D224" s="146" t="s">
        <v>122</v>
      </c>
      <c r="E224" s="195">
        <v>1500</v>
      </c>
      <c r="F224" s="195">
        <v>1320.68</v>
      </c>
      <c r="G224" s="147">
        <v>-0.17932000000000001</v>
      </c>
      <c r="H224" s="192">
        <v>-0.11954666666666661</v>
      </c>
    </row>
    <row r="225" spans="1:8" ht="15.75" hidden="1" thickBot="1" x14ac:dyDescent="0.3">
      <c r="A225" s="356" t="str">
        <f t="shared" si="3"/>
        <v>RESOURCE MGMT CTRCONFERENCE TRAVEL</v>
      </c>
      <c r="B225" s="144" t="s">
        <v>217</v>
      </c>
      <c r="C225" s="145" t="s">
        <v>77</v>
      </c>
      <c r="D225" s="146" t="s">
        <v>78</v>
      </c>
      <c r="E225" s="195">
        <v>8000</v>
      </c>
      <c r="F225" s="195">
        <v>9802.6099999999988</v>
      </c>
      <c r="G225" s="148">
        <v>1.80261</v>
      </c>
      <c r="H225" s="193">
        <v>0.22532624999999984</v>
      </c>
    </row>
    <row r="226" spans="1:8" ht="15.75" hidden="1" thickBot="1" x14ac:dyDescent="0.3">
      <c r="A226" s="356" t="str">
        <f t="shared" si="3"/>
        <v>RESOURCE MGMT CTRBUSINESS TRAVEL</v>
      </c>
      <c r="B226" s="144" t="s">
        <v>217</v>
      </c>
      <c r="C226" s="145" t="s">
        <v>79</v>
      </c>
      <c r="D226" s="146" t="s">
        <v>80</v>
      </c>
      <c r="E226" s="147">
        <v>1200</v>
      </c>
      <c r="F226" s="194">
        <v>0</v>
      </c>
      <c r="G226" s="147">
        <v>-1.2</v>
      </c>
      <c r="H226" s="192">
        <v>-1</v>
      </c>
    </row>
    <row r="227" spans="1:8" ht="15.75" hidden="1" thickBot="1" x14ac:dyDescent="0.3">
      <c r="A227" s="356" t="str">
        <f t="shared" si="3"/>
        <v>RESOURCE MGMT CTREMPLOYEE AWARDS</v>
      </c>
      <c r="B227" s="144" t="s">
        <v>217</v>
      </c>
      <c r="C227" s="145" t="s">
        <v>81</v>
      </c>
      <c r="D227" s="146" t="s">
        <v>82</v>
      </c>
      <c r="E227" s="195">
        <v>1200</v>
      </c>
      <c r="F227" s="195">
        <v>1286.83</v>
      </c>
      <c r="G227" s="148">
        <v>8.6830000000000004E-2</v>
      </c>
      <c r="H227" s="193">
        <v>7.2358333333333275E-2</v>
      </c>
    </row>
    <row r="228" spans="1:8" ht="15.75" hidden="1" thickBot="1" x14ac:dyDescent="0.3">
      <c r="A228" s="356" t="str">
        <f t="shared" si="3"/>
        <v>RESOURCE MGMT CTREMPLOYEE AWRDS MLS &amp;</v>
      </c>
      <c r="B228" s="144" t="s">
        <v>217</v>
      </c>
      <c r="C228" s="145" t="s">
        <v>123</v>
      </c>
      <c r="D228" s="146" t="s">
        <v>124</v>
      </c>
      <c r="E228" s="194">
        <v>0</v>
      </c>
      <c r="F228" s="147">
        <v>1257.0600000000002</v>
      </c>
      <c r="G228" s="147">
        <v>1.2570600000000001</v>
      </c>
      <c r="H228" s="194" t="s">
        <v>136</v>
      </c>
    </row>
    <row r="229" spans="1:8" ht="15.75" hidden="1" thickBot="1" x14ac:dyDescent="0.3">
      <c r="A229" s="356" t="str">
        <f t="shared" si="3"/>
        <v>RESOURCE MGMT CTRMISC. EXPENSE BUDGET</v>
      </c>
      <c r="B229" s="144" t="s">
        <v>217</v>
      </c>
      <c r="C229" s="145" t="s">
        <v>83</v>
      </c>
      <c r="D229" s="146" t="s">
        <v>84</v>
      </c>
      <c r="E229" s="195">
        <v>7600</v>
      </c>
      <c r="F229" s="151">
        <v>0</v>
      </c>
      <c r="G229" s="148">
        <v>-7.6</v>
      </c>
      <c r="H229" s="193">
        <v>-1</v>
      </c>
    </row>
    <row r="230" spans="1:8" ht="15.75" thickBot="1" x14ac:dyDescent="0.3">
      <c r="A230" s="356" t="str">
        <f t="shared" si="3"/>
        <v>RESOURCE MGMT CTRNon-Payroll</v>
      </c>
      <c r="B230" s="144" t="s">
        <v>217</v>
      </c>
      <c r="C230" s="149" t="s">
        <v>85</v>
      </c>
      <c r="D230" s="150" t="s">
        <v>86</v>
      </c>
      <c r="E230" s="147">
        <v>98000</v>
      </c>
      <c r="F230" s="147">
        <v>87131.11</v>
      </c>
      <c r="G230" s="147">
        <v>-10.86889</v>
      </c>
      <c r="H230" s="192">
        <v>-0.11090704081632667</v>
      </c>
    </row>
    <row r="231" spans="1:8" ht="23.25" hidden="1" thickBot="1" x14ac:dyDescent="0.3">
      <c r="A231" s="356" t="str">
        <f t="shared" si="3"/>
        <v>RESOURCE MGMT CTREXPENSE ACCOUNTS</v>
      </c>
      <c r="B231" s="144" t="s">
        <v>217</v>
      </c>
      <c r="C231" s="144" t="s">
        <v>87</v>
      </c>
      <c r="D231" s="144" t="s">
        <v>87</v>
      </c>
      <c r="E231" s="148">
        <v>2408376.4900000002</v>
      </c>
      <c r="F231" s="148">
        <v>2057985.42</v>
      </c>
      <c r="G231" s="148">
        <v>-350.39107000000001</v>
      </c>
      <c r="H231" s="193">
        <v>-0.14548849461655405</v>
      </c>
    </row>
    <row r="232" spans="1:8" hidden="1" x14ac:dyDescent="0.25">
      <c r="A232" s="199" t="str">
        <f t="shared" si="3"/>
        <v/>
      </c>
    </row>
    <row r="233" spans="1:8" hidden="1" x14ac:dyDescent="0.25">
      <c r="A233" s="199" t="str">
        <f t="shared" si="3"/>
        <v/>
      </c>
    </row>
    <row r="234" spans="1:8" hidden="1" x14ac:dyDescent="0.25">
      <c r="A234" s="199" t="str">
        <f t="shared" si="3"/>
        <v/>
      </c>
    </row>
    <row r="235" spans="1:8" hidden="1" x14ac:dyDescent="0.25">
      <c r="A235" s="199" t="str">
        <f t="shared" si="3"/>
        <v/>
      </c>
    </row>
    <row r="236" spans="1:8" hidden="1" x14ac:dyDescent="0.25">
      <c r="A236" s="199" t="str">
        <f t="shared" si="3"/>
        <v/>
      </c>
    </row>
    <row r="237" spans="1:8" hidden="1" x14ac:dyDescent="0.25">
      <c r="A237" s="199" t="str">
        <f t="shared" si="3"/>
        <v/>
      </c>
    </row>
    <row r="238" spans="1:8" hidden="1" x14ac:dyDescent="0.25">
      <c r="A238" s="199" t="str">
        <f t="shared" si="3"/>
        <v/>
      </c>
    </row>
    <row r="239" spans="1:8" hidden="1" x14ac:dyDescent="0.25">
      <c r="A239" s="199" t="str">
        <f t="shared" si="3"/>
        <v/>
      </c>
    </row>
    <row r="240" spans="1:8" hidden="1" x14ac:dyDescent="0.25">
      <c r="A240" s="199" t="str">
        <f t="shared" si="3"/>
        <v/>
      </c>
    </row>
    <row r="241" spans="1:1" hidden="1" x14ac:dyDescent="0.25">
      <c r="A241" s="199" t="str">
        <f t="shared" si="3"/>
        <v/>
      </c>
    </row>
    <row r="242" spans="1:1" hidden="1" x14ac:dyDescent="0.25">
      <c r="A242" s="199" t="str">
        <f t="shared" si="3"/>
        <v/>
      </c>
    </row>
    <row r="243" spans="1:1" hidden="1" x14ac:dyDescent="0.25">
      <c r="A243" s="199" t="str">
        <f t="shared" si="3"/>
        <v/>
      </c>
    </row>
    <row r="244" spans="1:1" hidden="1" x14ac:dyDescent="0.25">
      <c r="A244" s="199" t="str">
        <f t="shared" si="3"/>
        <v/>
      </c>
    </row>
    <row r="245" spans="1:1" hidden="1" x14ac:dyDescent="0.25">
      <c r="A245" s="199" t="str">
        <f t="shared" si="3"/>
        <v/>
      </c>
    </row>
    <row r="246" spans="1:1" hidden="1" x14ac:dyDescent="0.25">
      <c r="A246" s="199" t="str">
        <f t="shared" si="3"/>
        <v/>
      </c>
    </row>
    <row r="247" spans="1:1" hidden="1" x14ac:dyDescent="0.25">
      <c r="A247" s="199" t="str">
        <f t="shared" si="3"/>
        <v/>
      </c>
    </row>
    <row r="248" spans="1:1" hidden="1" x14ac:dyDescent="0.25">
      <c r="A248" s="199" t="str">
        <f t="shared" si="3"/>
        <v/>
      </c>
    </row>
    <row r="249" spans="1:1" hidden="1" x14ac:dyDescent="0.25">
      <c r="A249" s="199" t="str">
        <f t="shared" si="3"/>
        <v/>
      </c>
    </row>
    <row r="250" spans="1:1" hidden="1" x14ac:dyDescent="0.25">
      <c r="A250" s="199" t="str">
        <f t="shared" si="3"/>
        <v/>
      </c>
    </row>
    <row r="251" spans="1:1" hidden="1" x14ac:dyDescent="0.25">
      <c r="A251" s="199" t="str">
        <f t="shared" si="3"/>
        <v/>
      </c>
    </row>
    <row r="252" spans="1:1" hidden="1" x14ac:dyDescent="0.25">
      <c r="A252" s="199" t="str">
        <f t="shared" si="3"/>
        <v/>
      </c>
    </row>
    <row r="253" spans="1:1" hidden="1" x14ac:dyDescent="0.25">
      <c r="A253" s="199" t="str">
        <f t="shared" si="3"/>
        <v/>
      </c>
    </row>
    <row r="254" spans="1:1" hidden="1" x14ac:dyDescent="0.25">
      <c r="A254" s="199" t="str">
        <f t="shared" si="3"/>
        <v/>
      </c>
    </row>
    <row r="255" spans="1:1" hidden="1" x14ac:dyDescent="0.25">
      <c r="A255" s="199" t="str">
        <f t="shared" si="3"/>
        <v/>
      </c>
    </row>
    <row r="256" spans="1:1" hidden="1" x14ac:dyDescent="0.25">
      <c r="A256" s="199" t="str">
        <f t="shared" si="3"/>
        <v/>
      </c>
    </row>
    <row r="257" spans="1:1" hidden="1" x14ac:dyDescent="0.25">
      <c r="A257" s="199" t="str">
        <f t="shared" si="3"/>
        <v/>
      </c>
    </row>
    <row r="258" spans="1:1" hidden="1" x14ac:dyDescent="0.25">
      <c r="A258" s="199" t="str">
        <f t="shared" si="3"/>
        <v/>
      </c>
    </row>
    <row r="259" spans="1:1" hidden="1" x14ac:dyDescent="0.25">
      <c r="A259" s="199" t="str">
        <f t="shared" si="3"/>
        <v/>
      </c>
    </row>
    <row r="260" spans="1:1" hidden="1" x14ac:dyDescent="0.25">
      <c r="A260" s="199" t="str">
        <f t="shared" si="3"/>
        <v/>
      </c>
    </row>
    <row r="261" spans="1:1" hidden="1" x14ac:dyDescent="0.25">
      <c r="A261" s="199" t="str">
        <f t="shared" ref="A261:A324" si="4">B261&amp;C261</f>
        <v/>
      </c>
    </row>
    <row r="262" spans="1:1" hidden="1" x14ac:dyDescent="0.25">
      <c r="A262" s="199" t="str">
        <f t="shared" si="4"/>
        <v/>
      </c>
    </row>
    <row r="263" spans="1:1" hidden="1" x14ac:dyDescent="0.25">
      <c r="A263" s="199" t="str">
        <f t="shared" si="4"/>
        <v/>
      </c>
    </row>
    <row r="264" spans="1:1" hidden="1" x14ac:dyDescent="0.25">
      <c r="A264" s="199" t="str">
        <f t="shared" si="4"/>
        <v/>
      </c>
    </row>
    <row r="265" spans="1:1" hidden="1" x14ac:dyDescent="0.25">
      <c r="A265" s="199" t="str">
        <f t="shared" si="4"/>
        <v/>
      </c>
    </row>
    <row r="266" spans="1:1" hidden="1" x14ac:dyDescent="0.25">
      <c r="A266" s="199" t="str">
        <f t="shared" si="4"/>
        <v/>
      </c>
    </row>
    <row r="267" spans="1:1" hidden="1" x14ac:dyDescent="0.25">
      <c r="A267" s="199" t="str">
        <f t="shared" si="4"/>
        <v/>
      </c>
    </row>
    <row r="268" spans="1:1" hidden="1" x14ac:dyDescent="0.25">
      <c r="A268" s="199" t="str">
        <f t="shared" si="4"/>
        <v/>
      </c>
    </row>
    <row r="269" spans="1:1" hidden="1" x14ac:dyDescent="0.25">
      <c r="A269" s="199" t="str">
        <f t="shared" si="4"/>
        <v/>
      </c>
    </row>
    <row r="270" spans="1:1" hidden="1" x14ac:dyDescent="0.25">
      <c r="A270" s="199" t="str">
        <f t="shared" si="4"/>
        <v/>
      </c>
    </row>
    <row r="271" spans="1:1" hidden="1" x14ac:dyDescent="0.25">
      <c r="A271" s="199" t="str">
        <f t="shared" si="4"/>
        <v/>
      </c>
    </row>
    <row r="272" spans="1:1" hidden="1" x14ac:dyDescent="0.25">
      <c r="A272" s="199" t="str">
        <f t="shared" si="4"/>
        <v/>
      </c>
    </row>
    <row r="273" spans="1:1" hidden="1" x14ac:dyDescent="0.25">
      <c r="A273" s="199" t="str">
        <f t="shared" si="4"/>
        <v/>
      </c>
    </row>
    <row r="274" spans="1:1" hidden="1" x14ac:dyDescent="0.25">
      <c r="A274" s="199" t="str">
        <f t="shared" si="4"/>
        <v/>
      </c>
    </row>
    <row r="275" spans="1:1" hidden="1" x14ac:dyDescent="0.25">
      <c r="A275" s="199" t="str">
        <f t="shared" si="4"/>
        <v/>
      </c>
    </row>
    <row r="276" spans="1:1" hidden="1" x14ac:dyDescent="0.25">
      <c r="A276" s="199" t="str">
        <f t="shared" si="4"/>
        <v/>
      </c>
    </row>
    <row r="277" spans="1:1" hidden="1" x14ac:dyDescent="0.25">
      <c r="A277" s="199" t="str">
        <f t="shared" si="4"/>
        <v/>
      </c>
    </row>
    <row r="278" spans="1:1" hidden="1" x14ac:dyDescent="0.25">
      <c r="A278" s="199" t="str">
        <f t="shared" si="4"/>
        <v/>
      </c>
    </row>
    <row r="279" spans="1:1" hidden="1" x14ac:dyDescent="0.25">
      <c r="A279" s="199" t="str">
        <f t="shared" si="4"/>
        <v/>
      </c>
    </row>
    <row r="280" spans="1:1" hidden="1" x14ac:dyDescent="0.25">
      <c r="A280" s="199" t="str">
        <f t="shared" si="4"/>
        <v/>
      </c>
    </row>
    <row r="281" spans="1:1" hidden="1" x14ac:dyDescent="0.25">
      <c r="A281" s="199" t="str">
        <f t="shared" si="4"/>
        <v/>
      </c>
    </row>
    <row r="282" spans="1:1" hidden="1" x14ac:dyDescent="0.25">
      <c r="A282" s="199" t="str">
        <f t="shared" si="4"/>
        <v/>
      </c>
    </row>
    <row r="283" spans="1:1" hidden="1" x14ac:dyDescent="0.25">
      <c r="A283" s="199" t="str">
        <f t="shared" si="4"/>
        <v/>
      </c>
    </row>
    <row r="284" spans="1:1" hidden="1" x14ac:dyDescent="0.25">
      <c r="A284" s="199" t="str">
        <f t="shared" si="4"/>
        <v/>
      </c>
    </row>
    <row r="285" spans="1:1" hidden="1" x14ac:dyDescent="0.25">
      <c r="A285" s="199" t="str">
        <f t="shared" si="4"/>
        <v/>
      </c>
    </row>
    <row r="286" spans="1:1" hidden="1" x14ac:dyDescent="0.25">
      <c r="A286" s="199" t="str">
        <f t="shared" si="4"/>
        <v/>
      </c>
    </row>
    <row r="287" spans="1:1" hidden="1" x14ac:dyDescent="0.25">
      <c r="A287" s="199" t="str">
        <f t="shared" si="4"/>
        <v/>
      </c>
    </row>
    <row r="288" spans="1:1" hidden="1" x14ac:dyDescent="0.25">
      <c r="A288" s="199" t="str">
        <f t="shared" si="4"/>
        <v/>
      </c>
    </row>
    <row r="289" spans="1:1" hidden="1" x14ac:dyDescent="0.25">
      <c r="A289" s="199" t="str">
        <f t="shared" si="4"/>
        <v/>
      </c>
    </row>
    <row r="290" spans="1:1" hidden="1" x14ac:dyDescent="0.25">
      <c r="A290" s="199" t="str">
        <f t="shared" si="4"/>
        <v/>
      </c>
    </row>
    <row r="291" spans="1:1" hidden="1" x14ac:dyDescent="0.25">
      <c r="A291" s="199" t="str">
        <f t="shared" si="4"/>
        <v/>
      </c>
    </row>
    <row r="292" spans="1:1" hidden="1" x14ac:dyDescent="0.25">
      <c r="A292" s="199" t="str">
        <f t="shared" si="4"/>
        <v/>
      </c>
    </row>
    <row r="293" spans="1:1" hidden="1" x14ac:dyDescent="0.25">
      <c r="A293" s="199" t="str">
        <f t="shared" si="4"/>
        <v/>
      </c>
    </row>
    <row r="294" spans="1:1" hidden="1" x14ac:dyDescent="0.25">
      <c r="A294" s="199" t="str">
        <f t="shared" si="4"/>
        <v/>
      </c>
    </row>
    <row r="295" spans="1:1" hidden="1" x14ac:dyDescent="0.25">
      <c r="A295" s="199" t="str">
        <f t="shared" si="4"/>
        <v/>
      </c>
    </row>
    <row r="296" spans="1:1" hidden="1" x14ac:dyDescent="0.25">
      <c r="A296" s="199" t="str">
        <f t="shared" si="4"/>
        <v/>
      </c>
    </row>
    <row r="297" spans="1:1" hidden="1" x14ac:dyDescent="0.25">
      <c r="A297" s="199" t="str">
        <f t="shared" si="4"/>
        <v/>
      </c>
    </row>
    <row r="298" spans="1:1" hidden="1" x14ac:dyDescent="0.25">
      <c r="A298" s="199" t="str">
        <f t="shared" si="4"/>
        <v/>
      </c>
    </row>
    <row r="299" spans="1:1" hidden="1" x14ac:dyDescent="0.25">
      <c r="A299" s="199" t="str">
        <f t="shared" si="4"/>
        <v/>
      </c>
    </row>
    <row r="300" spans="1:1" hidden="1" x14ac:dyDescent="0.25">
      <c r="A300" s="199" t="str">
        <f t="shared" si="4"/>
        <v/>
      </c>
    </row>
    <row r="301" spans="1:1" hidden="1" x14ac:dyDescent="0.25">
      <c r="A301" s="199" t="str">
        <f t="shared" si="4"/>
        <v/>
      </c>
    </row>
    <row r="302" spans="1:1" hidden="1" x14ac:dyDescent="0.25">
      <c r="A302" s="199" t="str">
        <f t="shared" si="4"/>
        <v/>
      </c>
    </row>
    <row r="303" spans="1:1" hidden="1" x14ac:dyDescent="0.25">
      <c r="A303" s="199" t="str">
        <f t="shared" si="4"/>
        <v/>
      </c>
    </row>
    <row r="304" spans="1:1" hidden="1" x14ac:dyDescent="0.25">
      <c r="A304" s="199" t="str">
        <f t="shared" si="4"/>
        <v/>
      </c>
    </row>
    <row r="305" spans="1:1" hidden="1" x14ac:dyDescent="0.25">
      <c r="A305" s="199" t="str">
        <f t="shared" si="4"/>
        <v/>
      </c>
    </row>
    <row r="306" spans="1:1" hidden="1" x14ac:dyDescent="0.25">
      <c r="A306" s="199" t="str">
        <f t="shared" si="4"/>
        <v/>
      </c>
    </row>
    <row r="307" spans="1:1" hidden="1" x14ac:dyDescent="0.25">
      <c r="A307" s="199" t="str">
        <f t="shared" si="4"/>
        <v/>
      </c>
    </row>
    <row r="308" spans="1:1" hidden="1" x14ac:dyDescent="0.25">
      <c r="A308" s="199" t="str">
        <f t="shared" si="4"/>
        <v/>
      </c>
    </row>
    <row r="309" spans="1:1" hidden="1" x14ac:dyDescent="0.25">
      <c r="A309" s="199" t="str">
        <f t="shared" si="4"/>
        <v/>
      </c>
    </row>
    <row r="310" spans="1:1" hidden="1" x14ac:dyDescent="0.25">
      <c r="A310" s="199" t="str">
        <f t="shared" si="4"/>
        <v/>
      </c>
    </row>
    <row r="311" spans="1:1" hidden="1" x14ac:dyDescent="0.25">
      <c r="A311" s="199" t="str">
        <f t="shared" si="4"/>
        <v/>
      </c>
    </row>
    <row r="312" spans="1:1" hidden="1" x14ac:dyDescent="0.25">
      <c r="A312" s="199" t="str">
        <f t="shared" si="4"/>
        <v/>
      </c>
    </row>
    <row r="313" spans="1:1" hidden="1" x14ac:dyDescent="0.25">
      <c r="A313" s="199" t="str">
        <f t="shared" si="4"/>
        <v/>
      </c>
    </row>
    <row r="314" spans="1:1" hidden="1" x14ac:dyDescent="0.25">
      <c r="A314" s="199" t="str">
        <f t="shared" si="4"/>
        <v/>
      </c>
    </row>
    <row r="315" spans="1:1" hidden="1" x14ac:dyDescent="0.25">
      <c r="A315" s="199" t="str">
        <f t="shared" si="4"/>
        <v/>
      </c>
    </row>
    <row r="316" spans="1:1" hidden="1" x14ac:dyDescent="0.25">
      <c r="A316" s="199" t="str">
        <f t="shared" si="4"/>
        <v/>
      </c>
    </row>
    <row r="317" spans="1:1" hidden="1" x14ac:dyDescent="0.25">
      <c r="A317" s="199" t="str">
        <f t="shared" si="4"/>
        <v/>
      </c>
    </row>
    <row r="318" spans="1:1" hidden="1" x14ac:dyDescent="0.25">
      <c r="A318" s="199" t="str">
        <f t="shared" si="4"/>
        <v/>
      </c>
    </row>
    <row r="319" spans="1:1" hidden="1" x14ac:dyDescent="0.25">
      <c r="A319" s="199" t="str">
        <f t="shared" si="4"/>
        <v/>
      </c>
    </row>
    <row r="320" spans="1:1" hidden="1" x14ac:dyDescent="0.25">
      <c r="A320" s="199" t="str">
        <f t="shared" si="4"/>
        <v/>
      </c>
    </row>
    <row r="321" spans="1:1" hidden="1" x14ac:dyDescent="0.25">
      <c r="A321" s="199" t="str">
        <f t="shared" si="4"/>
        <v/>
      </c>
    </row>
    <row r="322" spans="1:1" hidden="1" x14ac:dyDescent="0.25">
      <c r="A322" s="199" t="str">
        <f t="shared" si="4"/>
        <v/>
      </c>
    </row>
    <row r="323" spans="1:1" hidden="1" x14ac:dyDescent="0.25">
      <c r="A323" s="199" t="str">
        <f t="shared" si="4"/>
        <v/>
      </c>
    </row>
    <row r="324" spans="1:1" hidden="1" x14ac:dyDescent="0.25">
      <c r="A324" s="199" t="str">
        <f t="shared" si="4"/>
        <v/>
      </c>
    </row>
    <row r="325" spans="1:1" hidden="1" x14ac:dyDescent="0.25">
      <c r="A325" s="199" t="str">
        <f t="shared" ref="A325:A374" si="5">B325&amp;C325</f>
        <v/>
      </c>
    </row>
    <row r="326" spans="1:1" hidden="1" x14ac:dyDescent="0.25">
      <c r="A326" s="199" t="str">
        <f t="shared" si="5"/>
        <v/>
      </c>
    </row>
    <row r="327" spans="1:1" hidden="1" x14ac:dyDescent="0.25">
      <c r="A327" s="199" t="str">
        <f t="shared" si="5"/>
        <v/>
      </c>
    </row>
    <row r="328" spans="1:1" hidden="1" x14ac:dyDescent="0.25">
      <c r="A328" s="199" t="str">
        <f t="shared" si="5"/>
        <v/>
      </c>
    </row>
    <row r="329" spans="1:1" hidden="1" x14ac:dyDescent="0.25">
      <c r="A329" s="199" t="str">
        <f t="shared" si="5"/>
        <v/>
      </c>
    </row>
    <row r="330" spans="1:1" hidden="1" x14ac:dyDescent="0.25">
      <c r="A330" s="199" t="str">
        <f t="shared" si="5"/>
        <v/>
      </c>
    </row>
    <row r="331" spans="1:1" hidden="1" x14ac:dyDescent="0.25">
      <c r="A331" s="199" t="str">
        <f t="shared" si="5"/>
        <v/>
      </c>
    </row>
    <row r="332" spans="1:1" hidden="1" x14ac:dyDescent="0.25">
      <c r="A332" s="199" t="str">
        <f t="shared" si="5"/>
        <v/>
      </c>
    </row>
    <row r="333" spans="1:1" hidden="1" x14ac:dyDescent="0.25">
      <c r="A333" s="199" t="str">
        <f t="shared" si="5"/>
        <v/>
      </c>
    </row>
    <row r="334" spans="1:1" hidden="1" x14ac:dyDescent="0.25">
      <c r="A334" s="199" t="str">
        <f t="shared" si="5"/>
        <v/>
      </c>
    </row>
    <row r="335" spans="1:1" hidden="1" x14ac:dyDescent="0.25">
      <c r="A335" s="199" t="str">
        <f t="shared" si="5"/>
        <v/>
      </c>
    </row>
    <row r="336" spans="1:1" hidden="1" x14ac:dyDescent="0.25">
      <c r="A336" s="199" t="str">
        <f t="shared" si="5"/>
        <v/>
      </c>
    </row>
    <row r="337" spans="1:1" hidden="1" x14ac:dyDescent="0.25">
      <c r="A337" s="199" t="str">
        <f t="shared" si="5"/>
        <v/>
      </c>
    </row>
    <row r="338" spans="1:1" hidden="1" x14ac:dyDescent="0.25">
      <c r="A338" s="199" t="str">
        <f t="shared" si="5"/>
        <v/>
      </c>
    </row>
    <row r="339" spans="1:1" hidden="1" x14ac:dyDescent="0.25">
      <c r="A339" s="199" t="str">
        <f t="shared" si="5"/>
        <v/>
      </c>
    </row>
    <row r="340" spans="1:1" hidden="1" x14ac:dyDescent="0.25">
      <c r="A340" s="199" t="str">
        <f t="shared" si="5"/>
        <v/>
      </c>
    </row>
    <row r="341" spans="1:1" hidden="1" x14ac:dyDescent="0.25">
      <c r="A341" s="199" t="str">
        <f t="shared" si="5"/>
        <v/>
      </c>
    </row>
    <row r="342" spans="1:1" hidden="1" x14ac:dyDescent="0.25">
      <c r="A342" s="199" t="str">
        <f t="shared" si="5"/>
        <v/>
      </c>
    </row>
    <row r="343" spans="1:1" hidden="1" x14ac:dyDescent="0.25">
      <c r="A343" s="199" t="str">
        <f t="shared" si="5"/>
        <v/>
      </c>
    </row>
    <row r="344" spans="1:1" hidden="1" x14ac:dyDescent="0.25">
      <c r="A344" s="199" t="str">
        <f t="shared" si="5"/>
        <v/>
      </c>
    </row>
    <row r="345" spans="1:1" hidden="1" x14ac:dyDescent="0.25">
      <c r="A345" s="199" t="str">
        <f t="shared" si="5"/>
        <v/>
      </c>
    </row>
    <row r="346" spans="1:1" hidden="1" x14ac:dyDescent="0.25">
      <c r="A346" s="199" t="str">
        <f t="shared" si="5"/>
        <v/>
      </c>
    </row>
    <row r="347" spans="1:1" hidden="1" x14ac:dyDescent="0.25">
      <c r="A347" s="199" t="str">
        <f t="shared" si="5"/>
        <v/>
      </c>
    </row>
    <row r="348" spans="1:1" hidden="1" x14ac:dyDescent="0.25">
      <c r="A348" s="199" t="str">
        <f t="shared" si="5"/>
        <v/>
      </c>
    </row>
    <row r="349" spans="1:1" hidden="1" x14ac:dyDescent="0.25">
      <c r="A349" s="199" t="str">
        <f t="shared" si="5"/>
        <v/>
      </c>
    </row>
    <row r="350" spans="1:1" hidden="1" x14ac:dyDescent="0.25">
      <c r="A350" s="199" t="str">
        <f t="shared" si="5"/>
        <v/>
      </c>
    </row>
    <row r="351" spans="1:1" hidden="1" x14ac:dyDescent="0.25">
      <c r="A351" s="199" t="str">
        <f t="shared" si="5"/>
        <v/>
      </c>
    </row>
    <row r="352" spans="1:1" hidden="1" x14ac:dyDescent="0.25">
      <c r="A352" s="199" t="str">
        <f t="shared" si="5"/>
        <v/>
      </c>
    </row>
    <row r="353" spans="1:1" hidden="1" x14ac:dyDescent="0.25">
      <c r="A353" s="199" t="str">
        <f t="shared" si="5"/>
        <v/>
      </c>
    </row>
    <row r="354" spans="1:1" hidden="1" x14ac:dyDescent="0.25">
      <c r="A354" s="199" t="str">
        <f t="shared" si="5"/>
        <v/>
      </c>
    </row>
    <row r="355" spans="1:1" hidden="1" x14ac:dyDescent="0.25">
      <c r="A355" s="199" t="str">
        <f t="shared" si="5"/>
        <v/>
      </c>
    </row>
    <row r="356" spans="1:1" hidden="1" x14ac:dyDescent="0.25">
      <c r="A356" s="199" t="str">
        <f t="shared" si="5"/>
        <v/>
      </c>
    </row>
    <row r="357" spans="1:1" hidden="1" x14ac:dyDescent="0.25">
      <c r="A357" s="199" t="str">
        <f t="shared" si="5"/>
        <v/>
      </c>
    </row>
    <row r="358" spans="1:1" hidden="1" x14ac:dyDescent="0.25">
      <c r="A358" s="199" t="str">
        <f t="shared" si="5"/>
        <v/>
      </c>
    </row>
    <row r="359" spans="1:1" hidden="1" x14ac:dyDescent="0.25">
      <c r="A359" s="199" t="str">
        <f t="shared" si="5"/>
        <v/>
      </c>
    </row>
    <row r="360" spans="1:1" hidden="1" x14ac:dyDescent="0.25">
      <c r="A360" s="199" t="str">
        <f t="shared" si="5"/>
        <v/>
      </c>
    </row>
    <row r="361" spans="1:1" hidden="1" x14ac:dyDescent="0.25">
      <c r="A361" s="199" t="str">
        <f t="shared" si="5"/>
        <v/>
      </c>
    </row>
    <row r="362" spans="1:1" hidden="1" x14ac:dyDescent="0.25">
      <c r="A362" s="199" t="str">
        <f t="shared" si="5"/>
        <v/>
      </c>
    </row>
    <row r="363" spans="1:1" hidden="1" x14ac:dyDescent="0.25">
      <c r="A363" s="199" t="str">
        <f t="shared" si="5"/>
        <v/>
      </c>
    </row>
    <row r="364" spans="1:1" hidden="1" x14ac:dyDescent="0.25">
      <c r="A364" s="199" t="str">
        <f t="shared" si="5"/>
        <v/>
      </c>
    </row>
    <row r="365" spans="1:1" hidden="1" x14ac:dyDescent="0.25">
      <c r="A365" s="199" t="str">
        <f t="shared" si="5"/>
        <v/>
      </c>
    </row>
    <row r="366" spans="1:1" hidden="1" x14ac:dyDescent="0.25">
      <c r="A366" s="199" t="str">
        <f t="shared" si="5"/>
        <v/>
      </c>
    </row>
    <row r="367" spans="1:1" hidden="1" x14ac:dyDescent="0.25">
      <c r="A367" s="199" t="str">
        <f t="shared" si="5"/>
        <v/>
      </c>
    </row>
    <row r="368" spans="1:1" hidden="1" x14ac:dyDescent="0.25">
      <c r="A368" s="199" t="str">
        <f t="shared" si="5"/>
        <v/>
      </c>
    </row>
    <row r="369" spans="1:8" hidden="1" x14ac:dyDescent="0.25">
      <c r="A369" s="199" t="str">
        <f t="shared" si="5"/>
        <v/>
      </c>
    </row>
    <row r="370" spans="1:8" hidden="1" x14ac:dyDescent="0.25">
      <c r="A370" s="199" t="str">
        <f t="shared" si="5"/>
        <v/>
      </c>
    </row>
    <row r="371" spans="1:8" hidden="1" x14ac:dyDescent="0.25">
      <c r="A371" s="199" t="str">
        <f t="shared" si="5"/>
        <v/>
      </c>
    </row>
    <row r="372" spans="1:8" hidden="1" x14ac:dyDescent="0.25">
      <c r="A372" s="199" t="str">
        <f t="shared" si="5"/>
        <v/>
      </c>
    </row>
    <row r="373" spans="1:8" hidden="1" x14ac:dyDescent="0.25">
      <c r="A373" s="199" t="str">
        <f t="shared" si="5"/>
        <v/>
      </c>
    </row>
    <row r="374" spans="1:8" hidden="1" x14ac:dyDescent="0.25">
      <c r="A374" s="199" t="str">
        <f t="shared" si="5"/>
        <v/>
      </c>
    </row>
    <row r="377" spans="1:8" x14ac:dyDescent="0.25">
      <c r="A377" s="468">
        <f>('Meter Reading'!I143+'Meter Reading'!I149)</f>
        <v>683980.59009081672</v>
      </c>
      <c r="B377">
        <f>ROUND((('Meter Reading'!I143+'Meter Reading'!I149)/VLOOKUP("CUST FIELD SERVICESPayroll",'Base 2015 actual for Cost Cente'!$A:$F,6,FALSE))*VLOOKUP("CUST FIELD SERVICESNon-Payroll",'Base 2015 actual for Cost Cente'!$A:$F,6,FALSE),0)</f>
        <v>86332</v>
      </c>
    </row>
    <row r="379" spans="1:8" x14ac:dyDescent="0.25">
      <c r="A379" s="468">
        <f>(A377/F150)*F190</f>
        <v>86331.888075288851</v>
      </c>
    </row>
    <row r="381" spans="1:8" ht="15.75" thickBot="1" x14ac:dyDescent="0.3"/>
    <row r="382" spans="1:8" ht="23.25" thickBot="1" x14ac:dyDescent="0.3">
      <c r="B382" s="474"/>
      <c r="C382" s="475"/>
      <c r="D382" s="140" t="s">
        <v>375</v>
      </c>
      <c r="E382" s="141" t="s">
        <v>377</v>
      </c>
      <c r="F382" s="141" t="s">
        <v>377</v>
      </c>
      <c r="G382" s="141" t="s">
        <v>377</v>
      </c>
      <c r="H382" s="141" t="s">
        <v>377</v>
      </c>
    </row>
    <row r="383" spans="1:8" ht="15.75" thickBot="1" x14ac:dyDescent="0.3">
      <c r="B383" s="476"/>
      <c r="C383" s="477"/>
      <c r="D383" s="140" t="s">
        <v>376</v>
      </c>
      <c r="E383" s="141" t="s">
        <v>378</v>
      </c>
      <c r="F383" s="141" t="s">
        <v>378</v>
      </c>
      <c r="G383" s="141" t="s">
        <v>378</v>
      </c>
      <c r="H383" s="141" t="s">
        <v>378</v>
      </c>
    </row>
    <row r="384" spans="1:8" ht="23.25" thickBot="1" x14ac:dyDescent="0.3">
      <c r="B384" s="478"/>
      <c r="C384" s="479"/>
      <c r="D384" s="140"/>
      <c r="E384" s="141" t="s">
        <v>130</v>
      </c>
      <c r="F384" s="141" t="s">
        <v>54</v>
      </c>
      <c r="G384" s="141" t="s">
        <v>379</v>
      </c>
      <c r="H384" s="141" t="s">
        <v>380</v>
      </c>
    </row>
    <row r="385" spans="1:8" ht="15.75" thickBot="1" x14ac:dyDescent="0.3">
      <c r="B385" s="480" t="s">
        <v>55</v>
      </c>
      <c r="C385" s="141" t="s">
        <v>56</v>
      </c>
      <c r="D385" s="142"/>
      <c r="E385" s="140" t="s">
        <v>381</v>
      </c>
      <c r="F385" s="140" t="s">
        <v>381</v>
      </c>
      <c r="G385" s="140" t="s">
        <v>381</v>
      </c>
      <c r="H385" s="140" t="s">
        <v>381</v>
      </c>
    </row>
    <row r="386" spans="1:8" ht="15.75" thickBot="1" x14ac:dyDescent="0.3">
      <c r="A386" s="355" t="str">
        <f t="shared" ref="A386:A387" si="6">B386&amp;C386</f>
        <v>FIELD SERVICESPAYROLL</v>
      </c>
      <c r="B386" s="144" t="s">
        <v>382</v>
      </c>
      <c r="C386" s="149" t="s">
        <v>68</v>
      </c>
      <c r="D386" s="150" t="s">
        <v>67</v>
      </c>
      <c r="E386" s="469">
        <v>706147.06</v>
      </c>
      <c r="F386" s="469">
        <v>669413.53</v>
      </c>
      <c r="G386" s="469">
        <v>-36733.53</v>
      </c>
      <c r="H386" s="470">
        <v>706147.06</v>
      </c>
    </row>
    <row r="387" spans="1:8" ht="15.75" thickBot="1" x14ac:dyDescent="0.3">
      <c r="A387" s="355" t="str">
        <f t="shared" si="6"/>
        <v>FIELD SERVICESNON-PAYROLL</v>
      </c>
      <c r="B387" s="144" t="s">
        <v>382</v>
      </c>
      <c r="C387" s="149" t="s">
        <v>86</v>
      </c>
      <c r="D387" s="150" t="s">
        <v>85</v>
      </c>
      <c r="E387" s="469">
        <v>41648.080000000002</v>
      </c>
      <c r="F387" s="471">
        <v>24947.64</v>
      </c>
      <c r="G387" s="469">
        <v>-16700.439999999999</v>
      </c>
      <c r="H387" s="470">
        <v>41648.080000000002</v>
      </c>
    </row>
    <row r="388" spans="1:8" ht="15.75" thickBot="1" x14ac:dyDescent="0.3">
      <c r="B388" s="144" t="s">
        <v>155</v>
      </c>
      <c r="C388" s="149" t="s">
        <v>68</v>
      </c>
      <c r="D388" s="150" t="s">
        <v>67</v>
      </c>
      <c r="E388" s="472">
        <v>457454.43</v>
      </c>
      <c r="F388" s="472">
        <v>422213.3</v>
      </c>
      <c r="G388" s="472">
        <v>-35241.129999999997</v>
      </c>
      <c r="H388" s="473">
        <v>457454.43</v>
      </c>
    </row>
    <row r="389" spans="1:8" ht="15.75" thickBot="1" x14ac:dyDescent="0.3">
      <c r="B389" s="144" t="s">
        <v>155</v>
      </c>
      <c r="C389" s="149" t="s">
        <v>86</v>
      </c>
      <c r="D389" s="150" t="s">
        <v>85</v>
      </c>
      <c r="E389" s="469">
        <v>23400</v>
      </c>
      <c r="F389" s="471">
        <v>7960.49</v>
      </c>
      <c r="G389" s="469">
        <v>-15439.51</v>
      </c>
      <c r="H389" s="470">
        <v>23400</v>
      </c>
    </row>
    <row r="390" spans="1:8" ht="15.75" thickBot="1" x14ac:dyDescent="0.3">
      <c r="C390" s="481" t="s">
        <v>34</v>
      </c>
      <c r="D390" s="150" t="s">
        <v>67</v>
      </c>
      <c r="E390" s="482">
        <f>E386+E388</f>
        <v>1163601.49</v>
      </c>
      <c r="F390" s="482">
        <f>F386+F388</f>
        <v>1091626.83</v>
      </c>
    </row>
    <row r="391" spans="1:8" ht="15.75" thickBot="1" x14ac:dyDescent="0.3">
      <c r="C391" s="481" t="s">
        <v>34</v>
      </c>
      <c r="D391" s="150" t="s">
        <v>85</v>
      </c>
      <c r="E391" s="482">
        <f>E387+E389</f>
        <v>65048.08</v>
      </c>
      <c r="F391" s="482">
        <f>F387+F389</f>
        <v>32908.129999999997</v>
      </c>
    </row>
  </sheetData>
  <autoFilter ref="A2:F374" xr:uid="{00000000-0009-0000-0000-00000B000000}">
    <filterColumn colId="2">
      <filters>
        <filter val="Non-Payroll"/>
        <filter val="Payroll"/>
      </filters>
    </filterColumn>
  </autoFilter>
  <mergeCells count="2">
    <mergeCell ref="B1:C1"/>
    <mergeCell ref="B3:D3"/>
  </mergeCells>
  <pageMargins left="0.7" right="0.7" top="0.75" bottom="0.75" header="0.3" footer="0.3"/>
  <pageSetup orientation="portrait" horizontalDpi="0" verticalDpi="0" r:id="rId1"/>
  <headerFooter>
    <oddHeader>&amp;RExh. RJW-2 Wyman WP5</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Y86"/>
  <sheetViews>
    <sheetView topLeftCell="D1" zoomScale="70" zoomScaleNormal="70" workbookViewId="0">
      <selection activeCell="R5" sqref="R5"/>
    </sheetView>
  </sheetViews>
  <sheetFormatPr defaultRowHeight="15" x14ac:dyDescent="0.25"/>
  <cols>
    <col min="1" max="1" width="16.140625" customWidth="1"/>
    <col min="2" max="2" width="34.28515625" bestFit="1" customWidth="1"/>
    <col min="3" max="3" width="10.7109375" bestFit="1" customWidth="1"/>
    <col min="4" max="4" width="16.42578125" bestFit="1" customWidth="1"/>
    <col min="5" max="5" width="10.5703125" customWidth="1"/>
    <col min="6" max="6" width="15.28515625" bestFit="1" customWidth="1"/>
    <col min="7" max="7" width="13.140625" bestFit="1" customWidth="1"/>
    <col min="8" max="8" width="10.5703125" customWidth="1"/>
    <col min="9" max="9" width="15.28515625" bestFit="1" customWidth="1"/>
    <col min="10" max="10" width="11.85546875" customWidth="1"/>
    <col min="11" max="11" width="10.5703125" customWidth="1"/>
    <col min="12" max="12" width="15.28515625" bestFit="1" customWidth="1"/>
    <col min="13" max="14" width="10.5703125" customWidth="1"/>
    <col min="15" max="15" width="12.42578125" customWidth="1"/>
    <col min="16" max="16" width="25.28515625" bestFit="1" customWidth="1"/>
    <col min="17" max="17" width="16" customWidth="1"/>
    <col min="18" max="21" width="25.7109375" customWidth="1"/>
    <col min="25" max="25" width="10.140625" bestFit="1" customWidth="1"/>
  </cols>
  <sheetData>
    <row r="1" spans="1:22" ht="21" x14ac:dyDescent="0.35">
      <c r="A1" s="4"/>
      <c r="B1" s="5"/>
      <c r="D1" s="597" t="s">
        <v>0</v>
      </c>
      <c r="E1" s="20"/>
      <c r="F1" s="20"/>
      <c r="G1" s="337" t="s">
        <v>1</v>
      </c>
      <c r="H1" s="20"/>
      <c r="I1" s="338"/>
      <c r="J1" s="598" t="s">
        <v>249</v>
      </c>
      <c r="K1" s="20"/>
      <c r="L1" s="338"/>
      <c r="M1" s="598" t="s">
        <v>3</v>
      </c>
      <c r="N1" s="20"/>
      <c r="O1" s="338"/>
      <c r="T1" t="s">
        <v>495</v>
      </c>
    </row>
    <row r="2" spans="1:22" ht="21" x14ac:dyDescent="0.35">
      <c r="B2" s="602">
        <v>2015</v>
      </c>
      <c r="C2" s="9"/>
      <c r="D2" s="595" t="s">
        <v>22</v>
      </c>
      <c r="E2" s="595" t="s">
        <v>23</v>
      </c>
      <c r="F2" s="603" t="s">
        <v>501</v>
      </c>
      <c r="G2" s="595" t="s">
        <v>22</v>
      </c>
      <c r="H2" s="595" t="s">
        <v>23</v>
      </c>
      <c r="I2" s="603" t="s">
        <v>501</v>
      </c>
      <c r="J2" s="595" t="s">
        <v>22</v>
      </c>
      <c r="K2" s="595" t="s">
        <v>23</v>
      </c>
      <c r="L2" s="603" t="s">
        <v>501</v>
      </c>
      <c r="M2" s="595" t="s">
        <v>22</v>
      </c>
      <c r="N2" s="595" t="s">
        <v>23</v>
      </c>
      <c r="O2" s="603" t="s">
        <v>501</v>
      </c>
      <c r="T2" s="598" t="s">
        <v>3</v>
      </c>
      <c r="U2" s="20"/>
      <c r="V2" s="338"/>
    </row>
    <row r="3" spans="1:22" ht="21" x14ac:dyDescent="0.35">
      <c r="A3" s="599" t="s">
        <v>393</v>
      </c>
      <c r="B3" s="8"/>
      <c r="C3" s="9"/>
      <c r="D3" s="371">
        <v>6957485</v>
      </c>
      <c r="E3" s="371">
        <v>693226</v>
      </c>
      <c r="F3" s="371">
        <v>23142</v>
      </c>
      <c r="G3" s="372">
        <v>6937370</v>
      </c>
      <c r="H3" s="372">
        <v>693226</v>
      </c>
      <c r="I3" s="372">
        <v>23142</v>
      </c>
      <c r="J3" s="372">
        <v>6139122</v>
      </c>
      <c r="K3" s="372">
        <v>654481</v>
      </c>
      <c r="L3" s="372">
        <v>23142</v>
      </c>
      <c r="M3" s="607">
        <f>M6*($D$3/($D$3+$D$4))</f>
        <v>130756.86812123199</v>
      </c>
      <c r="N3" s="607">
        <f t="shared" ref="N3:O3" si="0">N6*($D$3/($D$3+$D$4))</f>
        <v>6266.4316472939427</v>
      </c>
      <c r="O3" s="607">
        <f t="shared" si="0"/>
        <v>20.487267645737127</v>
      </c>
      <c r="T3" s="605" t="s">
        <v>22</v>
      </c>
      <c r="U3" s="605" t="s">
        <v>23</v>
      </c>
      <c r="V3" s="603" t="s">
        <v>53</v>
      </c>
    </row>
    <row r="4" spans="1:22" ht="21.75" thickBot="1" x14ac:dyDescent="0.4">
      <c r="A4" s="599" t="s">
        <v>394</v>
      </c>
      <c r="B4" s="8"/>
      <c r="C4" s="9"/>
      <c r="D4" s="371">
        <v>853325</v>
      </c>
      <c r="E4" s="371">
        <v>68580</v>
      </c>
      <c r="F4" s="371">
        <v>1915</v>
      </c>
      <c r="G4" s="371">
        <v>846712</v>
      </c>
      <c r="H4" s="371">
        <v>68580</v>
      </c>
      <c r="I4" s="371">
        <v>1915</v>
      </c>
      <c r="J4" s="371">
        <v>744805</v>
      </c>
      <c r="K4" s="371">
        <v>69296</v>
      </c>
      <c r="L4" s="371">
        <v>1915</v>
      </c>
      <c r="M4" s="371">
        <f>M6*($D$4/($D3+$D4))</f>
        <v>16037.131878768014</v>
      </c>
      <c r="N4" s="371">
        <f t="shared" ref="N4:O4" si="1">N6*($D$4/($D3+$D4))</f>
        <v>768.56835270605734</v>
      </c>
      <c r="O4" s="371">
        <f t="shared" si="1"/>
        <v>2.5127323542628739</v>
      </c>
      <c r="T4" s="372">
        <v>17178</v>
      </c>
      <c r="U4" s="372">
        <v>2059</v>
      </c>
      <c r="V4" s="372">
        <v>0</v>
      </c>
    </row>
    <row r="5" spans="1:22" ht="22.5" thickTop="1" thickBot="1" x14ac:dyDescent="0.4">
      <c r="A5" s="7"/>
      <c r="B5" s="374" t="s">
        <v>488</v>
      </c>
      <c r="D5" s="399">
        <f>(D3+D4)/12</f>
        <v>650900.83333333337</v>
      </c>
      <c r="E5" s="399">
        <f t="shared" ref="E5:O5" si="2">(E3+E4)/12</f>
        <v>63483.833333333336</v>
      </c>
      <c r="F5" s="399">
        <f t="shared" si="2"/>
        <v>2088.0833333333335</v>
      </c>
      <c r="G5" s="399">
        <f t="shared" si="2"/>
        <v>648673.5</v>
      </c>
      <c r="H5" s="399">
        <f t="shared" si="2"/>
        <v>63483.833333333336</v>
      </c>
      <c r="I5" s="399">
        <f t="shared" si="2"/>
        <v>2088.0833333333335</v>
      </c>
      <c r="J5" s="399">
        <f t="shared" si="2"/>
        <v>573660.58333333337</v>
      </c>
      <c r="K5" s="399">
        <f t="shared" si="2"/>
        <v>60314.75</v>
      </c>
      <c r="L5" s="399">
        <f t="shared" si="2"/>
        <v>2088.0833333333335</v>
      </c>
      <c r="M5" s="399">
        <f t="shared" si="2"/>
        <v>12232.833333333334</v>
      </c>
      <c r="N5" s="399">
        <f t="shared" si="2"/>
        <v>586.25</v>
      </c>
      <c r="O5" s="399">
        <f t="shared" si="2"/>
        <v>1.9166666666666667</v>
      </c>
      <c r="T5" s="371">
        <v>2629</v>
      </c>
      <c r="U5" s="371">
        <v>230</v>
      </c>
      <c r="V5" s="371">
        <v>0</v>
      </c>
    </row>
    <row r="6" spans="1:22" ht="21.75" thickTop="1" x14ac:dyDescent="0.35">
      <c r="A6" s="7"/>
      <c r="B6" s="600"/>
      <c r="D6" s="601"/>
      <c r="E6" s="601"/>
      <c r="F6" s="601"/>
      <c r="G6" s="601"/>
      <c r="H6" s="601"/>
      <c r="I6" s="601"/>
      <c r="J6" s="601"/>
      <c r="K6" s="601"/>
      <c r="L6" s="601"/>
      <c r="M6" s="608">
        <v>146794</v>
      </c>
      <c r="N6" s="608">
        <v>7035</v>
      </c>
      <c r="O6" s="608">
        <v>23</v>
      </c>
      <c r="P6" t="s">
        <v>494</v>
      </c>
      <c r="T6" s="399">
        <f t="shared" ref="T6:V6" si="3">(T4+T5)/12</f>
        <v>1650.5833333333333</v>
      </c>
      <c r="U6" s="399">
        <f t="shared" si="3"/>
        <v>190.75</v>
      </c>
      <c r="V6" s="399">
        <f t="shared" si="3"/>
        <v>0</v>
      </c>
    </row>
    <row r="7" spans="1:22" ht="21" x14ac:dyDescent="0.35">
      <c r="B7" s="602">
        <v>2016</v>
      </c>
      <c r="C7" s="9"/>
      <c r="D7" s="717" t="s">
        <v>22</v>
      </c>
      <c r="E7" s="717" t="s">
        <v>23</v>
      </c>
      <c r="F7" s="603" t="s">
        <v>501</v>
      </c>
      <c r="G7" s="717" t="s">
        <v>22</v>
      </c>
      <c r="H7" s="717" t="s">
        <v>23</v>
      </c>
      <c r="I7" s="603" t="s">
        <v>501</v>
      </c>
      <c r="J7" s="717" t="s">
        <v>22</v>
      </c>
      <c r="K7" s="717" t="s">
        <v>23</v>
      </c>
      <c r="L7" s="603" t="s">
        <v>501</v>
      </c>
      <c r="M7" s="717" t="s">
        <v>22</v>
      </c>
      <c r="N7" s="717" t="s">
        <v>23</v>
      </c>
      <c r="O7" s="603" t="s">
        <v>501</v>
      </c>
    </row>
    <row r="8" spans="1:22" ht="21" x14ac:dyDescent="0.35">
      <c r="A8" s="599" t="s">
        <v>393</v>
      </c>
      <c r="B8" s="8"/>
      <c r="C8" s="9"/>
      <c r="D8" s="371">
        <v>7071493</v>
      </c>
      <c r="E8" s="371">
        <v>725380</v>
      </c>
      <c r="F8" s="371">
        <v>25979</v>
      </c>
      <c r="G8" s="372">
        <v>7046405</v>
      </c>
      <c r="H8" s="372">
        <v>719493</v>
      </c>
      <c r="I8" s="372">
        <v>23771</v>
      </c>
      <c r="J8" s="625">
        <v>6102732</v>
      </c>
      <c r="K8" s="625">
        <f>654517-23771</f>
        <v>630746</v>
      </c>
      <c r="L8" s="625">
        <v>23771</v>
      </c>
      <c r="M8" s="626">
        <f>M11*($D$14/($D$14+$D$15))</f>
        <v>120563.33173017242</v>
      </c>
      <c r="N8" s="626">
        <f>N11*($D$14/($D$14+$D$15))</f>
        <v>5989.4918352352452</v>
      </c>
      <c r="O8" s="626">
        <f>O11*($D$14/($D$14+$D$15))</f>
        <v>31.896702081134443</v>
      </c>
    </row>
    <row r="9" spans="1:22" ht="21.75" thickBot="1" x14ac:dyDescent="0.4">
      <c r="A9" s="599" t="s">
        <v>394</v>
      </c>
      <c r="B9" s="8"/>
      <c r="C9" s="9"/>
      <c r="D9" s="371">
        <v>876463</v>
      </c>
      <c r="E9" s="371">
        <v>78145</v>
      </c>
      <c r="F9" s="371">
        <v>2068</v>
      </c>
      <c r="G9" s="371">
        <v>871639</v>
      </c>
      <c r="H9" s="371">
        <v>77626</v>
      </c>
      <c r="I9" s="371">
        <v>1884</v>
      </c>
      <c r="J9" s="627">
        <v>746554</v>
      </c>
      <c r="K9" s="627">
        <f>67414-1884</f>
        <v>65530</v>
      </c>
      <c r="L9" s="627">
        <v>1884</v>
      </c>
      <c r="M9" s="627">
        <f>M11*($D$15/($D8+$D9))</f>
        <v>16049.888929682047</v>
      </c>
      <c r="N9" s="627">
        <f>N11*($D$15/($D8+$D9))</f>
        <v>797.34590377702136</v>
      </c>
      <c r="O9" s="627">
        <f>O11*($D$15/($D8+$D9))</f>
        <v>4.2462207893450845</v>
      </c>
    </row>
    <row r="10" spans="1:22" ht="22.5" thickTop="1" thickBot="1" x14ac:dyDescent="0.4">
      <c r="A10" s="7"/>
      <c r="B10" s="374" t="s">
        <v>488</v>
      </c>
      <c r="D10" s="399">
        <f>(D8+D9)/12</f>
        <v>662329.66666666663</v>
      </c>
      <c r="E10" s="399">
        <f t="shared" ref="E10:O10" si="4">(E8+E9)/12</f>
        <v>66960.416666666672</v>
      </c>
      <c r="F10" s="399">
        <f t="shared" si="4"/>
        <v>2337.25</v>
      </c>
      <c r="G10" s="399">
        <f t="shared" si="4"/>
        <v>659837</v>
      </c>
      <c r="H10" s="399">
        <f t="shared" si="4"/>
        <v>66426.583333333328</v>
      </c>
      <c r="I10" s="399">
        <f t="shared" si="4"/>
        <v>2137.9166666666665</v>
      </c>
      <c r="J10" s="399">
        <f t="shared" si="4"/>
        <v>570773.83333333337</v>
      </c>
      <c r="K10" s="399">
        <f t="shared" si="4"/>
        <v>58023</v>
      </c>
      <c r="L10" s="399">
        <f t="shared" si="4"/>
        <v>2137.9166666666665</v>
      </c>
      <c r="M10" s="399">
        <f t="shared" si="4"/>
        <v>11384.435054987873</v>
      </c>
      <c r="N10" s="399">
        <f t="shared" si="4"/>
        <v>565.56981158435553</v>
      </c>
      <c r="O10" s="399">
        <f t="shared" si="4"/>
        <v>3.0119102392066268</v>
      </c>
    </row>
    <row r="11" spans="1:22" ht="15.75" thickTop="1" x14ac:dyDescent="0.25">
      <c r="M11" s="608">
        <v>136073</v>
      </c>
      <c r="N11" s="608">
        <v>6760</v>
      </c>
      <c r="O11" s="608">
        <v>36</v>
      </c>
      <c r="P11" t="s">
        <v>494</v>
      </c>
    </row>
    <row r="12" spans="1:22" ht="21.75" thickBot="1" x14ac:dyDescent="0.4">
      <c r="A12" s="7"/>
      <c r="B12" s="600"/>
      <c r="D12" s="601"/>
      <c r="E12" s="601"/>
      <c r="F12" s="601"/>
      <c r="G12" s="601"/>
      <c r="H12" s="601"/>
      <c r="I12" s="601"/>
      <c r="J12" s="601"/>
      <c r="K12" s="601"/>
      <c r="L12" s="601"/>
      <c r="M12" s="608"/>
      <c r="N12" s="608"/>
      <c r="O12" s="608"/>
    </row>
    <row r="13" spans="1:22" ht="32.25" thickBot="1" x14ac:dyDescent="0.4">
      <c r="B13" s="602">
        <v>2018</v>
      </c>
      <c r="C13" s="9"/>
      <c r="D13" s="595" t="s">
        <v>22</v>
      </c>
      <c r="E13" s="595" t="s">
        <v>23</v>
      </c>
      <c r="F13" s="603" t="s">
        <v>501</v>
      </c>
      <c r="G13" s="595" t="s">
        <v>22</v>
      </c>
      <c r="H13" s="595" t="s">
        <v>23</v>
      </c>
      <c r="I13" s="603" t="s">
        <v>501</v>
      </c>
      <c r="J13" s="595" t="s">
        <v>22</v>
      </c>
      <c r="K13" s="595" t="s">
        <v>23</v>
      </c>
      <c r="L13" s="603" t="s">
        <v>501</v>
      </c>
      <c r="M13" s="595" t="s">
        <v>22</v>
      </c>
      <c r="N13" s="595" t="s">
        <v>23</v>
      </c>
      <c r="O13" s="603" t="s">
        <v>501</v>
      </c>
      <c r="R13" s="814" t="s">
        <v>919</v>
      </c>
      <c r="S13" s="815"/>
      <c r="T13" s="815"/>
      <c r="U13" s="816"/>
    </row>
    <row r="14" spans="1:22" ht="21.75" thickBot="1" x14ac:dyDescent="0.4">
      <c r="A14" s="599" t="s">
        <v>393</v>
      </c>
      <c r="B14" s="8"/>
      <c r="C14" s="9"/>
      <c r="D14" s="371">
        <v>7287327</v>
      </c>
      <c r="E14" s="371">
        <v>708236</v>
      </c>
      <c r="F14" s="371">
        <v>22670</v>
      </c>
      <c r="G14" s="372">
        <v>7279512</v>
      </c>
      <c r="H14" s="372">
        <v>707388</v>
      </c>
      <c r="I14" s="372">
        <v>23088</v>
      </c>
      <c r="J14" s="372">
        <v>6448428</v>
      </c>
      <c r="K14" s="372">
        <f>683250-23088</f>
        <v>660162</v>
      </c>
      <c r="L14" s="372">
        <v>23088</v>
      </c>
      <c r="M14" s="372">
        <v>13308</v>
      </c>
      <c r="N14" s="372">
        <v>1697</v>
      </c>
      <c r="O14" s="372">
        <v>0</v>
      </c>
      <c r="R14" s="740" t="s">
        <v>920</v>
      </c>
      <c r="S14" s="741" t="s">
        <v>921</v>
      </c>
      <c r="T14" s="742" t="s">
        <v>501</v>
      </c>
      <c r="U14" s="743" t="s">
        <v>922</v>
      </c>
    </row>
    <row r="15" spans="1:22" ht="21.75" thickBot="1" x14ac:dyDescent="0.4">
      <c r="A15" s="599" t="s">
        <v>394</v>
      </c>
      <c r="B15" s="8"/>
      <c r="C15" s="9"/>
      <c r="D15" s="371">
        <v>937466</v>
      </c>
      <c r="E15" s="371">
        <v>74362</v>
      </c>
      <c r="F15" s="371">
        <v>1969</v>
      </c>
      <c r="G15" s="371">
        <v>936372</v>
      </c>
      <c r="H15" s="371">
        <v>74232</v>
      </c>
      <c r="I15" s="371">
        <v>2016</v>
      </c>
      <c r="J15" s="371">
        <v>821273</v>
      </c>
      <c r="K15" s="371">
        <f>79674-2016</f>
        <v>77658</v>
      </c>
      <c r="L15" s="371">
        <v>2016</v>
      </c>
      <c r="M15" s="371">
        <v>2421</v>
      </c>
      <c r="N15" s="371">
        <f>N17*($D$15/($D14+$D15))</f>
        <v>770.5081647647545</v>
      </c>
      <c r="O15" s="371">
        <v>0</v>
      </c>
      <c r="R15" s="744">
        <v>684657</v>
      </c>
      <c r="S15" s="745">
        <v>65136</v>
      </c>
      <c r="T15" s="745">
        <v>2093</v>
      </c>
      <c r="U15" s="746">
        <v>751886</v>
      </c>
    </row>
    <row r="16" spans="1:22" ht="22.5" thickTop="1" thickBot="1" x14ac:dyDescent="0.4">
      <c r="A16" s="7"/>
      <c r="B16" s="374" t="s">
        <v>488</v>
      </c>
      <c r="D16" s="399">
        <f>(D14+D15)/12</f>
        <v>685399.41666666663</v>
      </c>
      <c r="E16" s="399">
        <f t="shared" ref="E16:O16" si="5">(E14+E15)/12</f>
        <v>65216.5</v>
      </c>
      <c r="F16" s="399">
        <f t="shared" si="5"/>
        <v>2053.25</v>
      </c>
      <c r="G16" s="399">
        <f t="shared" si="5"/>
        <v>684657</v>
      </c>
      <c r="H16" s="399">
        <f t="shared" si="5"/>
        <v>65135</v>
      </c>
      <c r="I16" s="399">
        <f t="shared" si="5"/>
        <v>2092</v>
      </c>
      <c r="J16" s="399">
        <f t="shared" si="5"/>
        <v>605808.41666666663</v>
      </c>
      <c r="K16" s="399">
        <f t="shared" si="5"/>
        <v>61485</v>
      </c>
      <c r="L16" s="399">
        <f t="shared" si="5"/>
        <v>2092</v>
      </c>
      <c r="M16" s="399">
        <f t="shared" si="5"/>
        <v>1310.75</v>
      </c>
      <c r="N16" s="399">
        <f t="shared" si="5"/>
        <v>205.62568039706287</v>
      </c>
      <c r="O16" s="399">
        <f t="shared" si="5"/>
        <v>0</v>
      </c>
    </row>
    <row r="17" spans="1:25" ht="21.75" thickTop="1" x14ac:dyDescent="0.35">
      <c r="A17" s="7"/>
      <c r="B17" s="600"/>
      <c r="D17" s="601"/>
      <c r="E17" s="601"/>
      <c r="F17" s="601"/>
      <c r="G17" s="601"/>
      <c r="H17" s="601"/>
      <c r="I17" s="601"/>
      <c r="J17" s="601"/>
      <c r="K17" s="601"/>
      <c r="L17" s="601"/>
      <c r="M17" s="608">
        <v>136073</v>
      </c>
      <c r="N17" s="608">
        <v>6760</v>
      </c>
      <c r="O17" s="608">
        <v>36</v>
      </c>
      <c r="P17" t="s">
        <v>494</v>
      </c>
    </row>
    <row r="18" spans="1:25" x14ac:dyDescent="0.25">
      <c r="A18" t="s">
        <v>487</v>
      </c>
      <c r="I18" t="s">
        <v>491</v>
      </c>
      <c r="J18" s="606" t="s">
        <v>489</v>
      </c>
      <c r="K18" s="2"/>
      <c r="L18" s="2"/>
      <c r="M18" s="2"/>
    </row>
    <row r="19" spans="1:25" x14ac:dyDescent="0.25">
      <c r="J19" s="606" t="s">
        <v>490</v>
      </c>
      <c r="K19" s="2"/>
      <c r="L19" s="2"/>
      <c r="M19" s="2"/>
    </row>
    <row r="20" spans="1:25" x14ac:dyDescent="0.25">
      <c r="J20" s="606" t="s">
        <v>492</v>
      </c>
      <c r="K20" s="2"/>
      <c r="L20" s="264"/>
      <c r="M20" s="264"/>
      <c r="N20" s="596"/>
    </row>
    <row r="21" spans="1:25" x14ac:dyDescent="0.25">
      <c r="J21" s="606" t="s">
        <v>493</v>
      </c>
      <c r="K21" s="2"/>
      <c r="L21" s="264"/>
      <c r="M21" s="264"/>
      <c r="N21" s="596"/>
    </row>
    <row r="22" spans="1:25" x14ac:dyDescent="0.25">
      <c r="J22" s="606"/>
      <c r="K22" s="2"/>
      <c r="L22" s="264"/>
      <c r="M22" s="264"/>
      <c r="N22" s="641"/>
    </row>
    <row r="23" spans="1:25" x14ac:dyDescent="0.25">
      <c r="J23" s="606"/>
      <c r="K23" s="2"/>
      <c r="L23" s="264"/>
      <c r="M23" s="264"/>
      <c r="N23" s="641"/>
    </row>
    <row r="24" spans="1:25" ht="21" x14ac:dyDescent="0.35">
      <c r="A24" s="4" t="s">
        <v>502</v>
      </c>
      <c r="K24" s="4" t="s">
        <v>538</v>
      </c>
      <c r="X24" s="4" t="s">
        <v>538</v>
      </c>
    </row>
    <row r="25" spans="1:25" ht="21" x14ac:dyDescent="0.35">
      <c r="A25" t="s">
        <v>503</v>
      </c>
      <c r="G25" s="4">
        <v>2015</v>
      </c>
      <c r="K25" s="4">
        <v>2015</v>
      </c>
      <c r="N25" t="s">
        <v>539</v>
      </c>
      <c r="T25" s="4">
        <v>2016</v>
      </c>
      <c r="X25" s="4">
        <v>2016</v>
      </c>
    </row>
    <row r="26" spans="1:25" x14ac:dyDescent="0.25">
      <c r="A26" t="s">
        <v>504</v>
      </c>
      <c r="B26" t="s">
        <v>128</v>
      </c>
      <c r="C26" t="s">
        <v>505</v>
      </c>
      <c r="D26" t="s">
        <v>506</v>
      </c>
      <c r="E26" t="s">
        <v>507</v>
      </c>
      <c r="F26" t="s">
        <v>508</v>
      </c>
      <c r="G26" t="s">
        <v>509</v>
      </c>
      <c r="H26" t="s">
        <v>510</v>
      </c>
      <c r="I26" t="s">
        <v>511</v>
      </c>
      <c r="N26" t="s">
        <v>504</v>
      </c>
      <c r="O26" t="s">
        <v>128</v>
      </c>
      <c r="P26" t="s">
        <v>505</v>
      </c>
      <c r="Q26" t="s">
        <v>506</v>
      </c>
      <c r="R26" t="s">
        <v>507</v>
      </c>
      <c r="S26" t="s">
        <v>508</v>
      </c>
      <c r="T26" t="s">
        <v>509</v>
      </c>
      <c r="U26" t="s">
        <v>510</v>
      </c>
      <c r="V26" t="s">
        <v>511</v>
      </c>
    </row>
    <row r="27" spans="1:25" x14ac:dyDescent="0.25">
      <c r="A27" t="s">
        <v>512</v>
      </c>
      <c r="B27" s="642" t="s">
        <v>513</v>
      </c>
      <c r="C27" s="643">
        <v>576247</v>
      </c>
      <c r="D27" s="468">
        <v>550555</v>
      </c>
      <c r="E27" t="s">
        <v>364</v>
      </c>
      <c r="F27">
        <v>201512</v>
      </c>
      <c r="G27" s="468">
        <v>57661141.100000001</v>
      </c>
      <c r="H27">
        <v>-58750768.009999998</v>
      </c>
      <c r="I27">
        <v>-1.0188999999999999</v>
      </c>
      <c r="K27" s="642" t="s">
        <v>540</v>
      </c>
      <c r="L27" s="643">
        <f>C27+C48+C49+C29+C52</f>
        <v>649132</v>
      </c>
      <c r="N27" t="s">
        <v>512</v>
      </c>
      <c r="O27" s="642" t="s">
        <v>513</v>
      </c>
      <c r="P27" s="643">
        <v>584289</v>
      </c>
      <c r="Q27" s="468">
        <v>558491</v>
      </c>
      <c r="R27" t="s">
        <v>364</v>
      </c>
      <c r="S27">
        <v>201612</v>
      </c>
      <c r="T27" s="468">
        <v>55468509.799999997</v>
      </c>
      <c r="U27">
        <v>-55765012.840000004</v>
      </c>
      <c r="V27">
        <v>-1.0053000000000001</v>
      </c>
      <c r="X27" s="642" t="s">
        <v>540</v>
      </c>
      <c r="Y27" s="643">
        <f>P27+P48+P49+P29+P52</f>
        <v>659613</v>
      </c>
    </row>
    <row r="28" spans="1:25" x14ac:dyDescent="0.25">
      <c r="A28" t="s">
        <v>512</v>
      </c>
      <c r="B28" s="642" t="s">
        <v>514</v>
      </c>
      <c r="C28" s="644">
        <v>57021</v>
      </c>
      <c r="D28" s="468">
        <v>51554</v>
      </c>
      <c r="E28" t="s">
        <v>364</v>
      </c>
      <c r="F28">
        <v>201512</v>
      </c>
      <c r="G28" s="468">
        <v>23240138.800000001</v>
      </c>
      <c r="H28">
        <v>-21356967.010000002</v>
      </c>
      <c r="I28">
        <v>-0.91900000000000004</v>
      </c>
      <c r="K28" s="642">
        <v>3</v>
      </c>
      <c r="L28" s="644">
        <f>C28+C32+C51+C55+C50</f>
        <v>63091</v>
      </c>
      <c r="N28" t="s">
        <v>512</v>
      </c>
      <c r="O28" s="642" t="s">
        <v>514</v>
      </c>
      <c r="P28" s="644">
        <v>57247</v>
      </c>
      <c r="Q28" s="468">
        <v>51800</v>
      </c>
      <c r="R28" t="s">
        <v>364</v>
      </c>
      <c r="S28">
        <v>201612</v>
      </c>
      <c r="T28" s="468">
        <v>21907124.399999999</v>
      </c>
      <c r="U28">
        <v>-20006744.57</v>
      </c>
      <c r="V28">
        <v>-0.9133</v>
      </c>
      <c r="X28" s="642">
        <v>3</v>
      </c>
      <c r="Y28" s="644">
        <f>P28+P32+P51+P55+P50</f>
        <v>63443</v>
      </c>
    </row>
    <row r="29" spans="1:25" x14ac:dyDescent="0.25">
      <c r="A29" t="s">
        <v>512</v>
      </c>
      <c r="B29" s="642" t="s">
        <v>515</v>
      </c>
      <c r="C29" s="643">
        <v>1750</v>
      </c>
      <c r="D29" s="468">
        <v>1667</v>
      </c>
      <c r="E29" t="s">
        <v>364</v>
      </c>
      <c r="F29">
        <v>201512</v>
      </c>
      <c r="G29" s="468">
        <v>158719.70000000001</v>
      </c>
      <c r="H29">
        <v>-137149.59</v>
      </c>
      <c r="I29">
        <v>-0.86409999999999998</v>
      </c>
      <c r="K29" s="642" t="s">
        <v>541</v>
      </c>
      <c r="L29" s="645">
        <f>SUM(C30:C31,C33:C39,C46,C53:C54,C56:C61,C63)</f>
        <v>2061</v>
      </c>
      <c r="N29" t="s">
        <v>512</v>
      </c>
      <c r="O29" s="642" t="s">
        <v>515</v>
      </c>
      <c r="P29" s="643">
        <v>2074</v>
      </c>
      <c r="Q29" s="468">
        <v>1950</v>
      </c>
      <c r="R29" t="s">
        <v>364</v>
      </c>
      <c r="S29">
        <v>201612</v>
      </c>
      <c r="T29" s="468">
        <v>196101.6</v>
      </c>
      <c r="U29">
        <v>-167384.54999999999</v>
      </c>
      <c r="V29">
        <v>-0.85360000000000003</v>
      </c>
      <c r="X29" s="642" t="s">
        <v>541</v>
      </c>
      <c r="Y29" s="645">
        <f>SUM(P30:P31,P33:P39,P46,P53:P54,P56:P61,P63)</f>
        <v>2049</v>
      </c>
    </row>
    <row r="30" spans="1:25" x14ac:dyDescent="0.25">
      <c r="A30" t="s">
        <v>512</v>
      </c>
      <c r="B30" s="642" t="s">
        <v>516</v>
      </c>
      <c r="C30" s="645">
        <v>839</v>
      </c>
      <c r="D30" s="468">
        <v>601</v>
      </c>
      <c r="E30" t="s">
        <v>364</v>
      </c>
      <c r="F30">
        <v>201512</v>
      </c>
      <c r="G30" s="468">
        <v>4152929.9</v>
      </c>
      <c r="H30">
        <v>-3248167.68</v>
      </c>
      <c r="I30">
        <v>-0.78210000000000002</v>
      </c>
      <c r="K30" s="642" t="s">
        <v>275</v>
      </c>
      <c r="L30" s="642">
        <f>SUM(C27:C39,C46,C48:C61,C63)-SUM(L27:L29)</f>
        <v>0</v>
      </c>
      <c r="N30" t="s">
        <v>512</v>
      </c>
      <c r="O30" s="642" t="s">
        <v>516</v>
      </c>
      <c r="P30" s="645">
        <v>773</v>
      </c>
      <c r="Q30" s="468">
        <v>550</v>
      </c>
      <c r="R30" t="s">
        <v>364</v>
      </c>
      <c r="S30">
        <v>201612</v>
      </c>
      <c r="T30" s="468">
        <v>3522339.4</v>
      </c>
      <c r="U30">
        <v>-2728655.58</v>
      </c>
      <c r="V30">
        <v>-0.77470000000000006</v>
      </c>
      <c r="X30" s="642" t="s">
        <v>275</v>
      </c>
      <c r="Y30" s="642">
        <f>SUM(P27:P39,P46,P48:P61,P63)-SUM(Y27:Y29)</f>
        <v>0</v>
      </c>
    </row>
    <row r="31" spans="1:25" x14ac:dyDescent="0.25">
      <c r="A31" t="s">
        <v>512</v>
      </c>
      <c r="B31" s="642" t="s">
        <v>517</v>
      </c>
      <c r="C31" s="645">
        <v>354</v>
      </c>
      <c r="D31" s="468">
        <v>226</v>
      </c>
      <c r="E31" t="s">
        <v>364</v>
      </c>
      <c r="F31">
        <v>201512</v>
      </c>
      <c r="G31" s="468">
        <v>4417653.5</v>
      </c>
      <c r="H31">
        <v>-2821406.64</v>
      </c>
      <c r="I31">
        <v>-0.63870000000000005</v>
      </c>
      <c r="N31" t="s">
        <v>512</v>
      </c>
      <c r="O31" s="642" t="s">
        <v>517</v>
      </c>
      <c r="P31" s="645">
        <v>412</v>
      </c>
      <c r="Q31" s="468">
        <v>265</v>
      </c>
      <c r="R31" t="s">
        <v>364</v>
      </c>
      <c r="S31">
        <v>201612</v>
      </c>
      <c r="T31" s="468">
        <v>4681622.5</v>
      </c>
      <c r="U31">
        <v>-2968596.01</v>
      </c>
      <c r="V31">
        <v>-0.6341</v>
      </c>
    </row>
    <row r="32" spans="1:25" x14ac:dyDescent="0.25">
      <c r="A32" t="s">
        <v>512</v>
      </c>
      <c r="B32" s="642" t="s">
        <v>518</v>
      </c>
      <c r="C32" s="644">
        <v>334</v>
      </c>
      <c r="D32" s="468">
        <v>203</v>
      </c>
      <c r="E32" t="s">
        <v>364</v>
      </c>
      <c r="F32">
        <v>201512</v>
      </c>
      <c r="G32" s="468">
        <v>506246.40000000002</v>
      </c>
      <c r="H32">
        <v>-426016.17</v>
      </c>
      <c r="I32">
        <v>-0.84150000000000003</v>
      </c>
      <c r="N32" t="s">
        <v>512</v>
      </c>
      <c r="O32" s="642" t="s">
        <v>518</v>
      </c>
      <c r="P32" s="644">
        <v>343</v>
      </c>
      <c r="Q32" s="468">
        <v>212</v>
      </c>
      <c r="R32" t="s">
        <v>364</v>
      </c>
      <c r="S32">
        <v>201612</v>
      </c>
      <c r="T32" s="468">
        <v>534197.5</v>
      </c>
      <c r="U32">
        <v>-459029.7</v>
      </c>
      <c r="V32">
        <v>-0.85929999999999995</v>
      </c>
    </row>
    <row r="33" spans="1:22" x14ac:dyDescent="0.25">
      <c r="A33" t="s">
        <v>512</v>
      </c>
      <c r="B33" s="642" t="s">
        <v>519</v>
      </c>
      <c r="C33" s="645">
        <v>202</v>
      </c>
      <c r="D33" s="468">
        <v>139</v>
      </c>
      <c r="E33" t="s">
        <v>364</v>
      </c>
      <c r="F33">
        <v>201512</v>
      </c>
      <c r="G33" s="468">
        <v>1340197.5</v>
      </c>
      <c r="H33">
        <v>-896290.3</v>
      </c>
      <c r="I33">
        <v>-0.66879999999999995</v>
      </c>
      <c r="N33" t="s">
        <v>512</v>
      </c>
      <c r="O33" s="642" t="s">
        <v>519</v>
      </c>
      <c r="P33" s="645">
        <v>209</v>
      </c>
      <c r="Q33" s="468">
        <v>145</v>
      </c>
      <c r="R33" t="s">
        <v>364</v>
      </c>
      <c r="S33">
        <v>201612</v>
      </c>
      <c r="T33" s="468">
        <v>1278632.2</v>
      </c>
      <c r="U33">
        <v>-852716.76</v>
      </c>
      <c r="V33">
        <v>-0.66690000000000005</v>
      </c>
    </row>
    <row r="34" spans="1:22" x14ac:dyDescent="0.25">
      <c r="A34" t="s">
        <v>512</v>
      </c>
      <c r="B34" s="642" t="s">
        <v>520</v>
      </c>
      <c r="C34" s="645">
        <v>53</v>
      </c>
      <c r="D34" s="468">
        <v>39</v>
      </c>
      <c r="E34" t="s">
        <v>364</v>
      </c>
      <c r="F34">
        <v>201512</v>
      </c>
      <c r="G34" s="468">
        <v>1208448.6000000001</v>
      </c>
      <c r="H34">
        <v>-711913.26</v>
      </c>
      <c r="I34">
        <v>-0.58909999999999996</v>
      </c>
      <c r="N34" t="s">
        <v>512</v>
      </c>
      <c r="O34" s="642" t="s">
        <v>520</v>
      </c>
      <c r="P34" s="645">
        <v>50</v>
      </c>
      <c r="Q34" s="468">
        <v>38</v>
      </c>
      <c r="R34" t="s">
        <v>364</v>
      </c>
      <c r="S34">
        <v>201612</v>
      </c>
      <c r="T34" s="468">
        <v>1063951.7</v>
      </c>
      <c r="U34">
        <v>-627012.24</v>
      </c>
      <c r="V34">
        <v>-0.58930000000000005</v>
      </c>
    </row>
    <row r="35" spans="1:22" x14ac:dyDescent="0.25">
      <c r="A35" t="s">
        <v>512</v>
      </c>
      <c r="B35" s="642" t="s">
        <v>521</v>
      </c>
      <c r="C35" s="645">
        <v>131</v>
      </c>
      <c r="D35" s="468">
        <v>26</v>
      </c>
      <c r="E35" t="s">
        <v>364</v>
      </c>
      <c r="F35">
        <v>201512</v>
      </c>
      <c r="G35" s="468">
        <v>5154455</v>
      </c>
      <c r="H35">
        <v>-2320565.94</v>
      </c>
      <c r="I35">
        <v>-0.45019999999999999</v>
      </c>
      <c r="N35" t="s">
        <v>512</v>
      </c>
      <c r="O35" s="642" t="s">
        <v>521</v>
      </c>
      <c r="P35" s="645">
        <v>119</v>
      </c>
      <c r="Q35" s="468">
        <v>28</v>
      </c>
      <c r="R35" t="s">
        <v>364</v>
      </c>
      <c r="S35">
        <v>201612</v>
      </c>
      <c r="T35" s="468">
        <v>5251397</v>
      </c>
      <c r="U35">
        <v>-2257110.13</v>
      </c>
      <c r="V35">
        <v>-0.42980000000000002</v>
      </c>
    </row>
    <row r="36" spans="1:22" x14ac:dyDescent="0.25">
      <c r="A36" t="s">
        <v>522</v>
      </c>
      <c r="B36" s="642" t="s">
        <v>516</v>
      </c>
      <c r="C36" s="645">
        <v>70</v>
      </c>
      <c r="D36" s="468">
        <v>64</v>
      </c>
      <c r="E36" t="s">
        <v>364</v>
      </c>
      <c r="F36">
        <v>201512</v>
      </c>
      <c r="G36" s="468">
        <v>466602</v>
      </c>
      <c r="H36">
        <v>-124475.53</v>
      </c>
      <c r="I36">
        <v>-0.26679999999999998</v>
      </c>
      <c r="N36" t="s">
        <v>522</v>
      </c>
      <c r="O36" s="642" t="s">
        <v>516</v>
      </c>
      <c r="P36" s="645">
        <v>70</v>
      </c>
      <c r="Q36" s="468">
        <v>65</v>
      </c>
      <c r="R36" t="s">
        <v>364</v>
      </c>
      <c r="S36">
        <v>201612</v>
      </c>
      <c r="T36" s="468">
        <v>534206</v>
      </c>
      <c r="U36">
        <v>-139068.48000000001</v>
      </c>
      <c r="V36">
        <v>-0.26029999999999998</v>
      </c>
    </row>
    <row r="37" spans="1:22" x14ac:dyDescent="0.25">
      <c r="A37" t="s">
        <v>522</v>
      </c>
      <c r="B37" s="642" t="s">
        <v>517</v>
      </c>
      <c r="C37" s="645">
        <v>71</v>
      </c>
      <c r="D37" s="468">
        <v>60</v>
      </c>
      <c r="E37" t="s">
        <v>364</v>
      </c>
      <c r="F37">
        <v>201512</v>
      </c>
      <c r="G37" s="468">
        <v>1084309</v>
      </c>
      <c r="H37">
        <v>-168260.73</v>
      </c>
      <c r="I37">
        <v>-0.1552</v>
      </c>
      <c r="N37" t="s">
        <v>522</v>
      </c>
      <c r="O37" s="642" t="s">
        <v>517</v>
      </c>
      <c r="P37" s="645">
        <v>73</v>
      </c>
      <c r="Q37" s="468">
        <v>60</v>
      </c>
      <c r="R37" t="s">
        <v>364</v>
      </c>
      <c r="S37">
        <v>201612</v>
      </c>
      <c r="T37" s="468">
        <v>1290575</v>
      </c>
      <c r="U37">
        <v>-184743.62</v>
      </c>
      <c r="V37">
        <v>-0.1431</v>
      </c>
    </row>
    <row r="38" spans="1:22" x14ac:dyDescent="0.25">
      <c r="A38" t="s">
        <v>522</v>
      </c>
      <c r="B38" s="642" t="s">
        <v>519</v>
      </c>
      <c r="C38" s="645">
        <v>7</v>
      </c>
      <c r="D38" s="468">
        <v>7</v>
      </c>
      <c r="E38" t="s">
        <v>364</v>
      </c>
      <c r="F38">
        <v>201512</v>
      </c>
      <c r="G38" s="468">
        <v>82306</v>
      </c>
      <c r="H38">
        <v>-16899.810000000001</v>
      </c>
      <c r="I38">
        <v>-0.20530000000000001</v>
      </c>
      <c r="N38" t="s">
        <v>522</v>
      </c>
      <c r="O38" s="642" t="s">
        <v>519</v>
      </c>
      <c r="P38" s="645">
        <v>5</v>
      </c>
      <c r="Q38" s="468">
        <v>4</v>
      </c>
      <c r="R38" t="s">
        <v>364</v>
      </c>
      <c r="S38">
        <v>201612</v>
      </c>
      <c r="T38" s="468">
        <v>53743</v>
      </c>
      <c r="U38">
        <v>-12593.29</v>
      </c>
      <c r="V38">
        <v>-0.23430000000000001</v>
      </c>
    </row>
    <row r="39" spans="1:22" x14ac:dyDescent="0.25">
      <c r="A39" t="s">
        <v>522</v>
      </c>
      <c r="B39" s="642" t="s">
        <v>520</v>
      </c>
      <c r="C39" s="645">
        <v>94</v>
      </c>
      <c r="D39" s="468">
        <v>67</v>
      </c>
      <c r="E39" t="s">
        <v>364</v>
      </c>
      <c r="F39">
        <v>201512</v>
      </c>
      <c r="G39" s="468">
        <v>7568311</v>
      </c>
      <c r="H39">
        <v>-508665.65</v>
      </c>
      <c r="I39">
        <v>-6.7199999999999996E-2</v>
      </c>
      <c r="N39" t="s">
        <v>522</v>
      </c>
      <c r="O39" s="642" t="s">
        <v>520</v>
      </c>
      <c r="P39" s="645">
        <v>96</v>
      </c>
      <c r="Q39" s="468">
        <v>68</v>
      </c>
      <c r="R39" t="s">
        <v>364</v>
      </c>
      <c r="S39">
        <v>201612</v>
      </c>
      <c r="T39" s="468">
        <v>8107328</v>
      </c>
      <c r="U39">
        <v>-557977.29</v>
      </c>
      <c r="V39">
        <v>-6.88E-2</v>
      </c>
    </row>
    <row r="40" spans="1:22" x14ac:dyDescent="0.25">
      <c r="A40" t="s">
        <v>522</v>
      </c>
      <c r="B40" t="s">
        <v>523</v>
      </c>
      <c r="C40" s="468">
        <v>1</v>
      </c>
      <c r="D40" s="468">
        <v>0</v>
      </c>
      <c r="E40" t="s">
        <v>364</v>
      </c>
      <c r="F40">
        <v>201512</v>
      </c>
      <c r="G40" s="468">
        <v>1886206</v>
      </c>
      <c r="H40">
        <v>-38723.050000000003</v>
      </c>
      <c r="I40">
        <v>-2.0500000000000001E-2</v>
      </c>
      <c r="N40" t="s">
        <v>522</v>
      </c>
      <c r="O40" t="s">
        <v>523</v>
      </c>
      <c r="P40" s="468">
        <v>1</v>
      </c>
      <c r="Q40" s="468">
        <v>0</v>
      </c>
      <c r="R40" t="s">
        <v>364</v>
      </c>
      <c r="S40">
        <v>201612</v>
      </c>
      <c r="T40" s="468">
        <v>2154548</v>
      </c>
      <c r="U40">
        <v>-38917.9</v>
      </c>
      <c r="V40">
        <v>-1.8100000000000002E-2</v>
      </c>
    </row>
    <row r="41" spans="1:22" x14ac:dyDescent="0.25">
      <c r="A41" t="s">
        <v>522</v>
      </c>
      <c r="B41" t="s">
        <v>524</v>
      </c>
      <c r="C41" s="468">
        <v>1</v>
      </c>
      <c r="D41" s="468">
        <v>0</v>
      </c>
      <c r="E41" t="s">
        <v>364</v>
      </c>
      <c r="F41">
        <v>201512</v>
      </c>
      <c r="G41" s="468">
        <v>461828</v>
      </c>
      <c r="H41">
        <v>-12818.68</v>
      </c>
      <c r="I41">
        <v>-2.7799999999999998E-2</v>
      </c>
      <c r="N41" t="s">
        <v>522</v>
      </c>
      <c r="O41" t="s">
        <v>524</v>
      </c>
      <c r="P41" s="468">
        <v>1</v>
      </c>
      <c r="Q41" s="468">
        <v>0</v>
      </c>
      <c r="R41" t="s">
        <v>364</v>
      </c>
      <c r="S41">
        <v>201612</v>
      </c>
      <c r="T41" s="468">
        <v>512025</v>
      </c>
      <c r="U41">
        <v>-13057.12</v>
      </c>
      <c r="V41">
        <v>-2.5499999999999998E-2</v>
      </c>
    </row>
    <row r="42" spans="1:22" x14ac:dyDescent="0.25">
      <c r="A42" t="s">
        <v>522</v>
      </c>
      <c r="B42" t="s">
        <v>525</v>
      </c>
      <c r="C42" s="468">
        <v>2</v>
      </c>
      <c r="D42" s="468">
        <v>1</v>
      </c>
      <c r="E42" t="s">
        <v>364</v>
      </c>
      <c r="F42">
        <v>201512</v>
      </c>
      <c r="G42" s="468">
        <v>192888</v>
      </c>
      <c r="H42">
        <v>-18503.009999999998</v>
      </c>
      <c r="I42">
        <v>-9.5899999999999999E-2</v>
      </c>
      <c r="N42" t="s">
        <v>522</v>
      </c>
      <c r="O42" t="s">
        <v>525</v>
      </c>
      <c r="P42" s="468">
        <v>2</v>
      </c>
      <c r="Q42" s="468">
        <v>1</v>
      </c>
      <c r="R42" t="s">
        <v>364</v>
      </c>
      <c r="S42">
        <v>201612</v>
      </c>
      <c r="T42" s="468">
        <v>185786</v>
      </c>
      <c r="U42">
        <v>-18471.66</v>
      </c>
      <c r="V42">
        <v>-9.9400000000000002E-2</v>
      </c>
    </row>
    <row r="43" spans="1:22" x14ac:dyDescent="0.25">
      <c r="A43" t="s">
        <v>522</v>
      </c>
      <c r="B43" t="s">
        <v>526</v>
      </c>
      <c r="C43" s="468">
        <v>1</v>
      </c>
      <c r="D43" s="468">
        <v>0</v>
      </c>
      <c r="E43" t="s">
        <v>364</v>
      </c>
      <c r="F43">
        <v>201512</v>
      </c>
      <c r="G43" s="468">
        <v>237494</v>
      </c>
      <c r="H43">
        <v>-6037.49</v>
      </c>
      <c r="I43">
        <v>-2.5399999999999999E-2</v>
      </c>
      <c r="N43" t="s">
        <v>522</v>
      </c>
      <c r="O43" t="s">
        <v>526</v>
      </c>
      <c r="P43" s="468">
        <v>1</v>
      </c>
      <c r="Q43" s="468">
        <v>0</v>
      </c>
      <c r="R43" t="s">
        <v>364</v>
      </c>
      <c r="S43">
        <v>201612</v>
      </c>
      <c r="T43" s="468">
        <v>273366</v>
      </c>
      <c r="U43">
        <v>-6073.37</v>
      </c>
      <c r="V43">
        <v>-2.2200000000000001E-2</v>
      </c>
    </row>
    <row r="44" spans="1:22" x14ac:dyDescent="0.25">
      <c r="A44" t="s">
        <v>522</v>
      </c>
      <c r="B44" t="s">
        <v>527</v>
      </c>
      <c r="C44" s="468">
        <v>1</v>
      </c>
      <c r="D44" s="468">
        <v>1</v>
      </c>
      <c r="E44" t="s">
        <v>364</v>
      </c>
      <c r="F44">
        <v>201512</v>
      </c>
      <c r="G44" s="468">
        <v>2982382</v>
      </c>
      <c r="H44">
        <v>-28244.91</v>
      </c>
      <c r="I44">
        <v>-9.4999999999999998E-3</v>
      </c>
      <c r="N44" t="s">
        <v>522</v>
      </c>
      <c r="O44" t="s">
        <v>527</v>
      </c>
      <c r="P44" s="468">
        <v>1</v>
      </c>
      <c r="Q44" s="468">
        <v>1</v>
      </c>
      <c r="R44" t="s">
        <v>364</v>
      </c>
      <c r="S44">
        <v>201612</v>
      </c>
      <c r="T44" s="468">
        <v>3208646</v>
      </c>
      <c r="U44">
        <v>-29376.23</v>
      </c>
      <c r="V44">
        <v>-9.1999999999999998E-3</v>
      </c>
    </row>
    <row r="45" spans="1:22" x14ac:dyDescent="0.25">
      <c r="A45" t="s">
        <v>522</v>
      </c>
      <c r="B45" t="s">
        <v>528</v>
      </c>
      <c r="C45" s="468">
        <v>1</v>
      </c>
      <c r="D45" s="468">
        <v>0</v>
      </c>
      <c r="E45" t="s">
        <v>364</v>
      </c>
      <c r="F45">
        <v>201512</v>
      </c>
      <c r="G45" s="468">
        <v>0</v>
      </c>
      <c r="H45">
        <v>-20000</v>
      </c>
      <c r="I45">
        <v>9.9999000000000002</v>
      </c>
      <c r="N45" t="s">
        <v>522</v>
      </c>
      <c r="O45" t="s">
        <v>528</v>
      </c>
      <c r="P45" s="468">
        <v>1</v>
      </c>
      <c r="Q45" s="468">
        <v>0</v>
      </c>
      <c r="R45" t="s">
        <v>364</v>
      </c>
      <c r="S45">
        <v>201612</v>
      </c>
      <c r="T45" s="468">
        <v>0</v>
      </c>
      <c r="U45">
        <v>-20000</v>
      </c>
      <c r="V45">
        <v>9.9999000000000002</v>
      </c>
    </row>
    <row r="46" spans="1:22" x14ac:dyDescent="0.25">
      <c r="A46" t="s">
        <v>522</v>
      </c>
      <c r="B46" s="642" t="s">
        <v>521</v>
      </c>
      <c r="C46" s="645">
        <v>88</v>
      </c>
      <c r="D46" s="468">
        <v>23</v>
      </c>
      <c r="E46" t="s">
        <v>364</v>
      </c>
      <c r="F46">
        <v>201512</v>
      </c>
      <c r="G46" s="468">
        <v>18720295</v>
      </c>
      <c r="H46">
        <v>-576502.93999999994</v>
      </c>
      <c r="I46">
        <v>-3.0800000000000001E-2</v>
      </c>
      <c r="N46" t="s">
        <v>522</v>
      </c>
      <c r="O46" s="642" t="s">
        <v>521</v>
      </c>
      <c r="P46" s="645">
        <v>87</v>
      </c>
      <c r="Q46" s="468">
        <v>23</v>
      </c>
      <c r="R46" t="s">
        <v>364</v>
      </c>
      <c r="S46">
        <v>201612</v>
      </c>
      <c r="T46" s="468">
        <v>19122967</v>
      </c>
      <c r="U46">
        <v>-619267.06000000006</v>
      </c>
      <c r="V46">
        <v>-3.2399999999999998E-2</v>
      </c>
    </row>
    <row r="47" spans="1:22" x14ac:dyDescent="0.25">
      <c r="A47" t="s">
        <v>522</v>
      </c>
      <c r="B47" t="s">
        <v>529</v>
      </c>
      <c r="C47" s="468">
        <v>1</v>
      </c>
      <c r="D47" s="468">
        <v>1</v>
      </c>
      <c r="E47" t="s">
        <v>364</v>
      </c>
      <c r="F47">
        <v>201512</v>
      </c>
      <c r="G47" s="468">
        <v>1414985</v>
      </c>
      <c r="H47">
        <v>-25859.94</v>
      </c>
      <c r="I47">
        <v>-1.83E-2</v>
      </c>
      <c r="N47" t="s">
        <v>522</v>
      </c>
      <c r="O47" t="s">
        <v>529</v>
      </c>
      <c r="P47" s="468">
        <v>1</v>
      </c>
      <c r="Q47" s="468">
        <v>1</v>
      </c>
      <c r="R47" t="s">
        <v>364</v>
      </c>
      <c r="S47">
        <v>201612</v>
      </c>
      <c r="T47" s="468">
        <v>1381732</v>
      </c>
      <c r="U47">
        <v>-25726.93</v>
      </c>
      <c r="V47">
        <v>-1.8599999999999998E-2</v>
      </c>
    </row>
    <row r="48" spans="1:22" x14ac:dyDescent="0.25">
      <c r="A48" t="s">
        <v>512</v>
      </c>
      <c r="B48" s="642" t="s">
        <v>530</v>
      </c>
      <c r="C48" s="643">
        <v>829</v>
      </c>
      <c r="D48" s="468">
        <v>301</v>
      </c>
      <c r="E48" t="s">
        <v>531</v>
      </c>
      <c r="F48">
        <v>201512</v>
      </c>
      <c r="G48" s="468">
        <v>28300.799999999999</v>
      </c>
      <c r="H48">
        <v>-34985.39</v>
      </c>
      <c r="I48">
        <v>-1.2362</v>
      </c>
      <c r="N48" t="s">
        <v>512</v>
      </c>
      <c r="O48" s="642" t="s">
        <v>530</v>
      </c>
      <c r="P48" s="643">
        <v>828</v>
      </c>
      <c r="Q48" s="468">
        <v>308</v>
      </c>
      <c r="R48" t="s">
        <v>531</v>
      </c>
      <c r="S48">
        <v>201612</v>
      </c>
      <c r="T48" s="468">
        <v>25567.1</v>
      </c>
      <c r="U48">
        <v>-31598.54</v>
      </c>
      <c r="V48">
        <v>-1.2359</v>
      </c>
    </row>
    <row r="49" spans="1:22" x14ac:dyDescent="0.25">
      <c r="A49" t="s">
        <v>512</v>
      </c>
      <c r="B49" s="642" t="s">
        <v>513</v>
      </c>
      <c r="C49" s="643">
        <v>69763</v>
      </c>
      <c r="D49" s="468">
        <v>66126</v>
      </c>
      <c r="E49" t="s">
        <v>531</v>
      </c>
      <c r="F49">
        <v>201512</v>
      </c>
      <c r="G49" s="468">
        <v>7355864.4000000004</v>
      </c>
      <c r="H49">
        <v>-6726422.7800000003</v>
      </c>
      <c r="I49">
        <v>-0.91439999999999999</v>
      </c>
      <c r="N49" t="s">
        <v>512</v>
      </c>
      <c r="O49" s="642" t="s">
        <v>513</v>
      </c>
      <c r="P49" s="643">
        <v>71738</v>
      </c>
      <c r="Q49" s="468">
        <v>68114</v>
      </c>
      <c r="R49" t="s">
        <v>531</v>
      </c>
      <c r="S49">
        <v>201612</v>
      </c>
      <c r="T49" s="468">
        <v>6812285.9000000004</v>
      </c>
      <c r="U49">
        <v>-6172157.0899999999</v>
      </c>
      <c r="V49">
        <v>-0.90600000000000003</v>
      </c>
    </row>
    <row r="50" spans="1:22" x14ac:dyDescent="0.25">
      <c r="A50" t="s">
        <v>512</v>
      </c>
      <c r="B50" s="642" t="s">
        <v>532</v>
      </c>
      <c r="C50" s="644">
        <v>39</v>
      </c>
      <c r="D50" s="468">
        <v>29</v>
      </c>
      <c r="E50" t="s">
        <v>531</v>
      </c>
      <c r="F50">
        <v>201512</v>
      </c>
      <c r="G50" s="468">
        <v>3717.6</v>
      </c>
      <c r="H50">
        <v>-4326.6499999999996</v>
      </c>
      <c r="I50">
        <v>-1.1637999999999999</v>
      </c>
      <c r="N50" t="s">
        <v>512</v>
      </c>
      <c r="O50" s="642" t="s">
        <v>532</v>
      </c>
      <c r="P50" s="644">
        <v>38</v>
      </c>
      <c r="Q50" s="468">
        <v>28</v>
      </c>
      <c r="R50" t="s">
        <v>531</v>
      </c>
      <c r="S50">
        <v>201612</v>
      </c>
      <c r="T50" s="468">
        <v>2986.9</v>
      </c>
      <c r="U50">
        <v>-3459.36</v>
      </c>
      <c r="V50">
        <v>-1.1581999999999999</v>
      </c>
    </row>
    <row r="51" spans="1:22" x14ac:dyDescent="0.25">
      <c r="A51" t="s">
        <v>512</v>
      </c>
      <c r="B51" s="642" t="s">
        <v>514</v>
      </c>
      <c r="C51" s="644">
        <v>5671</v>
      </c>
      <c r="D51" s="468">
        <v>5198</v>
      </c>
      <c r="E51" t="s">
        <v>531</v>
      </c>
      <c r="F51">
        <v>201512</v>
      </c>
      <c r="G51" s="468">
        <v>2315898</v>
      </c>
      <c r="H51">
        <v>-2052462.34</v>
      </c>
      <c r="I51">
        <v>-0.88619999999999999</v>
      </c>
      <c r="N51" t="s">
        <v>512</v>
      </c>
      <c r="O51" s="642" t="s">
        <v>514</v>
      </c>
      <c r="P51" s="644">
        <v>5788</v>
      </c>
      <c r="Q51" s="468">
        <v>5325</v>
      </c>
      <c r="R51" t="s">
        <v>531</v>
      </c>
      <c r="S51">
        <v>201612</v>
      </c>
      <c r="T51" s="468">
        <v>2020063.4</v>
      </c>
      <c r="U51">
        <v>-1769213.5</v>
      </c>
      <c r="V51">
        <v>-0.87580000000000002</v>
      </c>
    </row>
    <row r="52" spans="1:22" x14ac:dyDescent="0.25">
      <c r="A52" t="s">
        <v>512</v>
      </c>
      <c r="B52" s="642" t="s">
        <v>515</v>
      </c>
      <c r="C52" s="643">
        <v>543</v>
      </c>
      <c r="D52" s="468">
        <v>539</v>
      </c>
      <c r="E52" t="s">
        <v>531</v>
      </c>
      <c r="F52">
        <v>201512</v>
      </c>
      <c r="G52" s="468">
        <v>60659.9</v>
      </c>
      <c r="H52">
        <v>-44079.98</v>
      </c>
      <c r="I52">
        <v>-0.72670000000000001</v>
      </c>
      <c r="N52" t="s">
        <v>512</v>
      </c>
      <c r="O52" s="642" t="s">
        <v>515</v>
      </c>
      <c r="P52" s="643">
        <v>684</v>
      </c>
      <c r="Q52" s="468">
        <v>674</v>
      </c>
      <c r="R52" t="s">
        <v>531</v>
      </c>
      <c r="S52">
        <v>201612</v>
      </c>
      <c r="T52" s="468">
        <v>70046.399999999994</v>
      </c>
      <c r="U52">
        <v>-50065.45</v>
      </c>
      <c r="V52">
        <v>-0.7147</v>
      </c>
    </row>
    <row r="53" spans="1:22" x14ac:dyDescent="0.25">
      <c r="A53" t="s">
        <v>512</v>
      </c>
      <c r="B53" s="642" t="s">
        <v>533</v>
      </c>
      <c r="C53" s="645">
        <v>83</v>
      </c>
      <c r="D53" s="468">
        <v>66</v>
      </c>
      <c r="E53" t="s">
        <v>531</v>
      </c>
      <c r="F53">
        <v>201512</v>
      </c>
      <c r="G53" s="468">
        <v>424709.3</v>
      </c>
      <c r="H53">
        <v>-315863.43</v>
      </c>
      <c r="I53">
        <v>-0.74370000000000003</v>
      </c>
      <c r="N53" t="s">
        <v>512</v>
      </c>
      <c r="O53" s="642" t="s">
        <v>533</v>
      </c>
      <c r="P53" s="645">
        <v>84</v>
      </c>
      <c r="Q53" s="468">
        <v>65</v>
      </c>
      <c r="R53" t="s">
        <v>531</v>
      </c>
      <c r="S53">
        <v>201612</v>
      </c>
      <c r="T53" s="468">
        <v>395100.5</v>
      </c>
      <c r="U53">
        <v>-290317.14</v>
      </c>
      <c r="V53">
        <v>-0.73480000000000001</v>
      </c>
    </row>
    <row r="54" spans="1:22" x14ac:dyDescent="0.25">
      <c r="A54" t="s">
        <v>512</v>
      </c>
      <c r="B54" s="642" t="s">
        <v>534</v>
      </c>
      <c r="C54" s="645">
        <v>6</v>
      </c>
      <c r="D54" s="468">
        <v>4</v>
      </c>
      <c r="E54" t="s">
        <v>531</v>
      </c>
      <c r="F54">
        <v>201512</v>
      </c>
      <c r="G54" s="468">
        <v>99476</v>
      </c>
      <c r="H54">
        <v>-63053.29</v>
      </c>
      <c r="I54">
        <v>-0.63390000000000002</v>
      </c>
      <c r="N54" t="s">
        <v>512</v>
      </c>
      <c r="O54" s="642" t="s">
        <v>534</v>
      </c>
      <c r="P54" s="645">
        <v>6</v>
      </c>
      <c r="Q54" s="468">
        <v>4</v>
      </c>
      <c r="R54" t="s">
        <v>531</v>
      </c>
      <c r="S54">
        <v>201612</v>
      </c>
      <c r="T54" s="468">
        <v>106990.6</v>
      </c>
      <c r="U54">
        <v>-64319.77</v>
      </c>
      <c r="V54">
        <v>-0.60119999999999996</v>
      </c>
    </row>
    <row r="55" spans="1:22" x14ac:dyDescent="0.25">
      <c r="A55" t="s">
        <v>512</v>
      </c>
      <c r="B55" s="642" t="s">
        <v>518</v>
      </c>
      <c r="C55" s="644">
        <v>26</v>
      </c>
      <c r="D55" s="468">
        <v>19</v>
      </c>
      <c r="E55" t="s">
        <v>531</v>
      </c>
      <c r="F55">
        <v>201512</v>
      </c>
      <c r="G55" s="468">
        <v>61911.5</v>
      </c>
      <c r="H55">
        <v>-51702.37</v>
      </c>
      <c r="I55">
        <v>-0.83509999999999995</v>
      </c>
      <c r="N55" t="s">
        <v>512</v>
      </c>
      <c r="O55" s="642" t="s">
        <v>518</v>
      </c>
      <c r="P55" s="644">
        <v>27</v>
      </c>
      <c r="Q55" s="468">
        <v>20</v>
      </c>
      <c r="R55" t="s">
        <v>531</v>
      </c>
      <c r="S55">
        <v>201612</v>
      </c>
      <c r="T55" s="468">
        <v>42853.7</v>
      </c>
      <c r="U55">
        <v>-34977.43</v>
      </c>
      <c r="V55">
        <v>-0.81620000000000004</v>
      </c>
    </row>
    <row r="56" spans="1:22" x14ac:dyDescent="0.25">
      <c r="A56" t="s">
        <v>512</v>
      </c>
      <c r="B56" s="642" t="s">
        <v>535</v>
      </c>
      <c r="C56" s="645">
        <v>11</v>
      </c>
      <c r="D56" s="468">
        <v>9</v>
      </c>
      <c r="E56" t="s">
        <v>531</v>
      </c>
      <c r="F56">
        <v>201512</v>
      </c>
      <c r="G56" s="468">
        <v>56887.199999999997</v>
      </c>
      <c r="H56">
        <v>-41012.79</v>
      </c>
      <c r="I56">
        <v>-0.72089999999999999</v>
      </c>
      <c r="N56" t="s">
        <v>512</v>
      </c>
      <c r="O56" s="642" t="s">
        <v>535</v>
      </c>
      <c r="P56" s="645">
        <v>12</v>
      </c>
      <c r="Q56" s="468">
        <v>10</v>
      </c>
      <c r="R56" t="s">
        <v>531</v>
      </c>
      <c r="S56">
        <v>201612</v>
      </c>
      <c r="T56" s="468">
        <v>53355.9</v>
      </c>
      <c r="U56">
        <v>-37734.620000000003</v>
      </c>
      <c r="V56">
        <v>-0.70720000000000005</v>
      </c>
    </row>
    <row r="57" spans="1:22" x14ac:dyDescent="0.25">
      <c r="A57" t="s">
        <v>512</v>
      </c>
      <c r="B57" s="642" t="s">
        <v>536</v>
      </c>
      <c r="C57" s="645">
        <v>10</v>
      </c>
      <c r="D57" s="468">
        <v>9</v>
      </c>
      <c r="E57" t="s">
        <v>531</v>
      </c>
      <c r="F57">
        <v>201512</v>
      </c>
      <c r="G57" s="468">
        <v>201718.2</v>
      </c>
      <c r="H57">
        <v>-120212.51</v>
      </c>
      <c r="I57">
        <v>-0.59589999999999999</v>
      </c>
      <c r="N57" t="s">
        <v>512</v>
      </c>
      <c r="O57" s="642" t="s">
        <v>536</v>
      </c>
      <c r="P57" s="645">
        <v>11</v>
      </c>
      <c r="Q57" s="468">
        <v>10</v>
      </c>
      <c r="R57" t="s">
        <v>531</v>
      </c>
      <c r="S57">
        <v>201612</v>
      </c>
      <c r="T57" s="468">
        <v>192714</v>
      </c>
      <c r="U57">
        <v>-113726.34</v>
      </c>
      <c r="V57">
        <v>-0.59009999999999996</v>
      </c>
    </row>
    <row r="58" spans="1:22" x14ac:dyDescent="0.25">
      <c r="A58" t="s">
        <v>512</v>
      </c>
      <c r="B58" s="642" t="s">
        <v>537</v>
      </c>
      <c r="C58" s="645">
        <v>4</v>
      </c>
      <c r="D58" s="468">
        <v>0</v>
      </c>
      <c r="E58" t="s">
        <v>531</v>
      </c>
      <c r="F58">
        <v>201512</v>
      </c>
      <c r="G58" s="468">
        <v>133111</v>
      </c>
      <c r="H58">
        <v>-62936.79</v>
      </c>
      <c r="I58">
        <v>-0.4728</v>
      </c>
      <c r="N58" t="s">
        <v>512</v>
      </c>
      <c r="O58" s="642" t="s">
        <v>537</v>
      </c>
      <c r="P58" s="645">
        <v>3</v>
      </c>
      <c r="Q58" s="468">
        <v>0</v>
      </c>
      <c r="R58" t="s">
        <v>531</v>
      </c>
      <c r="S58">
        <v>201612</v>
      </c>
      <c r="T58" s="468">
        <v>67181</v>
      </c>
      <c r="U58">
        <v>-33187.730000000003</v>
      </c>
      <c r="V58">
        <v>-0.49399999999999999</v>
      </c>
    </row>
    <row r="59" spans="1:22" x14ac:dyDescent="0.25">
      <c r="A59" t="s">
        <v>522</v>
      </c>
      <c r="B59" s="642" t="s">
        <v>533</v>
      </c>
      <c r="C59" s="645">
        <v>17</v>
      </c>
      <c r="D59" s="468">
        <v>17</v>
      </c>
      <c r="E59" t="s">
        <v>531</v>
      </c>
      <c r="F59">
        <v>201512</v>
      </c>
      <c r="G59" s="468">
        <v>132770</v>
      </c>
      <c r="H59">
        <v>-42666.9</v>
      </c>
      <c r="I59">
        <v>-0.32140000000000002</v>
      </c>
      <c r="N59" t="s">
        <v>522</v>
      </c>
      <c r="O59" s="642" t="s">
        <v>533</v>
      </c>
      <c r="P59" s="645">
        <v>16</v>
      </c>
      <c r="Q59" s="468">
        <v>16</v>
      </c>
      <c r="R59" t="s">
        <v>531</v>
      </c>
      <c r="S59">
        <v>201612</v>
      </c>
      <c r="T59" s="468">
        <v>135126</v>
      </c>
      <c r="U59">
        <v>-44953.06</v>
      </c>
      <c r="V59">
        <v>-0.3327</v>
      </c>
    </row>
    <row r="60" spans="1:22" x14ac:dyDescent="0.25">
      <c r="A60" t="s">
        <v>522</v>
      </c>
      <c r="B60" s="642" t="s">
        <v>534</v>
      </c>
      <c r="C60" s="645">
        <v>3</v>
      </c>
      <c r="D60" s="468">
        <v>0</v>
      </c>
      <c r="E60" t="s">
        <v>531</v>
      </c>
      <c r="F60">
        <v>201512</v>
      </c>
      <c r="G60" s="468">
        <v>122183</v>
      </c>
      <c r="H60">
        <v>-17293.61</v>
      </c>
      <c r="I60">
        <v>-0.14149999999999999</v>
      </c>
      <c r="N60" t="s">
        <v>522</v>
      </c>
      <c r="O60" s="642" t="s">
        <v>534</v>
      </c>
      <c r="P60" s="645">
        <v>4</v>
      </c>
      <c r="Q60" s="468">
        <v>0</v>
      </c>
      <c r="R60" t="s">
        <v>531</v>
      </c>
      <c r="S60">
        <v>201612</v>
      </c>
      <c r="T60" s="468">
        <v>255965</v>
      </c>
      <c r="U60">
        <v>-33457.94</v>
      </c>
      <c r="V60">
        <v>-0.13070000000000001</v>
      </c>
    </row>
    <row r="61" spans="1:22" x14ac:dyDescent="0.25">
      <c r="A61" t="s">
        <v>522</v>
      </c>
      <c r="B61" s="642" t="s">
        <v>536</v>
      </c>
      <c r="C61" s="645">
        <v>8</v>
      </c>
      <c r="D61" s="468">
        <v>7</v>
      </c>
      <c r="E61" t="s">
        <v>531</v>
      </c>
      <c r="F61">
        <v>201512</v>
      </c>
      <c r="G61" s="468">
        <v>426704</v>
      </c>
      <c r="H61">
        <v>-52420.78</v>
      </c>
      <c r="I61">
        <v>-0.1229</v>
      </c>
      <c r="N61" t="s">
        <v>522</v>
      </c>
      <c r="O61" s="642" t="s">
        <v>536</v>
      </c>
      <c r="P61" s="645">
        <v>8</v>
      </c>
      <c r="Q61" s="468">
        <v>7</v>
      </c>
      <c r="R61" t="s">
        <v>531</v>
      </c>
      <c r="S61">
        <v>201612</v>
      </c>
      <c r="T61" s="468">
        <v>432400</v>
      </c>
      <c r="U61">
        <v>-49267.05</v>
      </c>
      <c r="V61">
        <v>-0.1139</v>
      </c>
    </row>
    <row r="62" spans="1:22" x14ac:dyDescent="0.25">
      <c r="A62" t="s">
        <v>522</v>
      </c>
      <c r="B62" t="s">
        <v>523</v>
      </c>
      <c r="C62" s="468">
        <v>1</v>
      </c>
      <c r="D62" s="468">
        <v>1</v>
      </c>
      <c r="E62" t="s">
        <v>531</v>
      </c>
      <c r="F62">
        <v>201512</v>
      </c>
      <c r="G62" s="468">
        <v>343202</v>
      </c>
      <c r="H62">
        <v>-23444.39</v>
      </c>
      <c r="I62">
        <v>-6.83E-2</v>
      </c>
      <c r="N62" t="s">
        <v>522</v>
      </c>
      <c r="O62" t="s">
        <v>523</v>
      </c>
      <c r="P62" s="468">
        <v>1</v>
      </c>
      <c r="Q62" s="468">
        <v>1</v>
      </c>
      <c r="R62" t="s">
        <v>531</v>
      </c>
      <c r="S62">
        <v>201612</v>
      </c>
      <c r="T62" s="468">
        <v>262382</v>
      </c>
      <c r="U62">
        <v>-20922.810000000001</v>
      </c>
      <c r="V62">
        <v>-7.9699999999999993E-2</v>
      </c>
    </row>
    <row r="63" spans="1:22" x14ac:dyDescent="0.25">
      <c r="A63" t="s">
        <v>522</v>
      </c>
      <c r="B63" s="642" t="s">
        <v>537</v>
      </c>
      <c r="C63" s="645">
        <v>10</v>
      </c>
      <c r="D63" s="468">
        <v>2</v>
      </c>
      <c r="E63" t="s">
        <v>531</v>
      </c>
      <c r="F63">
        <v>201512</v>
      </c>
      <c r="G63" s="468">
        <v>822281</v>
      </c>
      <c r="H63">
        <v>-66366.039999999994</v>
      </c>
      <c r="I63">
        <v>-8.0699999999999994E-2</v>
      </c>
      <c r="N63" t="s">
        <v>522</v>
      </c>
      <c r="O63" s="642" t="s">
        <v>537</v>
      </c>
      <c r="P63" s="645">
        <v>11</v>
      </c>
      <c r="Q63" s="468">
        <v>2</v>
      </c>
      <c r="R63" t="s">
        <v>531</v>
      </c>
      <c r="S63">
        <v>201612</v>
      </c>
      <c r="T63" s="468">
        <v>928956</v>
      </c>
      <c r="U63">
        <v>-76349.89</v>
      </c>
      <c r="V63">
        <v>-8.2199999999999995E-2</v>
      </c>
    </row>
    <row r="85" spans="12:14" x14ac:dyDescent="0.25">
      <c r="L85">
        <v>6102732</v>
      </c>
      <c r="M85">
        <f>654517-23771</f>
        <v>630746</v>
      </c>
      <c r="N85">
        <v>23771</v>
      </c>
    </row>
    <row r="86" spans="12:14" x14ac:dyDescent="0.25">
      <c r="L86">
        <v>746554</v>
      </c>
      <c r="M86">
        <f>67414-1884</f>
        <v>65530</v>
      </c>
      <c r="N86">
        <v>1884</v>
      </c>
    </row>
  </sheetData>
  <mergeCells count="1">
    <mergeCell ref="R13:U13"/>
  </mergeCells>
  <pageMargins left="0.7" right="0.7" top="0.75" bottom="0.75" header="0.3" footer="0.3"/>
  <pageSetup orientation="portrait" r:id="rId1"/>
  <headerFooter>
    <oddHeader>&amp;RExh. RJW-2 Wyman WP5</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fitToPage="1"/>
  </sheetPr>
  <dimension ref="A1:Z47"/>
  <sheetViews>
    <sheetView zoomScale="80" zoomScaleNormal="80" workbookViewId="0">
      <pane xSplit="2" ySplit="9" topLeftCell="Q10" activePane="bottomRight" state="frozen"/>
      <selection activeCell="D59" sqref="D59"/>
      <selection pane="topRight" activeCell="D59" sqref="D59"/>
      <selection pane="bottomLeft" activeCell="D59" sqref="D59"/>
      <selection pane="bottomRight" activeCell="D37" sqref="D37"/>
    </sheetView>
  </sheetViews>
  <sheetFormatPr defaultRowHeight="15" x14ac:dyDescent="0.25"/>
  <cols>
    <col min="1" max="1" width="21.28515625" customWidth="1"/>
    <col min="2" max="2" width="1.28515625" style="3" customWidth="1"/>
    <col min="3" max="3" width="33.85546875" style="489" customWidth="1"/>
    <col min="4" max="4" width="16.7109375" style="489" customWidth="1"/>
    <col min="5" max="5" width="12.7109375" style="489" customWidth="1"/>
    <col min="6" max="6" width="15.7109375" style="489" customWidth="1"/>
    <col min="7" max="7" width="32.42578125" style="489" customWidth="1"/>
    <col min="8" max="8" width="16.7109375" style="489" customWidth="1"/>
    <col min="9" max="9" width="12.7109375" style="489" customWidth="1"/>
    <col min="10" max="10" width="15.7109375" style="489" customWidth="1"/>
    <col min="11" max="11" width="32.42578125" style="489" customWidth="1"/>
    <col min="12" max="12" width="16.7109375" style="489" customWidth="1"/>
    <col min="13" max="13" width="12.7109375" style="489" customWidth="1"/>
    <col min="14" max="14" width="16" style="489" customWidth="1"/>
    <col min="15" max="15" width="38.28515625" style="489" customWidth="1"/>
    <col min="16" max="16" width="16.7109375" style="489" customWidth="1"/>
    <col min="17" max="17" width="12.7109375" style="489" customWidth="1"/>
    <col min="18" max="18" width="15.5703125" style="489" customWidth="1"/>
    <col min="19" max="19" width="3" customWidth="1"/>
    <col min="20" max="20" width="19.7109375" customWidth="1"/>
    <col min="21" max="22" width="17.42578125" customWidth="1"/>
    <col min="23" max="23" width="20.5703125" customWidth="1"/>
  </cols>
  <sheetData>
    <row r="1" spans="1:25" ht="34.9" customHeight="1" thickBot="1" x14ac:dyDescent="0.55000000000000004">
      <c r="H1" s="505"/>
      <c r="I1" s="761" t="s">
        <v>912</v>
      </c>
      <c r="J1" s="762"/>
      <c r="K1" s="762"/>
      <c r="L1" s="762"/>
      <c r="M1" s="762"/>
      <c r="N1" s="762"/>
      <c r="T1" t="s">
        <v>500</v>
      </c>
    </row>
    <row r="2" spans="1:25" ht="16.899999999999999" hidden="1" customHeight="1" x14ac:dyDescent="0.25">
      <c r="G2" s="764"/>
      <c r="H2" s="764"/>
      <c r="I2" s="764"/>
      <c r="J2" s="764"/>
      <c r="K2" s="764"/>
      <c r="L2" s="764"/>
      <c r="M2" s="764"/>
    </row>
    <row r="3" spans="1:25" s="2" customFormat="1" ht="16.899999999999999" hidden="1" customHeight="1" x14ac:dyDescent="0.35">
      <c r="A3" s="4"/>
      <c r="B3" s="5"/>
      <c r="C3" s="14"/>
      <c r="D3" s="15" t="s">
        <v>18</v>
      </c>
      <c r="E3" s="16" t="s">
        <v>19</v>
      </c>
      <c r="F3" s="21" t="s">
        <v>20</v>
      </c>
      <c r="G3" s="24"/>
      <c r="H3" s="23" t="s">
        <v>18</v>
      </c>
      <c r="I3" s="16" t="s">
        <v>19</v>
      </c>
      <c r="J3" s="16" t="s">
        <v>20</v>
      </c>
      <c r="K3" s="24"/>
      <c r="L3" s="15" t="s">
        <v>18</v>
      </c>
      <c r="M3" s="16" t="s">
        <v>19</v>
      </c>
      <c r="N3" s="16" t="s">
        <v>20</v>
      </c>
      <c r="O3" s="24"/>
      <c r="P3" s="15" t="s">
        <v>18</v>
      </c>
      <c r="Q3" s="16" t="s">
        <v>19</v>
      </c>
      <c r="R3" s="16" t="s">
        <v>20</v>
      </c>
    </row>
    <row r="4" spans="1:25" s="2" customFormat="1" ht="16.899999999999999" hidden="1" customHeight="1" x14ac:dyDescent="0.35">
      <c r="A4" s="4"/>
      <c r="B4" s="5"/>
      <c r="C4" s="14"/>
      <c r="D4" s="15" t="s">
        <v>18</v>
      </c>
      <c r="E4" s="18" t="s">
        <v>21</v>
      </c>
      <c r="F4" s="22" t="s">
        <v>25</v>
      </c>
      <c r="G4" s="14"/>
      <c r="H4" s="15" t="s">
        <v>18</v>
      </c>
      <c r="I4" s="18" t="s">
        <v>21</v>
      </c>
      <c r="J4" s="18" t="s">
        <v>25</v>
      </c>
      <c r="K4" s="14"/>
      <c r="L4" s="15" t="s">
        <v>18</v>
      </c>
      <c r="M4" s="18" t="s">
        <v>21</v>
      </c>
      <c r="N4" s="18" t="s">
        <v>25</v>
      </c>
      <c r="O4" s="14"/>
      <c r="P4" s="15" t="s">
        <v>18</v>
      </c>
      <c r="Q4" s="18" t="s">
        <v>21</v>
      </c>
      <c r="R4" s="18" t="s">
        <v>25</v>
      </c>
    </row>
    <row r="5" spans="1:25" ht="28.9" customHeight="1" thickBot="1" x14ac:dyDescent="0.55000000000000004">
      <c r="A5" s="7"/>
      <c r="B5" s="8"/>
      <c r="C5" s="9"/>
      <c r="D5" s="613" t="s">
        <v>22</v>
      </c>
      <c r="E5" s="613" t="s">
        <v>23</v>
      </c>
      <c r="F5" s="674" t="s">
        <v>501</v>
      </c>
      <c r="G5" s="662"/>
      <c r="H5" s="613" t="s">
        <v>22</v>
      </c>
      <c r="I5" s="613" t="s">
        <v>23</v>
      </c>
      <c r="J5" s="674" t="s">
        <v>501</v>
      </c>
      <c r="K5" s="662"/>
      <c r="L5" s="613" t="s">
        <v>22</v>
      </c>
      <c r="M5" s="613" t="s">
        <v>23</v>
      </c>
      <c r="N5" s="674" t="s">
        <v>501</v>
      </c>
      <c r="O5" s="662"/>
      <c r="P5" s="613" t="s">
        <v>22</v>
      </c>
      <c r="Q5" s="613" t="s">
        <v>23</v>
      </c>
      <c r="R5" s="674" t="s">
        <v>501</v>
      </c>
      <c r="T5" s="765" t="s">
        <v>915</v>
      </c>
      <c r="U5" s="766"/>
      <c r="V5" s="766"/>
      <c r="W5" s="767"/>
      <c r="Y5" s="2"/>
    </row>
    <row r="6" spans="1:25" ht="20.45" customHeight="1" thickBot="1" x14ac:dyDescent="0.4">
      <c r="A6" s="7" t="s">
        <v>393</v>
      </c>
      <c r="B6" s="8"/>
      <c r="C6" s="9"/>
      <c r="D6" s="623">
        <f>Customers!D14</f>
        <v>7287327</v>
      </c>
      <c r="E6" s="623">
        <f>Customers!E14</f>
        <v>708236</v>
      </c>
      <c r="F6" s="694">
        <f>Customers!F14</f>
        <v>22670</v>
      </c>
      <c r="G6" s="663"/>
      <c r="H6" s="624">
        <f>Customers!G14</f>
        <v>7279512</v>
      </c>
      <c r="I6" s="624">
        <f>Customers!H14</f>
        <v>707388</v>
      </c>
      <c r="J6" s="675">
        <f>Customers!I14</f>
        <v>23088</v>
      </c>
      <c r="K6" s="663"/>
      <c r="L6" s="624">
        <f>Customers!J14</f>
        <v>6448428</v>
      </c>
      <c r="M6" s="624">
        <f>Customers!K14</f>
        <v>660162</v>
      </c>
      <c r="N6" s="675">
        <f>Customers!L14</f>
        <v>23088</v>
      </c>
      <c r="O6" s="703"/>
      <c r="P6" s="624">
        <f>Customers!M14</f>
        <v>13308</v>
      </c>
      <c r="Q6" s="624">
        <f>Customers!N14</f>
        <v>1697</v>
      </c>
      <c r="R6" s="675">
        <f>Customers!O14</f>
        <v>0</v>
      </c>
      <c r="S6" s="703"/>
      <c r="T6" s="640" t="str">
        <f>'2018 Projection Inputs'!G28</f>
        <v>SCH 2</v>
      </c>
      <c r="U6" s="640" t="str">
        <f>'2018 Projection Inputs'!H28</f>
        <v>SCH 3</v>
      </c>
      <c r="V6" s="603" t="s">
        <v>501</v>
      </c>
      <c r="W6" s="639" t="s">
        <v>34</v>
      </c>
      <c r="Y6" s="2"/>
    </row>
    <row r="7" spans="1:25" ht="20.45" customHeight="1" thickBot="1" x14ac:dyDescent="0.4">
      <c r="A7" s="7" t="s">
        <v>394</v>
      </c>
      <c r="B7" s="8"/>
      <c r="C7" s="9"/>
      <c r="D7" s="623">
        <f>Customers!D15</f>
        <v>937466</v>
      </c>
      <c r="E7" s="623">
        <f>Customers!E15</f>
        <v>74362</v>
      </c>
      <c r="F7" s="694">
        <f>Customers!F15</f>
        <v>1969</v>
      </c>
      <c r="G7" s="663"/>
      <c r="H7" s="624">
        <f>Customers!G15</f>
        <v>936372</v>
      </c>
      <c r="I7" s="624">
        <f>Customers!H15</f>
        <v>74232</v>
      </c>
      <c r="J7" s="675">
        <f>Customers!I15</f>
        <v>2016</v>
      </c>
      <c r="K7" s="663"/>
      <c r="L7" s="624">
        <f>Customers!J15</f>
        <v>821273</v>
      </c>
      <c r="M7" s="624">
        <f>Customers!K15</f>
        <v>77658</v>
      </c>
      <c r="N7" s="675">
        <f>Customers!L15</f>
        <v>2016</v>
      </c>
      <c r="O7" s="703"/>
      <c r="P7" s="624">
        <f>Customers!M15</f>
        <v>2421</v>
      </c>
      <c r="Q7" s="624">
        <f>Customers!N15</f>
        <v>770.5081647647545</v>
      </c>
      <c r="R7" s="675">
        <f>Customers!O15</f>
        <v>0</v>
      </c>
      <c r="S7" s="704"/>
      <c r="T7" s="632">
        <f>Customers!R15</f>
        <v>684657</v>
      </c>
      <c r="U7" s="632">
        <f>Customers!S15</f>
        <v>65136</v>
      </c>
      <c r="V7" s="632">
        <f>Customers!T15</f>
        <v>2093</v>
      </c>
      <c r="W7" s="633">
        <f>SUM(T7:V7)</f>
        <v>751886</v>
      </c>
      <c r="Y7" s="2"/>
    </row>
    <row r="8" spans="1:25" ht="20.45" customHeight="1" thickTop="1" thickBot="1" x14ac:dyDescent="0.4">
      <c r="A8" s="7"/>
      <c r="B8" s="8"/>
      <c r="C8" s="617" t="s">
        <v>360</v>
      </c>
      <c r="D8" s="618">
        <f>(D6+D7)/12</f>
        <v>685399.41666666663</v>
      </c>
      <c r="E8" s="618">
        <f>(E6+E7)/12</f>
        <v>65216.5</v>
      </c>
      <c r="F8" s="618">
        <f>(F6+F7)/12</f>
        <v>2053.25</v>
      </c>
      <c r="G8" s="697" t="s">
        <v>361</v>
      </c>
      <c r="H8" s="618">
        <f>(H6+H7)/12</f>
        <v>684657</v>
      </c>
      <c r="I8" s="618">
        <f>(I6+I7)/12</f>
        <v>65135</v>
      </c>
      <c r="J8" s="618">
        <f>(J6+J7)/12</f>
        <v>2092</v>
      </c>
      <c r="K8" s="697" t="s">
        <v>362</v>
      </c>
      <c r="L8" s="618">
        <f>(L6+L7)/12</f>
        <v>605808.41666666663</v>
      </c>
      <c r="M8" s="618">
        <f>(M6+M7)/12</f>
        <v>61485</v>
      </c>
      <c r="N8" s="618">
        <f>(N6+N7)/12</f>
        <v>2092</v>
      </c>
      <c r="O8" s="697" t="s">
        <v>363</v>
      </c>
      <c r="P8" s="618">
        <f>(P6+P7)/12</f>
        <v>1310.75</v>
      </c>
      <c r="Q8" s="618">
        <f>(Q6+Q7)/12</f>
        <v>205.62568039706287</v>
      </c>
      <c r="R8" s="618">
        <f>(R6+R7)/12</f>
        <v>0</v>
      </c>
      <c r="T8" s="630"/>
      <c r="U8" s="630"/>
      <c r="V8" s="630"/>
      <c r="W8" s="758" t="s">
        <v>337</v>
      </c>
    </row>
    <row r="9" spans="1:25" s="2" customFormat="1" ht="24" thickBot="1" x14ac:dyDescent="0.4">
      <c r="A9" s="4"/>
      <c r="B9" s="5"/>
      <c r="C9" s="622" t="s">
        <v>0</v>
      </c>
      <c r="D9" s="619"/>
      <c r="E9" s="620"/>
      <c r="F9" s="700"/>
      <c r="G9" s="698" t="s">
        <v>1</v>
      </c>
      <c r="H9" s="620"/>
      <c r="I9" s="620"/>
      <c r="J9" s="700"/>
      <c r="K9" s="698" t="s">
        <v>249</v>
      </c>
      <c r="L9" s="620"/>
      <c r="M9" s="620"/>
      <c r="N9" s="700"/>
      <c r="O9" s="698" t="s">
        <v>3</v>
      </c>
      <c r="P9" s="620"/>
      <c r="Q9" s="620"/>
      <c r="R9" s="700"/>
      <c r="T9" s="631" t="s">
        <v>336</v>
      </c>
      <c r="U9" s="631" t="s">
        <v>336</v>
      </c>
      <c r="V9" s="631" t="s">
        <v>336</v>
      </c>
      <c r="W9" s="759"/>
    </row>
    <row r="10" spans="1:25" ht="120" customHeight="1" x14ac:dyDescent="0.35">
      <c r="A10" s="312" t="s">
        <v>8</v>
      </c>
      <c r="B10" s="5"/>
      <c r="C10" s="615" t="s">
        <v>16</v>
      </c>
      <c r="D10" s="616">
        <f>D11+D12</f>
        <v>26402.771340658524</v>
      </c>
      <c r="E10" s="616">
        <f>E11+E12</f>
        <v>2138.3446431767106</v>
      </c>
      <c r="F10" s="701">
        <f>F11+F12</f>
        <v>0</v>
      </c>
      <c r="G10" s="699" t="s">
        <v>17</v>
      </c>
      <c r="H10" s="616">
        <f>H11+H12</f>
        <v>3385344.3790694796</v>
      </c>
      <c r="I10" s="616">
        <f>I11+I12</f>
        <v>386841.32125887793</v>
      </c>
      <c r="J10" s="701">
        <f>J11+J12</f>
        <v>11770.35941266529</v>
      </c>
      <c r="K10" s="699" t="s">
        <v>303</v>
      </c>
      <c r="L10" s="616">
        <f>L11+L12</f>
        <v>630737.71255024406</v>
      </c>
      <c r="M10" s="616">
        <f>M11+M12</f>
        <v>52881.46955270262</v>
      </c>
      <c r="N10" s="701">
        <f>N11+N12</f>
        <v>2278.9802816016399</v>
      </c>
      <c r="O10" s="699" t="s">
        <v>304</v>
      </c>
      <c r="P10" s="616">
        <f>P11+P12</f>
        <v>283892.06031261093</v>
      </c>
      <c r="Q10" s="616">
        <f>Q11+Q12</f>
        <v>23981.854884889595</v>
      </c>
      <c r="R10" s="701">
        <f>R11+R12</f>
        <v>0</v>
      </c>
      <c r="T10" s="314">
        <f>T11+T12</f>
        <v>4326376.9232729934</v>
      </c>
      <c r="U10" s="314">
        <f>U11+U12</f>
        <v>465842.99033964681</v>
      </c>
      <c r="V10" s="340">
        <f>V11+V12</f>
        <v>14049.339694266928</v>
      </c>
      <c r="W10" s="308">
        <f t="shared" ref="W10:W30" si="0">SUM(T10:V10)</f>
        <v>4806269.2533069076</v>
      </c>
    </row>
    <row r="11" spans="1:25" ht="21" x14ac:dyDescent="0.35">
      <c r="A11" s="313"/>
      <c r="B11" s="5"/>
      <c r="C11" s="341" t="s">
        <v>67</v>
      </c>
      <c r="D11" s="314">
        <f>'2018 Projection Inputs'!B$43*'2015Summary METER to CASH (Base'!D10*'2018 Projection Inputs'!$I$12</f>
        <v>26402.771340658524</v>
      </c>
      <c r="E11" s="314">
        <f>'2018 Projection Inputs'!C$43*'2015Summary METER to CASH (Base'!E10*'2018 Projection Inputs'!$I$12</f>
        <v>2138.3446431767106</v>
      </c>
      <c r="F11" s="678">
        <f>'2018 Projection Inputs'!D$43*'2015Summary METER to CASH (Base'!F10*'2018 Projection Inputs'!$I$12</f>
        <v>0</v>
      </c>
      <c r="G11" s="666" t="s">
        <v>67</v>
      </c>
      <c r="H11" s="314">
        <f>'2018 Projection Inputs'!F$43*'2015Summary METER to CASH (Base'!H10*'2018 Projection Inputs'!$I$12</f>
        <v>750959.1684936235</v>
      </c>
      <c r="I11" s="314">
        <f>'2018 Projection Inputs'!G$43*'2015Summary METER to CASH (Base'!I10*'2018 Projection Inputs'!$I$12</f>
        <v>76518.488659260198</v>
      </c>
      <c r="J11" s="678">
        <f>'2018 Projection Inputs'!H$43*'2015Summary METER to CASH (Base'!J10*'2018 Projection Inputs'!$I$12</f>
        <v>0</v>
      </c>
      <c r="K11" s="666" t="s">
        <v>67</v>
      </c>
      <c r="L11" s="314">
        <f>'2018 Projection Inputs'!J$43*'2015Summary METER to CASH (Base'!L10*'2018 Projection Inputs'!$I$12</f>
        <v>388058.32533867517</v>
      </c>
      <c r="M11" s="314">
        <f>'2018 Projection Inputs'!K$43*'2015Summary METER to CASH (Base'!M10*'2018 Projection Inputs'!$I$12</f>
        <v>37185.036459653995</v>
      </c>
      <c r="N11" s="678">
        <f>'2018 Projection Inputs'!L$43*'2015Summary METER to CASH (Base'!N10*'2018 Projection Inputs'!$I$12</f>
        <v>2243.0722934976848</v>
      </c>
      <c r="O11" s="666" t="s">
        <v>67</v>
      </c>
      <c r="P11" s="314">
        <f>'2018 Projection Inputs'!N$43*'2015Summary METER to CASH (Base'!P10*'2018 Projection Inputs'!$I$12</f>
        <v>155530.14198408482</v>
      </c>
      <c r="Q11" s="314">
        <f>'2018 Projection Inputs'!O$43*'2015Summary METER to CASH (Base'!Q10*'2018 Projection Inputs'!$I$12</f>
        <v>17225.964446546113</v>
      </c>
      <c r="R11" s="678">
        <f>'2018 Projection Inputs'!P$43*'2015Summary METER to CASH (Base'!R10*'2018 Projection Inputs'!$I$12</f>
        <v>0</v>
      </c>
      <c r="T11" s="314">
        <f t="shared" ref="T11:V15" si="1">D11+H11+L11+P11</f>
        <v>1320950.4071570421</v>
      </c>
      <c r="U11" s="314">
        <f t="shared" si="1"/>
        <v>133067.83420863701</v>
      </c>
      <c r="V11" s="342">
        <f t="shared" si="1"/>
        <v>2243.0722934976848</v>
      </c>
      <c r="W11" s="314">
        <f t="shared" si="0"/>
        <v>1456261.3136591767</v>
      </c>
    </row>
    <row r="12" spans="1:25" ht="21" x14ac:dyDescent="0.35">
      <c r="A12" s="310"/>
      <c r="B12" s="5"/>
      <c r="C12" s="343" t="s">
        <v>289</v>
      </c>
      <c r="D12" s="314">
        <f>'2018 Projection Inputs'!B$43*'2015Summary METER to CASH (Base'!D11*'2018 Projection Inputs'!$I$13</f>
        <v>0</v>
      </c>
      <c r="E12" s="314">
        <f>'2018 Projection Inputs'!C$43*'2015Summary METER to CASH (Base'!E11*'2018 Projection Inputs'!$I$13</f>
        <v>0</v>
      </c>
      <c r="F12" s="678">
        <f>'2018 Projection Inputs'!D$43*'2015Summary METER to CASH (Base'!F11*'2018 Projection Inputs'!$I$13</f>
        <v>0</v>
      </c>
      <c r="G12" s="667" t="s">
        <v>289</v>
      </c>
      <c r="H12" s="314">
        <f>'2018 Projection Inputs'!F$43*'2015Summary METER to CASH (Base'!H11*'2018 Projection Inputs'!$I$13</f>
        <v>2634385.2105758563</v>
      </c>
      <c r="I12" s="314">
        <f>'2018 Projection Inputs'!G$43*'2015Summary METER to CASH (Base'!I11*'2018 Projection Inputs'!$I$13</f>
        <v>310322.83259961772</v>
      </c>
      <c r="J12" s="678">
        <f>'2018 Projection Inputs'!H$43*'2015Summary METER to CASH (Base'!J11*'2018 Projection Inputs'!$I$13</f>
        <v>11770.35941266529</v>
      </c>
      <c r="K12" s="667" t="s">
        <v>289</v>
      </c>
      <c r="L12" s="314">
        <f>'2018 Projection Inputs'!J$43*'2015Summary METER to CASH (Base'!L11*'2018 Projection Inputs'!$I$13</f>
        <v>242679.38721156894</v>
      </c>
      <c r="M12" s="314">
        <f>'2018 Projection Inputs'!K$43*'2015Summary METER to CASH (Base'!M11*'2018 Projection Inputs'!$I$13</f>
        <v>15696.433093048623</v>
      </c>
      <c r="N12" s="678">
        <f>'2018 Projection Inputs'!L$43*'2015Summary METER to CASH (Base'!N11*'2018 Projection Inputs'!$I$13</f>
        <v>35.907988103955141</v>
      </c>
      <c r="O12" s="667" t="s">
        <v>289</v>
      </c>
      <c r="P12" s="314">
        <f>'2018 Projection Inputs'!N$43*'2015Summary METER to CASH (Base'!P11*'2018 Projection Inputs'!$I$13</f>
        <v>128361.91832852614</v>
      </c>
      <c r="Q12" s="314">
        <f>'2018 Projection Inputs'!O$43*'2015Summary METER to CASH (Base'!Q11*'2018 Projection Inputs'!$I$13</f>
        <v>6755.8904383434819</v>
      </c>
      <c r="R12" s="678">
        <f>'2018 Projection Inputs'!P$43*'2015Summary METER to CASH (Base'!R11*'2018 Projection Inputs'!$I$13</f>
        <v>0</v>
      </c>
      <c r="T12" s="315">
        <f t="shared" si="1"/>
        <v>3005426.5161159514</v>
      </c>
      <c r="U12" s="315">
        <f t="shared" si="1"/>
        <v>332775.1561310098</v>
      </c>
      <c r="V12" s="344">
        <f t="shared" si="1"/>
        <v>11806.267400769244</v>
      </c>
      <c r="W12" s="315">
        <f t="shared" si="0"/>
        <v>3350007.93964773</v>
      </c>
    </row>
    <row r="13" spans="1:25" ht="291.60000000000002" customHeight="1" x14ac:dyDescent="0.35">
      <c r="A13" s="307" t="s">
        <v>4</v>
      </c>
      <c r="B13" s="5"/>
      <c r="C13" s="345">
        <v>0</v>
      </c>
      <c r="D13" s="316">
        <v>0</v>
      </c>
      <c r="E13" s="316">
        <v>0</v>
      </c>
      <c r="F13" s="688">
        <v>0</v>
      </c>
      <c r="G13" s="665" t="s">
        <v>338</v>
      </c>
      <c r="H13" s="308">
        <f>H14+H15</f>
        <v>2881257.7343331911</v>
      </c>
      <c r="I13" s="308">
        <f>I14+I15</f>
        <v>281980.51222500374</v>
      </c>
      <c r="J13" s="677">
        <f>J14+J15</f>
        <v>9274.7834682608409</v>
      </c>
      <c r="K13" s="668"/>
      <c r="L13" s="316">
        <v>0</v>
      </c>
      <c r="M13" s="316">
        <v>0</v>
      </c>
      <c r="N13" s="688">
        <v>0</v>
      </c>
      <c r="O13" s="665" t="s">
        <v>305</v>
      </c>
      <c r="P13" s="308">
        <f>P14+P15</f>
        <v>1329123.1333360123</v>
      </c>
      <c r="Q13" s="308">
        <f>Q14+Q15</f>
        <v>63697.298547752936</v>
      </c>
      <c r="R13" s="677">
        <f>R14+R15</f>
        <v>208.24987442762153</v>
      </c>
      <c r="T13" s="308">
        <f t="shared" si="1"/>
        <v>4210380.8676692033</v>
      </c>
      <c r="U13" s="308">
        <f t="shared" si="1"/>
        <v>345677.8107727567</v>
      </c>
      <c r="V13" s="340">
        <f t="shared" si="1"/>
        <v>9483.0333426884627</v>
      </c>
      <c r="W13" s="308">
        <f t="shared" si="0"/>
        <v>4565541.7117846487</v>
      </c>
    </row>
    <row r="14" spans="1:25" ht="21" x14ac:dyDescent="0.35">
      <c r="A14" s="317"/>
      <c r="B14" s="5"/>
      <c r="C14" s="346" t="s">
        <v>67</v>
      </c>
      <c r="D14" s="319">
        <v>0</v>
      </c>
      <c r="E14" s="319">
        <v>0</v>
      </c>
      <c r="F14" s="680">
        <v>0</v>
      </c>
      <c r="G14" s="666" t="s">
        <v>67</v>
      </c>
      <c r="H14" s="314">
        <f>'2018 Projection Inputs'!F$43*'2015Summary METER to CASH (Base'!H13*'2018 Projection Inputs'!$I$10</f>
        <v>2239053.0557336914</v>
      </c>
      <c r="I14" s="314">
        <f>'2018 Projection Inputs'!G$43*'2015Summary METER to CASH (Base'!I13*'2018 Projection Inputs'!$I$10</f>
        <v>219129.76407189196</v>
      </c>
      <c r="J14" s="678">
        <f>'2018 Projection Inputs'!H$43*'2015Summary METER to CASH (Base'!J13*'2018 Projection Inputs'!$I$10</f>
        <v>7207.5233042919008</v>
      </c>
      <c r="K14" s="669" t="s">
        <v>67</v>
      </c>
      <c r="L14" s="319">
        <v>0</v>
      </c>
      <c r="M14" s="319">
        <v>0</v>
      </c>
      <c r="N14" s="680">
        <v>0</v>
      </c>
      <c r="O14" s="666" t="s">
        <v>67</v>
      </c>
      <c r="P14" s="314">
        <f>'2018 Projection Inputs'!N$43*'2015Summary METER to CASH (Base'!P13*'2018 Projection Inputs'!$I$10</f>
        <v>983631.52960743138</v>
      </c>
      <c r="Q14" s="314">
        <f>'2018 Projection Inputs'!O$43*'2015Summary METER to CASH (Base'!Q13*'2018 Projection Inputs'!$I$10</f>
        <v>47139.854563458168</v>
      </c>
      <c r="R14" s="678">
        <f>'2018 Projection Inputs'!P$43*'2015Summary METER to CASH (Base'!R13*'2018 Projection Inputs'!$I$10</f>
        <v>154.11750603547091</v>
      </c>
      <c r="T14" s="314">
        <f t="shared" si="1"/>
        <v>3222684.5853411229</v>
      </c>
      <c r="U14" s="314">
        <f t="shared" si="1"/>
        <v>266269.61863535014</v>
      </c>
      <c r="V14" s="342">
        <f t="shared" si="1"/>
        <v>7361.6408103273716</v>
      </c>
      <c r="W14" s="314">
        <f t="shared" si="0"/>
        <v>3496315.8447868004</v>
      </c>
    </row>
    <row r="15" spans="1:25" ht="21" x14ac:dyDescent="0.35">
      <c r="A15" s="320"/>
      <c r="B15" s="5"/>
      <c r="C15" s="347" t="s">
        <v>289</v>
      </c>
      <c r="D15" s="322">
        <v>0</v>
      </c>
      <c r="E15" s="322">
        <v>0</v>
      </c>
      <c r="F15" s="689">
        <v>0</v>
      </c>
      <c r="G15" s="667" t="s">
        <v>289</v>
      </c>
      <c r="H15" s="314">
        <f>'2018 Projection Inputs'!F$43*'2015Summary METER to CASH (Base'!H14*'2018 Projection Inputs'!$I$11</f>
        <v>642204.67859949986</v>
      </c>
      <c r="I15" s="314">
        <f>'2018 Projection Inputs'!G$43*'2015Summary METER to CASH (Base'!I14*'2018 Projection Inputs'!$I$11</f>
        <v>62850.748153111774</v>
      </c>
      <c r="J15" s="678">
        <f>'2018 Projection Inputs'!H$43*'2015Summary METER to CASH (Base'!J14*'2018 Projection Inputs'!$I$11</f>
        <v>2067.2601639689392</v>
      </c>
      <c r="K15" s="670" t="s">
        <v>289</v>
      </c>
      <c r="L15" s="322">
        <v>0</v>
      </c>
      <c r="M15" s="322">
        <v>0</v>
      </c>
      <c r="N15" s="689">
        <v>0</v>
      </c>
      <c r="O15" s="667" t="s">
        <v>289</v>
      </c>
      <c r="P15" s="314">
        <f>'2018 Projection Inputs'!N$43*'2015Summary METER to CASH (Base'!P14*'2018 Projection Inputs'!$I$11</f>
        <v>345491.60372858081</v>
      </c>
      <c r="Q15" s="314">
        <f>'2018 Projection Inputs'!O$43*'2015Summary METER to CASH (Base'!Q14*'2018 Projection Inputs'!$I$11</f>
        <v>16557.443984294769</v>
      </c>
      <c r="R15" s="678">
        <f>'2018 Projection Inputs'!P$43*'2015Summary METER to CASH (Base'!R14*'2018 Projection Inputs'!$I$11</f>
        <v>54.132368392150632</v>
      </c>
      <c r="T15" s="315">
        <f t="shared" si="1"/>
        <v>987696.28232808062</v>
      </c>
      <c r="U15" s="315">
        <f t="shared" si="1"/>
        <v>79408.192137406542</v>
      </c>
      <c r="V15" s="344">
        <f t="shared" si="1"/>
        <v>2121.3925323610897</v>
      </c>
      <c r="W15" s="315">
        <f t="shared" si="0"/>
        <v>1069225.8669978483</v>
      </c>
    </row>
    <row r="16" spans="1:25" ht="70.900000000000006" customHeight="1" x14ac:dyDescent="0.35">
      <c r="A16" s="312" t="s">
        <v>5</v>
      </c>
      <c r="B16" s="5"/>
      <c r="C16" s="339" t="s">
        <v>15</v>
      </c>
      <c r="D16" s="308">
        <f>D17+D18</f>
        <v>0</v>
      </c>
      <c r="E16" s="308">
        <f>E17+E18</f>
        <v>4608.1699915657882</v>
      </c>
      <c r="F16" s="677">
        <f>F17+F18</f>
        <v>51236.395634897744</v>
      </c>
      <c r="G16" s="665" t="s">
        <v>9</v>
      </c>
      <c r="H16" s="308">
        <f>H17+H18</f>
        <v>0</v>
      </c>
      <c r="I16" s="308">
        <f>I17+I18</f>
        <v>116193.93764755416</v>
      </c>
      <c r="J16" s="677">
        <f>J17+J18</f>
        <v>322458.17660724506</v>
      </c>
      <c r="K16" s="665" t="s">
        <v>12</v>
      </c>
      <c r="L16" s="308">
        <f>L17+L18</f>
        <v>10026.704795196832</v>
      </c>
      <c r="M16" s="308">
        <f>M17+M18</f>
        <v>2466.1940043177638</v>
      </c>
      <c r="N16" s="677">
        <f>N17+N18</f>
        <v>0</v>
      </c>
      <c r="O16" s="665" t="s">
        <v>12</v>
      </c>
      <c r="P16" s="308">
        <f>P17+P18</f>
        <v>0</v>
      </c>
      <c r="Q16" s="308">
        <f>Q17+Q18</f>
        <v>34508.865497110302</v>
      </c>
      <c r="R16" s="677">
        <f>R17+R18</f>
        <v>1040.9764947914487</v>
      </c>
      <c r="T16" s="308">
        <f>T17+T18</f>
        <v>10026.704795196832</v>
      </c>
      <c r="U16" s="308">
        <f>U17+U18</f>
        <v>157777.16714054803</v>
      </c>
      <c r="V16" s="340">
        <f>V17+V18</f>
        <v>374735.54873693426</v>
      </c>
      <c r="W16" s="308">
        <f t="shared" si="0"/>
        <v>542539.42067267909</v>
      </c>
    </row>
    <row r="17" spans="1:23" ht="21" x14ac:dyDescent="0.35">
      <c r="A17" s="313"/>
      <c r="B17" s="5"/>
      <c r="C17" s="341" t="s">
        <v>67</v>
      </c>
      <c r="D17" s="314">
        <f>'2018 Projection Inputs'!B$43*'2015Summary METER to CASH (Base'!D16*AVERAGE('2018 Projection Inputs'!$I$8,'2018 Projection Inputs'!$I$6)</f>
        <v>0</v>
      </c>
      <c r="E17" s="314">
        <f>'2018 Projection Inputs'!C$43*'2015Summary METER to CASH (Base'!E16*AVERAGE('2018 Projection Inputs'!$I$8,'2018 Projection Inputs'!$I$6)</f>
        <v>4418.8848036529916</v>
      </c>
      <c r="F17" s="678">
        <f>'2018 Projection Inputs'!D$43*'2015Summary METER to CASH (Base'!F16*AVERAGE('2018 Projection Inputs'!$I$8,'2018 Projection Inputs'!$I$6)</f>
        <v>49211.921605234384</v>
      </c>
      <c r="G17" s="666" t="s">
        <v>67</v>
      </c>
      <c r="H17" s="314">
        <f>'2018 Projection Inputs'!F$43*'2015Summary METER to CASH (Base'!H16*AVERAGE('2018 Projection Inputs'!$I$8,'2018 Projection Inputs'!$I$6)</f>
        <v>0</v>
      </c>
      <c r="I17" s="314">
        <f>'2018 Projection Inputs'!G$43*'2015Summary METER to CASH (Base'!I16*AVERAGE('2018 Projection Inputs'!$I$8,'2018 Projection Inputs'!$I$6)</f>
        <v>105938.19038669484</v>
      </c>
      <c r="J17" s="678">
        <f>'2018 Projection Inputs'!H$43*'2015Summary METER to CASH (Base'!J16*AVERAGE('2018 Projection Inputs'!$I$8,'2018 Projection Inputs'!$I$6)</f>
        <v>301667.39241753321</v>
      </c>
      <c r="K17" s="666" t="s">
        <v>67</v>
      </c>
      <c r="L17" s="314">
        <f>'2018 Projection Inputs'!J$43*'2015Summary METER to CASH (Base'!L16*AVERAGE('2018 Projection Inputs'!$I$8,'2018 Projection Inputs'!$I$6)</f>
        <v>9312.1845494332938</v>
      </c>
      <c r="M17" s="314">
        <f>'2018 Projection Inputs'!K$43*'2015Summary METER to CASH (Base'!M16*AVERAGE('2018 Projection Inputs'!$I$8,'2018 Projection Inputs'!$I$6)</f>
        <v>2290.6978036039122</v>
      </c>
      <c r="N17" s="678">
        <f>'2018 Projection Inputs'!L$43*'2015Summary METER to CASH (Base'!N16*AVERAGE('2018 Projection Inputs'!$I$8,'2018 Projection Inputs'!$I$6)</f>
        <v>0</v>
      </c>
      <c r="O17" s="666" t="s">
        <v>67</v>
      </c>
      <c r="P17" s="314">
        <f>'2018 Projection Inputs'!N$43*'2015Summary METER to CASH (Base'!P16*AVERAGE('2018 Projection Inputs'!$I$8,'2018 Projection Inputs'!$I$6)</f>
        <v>0</v>
      </c>
      <c r="Q17" s="314">
        <f>'2018 Projection Inputs'!O$43*'2015Summary METER to CASH (Base'!Q16*AVERAGE('2018 Projection Inputs'!$I$8,'2018 Projection Inputs'!$I$6)</f>
        <v>33107.402979981118</v>
      </c>
      <c r="R17" s="678">
        <f>'2018 Projection Inputs'!P$43*'2015Summary METER to CASH (Base'!R16*AVERAGE('2018 Projection Inputs'!$I$8,'2018 Projection Inputs'!$I$6)</f>
        <v>999.60953319461214</v>
      </c>
      <c r="T17" s="314">
        <f t="shared" ref="T17:V18" si="2">D17+H17+L17+P17</f>
        <v>9312.1845494332938</v>
      </c>
      <c r="U17" s="314">
        <f t="shared" si="2"/>
        <v>145755.17597393287</v>
      </c>
      <c r="V17" s="342">
        <f t="shared" si="2"/>
        <v>351878.92355596222</v>
      </c>
      <c r="W17" s="314">
        <f t="shared" si="0"/>
        <v>506946.28407932841</v>
      </c>
    </row>
    <row r="18" spans="1:23" ht="21" x14ac:dyDescent="0.35">
      <c r="A18" s="310"/>
      <c r="B18" s="5"/>
      <c r="C18" s="341" t="s">
        <v>549</v>
      </c>
      <c r="D18" s="314">
        <f>'2018 Projection Inputs'!B$43*'2015Summary METER to CASH (Base'!D17*AVERAGE('2018 Projection Inputs'!$I$9,'2018 Projection Inputs'!$I$7)</f>
        <v>0</v>
      </c>
      <c r="E18" s="314">
        <f>'2018 Projection Inputs'!C$43*'2015Summary METER to CASH (Base'!E17*AVERAGE('2018 Projection Inputs'!$I$9,'2018 Projection Inputs'!$I$7)</f>
        <v>189.28518791279703</v>
      </c>
      <c r="F18" s="678">
        <f>'2018 Projection Inputs'!D$43*'2015Summary METER to CASH (Base'!F17*AVERAGE('2018 Projection Inputs'!$I$9,'2018 Projection Inputs'!$I$7)</f>
        <v>2024.4740296633588</v>
      </c>
      <c r="G18" s="666" t="s">
        <v>549</v>
      </c>
      <c r="H18" s="314">
        <f>'2018 Projection Inputs'!F$43*'2015Summary METER to CASH (Base'!H17*AVERAGE('2018 Projection Inputs'!$I$9,'2018 Projection Inputs'!$I$7)</f>
        <v>0</v>
      </c>
      <c r="I18" s="314">
        <f>'2018 Projection Inputs'!G$43*'2015Summary METER to CASH (Base'!I17*AVERAGE('2018 Projection Inputs'!$I$9,'2018 Projection Inputs'!$I$7)</f>
        <v>10255.747260859322</v>
      </c>
      <c r="J18" s="678">
        <f>'2018 Projection Inputs'!H$43*'2015Summary METER to CASH (Base'!J17*AVERAGE('2018 Projection Inputs'!$I$9,'2018 Projection Inputs'!$I$7)</f>
        <v>20790.784189711827</v>
      </c>
      <c r="K18" s="667" t="s">
        <v>289</v>
      </c>
      <c r="L18" s="314">
        <f>'2018 Projection Inputs'!J$43*'2015Summary METER to CASH (Base'!L17*AVERAGE('2018 Projection Inputs'!$I$9,'2018 Projection Inputs'!$I$7)</f>
        <v>714.52024576353836</v>
      </c>
      <c r="M18" s="314">
        <f>'2018 Projection Inputs'!K$43*'2015Summary METER to CASH (Base'!M17*AVERAGE('2018 Projection Inputs'!$I$9,'2018 Projection Inputs'!$I$7)</f>
        <v>175.49620071385155</v>
      </c>
      <c r="N18" s="678">
        <f>'2018 Projection Inputs'!L$43*'2015Summary METER to CASH (Base'!N17*AVERAGE('2018 Projection Inputs'!$I$9,'2018 Projection Inputs'!$I$7)</f>
        <v>0</v>
      </c>
      <c r="O18" s="667" t="s">
        <v>289</v>
      </c>
      <c r="P18" s="314">
        <f>'2018 Projection Inputs'!N$43*'2015Summary METER to CASH (Base'!P17*AVERAGE('2018 Projection Inputs'!$I$9,'2018 Projection Inputs'!$I$7)</f>
        <v>0</v>
      </c>
      <c r="Q18" s="314">
        <f>'2018 Projection Inputs'!O$43*'2015Summary METER to CASH (Base'!Q17*AVERAGE('2018 Projection Inputs'!$I$9,'2018 Projection Inputs'!$I$7)</f>
        <v>1401.4625171291859</v>
      </c>
      <c r="R18" s="678">
        <f>'2018 Projection Inputs'!P$43*'2015Summary METER to CASH (Base'!R17*AVERAGE('2018 Projection Inputs'!$I$9,'2018 Projection Inputs'!$I$7)</f>
        <v>41.366961596836433</v>
      </c>
      <c r="T18" s="315">
        <f t="shared" si="2"/>
        <v>714.52024576353836</v>
      </c>
      <c r="U18" s="315">
        <f t="shared" si="2"/>
        <v>12021.991166615157</v>
      </c>
      <c r="V18" s="344">
        <f t="shared" si="2"/>
        <v>22856.62518097202</v>
      </c>
      <c r="W18" s="315">
        <f t="shared" si="0"/>
        <v>35593.136593350719</v>
      </c>
    </row>
    <row r="19" spans="1:23" ht="85.15" customHeight="1" x14ac:dyDescent="0.35">
      <c r="A19" s="307" t="s">
        <v>6</v>
      </c>
      <c r="B19" s="5"/>
      <c r="C19" s="339" t="s">
        <v>306</v>
      </c>
      <c r="D19" s="308">
        <f>D20+D21</f>
        <v>44705.168655230707</v>
      </c>
      <c r="E19" s="308">
        <f>E20+E21</f>
        <v>4393.9420974313653</v>
      </c>
      <c r="F19" s="677">
        <f>F20+F21</f>
        <v>88.815136879225207</v>
      </c>
      <c r="G19" s="665" t="s">
        <v>384</v>
      </c>
      <c r="H19" s="308">
        <f>H20+H21</f>
        <v>368874.54707254824</v>
      </c>
      <c r="I19" s="308">
        <f>I20+I21</f>
        <v>36104.177796514741</v>
      </c>
      <c r="J19" s="677">
        <f>J20+J21</f>
        <v>0</v>
      </c>
      <c r="K19" s="668"/>
      <c r="L19" s="309">
        <v>0</v>
      </c>
      <c r="M19" s="309">
        <v>0</v>
      </c>
      <c r="N19" s="690">
        <v>0</v>
      </c>
      <c r="O19" s="665" t="s">
        <v>307</v>
      </c>
      <c r="P19" s="308">
        <f>P20+P21</f>
        <v>93982.404495730851</v>
      </c>
      <c r="Q19" s="308">
        <f>Q20+Q21</f>
        <v>4571.5723711898154</v>
      </c>
      <c r="R19" s="677">
        <f>R20+R21</f>
        <v>0</v>
      </c>
      <c r="T19" s="308">
        <f>T20+T21</f>
        <v>507562.12022350979</v>
      </c>
      <c r="U19" s="308">
        <f>U20+U21</f>
        <v>45069.69226513592</v>
      </c>
      <c r="V19" s="308">
        <f>V20+V21</f>
        <v>88.815136879225207</v>
      </c>
      <c r="W19" s="308">
        <f t="shared" si="0"/>
        <v>552720.62762552488</v>
      </c>
    </row>
    <row r="20" spans="1:23" ht="21" x14ac:dyDescent="0.35">
      <c r="A20" s="317"/>
      <c r="B20" s="5"/>
      <c r="C20" s="341" t="s">
        <v>67</v>
      </c>
      <c r="D20" s="314">
        <f>'2018 Projection Inputs'!B$43*'2015Summary METER to CASH (Base'!D19*'2018 Projection Inputs'!$I$16</f>
        <v>43875.860257805267</v>
      </c>
      <c r="E20" s="314">
        <f>'2018 Projection Inputs'!C$43*'2015Summary METER to CASH (Base'!E19*'2018 Projection Inputs'!$I$16</f>
        <v>4312.2977742958055</v>
      </c>
      <c r="F20" s="678">
        <f>'2018 Projection Inputs'!D$43*'2015Summary METER to CASH (Base'!F19*'2018 Projection Inputs'!$I$16</f>
        <v>87.330694640396842</v>
      </c>
      <c r="G20" s="666" t="s">
        <v>67</v>
      </c>
      <c r="H20" s="314">
        <f>'2018 Projection Inputs'!F$43*'2015Summary METER to CASH (Base'!H19*'2018 Projection Inputs'!$I$16</f>
        <v>362030.77353746991</v>
      </c>
      <c r="I20" s="314">
        <f>'2018 Projection Inputs'!G$43*'2015Summary METER to CASH (Base'!I19*'2018 Projection Inputs'!$I$16</f>
        <v>35434.199532723542</v>
      </c>
      <c r="J20" s="678">
        <f>'2018 Projection Inputs'!H$43*'2015Summary METER to CASH (Base'!J19*'2018 Projection Inputs'!$I$16</f>
        <v>0</v>
      </c>
      <c r="K20" s="669" t="s">
        <v>67</v>
      </c>
      <c r="L20" s="318">
        <v>0</v>
      </c>
      <c r="M20" s="318">
        <v>0</v>
      </c>
      <c r="N20" s="691">
        <v>0</v>
      </c>
      <c r="O20" s="666" t="s">
        <v>67</v>
      </c>
      <c r="P20" s="314">
        <f>'2018 Projection Inputs'!N$43*'2015Summary METER to CASH (Base'!P19*'2018 Projection Inputs'!$I$16</f>
        <v>92238.679679187131</v>
      </c>
      <c r="Q20" s="314">
        <f>'2018 Projection Inputs'!O$43*'2015Summary METER to CASH (Base'!Q19*'2018 Projection Inputs'!$I$16</f>
        <v>4486.9591635765992</v>
      </c>
      <c r="R20" s="678">
        <f>'2018 Projection Inputs'!P$43*'2015Summary METER to CASH (Base'!R19*'2018 Projection Inputs'!$I$16</f>
        <v>0</v>
      </c>
      <c r="T20" s="314">
        <f t="shared" ref="T20:V21" si="3">D20+H20+L20+P20</f>
        <v>498145.31347446231</v>
      </c>
      <c r="U20" s="314">
        <f t="shared" si="3"/>
        <v>44233.456470595942</v>
      </c>
      <c r="V20" s="342">
        <f t="shared" si="3"/>
        <v>87.330694640396842</v>
      </c>
      <c r="W20" s="314">
        <f t="shared" si="0"/>
        <v>542466.10063969868</v>
      </c>
    </row>
    <row r="21" spans="1:23" ht="21" x14ac:dyDescent="0.35">
      <c r="A21" s="320"/>
      <c r="B21" s="5"/>
      <c r="C21" s="343" t="s">
        <v>289</v>
      </c>
      <c r="D21" s="314">
        <f>'2018 Projection Inputs'!B$43*'2015Summary METER to CASH (Base'!D20*'2018 Projection Inputs'!$I$17</f>
        <v>829.3083974254431</v>
      </c>
      <c r="E21" s="314">
        <f>'2018 Projection Inputs'!C$43*'2015Summary METER to CASH (Base'!E20*'2018 Projection Inputs'!$I$17</f>
        <v>81.644323135559731</v>
      </c>
      <c r="F21" s="678">
        <f>'2018 Projection Inputs'!D$43*'2015Summary METER to CASH (Base'!F20*'2018 Projection Inputs'!$I$17</f>
        <v>1.4844422388283589</v>
      </c>
      <c r="G21" s="667" t="s">
        <v>289</v>
      </c>
      <c r="H21" s="314">
        <f>'2018 Projection Inputs'!F$43*'2015Summary METER to CASH (Base'!H20*'2018 Projection Inputs'!$I$17</f>
        <v>6843.7735350783441</v>
      </c>
      <c r="I21" s="314">
        <f>'2018 Projection Inputs'!G$43*'2015Summary METER to CASH (Base'!I20*'2018 Projection Inputs'!$I$17</f>
        <v>669.97826379119931</v>
      </c>
      <c r="J21" s="678">
        <f>'2018 Projection Inputs'!H$43*'2015Summary METER to CASH (Base'!J20*'2018 Projection Inputs'!$I$17</f>
        <v>0</v>
      </c>
      <c r="K21" s="670" t="s">
        <v>289</v>
      </c>
      <c r="L21" s="321">
        <v>0</v>
      </c>
      <c r="M21" s="321">
        <v>0</v>
      </c>
      <c r="N21" s="692">
        <v>0</v>
      </c>
      <c r="O21" s="667" t="s">
        <v>289</v>
      </c>
      <c r="P21" s="314">
        <f>'2018 Projection Inputs'!N$43*'2015Summary METER to CASH (Base'!P20*'2018 Projection Inputs'!$I$17</f>
        <v>1743.7248165437122</v>
      </c>
      <c r="Q21" s="314">
        <f>'2018 Projection Inputs'!O$43*'2015Summary METER to CASH (Base'!Q20*'2018 Projection Inputs'!$I$17</f>
        <v>84.61320761321646</v>
      </c>
      <c r="R21" s="678">
        <f>'2018 Projection Inputs'!P$43*'2015Summary METER to CASH (Base'!R20*'2018 Projection Inputs'!$I$17</f>
        <v>0</v>
      </c>
      <c r="T21" s="311">
        <f t="shared" si="3"/>
        <v>9416.8067490475005</v>
      </c>
      <c r="U21" s="311">
        <f t="shared" si="3"/>
        <v>836.23579453997547</v>
      </c>
      <c r="V21" s="353">
        <f t="shared" si="3"/>
        <v>1.4844422388283589</v>
      </c>
      <c r="W21" s="311">
        <f t="shared" si="0"/>
        <v>10254.526985826305</v>
      </c>
    </row>
    <row r="22" spans="1:23" ht="56.45" customHeight="1" x14ac:dyDescent="0.35">
      <c r="A22" s="312" t="s">
        <v>52</v>
      </c>
      <c r="B22" s="5"/>
      <c r="C22" s="339" t="s">
        <v>14</v>
      </c>
      <c r="D22" s="308">
        <f>D23+D24</f>
        <v>822218.05651774502</v>
      </c>
      <c r="E22" s="308">
        <f>E23+E24</f>
        <v>79718.210794429033</v>
      </c>
      <c r="F22" s="677">
        <f>F23+F24</f>
        <v>2621.7038401763402</v>
      </c>
      <c r="G22" s="665" t="s">
        <v>383</v>
      </c>
      <c r="H22" s="308">
        <f>H23+H24</f>
        <v>5634234.7036371548</v>
      </c>
      <c r="I22" s="308">
        <f>I23+I24</f>
        <v>551427.25565603422</v>
      </c>
      <c r="J22" s="677">
        <f>J23+J24</f>
        <v>0</v>
      </c>
      <c r="K22" s="668" t="s">
        <v>13</v>
      </c>
      <c r="L22" s="309">
        <v>0</v>
      </c>
      <c r="M22" s="309">
        <v>0</v>
      </c>
      <c r="N22" s="690">
        <v>0</v>
      </c>
      <c r="O22" s="665" t="s">
        <v>308</v>
      </c>
      <c r="P22" s="308">
        <f>P23+P24</f>
        <v>1297097.0955804673</v>
      </c>
      <c r="Q22" s="308">
        <f>Q23+Q24</f>
        <v>62162.470235539928</v>
      </c>
      <c r="R22" s="677">
        <f>R23+R24</f>
        <v>0</v>
      </c>
      <c r="T22" s="308">
        <f>T23+T24</f>
        <v>7753549.8557353672</v>
      </c>
      <c r="U22" s="308">
        <f>U23+U24</f>
        <v>693307.93668600323</v>
      </c>
      <c r="V22" s="308">
        <f>V23+V24</f>
        <v>2621.7038401763402</v>
      </c>
      <c r="W22" s="308">
        <f t="shared" si="0"/>
        <v>8449479.4962615464</v>
      </c>
    </row>
    <row r="23" spans="1:23" ht="21" x14ac:dyDescent="0.35">
      <c r="A23" s="313"/>
      <c r="B23" s="5"/>
      <c r="C23" s="341" t="s">
        <v>67</v>
      </c>
      <c r="D23" s="314">
        <f>'2018 Projection Inputs'!B$43*'2015Summary METER to CASH (Base'!D22*'2018 Projection Inputs'!$I$14</f>
        <v>721255.54487529933</v>
      </c>
      <c r="E23" s="314">
        <f>'2018 Projection Inputs'!C$43*'2015Summary METER to CASH (Base'!E22*'2018 Projection Inputs'!$I$14</f>
        <v>69929.763608596768</v>
      </c>
      <c r="F23" s="678">
        <f>'2018 Projection Inputs'!D$43*'2015Summary METER to CASH (Base'!F22*'2018 Projection Inputs'!$I$14</f>
        <v>2300.1001393276101</v>
      </c>
      <c r="G23" s="666" t="s">
        <v>67</v>
      </c>
      <c r="H23" s="314">
        <f>'2018 Projection Inputs'!F$43*'2015Summary METER to CASH (Base'!H22*'2018 Projection Inputs'!$I$14</f>
        <v>4942391.4666273417</v>
      </c>
      <c r="I23" s="314">
        <f>'2018 Projection Inputs'!G$43*'2015Summary METER to CASH (Base'!I22*'2018 Projection Inputs'!$I$14</f>
        <v>483716.22774534096</v>
      </c>
      <c r="J23" s="678">
        <f>'2018 Projection Inputs'!H$43*'2015Summary METER to CASH (Base'!J22*'2018 Projection Inputs'!$I$14</f>
        <v>0</v>
      </c>
      <c r="K23" s="669" t="s">
        <v>67</v>
      </c>
      <c r="L23" s="318">
        <v>0</v>
      </c>
      <c r="M23" s="318">
        <v>0</v>
      </c>
      <c r="N23" s="691">
        <v>0</v>
      </c>
      <c r="O23" s="666" t="s">
        <v>67</v>
      </c>
      <c r="P23" s="314">
        <f>'2018 Projection Inputs'!N$43*'2015Summary METER to CASH (Base'!P22*'2018 Projection Inputs'!$I$14</f>
        <v>1137822.5703681328</v>
      </c>
      <c r="Q23" s="314">
        <f>'2018 Projection Inputs'!O$43*'2015Summary METER to CASH (Base'!Q22*'2018 Projection Inputs'!$I$14</f>
        <v>54529.352579395701</v>
      </c>
      <c r="R23" s="678">
        <f>'2018 Projection Inputs'!P$43*'2015Summary METER to CASH (Base'!R22*'2018 Projection Inputs'!$I$14</f>
        <v>0</v>
      </c>
      <c r="T23" s="314">
        <f t="shared" ref="T23:V24" si="4">D23+H23+L23+P23</f>
        <v>6801469.5818707738</v>
      </c>
      <c r="U23" s="314">
        <f t="shared" si="4"/>
        <v>608175.34393333353</v>
      </c>
      <c r="V23" s="342">
        <f t="shared" si="4"/>
        <v>2300.1001393276101</v>
      </c>
      <c r="W23" s="314">
        <f t="shared" si="0"/>
        <v>7411945.0259434348</v>
      </c>
    </row>
    <row r="24" spans="1:23" ht="21" x14ac:dyDescent="0.35">
      <c r="A24" s="310"/>
      <c r="B24" s="5"/>
      <c r="C24" s="330" t="s">
        <v>549</v>
      </c>
      <c r="D24" s="314">
        <f>'2018 Projection Inputs'!B$43*'2015Summary METER to CASH (Base'!D23*'2018 Projection Inputs'!$I$15</f>
        <v>100962.51164244572</v>
      </c>
      <c r="E24" s="314">
        <f>'2018 Projection Inputs'!C$43*'2015Summary METER to CASH (Base'!E23*'2018 Projection Inputs'!$I$15</f>
        <v>9788.4471858322613</v>
      </c>
      <c r="F24" s="678">
        <f>'2018 Projection Inputs'!D$43*'2015Summary METER to CASH (Base'!F23*'2018 Projection Inputs'!$I$15</f>
        <v>321.60370084873017</v>
      </c>
      <c r="G24" s="667" t="s">
        <v>289</v>
      </c>
      <c r="H24" s="314">
        <f>'2018 Projection Inputs'!F$43*'2015Summary METER to CASH (Base'!H23*'2018 Projection Inputs'!$I$15</f>
        <v>691843.23700981308</v>
      </c>
      <c r="I24" s="314">
        <f>'2018 Projection Inputs'!G$43*'2015Summary METER to CASH (Base'!I23*'2018 Projection Inputs'!$I$15</f>
        <v>67711.027910693199</v>
      </c>
      <c r="J24" s="678">
        <f>'2018 Projection Inputs'!H$43*'2015Summary METER to CASH (Base'!J23*'2018 Projection Inputs'!$I$15</f>
        <v>0</v>
      </c>
      <c r="K24" s="670" t="s">
        <v>289</v>
      </c>
      <c r="L24" s="321">
        <v>0</v>
      </c>
      <c r="M24" s="321">
        <v>0</v>
      </c>
      <c r="N24" s="692">
        <v>0</v>
      </c>
      <c r="O24" s="667" t="s">
        <v>289</v>
      </c>
      <c r="P24" s="314">
        <f>'2018 Projection Inputs'!N$43*'2015Summary METER to CASH (Base'!P23*'2018 Projection Inputs'!$I$15</f>
        <v>159274.52521233441</v>
      </c>
      <c r="Q24" s="314">
        <f>'2018 Projection Inputs'!O$43*'2015Summary METER to CASH (Base'!Q23*'2018 Projection Inputs'!$I$15</f>
        <v>7633.1176561442253</v>
      </c>
      <c r="R24" s="678">
        <f>'2018 Projection Inputs'!P$43*'2015Summary METER to CASH (Base'!R23*'2018 Projection Inputs'!$I$15</f>
        <v>0</v>
      </c>
      <c r="T24" s="315">
        <f t="shared" si="4"/>
        <v>952080.27386459312</v>
      </c>
      <c r="U24" s="315">
        <f t="shared" si="4"/>
        <v>85132.592752669691</v>
      </c>
      <c r="V24" s="344">
        <f t="shared" si="4"/>
        <v>321.60370084873017</v>
      </c>
      <c r="W24" s="315">
        <f t="shared" si="0"/>
        <v>1037534.4703181116</v>
      </c>
    </row>
    <row r="25" spans="1:23" ht="82.9" customHeight="1" x14ac:dyDescent="0.35">
      <c r="A25" s="307" t="s">
        <v>7</v>
      </c>
      <c r="B25" s="5"/>
      <c r="C25" s="345"/>
      <c r="D25" s="316">
        <v>0</v>
      </c>
      <c r="E25" s="316">
        <v>0</v>
      </c>
      <c r="F25" s="688">
        <v>0</v>
      </c>
      <c r="G25" s="665" t="s">
        <v>11</v>
      </c>
      <c r="H25" s="308">
        <f>H26+H27</f>
        <v>283548.81877014565</v>
      </c>
      <c r="I25" s="308">
        <f>I26+I27</f>
        <v>35554.55291084179</v>
      </c>
      <c r="J25" s="677">
        <f>J26+J27</f>
        <v>1257.0835217271574</v>
      </c>
      <c r="K25" s="668"/>
      <c r="L25" s="316">
        <v>0</v>
      </c>
      <c r="M25" s="316">
        <v>0</v>
      </c>
      <c r="N25" s="688">
        <v>0</v>
      </c>
      <c r="O25" s="665" t="s">
        <v>309</v>
      </c>
      <c r="P25" s="308">
        <f>P26+P27</f>
        <v>9807.1774329970158</v>
      </c>
      <c r="Q25" s="308">
        <f>Q26+Q27</f>
        <v>1211.1780020167841</v>
      </c>
      <c r="R25" s="677">
        <f>R26+R27</f>
        <v>0</v>
      </c>
      <c r="T25" s="308">
        <f>T26+T27</f>
        <v>293355.99620314263</v>
      </c>
      <c r="U25" s="308">
        <f>U26+U27</f>
        <v>36765.730912858577</v>
      </c>
      <c r="V25" s="308">
        <f>V26+V27</f>
        <v>1257.0835217271574</v>
      </c>
      <c r="W25" s="308">
        <f t="shared" si="0"/>
        <v>331378.81063772837</v>
      </c>
    </row>
    <row r="26" spans="1:23" ht="21" x14ac:dyDescent="0.35">
      <c r="A26" s="317"/>
      <c r="B26" s="5"/>
      <c r="C26" s="346" t="s">
        <v>67</v>
      </c>
      <c r="D26" s="319">
        <v>0</v>
      </c>
      <c r="E26" s="319">
        <v>0</v>
      </c>
      <c r="F26" s="680">
        <v>0</v>
      </c>
      <c r="G26" s="666" t="s">
        <v>67</v>
      </c>
      <c r="H26" s="314">
        <f>'2018 Projection Inputs'!F$43*'2015Summary METER to CASH (Base'!H25*'2018 Projection Inputs'!$I$18</f>
        <v>177868.40527302813</v>
      </c>
      <c r="I26" s="314">
        <f>'2018 Projection Inputs'!G$43*'2015Summary METER to CASH (Base'!I25*'2018 Projection Inputs'!$I$18</f>
        <v>20662.921006628931</v>
      </c>
      <c r="J26" s="678">
        <f>'2018 Projection Inputs'!H$43*'2015Summary METER to CASH (Base'!J25*'2018 Projection Inputs'!$I$18</f>
        <v>745.77164013070501</v>
      </c>
      <c r="K26" s="669" t="s">
        <v>67</v>
      </c>
      <c r="L26" s="319">
        <v>0</v>
      </c>
      <c r="M26" s="319">
        <v>0</v>
      </c>
      <c r="N26" s="680">
        <v>0</v>
      </c>
      <c r="O26" s="666" t="s">
        <v>67</v>
      </c>
      <c r="P26" s="314">
        <f>'2018 Projection Inputs'!N$43*'2015Summary METER to CASH (Base'!P25*'2018 Projection Inputs'!$I$18</f>
        <v>9807.1774329970158</v>
      </c>
      <c r="Q26" s="314">
        <f>'2018 Projection Inputs'!O$43*'2015Summary METER to CASH (Base'!Q25*'2018 Projection Inputs'!$I$18</f>
        <v>1211.1780020167841</v>
      </c>
      <c r="R26" s="678">
        <f>'2018 Projection Inputs'!P$43*'2015Summary METER to CASH (Base'!R25*'2018 Projection Inputs'!$I$18</f>
        <v>0</v>
      </c>
      <c r="T26" s="314">
        <f t="shared" ref="T26:V27" si="5">D26+H26+L26+P26</f>
        <v>187675.58270602513</v>
      </c>
      <c r="U26" s="314">
        <f t="shared" si="5"/>
        <v>21874.099008645713</v>
      </c>
      <c r="V26" s="342">
        <f t="shared" si="5"/>
        <v>745.77164013070501</v>
      </c>
      <c r="W26" s="314">
        <f t="shared" si="0"/>
        <v>210295.45335480155</v>
      </c>
    </row>
    <row r="27" spans="1:23" ht="21" x14ac:dyDescent="0.35">
      <c r="A27" s="320"/>
      <c r="B27" s="5"/>
      <c r="C27" s="347" t="s">
        <v>289</v>
      </c>
      <c r="D27" s="322">
        <v>0</v>
      </c>
      <c r="E27" s="322">
        <v>0</v>
      </c>
      <c r="F27" s="689">
        <v>0</v>
      </c>
      <c r="G27" s="667" t="s">
        <v>289</v>
      </c>
      <c r="H27" s="314">
        <f>'2018 Projection Inputs'!F$43*'2015Summary METER to CASH (Base'!H26*'2018 Projection Inputs'!$I$19</f>
        <v>105680.41349711751</v>
      </c>
      <c r="I27" s="314">
        <f>'2018 Projection Inputs'!G$43*'2015Summary METER to CASH (Base'!I26*'2018 Projection Inputs'!$I$19</f>
        <v>14891.63190421286</v>
      </c>
      <c r="J27" s="678">
        <f>'2018 Projection Inputs'!H$43*'2015Summary METER to CASH (Base'!J26*'2018 Projection Inputs'!$I$19</f>
        <v>511.31188159645228</v>
      </c>
      <c r="K27" s="670" t="s">
        <v>289</v>
      </c>
      <c r="L27" s="322">
        <v>0</v>
      </c>
      <c r="M27" s="322">
        <v>0</v>
      </c>
      <c r="N27" s="689">
        <v>0</v>
      </c>
      <c r="O27" s="667" t="s">
        <v>289</v>
      </c>
      <c r="P27" s="314">
        <f>'2018 Projection Inputs'!N$43*'2015Summary METER to CASH (Base'!P26*'2018 Projection Inputs'!$I$19</f>
        <v>0</v>
      </c>
      <c r="Q27" s="314">
        <f>'2018 Projection Inputs'!O$43*'2015Summary METER to CASH (Base'!Q26*'2018 Projection Inputs'!$I$19</f>
        <v>0</v>
      </c>
      <c r="R27" s="678">
        <f>'2018 Projection Inputs'!P$43*'2015Summary METER to CASH (Base'!R26*'2018 Projection Inputs'!$I$19</f>
        <v>0</v>
      </c>
      <c r="T27" s="315">
        <f t="shared" si="5"/>
        <v>105680.41349711751</v>
      </c>
      <c r="U27" s="315">
        <f t="shared" si="5"/>
        <v>14891.63190421286</v>
      </c>
      <c r="V27" s="344">
        <f t="shared" si="5"/>
        <v>511.31188159645228</v>
      </c>
      <c r="W27" s="315">
        <f t="shared" si="0"/>
        <v>121083.35728292682</v>
      </c>
    </row>
    <row r="28" spans="1:23" ht="50.45" customHeight="1" x14ac:dyDescent="0.25">
      <c r="A28" s="323" t="s">
        <v>10</v>
      </c>
      <c r="C28" s="348">
        <v>0</v>
      </c>
      <c r="D28" s="316">
        <v>0</v>
      </c>
      <c r="E28" s="316">
        <v>0</v>
      </c>
      <c r="F28" s="688">
        <v>0</v>
      </c>
      <c r="G28" s="685">
        <v>0</v>
      </c>
      <c r="H28" s="324">
        <v>0</v>
      </c>
      <c r="I28" s="324">
        <v>0</v>
      </c>
      <c r="J28" s="679">
        <v>0</v>
      </c>
      <c r="K28" s="665" t="s">
        <v>335</v>
      </c>
      <c r="L28" s="308">
        <f>L29+L30</f>
        <v>1800822.6234039657</v>
      </c>
      <c r="M28" s="308">
        <f>M29+M30</f>
        <v>190938.93507988856</v>
      </c>
      <c r="N28" s="677">
        <f>N29+N30</f>
        <v>8336.5746331787523</v>
      </c>
      <c r="O28" s="685" t="s">
        <v>310</v>
      </c>
      <c r="P28" s="324">
        <v>0</v>
      </c>
      <c r="Q28" s="324">
        <v>0</v>
      </c>
      <c r="R28" s="679">
        <v>0</v>
      </c>
      <c r="T28" s="308">
        <f>T29+T30</f>
        <v>1800822.6234039657</v>
      </c>
      <c r="U28" s="308">
        <f>U29+U30</f>
        <v>190938.93507988856</v>
      </c>
      <c r="V28" s="308">
        <f>V29+V30</f>
        <v>8336.5746331787523</v>
      </c>
      <c r="W28" s="308">
        <f t="shared" si="0"/>
        <v>2000098.1331170332</v>
      </c>
    </row>
    <row r="29" spans="1:23" ht="21.6" customHeight="1" x14ac:dyDescent="0.25">
      <c r="A29" s="325"/>
      <c r="C29" s="346">
        <v>0</v>
      </c>
      <c r="D29" s="319">
        <v>0</v>
      </c>
      <c r="E29" s="319">
        <v>0</v>
      </c>
      <c r="F29" s="680">
        <v>0</v>
      </c>
      <c r="G29" s="669">
        <v>0</v>
      </c>
      <c r="H29" s="319">
        <v>0</v>
      </c>
      <c r="I29" s="319">
        <v>0</v>
      </c>
      <c r="J29" s="680">
        <v>0</v>
      </c>
      <c r="K29" s="666" t="s">
        <v>67</v>
      </c>
      <c r="L29" s="314">
        <f>'2018 Projection Inputs'!J$43*'2015Summary METER to CASH (Base'!L28*'2018 Projection Inputs'!$I$20</f>
        <v>1788.2185739372708</v>
      </c>
      <c r="M29" s="314">
        <f>'2018 Projection Inputs'!K$43*'2015Summary METER to CASH (Base'!M28*'2018 Projection Inputs'!$I$20</f>
        <v>1788.2185739372708</v>
      </c>
      <c r="N29" s="678">
        <f>'2018 Projection Inputs'!L$43*'2015Summary METER to CASH (Base'!N28*'2018 Projection Inputs'!$I$20</f>
        <v>1788.2185739372708</v>
      </c>
      <c r="O29" s="669" t="s">
        <v>67</v>
      </c>
      <c r="P29" s="319">
        <v>0</v>
      </c>
      <c r="Q29" s="319">
        <v>0</v>
      </c>
      <c r="R29" s="680">
        <v>0</v>
      </c>
      <c r="T29" s="314">
        <f t="shared" ref="T29:V30" si="6">D29+H29+L29+P29</f>
        <v>1788.2185739372708</v>
      </c>
      <c r="U29" s="314">
        <f t="shared" si="6"/>
        <v>1788.2185739372708</v>
      </c>
      <c r="V29" s="342">
        <f t="shared" si="6"/>
        <v>1788.2185739372708</v>
      </c>
      <c r="W29" s="314">
        <f t="shared" si="0"/>
        <v>5364.6557218118123</v>
      </c>
    </row>
    <row r="30" spans="1:23" ht="21.6" customHeight="1" thickBot="1" x14ac:dyDescent="0.3">
      <c r="A30" s="326"/>
      <c r="C30" s="349">
        <v>0</v>
      </c>
      <c r="D30" s="350">
        <v>0</v>
      </c>
      <c r="E30" s="350">
        <v>0</v>
      </c>
      <c r="F30" s="681">
        <v>0</v>
      </c>
      <c r="G30" s="686">
        <v>0</v>
      </c>
      <c r="H30" s="350">
        <v>0</v>
      </c>
      <c r="I30" s="350">
        <v>0</v>
      </c>
      <c r="J30" s="681">
        <v>0</v>
      </c>
      <c r="K30" s="671" t="s">
        <v>289</v>
      </c>
      <c r="L30" s="351">
        <f>'2018 Projection Inputs'!J$43*'2015Summary METER to CASH (Base'!L29*'2018 Projection Inputs'!$I$21</f>
        <v>1799034.4048300285</v>
      </c>
      <c r="M30" s="351">
        <f>'2018 Projection Inputs'!K$43*'2015Summary METER to CASH (Base'!M29*'2018 Projection Inputs'!$I$21</f>
        <v>189150.71650595128</v>
      </c>
      <c r="N30" s="693">
        <f>'2018 Projection Inputs'!L$43*'2015Summary METER to CASH (Base'!N29*'2018 Projection Inputs'!$I$21</f>
        <v>6548.3560592414815</v>
      </c>
      <c r="O30" s="686" t="s">
        <v>289</v>
      </c>
      <c r="P30" s="350">
        <v>0</v>
      </c>
      <c r="Q30" s="350">
        <v>0</v>
      </c>
      <c r="R30" s="681">
        <f>'2018 Projection Inputs'!P$43*'2015Summary METER to CASH (Base'!R29*'2018 Projection Inputs'!$I$21</f>
        <v>0</v>
      </c>
      <c r="T30" s="351">
        <f t="shared" si="6"/>
        <v>1799034.4048300285</v>
      </c>
      <c r="U30" s="351">
        <f t="shared" si="6"/>
        <v>189150.71650595128</v>
      </c>
      <c r="V30" s="352">
        <f t="shared" si="6"/>
        <v>6548.3560592414815</v>
      </c>
      <c r="W30" s="351">
        <f t="shared" si="0"/>
        <v>1994733.4773952214</v>
      </c>
    </row>
    <row r="31" spans="1:23" ht="15.75" thickBot="1" x14ac:dyDescent="0.3">
      <c r="F31" s="682"/>
      <c r="J31" s="682"/>
      <c r="N31" s="682"/>
      <c r="R31" s="682"/>
    </row>
    <row r="32" spans="1:23" ht="21.75" thickBot="1" x14ac:dyDescent="0.3">
      <c r="A32" s="323" t="s">
        <v>370</v>
      </c>
      <c r="C32" s="297" t="s">
        <v>67</v>
      </c>
      <c r="D32" s="412">
        <f t="shared" ref="D32:F33" si="7">D11+D14+D17+D20+D23+D26+D29</f>
        <v>791534.17647376307</v>
      </c>
      <c r="E32" s="412">
        <f t="shared" si="7"/>
        <v>80799.290829722275</v>
      </c>
      <c r="F32" s="683">
        <f t="shared" si="7"/>
        <v>51599.35243920239</v>
      </c>
      <c r="G32" s="672"/>
      <c r="H32" s="412">
        <f t="shared" ref="H32:J33" si="8">H11+H14+H17+H20+H23+H26+H29</f>
        <v>8472302.8696651552</v>
      </c>
      <c r="I32" s="412">
        <f t="shared" si="8"/>
        <v>941399.7914025404</v>
      </c>
      <c r="J32" s="683">
        <f t="shared" si="8"/>
        <v>309620.68736195582</v>
      </c>
      <c r="K32" s="672"/>
      <c r="L32" s="412">
        <f t="shared" ref="L32:N33" si="9">L11+L14+L17+L20+L23+L26+L29</f>
        <v>399158.72846204572</v>
      </c>
      <c r="M32" s="412">
        <f t="shared" si="9"/>
        <v>41263.952837195182</v>
      </c>
      <c r="N32" s="683">
        <f t="shared" si="9"/>
        <v>4031.2908674349555</v>
      </c>
      <c r="O32" s="687"/>
      <c r="P32" s="412">
        <f t="shared" ref="P32:R33" si="10">P11+P14+P17+P20+P23+P26+P29</f>
        <v>2379030.0990718333</v>
      </c>
      <c r="Q32" s="412">
        <f t="shared" si="10"/>
        <v>157700.71173497449</v>
      </c>
      <c r="R32" s="683">
        <f t="shared" si="10"/>
        <v>1153.7270392300829</v>
      </c>
      <c r="T32" s="408">
        <f t="shared" ref="T32:V34" si="11">D32+H32+L32+P32</f>
        <v>12042025.873672798</v>
      </c>
      <c r="U32" s="408">
        <f t="shared" si="11"/>
        <v>1221163.7468044325</v>
      </c>
      <c r="V32" s="408">
        <f t="shared" si="11"/>
        <v>366405.05770782317</v>
      </c>
      <c r="W32" s="409">
        <f>SUM(T32:V32)</f>
        <v>13629594.678185055</v>
      </c>
    </row>
    <row r="33" spans="1:26" ht="21.75" thickBot="1" x14ac:dyDescent="0.3">
      <c r="A33" s="325"/>
      <c r="C33" s="297" t="s">
        <v>289</v>
      </c>
      <c r="D33" s="412">
        <f t="shared" si="7"/>
        <v>101791.82003987116</v>
      </c>
      <c r="E33" s="412">
        <f t="shared" si="7"/>
        <v>10059.376696880618</v>
      </c>
      <c r="F33" s="683">
        <f t="shared" si="7"/>
        <v>2347.5621727509174</v>
      </c>
      <c r="G33" s="672"/>
      <c r="H33" s="412">
        <f t="shared" si="8"/>
        <v>4080957.3132173652</v>
      </c>
      <c r="I33" s="412">
        <f t="shared" si="8"/>
        <v>466701.96609228605</v>
      </c>
      <c r="J33" s="683">
        <f t="shared" si="8"/>
        <v>35139.71564794251</v>
      </c>
      <c r="K33" s="672"/>
      <c r="L33" s="412">
        <f t="shared" si="9"/>
        <v>2042428.3122873609</v>
      </c>
      <c r="M33" s="412">
        <f t="shared" si="9"/>
        <v>205022.64579971376</v>
      </c>
      <c r="N33" s="683">
        <f t="shared" si="9"/>
        <v>6584.2640473454367</v>
      </c>
      <c r="O33" s="687"/>
      <c r="P33" s="412">
        <f t="shared" si="10"/>
        <v>634871.77208598505</v>
      </c>
      <c r="Q33" s="412">
        <f t="shared" si="10"/>
        <v>32432.527803524878</v>
      </c>
      <c r="R33" s="683">
        <f t="shared" si="10"/>
        <v>95.499329988987057</v>
      </c>
      <c r="T33" s="408">
        <f t="shared" si="11"/>
        <v>6860049.2176305819</v>
      </c>
      <c r="U33" s="408">
        <f t="shared" si="11"/>
        <v>714216.51639240526</v>
      </c>
      <c r="V33" s="408">
        <f t="shared" si="11"/>
        <v>44167.041198027859</v>
      </c>
      <c r="W33" s="409">
        <f>SUM(T33:V33)</f>
        <v>7618432.7752210153</v>
      </c>
    </row>
    <row r="34" spans="1:26" ht="19.899999999999999" customHeight="1" thickBot="1" x14ac:dyDescent="0.3">
      <c r="A34" s="326"/>
      <c r="C34" s="379" t="s">
        <v>34</v>
      </c>
      <c r="D34" s="412">
        <f>D10+D13+D16+D19+D22+D25+D28</f>
        <v>893325.99651363422</v>
      </c>
      <c r="E34" s="412">
        <f>E10+E13+E16+E19+E22+E25+E28</f>
        <v>90858.667526602891</v>
      </c>
      <c r="F34" s="683">
        <f>F10+F13+F16+F19+F22+F25+F28</f>
        <v>53946.914611953311</v>
      </c>
      <c r="G34" s="672"/>
      <c r="H34" s="412">
        <f>H10+H13+H16+H19+H22+H25+H28</f>
        <v>12553260.182882519</v>
      </c>
      <c r="I34" s="412">
        <f>I10+I13+I16+I19+I22+I25+I28</f>
        <v>1408101.7574948266</v>
      </c>
      <c r="J34" s="683">
        <f>J10+J13+J16+J19+J22+J25+J28</f>
        <v>344760.40300989838</v>
      </c>
      <c r="K34" s="672"/>
      <c r="L34" s="412">
        <f>L10+L13+L16+L19+L22+L25+L28</f>
        <v>2441587.0407494064</v>
      </c>
      <c r="M34" s="412">
        <f>M10+M13+M16+M19+M22+M25+M28</f>
        <v>246286.59863690892</v>
      </c>
      <c r="N34" s="683">
        <f>N10+N13+N16+N19+N22+N25+N28</f>
        <v>10615.554914780392</v>
      </c>
      <c r="O34" s="687"/>
      <c r="P34" s="412">
        <f>P10+P13+P16+P19+P22+P25+P28</f>
        <v>3013901.8711578185</v>
      </c>
      <c r="Q34" s="412">
        <f>Q10+Q13+Q16+Q19+Q22+Q25+Q28</f>
        <v>190133.23953849939</v>
      </c>
      <c r="R34" s="683">
        <f>R10+R13+R16+R19+R22+R25+R28</f>
        <v>1249.2263692190702</v>
      </c>
      <c r="T34" s="410">
        <f t="shared" si="11"/>
        <v>18902075.091303378</v>
      </c>
      <c r="U34" s="410">
        <f t="shared" si="11"/>
        <v>1935380.2631968379</v>
      </c>
      <c r="V34" s="410">
        <f t="shared" si="11"/>
        <v>410572.09890585113</v>
      </c>
      <c r="W34" s="411">
        <f>SUM(T34:V34)</f>
        <v>21248027.453406066</v>
      </c>
    </row>
    <row r="35" spans="1:26" ht="19.899999999999999" customHeight="1" x14ac:dyDescent="0.25">
      <c r="A35" s="634" t="s">
        <v>555</v>
      </c>
      <c r="C35" s="634" t="s">
        <v>0</v>
      </c>
      <c r="D35" s="661">
        <f>SUM(D34:F34)</f>
        <v>1038131.5786521904</v>
      </c>
      <c r="E35" s="636"/>
      <c r="F35" s="684"/>
      <c r="G35" s="634" t="s">
        <v>1</v>
      </c>
      <c r="H35" s="661">
        <f>SUM(H34:J34)</f>
        <v>14306122.343387244</v>
      </c>
      <c r="I35" s="636"/>
      <c r="J35" s="684"/>
      <c r="K35" s="634" t="s">
        <v>249</v>
      </c>
      <c r="L35" s="661">
        <f>SUM(L34:N34)</f>
        <v>2698489.1943010958</v>
      </c>
      <c r="M35" s="636"/>
      <c r="N35" s="684"/>
      <c r="O35" s="634" t="s">
        <v>3</v>
      </c>
      <c r="P35" s="661">
        <f>SUM(P34:R34)</f>
        <v>3205284.3370655365</v>
      </c>
      <c r="Q35" s="636"/>
      <c r="R35" s="684"/>
      <c r="T35" s="661"/>
      <c r="U35" s="661"/>
      <c r="V35" s="661"/>
      <c r="W35" s="661"/>
    </row>
    <row r="36" spans="1:26" x14ac:dyDescent="0.25">
      <c r="B36"/>
      <c r="C36"/>
      <c r="D36"/>
      <c r="E36"/>
      <c r="F36" s="702"/>
      <c r="G36"/>
      <c r="H36"/>
      <c r="I36"/>
      <c r="J36" s="702"/>
      <c r="K36"/>
      <c r="L36"/>
      <c r="M36"/>
      <c r="N36" s="702"/>
      <c r="O36"/>
      <c r="P36"/>
      <c r="Q36"/>
      <c r="R36" s="702"/>
    </row>
    <row r="37" spans="1:26" ht="31.5" x14ac:dyDescent="0.25">
      <c r="A37" s="634"/>
      <c r="C37" s="635" t="s">
        <v>498</v>
      </c>
      <c r="D37" s="638">
        <f>D34/(T$7)</f>
        <v>1.3047788841911121</v>
      </c>
      <c r="E37" s="638">
        <f>E34/(U$7)</f>
        <v>1.394907079443056</v>
      </c>
      <c r="F37" s="696">
        <f>F34/(V$7)</f>
        <v>25.77492336930402</v>
      </c>
      <c r="G37" s="638"/>
      <c r="H37" s="638">
        <f>H34/(T$7)</f>
        <v>18.335108211677554</v>
      </c>
      <c r="I37" s="638">
        <f>I34/(U$7)</f>
        <v>21.617872720075329</v>
      </c>
      <c r="J37" s="696">
        <f>J34/(V$7)</f>
        <v>164.72068944572305</v>
      </c>
      <c r="K37" s="636"/>
      <c r="L37" s="638">
        <f>L34/(T$7)</f>
        <v>3.566146319616109</v>
      </c>
      <c r="M37" s="638">
        <f>M34/(U$7)</f>
        <v>3.7811133418832736</v>
      </c>
      <c r="N37" s="696">
        <f>N34/(V$7)</f>
        <v>5.0719325918683191</v>
      </c>
      <c r="O37" s="637"/>
      <c r="P37" s="638">
        <f>P34/(T$7)</f>
        <v>4.4020609898939442</v>
      </c>
      <c r="Q37" s="638">
        <f>Q34/(U$7)</f>
        <v>2.9190192756463307</v>
      </c>
      <c r="R37" s="696">
        <f>R34/(V$7)</f>
        <v>0.59685923039611577</v>
      </c>
      <c r="S37" s="413"/>
      <c r="T37" s="638">
        <f>(T34/T7)</f>
        <v>27.608094405378719</v>
      </c>
      <c r="U37" s="638">
        <f>(U34/U7)</f>
        <v>29.712912417047988</v>
      </c>
      <c r="V37" s="638">
        <f>(V34/V7)</f>
        <v>196.16440463729151</v>
      </c>
      <c r="W37" s="638">
        <f>(W34/W7)</f>
        <v>28.259639697249405</v>
      </c>
    </row>
    <row r="38" spans="1:26" x14ac:dyDescent="0.25">
      <c r="C38" s="760" t="s">
        <v>916</v>
      </c>
      <c r="D38" s="760"/>
      <c r="E38" s="760"/>
      <c r="F38" s="760"/>
      <c r="G38" s="760"/>
      <c r="H38" s="760"/>
      <c r="I38" s="760"/>
      <c r="J38" s="760"/>
      <c r="K38" s="760"/>
      <c r="L38" s="760"/>
      <c r="M38" s="760"/>
      <c r="N38" s="760"/>
      <c r="O38" s="760"/>
      <c r="P38" s="760"/>
      <c r="Q38" s="760"/>
      <c r="R38" s="760"/>
      <c r="S38" s="760"/>
      <c r="T38" s="760"/>
    </row>
    <row r="39" spans="1:26" x14ac:dyDescent="0.25">
      <c r="C39" s="760"/>
      <c r="D39" s="760"/>
      <c r="E39" s="760"/>
      <c r="F39" s="760"/>
      <c r="G39" s="760"/>
      <c r="H39" s="760"/>
      <c r="I39" s="760"/>
      <c r="J39" s="760"/>
      <c r="K39" s="760"/>
      <c r="L39" s="760"/>
      <c r="M39" s="760"/>
      <c r="N39" s="760"/>
      <c r="O39" s="760"/>
      <c r="P39" s="760"/>
      <c r="Q39" s="760"/>
      <c r="R39" s="760"/>
      <c r="S39" s="760"/>
      <c r="T39" s="760"/>
    </row>
    <row r="40" spans="1:26" ht="3" customHeight="1" x14ac:dyDescent="0.25">
      <c r="C40" s="760"/>
      <c r="D40" s="763"/>
      <c r="E40" s="763"/>
      <c r="F40" s="763"/>
      <c r="G40" s="763"/>
      <c r="H40" s="763"/>
      <c r="I40" s="763"/>
      <c r="J40" s="763"/>
      <c r="K40" s="763"/>
      <c r="L40" s="763"/>
      <c r="M40" s="763"/>
      <c r="N40" s="763"/>
      <c r="O40" s="763"/>
      <c r="P40" s="763"/>
      <c r="Q40" s="763"/>
      <c r="R40" s="763"/>
      <c r="S40" s="763"/>
      <c r="T40" s="763"/>
    </row>
    <row r="41" spans="1:26" ht="6" customHeight="1" x14ac:dyDescent="0.25">
      <c r="C41" s="760" t="s">
        <v>496</v>
      </c>
      <c r="D41" s="760"/>
      <c r="E41" s="760"/>
      <c r="F41" s="760"/>
      <c r="G41" s="760"/>
      <c r="H41" s="760"/>
      <c r="I41" s="760"/>
      <c r="J41" s="760"/>
      <c r="K41" s="760"/>
      <c r="L41" s="760"/>
      <c r="M41" s="760"/>
      <c r="N41" s="760"/>
      <c r="O41" s="760"/>
      <c r="P41" s="760"/>
      <c r="Q41" s="760"/>
      <c r="R41" s="760"/>
      <c r="S41" s="760"/>
      <c r="T41" s="760"/>
    </row>
    <row r="42" spans="1:26" ht="25.15" customHeight="1" x14ac:dyDescent="0.25">
      <c r="C42" s="760"/>
      <c r="D42" s="760"/>
      <c r="E42" s="760"/>
      <c r="F42" s="760"/>
      <c r="G42" s="760"/>
      <c r="H42" s="760"/>
      <c r="I42" s="760"/>
      <c r="J42" s="760"/>
      <c r="K42" s="760"/>
      <c r="L42" s="760"/>
      <c r="M42" s="760"/>
      <c r="N42" s="760"/>
      <c r="O42" s="760"/>
      <c r="P42" s="760"/>
      <c r="Q42" s="760"/>
      <c r="R42" s="760"/>
      <c r="S42" s="760"/>
      <c r="T42" s="760"/>
    </row>
    <row r="43" spans="1:26" ht="20.45" customHeight="1" x14ac:dyDescent="0.25">
      <c r="C43" s="768" t="s">
        <v>550</v>
      </c>
      <c r="D43" s="768"/>
      <c r="E43" s="768"/>
      <c r="F43" s="768"/>
      <c r="G43" s="768"/>
      <c r="H43" s="768"/>
      <c r="I43" s="768"/>
      <c r="J43" s="768"/>
      <c r="K43" s="768"/>
      <c r="L43" s="768"/>
      <c r="M43" s="768"/>
      <c r="N43" s="768"/>
      <c r="O43" s="768"/>
      <c r="P43" s="768"/>
      <c r="Q43" s="768"/>
      <c r="R43" s="768"/>
      <c r="S43" s="768"/>
      <c r="T43" s="768"/>
    </row>
    <row r="44" spans="1:26" x14ac:dyDescent="0.25">
      <c r="C44" s="629"/>
      <c r="D44" s="628"/>
      <c r="E44" s="628"/>
      <c r="F44" s="628"/>
      <c r="G44" s="628"/>
      <c r="H44" s="628"/>
      <c r="I44" s="628"/>
      <c r="J44" s="628"/>
      <c r="K44" s="628"/>
      <c r="L44" s="628"/>
      <c r="M44" s="628"/>
      <c r="N44" s="628"/>
      <c r="O44" s="628"/>
      <c r="P44" s="628"/>
      <c r="Q44" s="628"/>
      <c r="R44" s="628"/>
      <c r="S44" s="628"/>
      <c r="T44" s="628"/>
      <c r="U44" s="628"/>
      <c r="V44" s="628"/>
      <c r="W44" s="628"/>
      <c r="X44" s="628"/>
      <c r="Y44" s="628"/>
      <c r="Z44" s="628"/>
    </row>
    <row r="46" spans="1:26" x14ac:dyDescent="0.25">
      <c r="C46" s="760"/>
      <c r="D46" s="760"/>
      <c r="E46" s="760"/>
      <c r="F46" s="760"/>
      <c r="G46" s="760"/>
      <c r="H46" s="760"/>
      <c r="I46" s="760"/>
      <c r="J46" s="760"/>
      <c r="K46" s="760"/>
      <c r="L46" s="760"/>
      <c r="M46" s="760"/>
      <c r="N46" s="760"/>
      <c r="O46" s="760"/>
      <c r="P46" s="760"/>
      <c r="Q46" s="760"/>
      <c r="R46" s="760"/>
      <c r="S46" s="760"/>
      <c r="T46" s="760"/>
    </row>
    <row r="47" spans="1:26" x14ac:dyDescent="0.25">
      <c r="C47" s="760"/>
      <c r="D47" s="760"/>
      <c r="E47" s="760"/>
      <c r="F47" s="760"/>
      <c r="G47" s="760"/>
      <c r="H47" s="760"/>
      <c r="I47" s="760"/>
      <c r="J47" s="760"/>
      <c r="K47" s="760"/>
      <c r="L47" s="760"/>
      <c r="M47" s="760"/>
      <c r="N47" s="760"/>
      <c r="O47" s="760"/>
      <c r="P47" s="760"/>
      <c r="Q47" s="760"/>
      <c r="R47" s="760"/>
      <c r="S47" s="760"/>
      <c r="T47" s="760"/>
    </row>
  </sheetData>
  <mergeCells count="9">
    <mergeCell ref="W8:W9"/>
    <mergeCell ref="C46:T47"/>
    <mergeCell ref="C41:T42"/>
    <mergeCell ref="I1:N1"/>
    <mergeCell ref="C38:T39"/>
    <mergeCell ref="C40:T40"/>
    <mergeCell ref="G2:M2"/>
    <mergeCell ref="T5:W5"/>
    <mergeCell ref="C43:T43"/>
  </mergeCells>
  <printOptions horizontalCentered="1"/>
  <pageMargins left="0" right="0" top="0.35" bottom="0.4" header="0.44" footer="0.3"/>
  <pageSetup paperSize="17" scale="32" orientation="landscape" r:id="rId1"/>
  <headerFooter>
    <oddHeader>&amp;RExh. RJW-2 Wyman WP5</oddHeader>
    <oddFooter>&amp;L&amp;Z&amp;F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U183"/>
  <sheetViews>
    <sheetView zoomScale="80" zoomScaleNormal="80" workbookViewId="0">
      <pane xSplit="7" ySplit="6" topLeftCell="K7" activePane="bottomRight" state="frozen"/>
      <selection pane="topRight" activeCell="H1" sqref="H1"/>
      <selection pane="bottomLeft" activeCell="A7" sqref="A7"/>
      <selection pane="bottomRight" activeCell="AB5" sqref="AB5"/>
    </sheetView>
  </sheetViews>
  <sheetFormatPr defaultRowHeight="15.75" x14ac:dyDescent="0.25"/>
  <cols>
    <col min="1" max="1" width="16.28515625" style="261" customWidth="1"/>
    <col min="2" max="2" width="17.85546875" style="214" hidden="1" customWidth="1"/>
    <col min="3" max="3" width="10.7109375" style="215" hidden="1" customWidth="1"/>
    <col min="4" max="4" width="23.7109375" style="1" customWidth="1"/>
    <col min="5" max="6" width="12.5703125" style="1" hidden="1" customWidth="1"/>
    <col min="7" max="7" width="9.7109375" style="1" hidden="1" customWidth="1"/>
    <col min="8" max="8" width="25.7109375" customWidth="1"/>
    <col min="9" max="9" width="10.7109375" customWidth="1"/>
    <col min="10" max="11" width="8.42578125" customWidth="1"/>
    <col min="12" max="12" width="6.7109375" customWidth="1"/>
    <col min="13" max="13" width="12.5703125" customWidth="1"/>
    <col min="14" max="14" width="9.7109375" customWidth="1"/>
    <col min="15" max="15" width="7.28515625" customWidth="1"/>
    <col min="16" max="16" width="0" hidden="1" customWidth="1"/>
    <col min="17" max="17" width="25" hidden="1" customWidth="1"/>
    <col min="18" max="18" width="25.7109375" customWidth="1"/>
    <col min="19" max="19" width="9.28515625" customWidth="1"/>
    <col min="20" max="21" width="8.42578125" customWidth="1"/>
    <col min="22" max="22" width="6.5703125" customWidth="1"/>
    <col min="23" max="23" width="12.5703125" customWidth="1"/>
    <col min="24" max="24" width="8.42578125" customWidth="1"/>
    <col min="25" max="25" width="7.28515625" customWidth="1"/>
    <col min="26" max="26" width="0" hidden="1" customWidth="1"/>
    <col min="27" max="27" width="25" hidden="1" customWidth="1"/>
    <col min="28" max="28" width="25.85546875" customWidth="1"/>
    <col min="29" max="29" width="9.28515625" customWidth="1"/>
    <col min="30" max="31" width="8.42578125" customWidth="1"/>
    <col min="32" max="32" width="6.5703125" customWidth="1"/>
    <col min="33" max="33" width="14.140625" customWidth="1"/>
    <col min="34" max="34" width="8.42578125" customWidth="1"/>
    <col min="35" max="35" width="7.28515625" customWidth="1"/>
    <col min="36" max="36" width="13.28515625" customWidth="1"/>
    <col min="37" max="37" width="14.140625" customWidth="1"/>
    <col min="38" max="38" width="8.85546875" customWidth="1"/>
    <col min="40" max="40" width="11.5703125" customWidth="1"/>
  </cols>
  <sheetData>
    <row r="1" spans="1:47" ht="23.45" customHeight="1" x14ac:dyDescent="0.25">
      <c r="E1" s="17" t="s">
        <v>18</v>
      </c>
      <c r="F1" s="18" t="s">
        <v>21</v>
      </c>
      <c r="G1" s="22" t="s">
        <v>25</v>
      </c>
      <c r="J1" s="2" t="s">
        <v>221</v>
      </c>
    </row>
    <row r="2" spans="1:47" s="2" customFormat="1" ht="17.45" customHeight="1" x14ac:dyDescent="0.35">
      <c r="A2" s="261"/>
      <c r="B2" s="216"/>
      <c r="C2" s="217"/>
      <c r="D2" s="204"/>
      <c r="E2" s="110" t="s">
        <v>22</v>
      </c>
      <c r="F2" s="111" t="s">
        <v>23</v>
      </c>
      <c r="G2" s="111" t="s">
        <v>24</v>
      </c>
      <c r="M2" s="2" t="s">
        <v>129</v>
      </c>
      <c r="O2" s="508">
        <f>'2018 Projection Inputs'!B34</f>
        <v>0.9859</v>
      </c>
      <c r="T2" s="303">
        <v>0.33</v>
      </c>
      <c r="U2" s="2" t="s">
        <v>388</v>
      </c>
    </row>
    <row r="3" spans="1:47" s="2" customFormat="1" ht="23.45" customHeight="1" x14ac:dyDescent="0.35">
      <c r="A3" s="261"/>
      <c r="B3" s="216"/>
      <c r="C3" s="217"/>
      <c r="D3" s="484" t="s">
        <v>51</v>
      </c>
      <c r="E3" s="375">
        <v>6957485</v>
      </c>
      <c r="F3" s="376">
        <v>693226</v>
      </c>
      <c r="G3" s="376">
        <v>23142</v>
      </c>
      <c r="H3" s="225" t="str">
        <f>+D3</f>
        <v>METER READING</v>
      </c>
    </row>
    <row r="4" spans="1:47" ht="22.9" customHeight="1" thickBot="1" x14ac:dyDescent="0.4">
      <c r="D4" s="224"/>
      <c r="E4" s="375">
        <v>853325</v>
      </c>
      <c r="F4" s="376">
        <v>68580</v>
      </c>
      <c r="G4" s="376">
        <v>1915</v>
      </c>
      <c r="H4" s="771" t="s">
        <v>49</v>
      </c>
      <c r="I4" s="762"/>
      <c r="J4" s="762"/>
      <c r="K4" s="762"/>
      <c r="L4" s="762"/>
      <c r="M4" s="762"/>
      <c r="N4" s="762"/>
      <c r="O4" s="762"/>
      <c r="P4" s="762"/>
      <c r="Q4" s="762"/>
      <c r="R4" s="772" t="s">
        <v>223</v>
      </c>
      <c r="S4" s="762"/>
      <c r="T4" s="762"/>
      <c r="U4" s="762"/>
      <c r="V4" s="762"/>
      <c r="W4" s="762"/>
      <c r="X4" s="762"/>
      <c r="Y4" s="762"/>
      <c r="Z4" s="762"/>
      <c r="AA4" s="762"/>
      <c r="AB4" s="769" t="s">
        <v>929</v>
      </c>
      <c r="AC4" s="762"/>
      <c r="AD4" s="762"/>
      <c r="AE4" s="762"/>
      <c r="AF4" s="762"/>
      <c r="AG4" s="762"/>
      <c r="AH4" s="762"/>
      <c r="AI4" s="762"/>
      <c r="AJ4" s="762"/>
      <c r="AK4" s="762"/>
      <c r="AL4" s="762"/>
    </row>
    <row r="5" spans="1:47" ht="17.25" thickTop="1" thickBot="1" x14ac:dyDescent="0.3">
      <c r="D5" s="138" t="s">
        <v>26</v>
      </c>
      <c r="E5" s="368">
        <f>E3+E4</f>
        <v>7810810</v>
      </c>
      <c r="F5" s="368">
        <f>F3+F4</f>
        <v>761806</v>
      </c>
      <c r="G5" s="368">
        <f>G3+G4</f>
        <v>25057</v>
      </c>
      <c r="H5" s="25"/>
      <c r="I5" s="770" t="s">
        <v>278</v>
      </c>
      <c r="J5" s="770"/>
      <c r="K5" s="770"/>
      <c r="L5" s="770"/>
      <c r="M5" s="770"/>
      <c r="N5" s="26"/>
      <c r="O5" s="26"/>
      <c r="P5" s="25"/>
      <c r="Q5" s="3"/>
    </row>
    <row r="6" spans="1:47" s="2" customFormat="1" ht="21.75" thickTop="1" x14ac:dyDescent="0.35">
      <c r="A6" s="261"/>
      <c r="B6" s="216"/>
      <c r="C6" s="217"/>
      <c r="D6" s="112" t="s">
        <v>0</v>
      </c>
      <c r="E6" s="113"/>
      <c r="F6" s="114"/>
      <c r="G6" s="114"/>
      <c r="H6" s="202" t="s">
        <v>27</v>
      </c>
      <c r="I6" s="208">
        <f>Customers!D3+Customers!D4</f>
        <v>7810810</v>
      </c>
      <c r="J6" s="203" t="s">
        <v>127</v>
      </c>
      <c r="K6" s="203" t="s">
        <v>128</v>
      </c>
      <c r="L6" s="155" t="s">
        <v>29</v>
      </c>
      <c r="M6" s="28" t="s">
        <v>371</v>
      </c>
      <c r="N6" s="29" t="s">
        <v>28</v>
      </c>
      <c r="O6" s="30" t="s">
        <v>29</v>
      </c>
      <c r="P6" s="31"/>
      <c r="Q6" s="32" t="s">
        <v>30</v>
      </c>
      <c r="R6" s="202" t="s">
        <v>27</v>
      </c>
      <c r="S6" s="208">
        <f>Customers!E3+Customers!E4</f>
        <v>761806</v>
      </c>
      <c r="T6" s="203" t="s">
        <v>127</v>
      </c>
      <c r="U6" s="203" t="s">
        <v>128</v>
      </c>
      <c r="V6" s="155" t="s">
        <v>29</v>
      </c>
      <c r="W6" s="28" t="s">
        <v>371</v>
      </c>
      <c r="X6" s="29" t="s">
        <v>28</v>
      </c>
      <c r="Y6" s="30" t="s">
        <v>29</v>
      </c>
      <c r="Z6" s="31"/>
      <c r="AA6" s="32" t="s">
        <v>30</v>
      </c>
      <c r="AB6" s="202" t="s">
        <v>27</v>
      </c>
      <c r="AC6" s="208">
        <f>Customers!F3+Customers!F4</f>
        <v>25057</v>
      </c>
      <c r="AD6" s="203" t="s">
        <v>127</v>
      </c>
      <c r="AE6" s="203" t="s">
        <v>128</v>
      </c>
      <c r="AF6" s="155" t="s">
        <v>29</v>
      </c>
      <c r="AG6" s="28" t="s">
        <v>371</v>
      </c>
      <c r="AH6" s="29" t="s">
        <v>28</v>
      </c>
      <c r="AI6" s="29" t="s">
        <v>29</v>
      </c>
      <c r="AJ6" s="380" t="s">
        <v>557</v>
      </c>
      <c r="AK6" s="247" t="s">
        <v>30</v>
      </c>
      <c r="AU6" s="6"/>
    </row>
    <row r="7" spans="1:47" ht="72.599999999999994" customHeight="1" x14ac:dyDescent="0.25">
      <c r="A7" s="301" t="s">
        <v>8</v>
      </c>
      <c r="B7" s="218" t="str">
        <f>A7&amp;H7</f>
        <v>Account ServicesLABOR: NON-SUPERVISORY</v>
      </c>
      <c r="C7" s="218" t="s">
        <v>225</v>
      </c>
      <c r="D7" s="10" t="str">
        <f>'2015Summary METER to CASH (Base'!C9</f>
        <v>* Meter reading office (route mgmt)
* Develop meter reading schedule</v>
      </c>
      <c r="E7" s="116">
        <f>N45</f>
        <v>26760.439398000002</v>
      </c>
      <c r="F7" s="117">
        <f>X45</f>
        <v>2167.3119649999999</v>
      </c>
      <c r="G7" s="117">
        <f>AC45</f>
        <v>0</v>
      </c>
      <c r="H7" s="182" t="s">
        <v>31</v>
      </c>
      <c r="I7" s="157"/>
      <c r="J7" s="287"/>
      <c r="K7" s="118"/>
      <c r="L7" s="118"/>
      <c r="M7" s="288"/>
      <c r="N7" s="121"/>
      <c r="O7" s="206"/>
      <c r="P7" s="122"/>
      <c r="Q7" s="123"/>
      <c r="R7" s="183" t="s">
        <v>31</v>
      </c>
      <c r="S7" s="157"/>
      <c r="T7" s="287"/>
      <c r="U7" s="118"/>
      <c r="V7" s="118"/>
      <c r="W7" s="288"/>
      <c r="X7" s="120"/>
      <c r="Y7" s="206"/>
      <c r="Z7" s="122"/>
      <c r="AA7" s="123"/>
      <c r="AB7" s="183" t="s">
        <v>31</v>
      </c>
      <c r="AC7" s="157"/>
      <c r="AD7" s="118"/>
      <c r="AE7" s="118"/>
      <c r="AF7" s="118"/>
      <c r="AG7" s="119"/>
      <c r="AH7" s="121"/>
      <c r="AI7" s="135"/>
      <c r="AJ7" s="157"/>
      <c r="AK7" s="121"/>
    </row>
    <row r="8" spans="1:47" x14ac:dyDescent="0.25">
      <c r="A8" s="301" t="s">
        <v>8</v>
      </c>
      <c r="B8" s="218" t="str">
        <f t="shared" ref="B8:B46" si="0">A8&amp;H8</f>
        <v>Account ServicesAccountant (Grade 145)</v>
      </c>
      <c r="C8" s="217" t="s">
        <v>48</v>
      </c>
      <c r="D8" s="10"/>
      <c r="E8" s="10"/>
      <c r="F8" s="10"/>
      <c r="G8" s="10"/>
      <c r="H8" s="255" t="s">
        <v>239</v>
      </c>
      <c r="I8" s="158">
        <f>J8*K8</f>
        <v>0</v>
      </c>
      <c r="J8" s="289">
        <f>+ROUND('FTE Alloc OR &amp; WA'!D30*2080,0)</f>
        <v>0</v>
      </c>
      <c r="K8" s="259">
        <v>29.13</v>
      </c>
      <c r="L8" s="39"/>
      <c r="M8" s="290" t="str">
        <f>J8&amp;" hrs @ "&amp;K8</f>
        <v>0 hrs @ 29.13</v>
      </c>
      <c r="N8" s="35"/>
      <c r="O8" s="207"/>
      <c r="P8" s="36"/>
      <c r="Q8" s="41"/>
      <c r="R8" s="255" t="s">
        <v>239</v>
      </c>
      <c r="S8" s="158">
        <f>T8*U8</f>
        <v>0</v>
      </c>
      <c r="T8" s="289">
        <f>+ROUND('FTE Alloc OR &amp; WA'!E30*2080,0)</f>
        <v>0</v>
      </c>
      <c r="U8" s="259">
        <v>29.13</v>
      </c>
      <c r="V8" s="39"/>
      <c r="W8" s="290" t="str">
        <f>T8&amp;" hrs @ "&amp;U8</f>
        <v>0 hrs @ 29.13</v>
      </c>
      <c r="X8" s="34"/>
      <c r="Y8" s="207"/>
      <c r="Z8" s="36"/>
      <c r="AA8" s="41"/>
      <c r="AB8" s="255" t="s">
        <v>239</v>
      </c>
      <c r="AC8" s="158">
        <f>AD8*AE8</f>
        <v>0</v>
      </c>
      <c r="AD8" s="289">
        <f>+ROUND('FTE Alloc OR &amp; WA'!F30*2080,0)</f>
        <v>0</v>
      </c>
      <c r="AE8" s="259">
        <v>29.13</v>
      </c>
      <c r="AF8" s="39"/>
      <c r="AG8" s="40" t="str">
        <f>AD8&amp;" hrs @ "&amp;AE8</f>
        <v>0 hrs @ 29.13</v>
      </c>
      <c r="AH8" s="35"/>
      <c r="AI8" s="136"/>
      <c r="AJ8" s="158">
        <f t="shared" ref="AJ8:AJ14" si="1">I8+S8+AC8</f>
        <v>0</v>
      </c>
      <c r="AK8" s="35"/>
    </row>
    <row r="9" spans="1:47" x14ac:dyDescent="0.25">
      <c r="A9" s="301" t="s">
        <v>8</v>
      </c>
      <c r="B9" s="218" t="str">
        <f t="shared" si="0"/>
        <v>Account ServicesSr Coll Rep (Grade 140)</v>
      </c>
      <c r="C9" s="217" t="s">
        <v>48</v>
      </c>
      <c r="D9" s="10"/>
      <c r="E9" s="10"/>
      <c r="F9" s="10"/>
      <c r="G9" s="10"/>
      <c r="H9" s="184" t="s">
        <v>240</v>
      </c>
      <c r="I9" s="158">
        <f t="shared" ref="I9:I10" si="2">J9*K9</f>
        <v>0</v>
      </c>
      <c r="J9" s="289">
        <f>+ROUND('FTE Alloc OR &amp; WA'!D36*2080,0)</f>
        <v>0</v>
      </c>
      <c r="K9" s="259">
        <v>27.22</v>
      </c>
      <c r="L9" s="42"/>
      <c r="M9" s="290" t="str">
        <f t="shared" ref="M9:M11" si="3">J9&amp;" hrs @ "&amp;K9</f>
        <v>0 hrs @ 27.22</v>
      </c>
      <c r="N9" s="35"/>
      <c r="O9" s="207"/>
      <c r="P9" s="36"/>
      <c r="Q9" s="3"/>
      <c r="R9" s="184" t="s">
        <v>240</v>
      </c>
      <c r="S9" s="158">
        <f>T9*U9</f>
        <v>0</v>
      </c>
      <c r="T9" s="289">
        <f>+ROUND('FTE Alloc OR &amp; WA'!E36*2080,0)</f>
        <v>0</v>
      </c>
      <c r="U9" s="259">
        <v>27.22</v>
      </c>
      <c r="V9" s="42"/>
      <c r="W9" s="290" t="str">
        <f t="shared" ref="W9:W11" si="4">T9&amp;" hrs @ "&amp;U9</f>
        <v>0 hrs @ 27.22</v>
      </c>
      <c r="X9" s="34"/>
      <c r="Y9" s="207"/>
      <c r="Z9" s="36"/>
      <c r="AA9" s="3"/>
      <c r="AB9" s="184" t="s">
        <v>240</v>
      </c>
      <c r="AC9" s="158">
        <v>0</v>
      </c>
      <c r="AD9" s="289">
        <f>+ROUND('FTE Alloc OR &amp; WA'!F36*2080,0)</f>
        <v>0</v>
      </c>
      <c r="AE9" s="259">
        <v>27.22</v>
      </c>
      <c r="AF9" s="42"/>
      <c r="AG9" s="40" t="str">
        <f t="shared" ref="AG9:AG11" si="5">AD9&amp;" hrs @ "&amp;AE9</f>
        <v>0 hrs @ 27.22</v>
      </c>
      <c r="AH9" s="35"/>
      <c r="AI9" s="136"/>
      <c r="AJ9" s="158">
        <f t="shared" si="1"/>
        <v>0</v>
      </c>
      <c r="AK9" s="35"/>
    </row>
    <row r="10" spans="1:47" ht="18.600000000000001" customHeight="1" x14ac:dyDescent="0.25">
      <c r="A10" s="301" t="s">
        <v>8</v>
      </c>
      <c r="B10" s="218" t="str">
        <f t="shared" si="0"/>
        <v>Account ServicesSr Biller/ PP Clerk (Grade 135)</v>
      </c>
      <c r="C10" s="217" t="s">
        <v>48</v>
      </c>
      <c r="D10" s="10"/>
      <c r="E10" s="10"/>
      <c r="F10" s="10"/>
      <c r="G10" s="10"/>
      <c r="H10" s="184" t="s">
        <v>242</v>
      </c>
      <c r="I10" s="158">
        <f t="shared" si="2"/>
        <v>3510.7200000000003</v>
      </c>
      <c r="J10" s="289">
        <f>+ROUND(('FTE Alloc OR &amp; WA'!D32+'FTE Alloc OR &amp; WA'!D35)*2080,0)</f>
        <v>138</v>
      </c>
      <c r="K10" s="259">
        <v>25.44</v>
      </c>
      <c r="L10" s="42"/>
      <c r="M10" s="290" t="str">
        <f t="shared" si="3"/>
        <v>138 hrs @ 25.44</v>
      </c>
      <c r="N10" s="35"/>
      <c r="O10" s="207"/>
      <c r="P10" s="36"/>
      <c r="Q10" s="41"/>
      <c r="R10" s="184" t="s">
        <v>242</v>
      </c>
      <c r="S10" s="158">
        <f t="shared" ref="S10" si="6">T10*U10</f>
        <v>585.12</v>
      </c>
      <c r="T10" s="289">
        <f>+ROUND(('FTE Alloc OR &amp; WA'!E32+'FTE Alloc OR &amp; WA'!E35)*2080,0)</f>
        <v>23</v>
      </c>
      <c r="U10" s="259">
        <v>25.44</v>
      </c>
      <c r="V10" s="42"/>
      <c r="W10" s="290" t="str">
        <f t="shared" si="4"/>
        <v>23 hrs @ 25.44</v>
      </c>
      <c r="X10" s="34"/>
      <c r="Y10" s="207"/>
      <c r="Z10" s="36"/>
      <c r="AA10" s="41"/>
      <c r="AB10" s="184" t="s">
        <v>242</v>
      </c>
      <c r="AC10" s="158">
        <f t="shared" ref="AC10" si="7">AD10*AE10</f>
        <v>0</v>
      </c>
      <c r="AD10" s="289">
        <f>+ROUND(('FTE Alloc OR &amp; WA'!F31+'FTE Alloc OR &amp; WA'!F34)*2080,0)</f>
        <v>0</v>
      </c>
      <c r="AE10" s="259">
        <v>25.44</v>
      </c>
      <c r="AF10" s="42"/>
      <c r="AG10" s="40" t="str">
        <f t="shared" si="5"/>
        <v>0 hrs @ 25.44</v>
      </c>
      <c r="AH10" s="35"/>
      <c r="AI10" s="136"/>
      <c r="AJ10" s="158">
        <f t="shared" si="1"/>
        <v>4095.84</v>
      </c>
      <c r="AK10" s="35"/>
    </row>
    <row r="11" spans="1:47" ht="22.5" x14ac:dyDescent="0.25">
      <c r="A11" s="301" t="s">
        <v>8</v>
      </c>
      <c r="B11" s="218" t="str">
        <f t="shared" si="0"/>
        <v>Account ServicesBiller (Grade 125)</v>
      </c>
      <c r="C11" s="217" t="s">
        <v>48</v>
      </c>
      <c r="D11" s="10"/>
      <c r="E11" s="10"/>
      <c r="F11" s="10"/>
      <c r="G11" s="10"/>
      <c r="H11" s="179" t="s">
        <v>241</v>
      </c>
      <c r="I11" s="173">
        <f>J11*K11</f>
        <v>6603.0000000000009</v>
      </c>
      <c r="J11" s="291">
        <f>+ROUND('FTE Alloc OR &amp; WA'!D33*2080,0)</f>
        <v>300</v>
      </c>
      <c r="K11" s="260">
        <v>22.01</v>
      </c>
      <c r="L11" s="181"/>
      <c r="M11" s="292" t="str">
        <f t="shared" si="3"/>
        <v>300 hrs @ 22.01</v>
      </c>
      <c r="N11" s="58"/>
      <c r="O11" s="231"/>
      <c r="P11" s="36"/>
      <c r="Q11" s="44"/>
      <c r="R11" s="179" t="s">
        <v>241</v>
      </c>
      <c r="S11" s="173">
        <f>T11*U11</f>
        <v>506.23</v>
      </c>
      <c r="T11" s="291">
        <f>+ROUND('FTE Alloc OR &amp; WA'!E33*2080,0)</f>
        <v>23</v>
      </c>
      <c r="U11" s="260">
        <v>22.01</v>
      </c>
      <c r="V11" s="181"/>
      <c r="W11" s="292" t="str">
        <f t="shared" si="4"/>
        <v>23 hrs @ 22.01</v>
      </c>
      <c r="X11" s="57"/>
      <c r="Y11" s="231"/>
      <c r="Z11" s="36"/>
      <c r="AA11" s="44"/>
      <c r="AB11" s="179" t="s">
        <v>241</v>
      </c>
      <c r="AC11" s="173">
        <f>AD11*AE11</f>
        <v>0</v>
      </c>
      <c r="AD11" s="291">
        <f>+ROUND('FTE Alloc OR &amp; WA'!F32*2080,0)</f>
        <v>0</v>
      </c>
      <c r="AE11" s="260">
        <v>22.01</v>
      </c>
      <c r="AF11" s="181"/>
      <c r="AG11" s="176" t="str">
        <f t="shared" si="5"/>
        <v>0 hrs @ 22.01</v>
      </c>
      <c r="AH11" s="35"/>
      <c r="AI11" s="136"/>
      <c r="AJ11" s="173">
        <f t="shared" si="1"/>
        <v>7109.2300000000014</v>
      </c>
      <c r="AK11" s="58"/>
    </row>
    <row r="12" spans="1:47" x14ac:dyDescent="0.25">
      <c r="A12" s="301" t="s">
        <v>8</v>
      </c>
      <c r="B12" s="218" t="str">
        <f t="shared" si="0"/>
        <v>Account ServicesTotal Wages</v>
      </c>
      <c r="C12" s="217" t="s">
        <v>48</v>
      </c>
      <c r="D12" s="10"/>
      <c r="E12" s="10"/>
      <c r="F12" s="10"/>
      <c r="G12" s="10"/>
      <c r="H12" s="179" t="s">
        <v>32</v>
      </c>
      <c r="I12" s="158">
        <f>SUM(I8:I11)</f>
        <v>10113.720000000001</v>
      </c>
      <c r="J12" s="42"/>
      <c r="K12" s="39"/>
      <c r="L12" s="39"/>
      <c r="M12" s="40"/>
      <c r="N12" s="35"/>
      <c r="O12" s="207"/>
      <c r="P12" s="36"/>
      <c r="Q12" s="41"/>
      <c r="R12" s="184" t="s">
        <v>32</v>
      </c>
      <c r="S12" s="158">
        <f>SUM(S8:S11)</f>
        <v>1091.3499999999999</v>
      </c>
      <c r="T12" s="42"/>
      <c r="U12" s="39"/>
      <c r="V12" s="39"/>
      <c r="W12" s="40"/>
      <c r="X12" s="34"/>
      <c r="Y12" s="207"/>
      <c r="Z12" s="36"/>
      <c r="AA12" s="41"/>
      <c r="AB12" s="184" t="s">
        <v>32</v>
      </c>
      <c r="AC12" s="158">
        <f>SUM(AC8:AC11)</f>
        <v>0</v>
      </c>
      <c r="AD12" s="42"/>
      <c r="AE12" s="39"/>
      <c r="AF12" s="39"/>
      <c r="AG12" s="40"/>
      <c r="AH12" s="35"/>
      <c r="AI12" s="136"/>
      <c r="AJ12" s="158">
        <f t="shared" si="1"/>
        <v>11205.070000000002</v>
      </c>
      <c r="AK12" s="35"/>
    </row>
    <row r="13" spans="1:47" x14ac:dyDescent="0.25">
      <c r="A13" s="301" t="s">
        <v>8</v>
      </c>
      <c r="B13" s="218" t="str">
        <f t="shared" si="0"/>
        <v>Account ServicesBenefits</v>
      </c>
      <c r="C13" s="217" t="s">
        <v>48</v>
      </c>
      <c r="D13" s="10"/>
      <c r="E13" s="10"/>
      <c r="F13" s="10"/>
      <c r="G13" s="10"/>
      <c r="H13" s="255" t="s">
        <v>33</v>
      </c>
      <c r="I13" s="159">
        <f>I12*$O$2</f>
        <v>9971.1165480000018</v>
      </c>
      <c r="J13" s="42"/>
      <c r="K13" s="39"/>
      <c r="M13" s="45" t="str">
        <f>"@ "&amp;$O$2*100&amp;" %"</f>
        <v>@ 98.59 %</v>
      </c>
      <c r="N13" s="47"/>
      <c r="O13" s="424"/>
      <c r="P13" s="48"/>
      <c r="Q13" s="41"/>
      <c r="R13" s="184" t="s">
        <v>33</v>
      </c>
      <c r="S13" s="159">
        <f>S12*$O$2</f>
        <v>1075.961965</v>
      </c>
      <c r="T13" s="42"/>
      <c r="U13" s="39"/>
      <c r="W13" s="45" t="str">
        <f>"@ "&amp;$O$2*100&amp;" %"</f>
        <v>@ 98.59 %</v>
      </c>
      <c r="X13" s="46"/>
      <c r="Y13" s="424"/>
      <c r="Z13" s="48"/>
      <c r="AA13" s="41"/>
      <c r="AB13" s="184" t="s">
        <v>33</v>
      </c>
      <c r="AC13" s="159">
        <f>AC12*$O$2</f>
        <v>0</v>
      </c>
      <c r="AD13" s="42"/>
      <c r="AE13" s="39"/>
      <c r="AG13" s="45" t="str">
        <f>"@ "&amp;$O$2*100&amp;" %"</f>
        <v>@ 98.59 %</v>
      </c>
      <c r="AH13" s="47"/>
      <c r="AI13" s="432"/>
      <c r="AJ13" s="159">
        <f t="shared" si="1"/>
        <v>11047.078513000002</v>
      </c>
      <c r="AK13" s="47"/>
    </row>
    <row r="14" spans="1:47" x14ac:dyDescent="0.25">
      <c r="A14" s="301" t="s">
        <v>8</v>
      </c>
      <c r="B14" s="218" t="str">
        <f t="shared" si="0"/>
        <v>Account ServicesTotal</v>
      </c>
      <c r="C14" s="219" t="s">
        <v>50</v>
      </c>
      <c r="D14" s="10"/>
      <c r="E14" s="10"/>
      <c r="F14" s="10"/>
      <c r="G14" s="10"/>
      <c r="H14" s="185" t="s">
        <v>34</v>
      </c>
      <c r="I14" s="160">
        <f>I12+I13</f>
        <v>20084.836548000003</v>
      </c>
      <c r="J14" s="42"/>
      <c r="K14" s="39"/>
      <c r="L14" s="50"/>
      <c r="M14" s="51"/>
      <c r="N14" s="420">
        <f>I14</f>
        <v>20084.836548000003</v>
      </c>
      <c r="O14" s="425">
        <f>N14/N45</f>
        <v>0.75054210617711625</v>
      </c>
      <c r="P14" s="53"/>
      <c r="Q14" s="37"/>
      <c r="R14" s="185" t="s">
        <v>34</v>
      </c>
      <c r="S14" s="160">
        <f>S12+S13</f>
        <v>2167.3119649999999</v>
      </c>
      <c r="T14" s="42"/>
      <c r="U14" s="39"/>
      <c r="V14" s="50"/>
      <c r="W14" s="51"/>
      <c r="X14" s="52">
        <f>S14</f>
        <v>2167.3119649999999</v>
      </c>
      <c r="Y14" s="425">
        <f>X14/X45</f>
        <v>1</v>
      </c>
      <c r="Z14" s="53"/>
      <c r="AA14" s="37"/>
      <c r="AB14" s="185" t="s">
        <v>34</v>
      </c>
      <c r="AC14" s="160">
        <f>AC12+AC13</f>
        <v>0</v>
      </c>
      <c r="AD14" s="42"/>
      <c r="AE14" s="39"/>
      <c r="AF14" s="50"/>
      <c r="AG14" s="51"/>
      <c r="AH14" s="420">
        <f>AC14</f>
        <v>0</v>
      </c>
      <c r="AI14" s="233" t="e">
        <f>AH14/AH45</f>
        <v>#DIV/0!</v>
      </c>
      <c r="AJ14" s="160">
        <f t="shared" si="1"/>
        <v>22252.148513000004</v>
      </c>
      <c r="AK14" s="420"/>
    </row>
    <row r="15" spans="1:47" x14ac:dyDescent="0.25">
      <c r="A15" s="301" t="s">
        <v>8</v>
      </c>
      <c r="B15" s="218" t="str">
        <f t="shared" si="0"/>
        <v>Account Services</v>
      </c>
      <c r="C15" s="217" t="s">
        <v>48</v>
      </c>
      <c r="D15" s="10"/>
      <c r="E15" s="10"/>
      <c r="F15" s="10"/>
      <c r="G15" s="10"/>
      <c r="H15" s="179"/>
      <c r="I15" s="161"/>
      <c r="J15" s="55"/>
      <c r="K15" s="55"/>
      <c r="L15" s="55"/>
      <c r="M15" s="56"/>
      <c r="N15" s="58"/>
      <c r="O15" s="426"/>
      <c r="P15" s="59"/>
      <c r="Q15" s="60"/>
      <c r="R15" s="179"/>
      <c r="S15" s="161"/>
      <c r="T15" s="55"/>
      <c r="U15" s="55"/>
      <c r="V15" s="55"/>
      <c r="W15" s="56"/>
      <c r="X15" s="57"/>
      <c r="Y15" s="426"/>
      <c r="Z15" s="59"/>
      <c r="AA15" s="60"/>
      <c r="AB15" s="179"/>
      <c r="AC15" s="161"/>
      <c r="AD15" s="55"/>
      <c r="AE15" s="55"/>
      <c r="AF15" s="55"/>
      <c r="AG15" s="56"/>
      <c r="AH15" s="58"/>
      <c r="AI15" s="231"/>
      <c r="AJ15" s="161"/>
      <c r="AK15" s="58"/>
    </row>
    <row r="16" spans="1:47" x14ac:dyDescent="0.25">
      <c r="A16" s="301" t="s">
        <v>8</v>
      </c>
      <c r="B16" s="218" t="str">
        <f t="shared" si="0"/>
        <v>Account ServicesLABOR: SUPERVISORY</v>
      </c>
      <c r="C16" s="220" t="s">
        <v>50</v>
      </c>
      <c r="D16" s="10"/>
      <c r="E16" s="10"/>
      <c r="F16" s="10"/>
      <c r="G16" s="10"/>
      <c r="H16" s="186" t="s">
        <v>35</v>
      </c>
      <c r="I16" s="162"/>
      <c r="J16" s="62"/>
      <c r="K16" s="62"/>
      <c r="L16" s="62"/>
      <c r="M16" s="63"/>
      <c r="N16" s="26"/>
      <c r="O16" s="421"/>
      <c r="P16" s="65"/>
      <c r="Q16" s="37"/>
      <c r="R16" s="186" t="s">
        <v>35</v>
      </c>
      <c r="S16" s="162"/>
      <c r="T16" s="62"/>
      <c r="U16" s="62"/>
      <c r="V16" s="62"/>
      <c r="W16" s="63"/>
      <c r="X16" s="64"/>
      <c r="Y16" s="421"/>
      <c r="Z16" s="65"/>
      <c r="AA16" s="37"/>
      <c r="AB16" s="186" t="s">
        <v>35</v>
      </c>
      <c r="AC16" s="162"/>
      <c r="AD16" s="62"/>
      <c r="AE16" s="62"/>
      <c r="AF16" s="62"/>
      <c r="AG16" s="63"/>
      <c r="AH16" s="26"/>
      <c r="AI16" s="234"/>
      <c r="AJ16" s="162"/>
      <c r="AK16" s="26"/>
    </row>
    <row r="17" spans="1:37" x14ac:dyDescent="0.25">
      <c r="A17" s="301" t="s">
        <v>8</v>
      </c>
      <c r="B17" s="218" t="str">
        <f t="shared" si="0"/>
        <v>Account ServicesAccounting Manager</v>
      </c>
      <c r="C17" s="220"/>
      <c r="D17" s="10"/>
      <c r="E17" s="10"/>
      <c r="F17" s="10"/>
      <c r="G17" s="10"/>
      <c r="H17" s="38" t="s">
        <v>372</v>
      </c>
      <c r="I17" s="162"/>
      <c r="J17" s="62"/>
      <c r="K17" s="62">
        <v>50.91</v>
      </c>
      <c r="L17" s="62"/>
      <c r="M17" s="40" t="str">
        <f t="shared" ref="M17:M18" si="8">J17&amp;" hrs @ "&amp;K17</f>
        <v xml:space="preserve"> hrs @ 50.91</v>
      </c>
      <c r="N17" s="26"/>
      <c r="O17" s="421"/>
      <c r="P17" s="65"/>
      <c r="Q17" s="37"/>
      <c r="R17" s="184" t="s">
        <v>372</v>
      </c>
      <c r="S17" s="162"/>
      <c r="T17" s="62"/>
      <c r="U17" s="62">
        <v>50.91</v>
      </c>
      <c r="V17" s="62"/>
      <c r="W17" s="40" t="str">
        <f t="shared" ref="W17:W18" si="9">T17&amp;" hrs @ "&amp;U17</f>
        <v xml:space="preserve"> hrs @ 50.91</v>
      </c>
      <c r="X17" s="64"/>
      <c r="Y17" s="421"/>
      <c r="Z17" s="65"/>
      <c r="AA17" s="37"/>
      <c r="AB17" s="184" t="s">
        <v>372</v>
      </c>
      <c r="AC17" s="162"/>
      <c r="AD17" s="62"/>
      <c r="AE17" s="62">
        <v>50.91</v>
      </c>
      <c r="AF17" s="62"/>
      <c r="AG17" s="40" t="str">
        <f t="shared" ref="AG17:AG18" si="10">AD17&amp;" hrs @ "&amp;AE17</f>
        <v xml:space="preserve"> hrs @ 50.91</v>
      </c>
      <c r="AH17" s="26"/>
      <c r="AI17" s="234"/>
      <c r="AJ17" s="162">
        <f>I17+S17+AC17</f>
        <v>0</v>
      </c>
      <c r="AK17" s="26"/>
    </row>
    <row r="18" spans="1:37" x14ac:dyDescent="0.25">
      <c r="A18" s="301" t="s">
        <v>8</v>
      </c>
      <c r="B18" s="218" t="str">
        <f t="shared" si="0"/>
        <v>Account ServicesSupervisor</v>
      </c>
      <c r="C18" s="217" t="s">
        <v>48</v>
      </c>
      <c r="D18" s="10"/>
      <c r="E18" s="10"/>
      <c r="F18" s="10"/>
      <c r="G18" s="10"/>
      <c r="H18" s="179" t="s">
        <v>373</v>
      </c>
      <c r="I18" s="173">
        <f t="shared" ref="I18" si="11">J18*K18</f>
        <v>3361.5</v>
      </c>
      <c r="J18" s="174">
        <v>83</v>
      </c>
      <c r="K18" s="175">
        <v>40.5</v>
      </c>
      <c r="L18" s="181"/>
      <c r="M18" s="176" t="str">
        <f t="shared" si="8"/>
        <v>83 hrs @ 40.5</v>
      </c>
      <c r="N18" s="26"/>
      <c r="O18" s="421"/>
      <c r="P18" s="65"/>
      <c r="Q18" s="41"/>
      <c r="R18" s="184" t="s">
        <v>373</v>
      </c>
      <c r="S18" s="173">
        <f t="shared" ref="S18" si="12">T18*U18</f>
        <v>0</v>
      </c>
      <c r="T18" s="174">
        <f>+ROUND('FTE Alloc OR &amp; WA'!N31*2080,0)</f>
        <v>0</v>
      </c>
      <c r="U18" s="259">
        <v>40.5</v>
      </c>
      <c r="V18" s="43"/>
      <c r="W18" s="40" t="str">
        <f t="shared" si="9"/>
        <v>0 hrs @ 40.5</v>
      </c>
      <c r="X18" s="64"/>
      <c r="Y18" s="421"/>
      <c r="Z18" s="65"/>
      <c r="AA18" s="41"/>
      <c r="AB18" s="184" t="s">
        <v>373</v>
      </c>
      <c r="AC18" s="173">
        <f t="shared" ref="AC18" si="13">AD18*AE18</f>
        <v>0</v>
      </c>
      <c r="AD18" s="289">
        <f>+ROUND('FTE Alloc OR &amp; WA'!X31*2080,0)</f>
        <v>0</v>
      </c>
      <c r="AE18" s="259">
        <v>40.5</v>
      </c>
      <c r="AF18" s="43"/>
      <c r="AG18" s="40" t="str">
        <f t="shared" si="10"/>
        <v>0 hrs @ 40.5</v>
      </c>
      <c r="AH18" s="26"/>
      <c r="AI18" s="234"/>
      <c r="AJ18" s="173">
        <f>I18+S18+AC18</f>
        <v>3361.5</v>
      </c>
      <c r="AK18" s="26"/>
    </row>
    <row r="19" spans="1:37" x14ac:dyDescent="0.25">
      <c r="A19" s="301" t="s">
        <v>8</v>
      </c>
      <c r="B19" s="218" t="str">
        <f t="shared" si="0"/>
        <v>Account ServicesTotal Wages</v>
      </c>
      <c r="C19" s="217"/>
      <c r="D19" s="10"/>
      <c r="E19" s="10"/>
      <c r="F19" s="10"/>
      <c r="G19" s="10"/>
      <c r="H19" s="255" t="s">
        <v>32</v>
      </c>
      <c r="I19" s="393">
        <f>SUM(I16:I18)</f>
        <v>3361.5</v>
      </c>
      <c r="J19" s="394"/>
      <c r="K19" s="395"/>
      <c r="L19" s="395"/>
      <c r="M19" s="396"/>
      <c r="N19" s="26"/>
      <c r="O19" s="421"/>
      <c r="P19" s="65"/>
      <c r="Q19" s="41"/>
      <c r="R19" s="255" t="s">
        <v>32</v>
      </c>
      <c r="S19" s="393">
        <f>SUM(S16:S18)</f>
        <v>0</v>
      </c>
      <c r="T19" s="394"/>
      <c r="U19" s="395"/>
      <c r="V19" s="395"/>
      <c r="W19" s="396"/>
      <c r="X19" s="64"/>
      <c r="Y19" s="421"/>
      <c r="Z19" s="65"/>
      <c r="AA19" s="41"/>
      <c r="AB19" s="255" t="s">
        <v>32</v>
      </c>
      <c r="AC19" s="393">
        <f>SUM(AC16:AC18)</f>
        <v>0</v>
      </c>
      <c r="AD19" s="394"/>
      <c r="AE19" s="395"/>
      <c r="AF19" s="395"/>
      <c r="AG19" s="396"/>
      <c r="AH19" s="26"/>
      <c r="AI19" s="234"/>
      <c r="AJ19" s="393">
        <f>I19+S19+AC19</f>
        <v>3361.5</v>
      </c>
      <c r="AK19" s="26"/>
    </row>
    <row r="20" spans="1:37" x14ac:dyDescent="0.25">
      <c r="A20" s="301" t="s">
        <v>8</v>
      </c>
      <c r="B20" s="218" t="str">
        <f t="shared" si="0"/>
        <v>Account ServicesBenefits</v>
      </c>
      <c r="C20" s="217" t="s">
        <v>48</v>
      </c>
      <c r="D20" s="10"/>
      <c r="E20" s="10"/>
      <c r="F20" s="10"/>
      <c r="G20" s="10"/>
      <c r="H20" s="184" t="s">
        <v>33</v>
      </c>
      <c r="I20" s="159">
        <f>I19*$O$2</f>
        <v>3314.1028500000002</v>
      </c>
      <c r="J20" s="42"/>
      <c r="K20" s="39"/>
      <c r="L20" s="156"/>
      <c r="M20" s="45" t="str">
        <f>"@ "&amp;$O$2*100&amp;" %"</f>
        <v>@ 98.59 %</v>
      </c>
      <c r="N20" s="26"/>
      <c r="O20" s="421"/>
      <c r="P20" s="65"/>
      <c r="Q20" s="41"/>
      <c r="R20" s="184" t="s">
        <v>33</v>
      </c>
      <c r="S20" s="159">
        <f>S19*$O$2</f>
        <v>0</v>
      </c>
      <c r="T20" s="42"/>
      <c r="U20" s="39"/>
      <c r="V20" s="156"/>
      <c r="W20" s="45" t="str">
        <f>"@ "&amp;$O$2*100&amp;" %"</f>
        <v>@ 98.59 %</v>
      </c>
      <c r="X20" s="64"/>
      <c r="Y20" s="421"/>
      <c r="Z20" s="65"/>
      <c r="AA20" s="41"/>
      <c r="AB20" s="184" t="s">
        <v>33</v>
      </c>
      <c r="AC20" s="159">
        <f>AC19*$O$2</f>
        <v>0</v>
      </c>
      <c r="AD20" s="42"/>
      <c r="AE20" s="39"/>
      <c r="AF20" s="156"/>
      <c r="AG20" s="45" t="str">
        <f>"@ "&amp;$O$2*100&amp;" %"</f>
        <v>@ 98.59 %</v>
      </c>
      <c r="AH20" s="26"/>
      <c r="AI20" s="234"/>
      <c r="AJ20" s="159">
        <f>I20+S20+AC20</f>
        <v>3314.1028500000002</v>
      </c>
      <c r="AK20" s="26"/>
    </row>
    <row r="21" spans="1:37" x14ac:dyDescent="0.25">
      <c r="A21" s="301" t="s">
        <v>8</v>
      </c>
      <c r="B21" s="218" t="str">
        <f t="shared" si="0"/>
        <v>Account ServicesTotal</v>
      </c>
      <c r="C21" s="220" t="s">
        <v>50</v>
      </c>
      <c r="D21" s="10"/>
      <c r="E21" s="10"/>
      <c r="F21" s="10"/>
      <c r="G21" s="10"/>
      <c r="H21" s="185" t="s">
        <v>34</v>
      </c>
      <c r="I21" s="165">
        <f>I20+I18</f>
        <v>6675.6028500000002</v>
      </c>
      <c r="J21" s="68"/>
      <c r="K21" s="68"/>
      <c r="L21" s="68"/>
      <c r="M21" s="63"/>
      <c r="N21" s="420">
        <f>I21</f>
        <v>6675.6028500000002</v>
      </c>
      <c r="O21" s="425">
        <f>N21/N45</f>
        <v>0.24945789382288378</v>
      </c>
      <c r="P21" s="65"/>
      <c r="Q21" s="41"/>
      <c r="R21" s="185" t="s">
        <v>34</v>
      </c>
      <c r="S21" s="165">
        <f>S20+S18</f>
        <v>0</v>
      </c>
      <c r="T21" s="68"/>
      <c r="U21" s="68"/>
      <c r="V21" s="68"/>
      <c r="W21" s="63"/>
      <c r="X21" s="52">
        <f>S21</f>
        <v>0</v>
      </c>
      <c r="Y21" s="425">
        <f>X21/X45</f>
        <v>0</v>
      </c>
      <c r="Z21" s="65"/>
      <c r="AA21" s="41"/>
      <c r="AB21" s="185" t="s">
        <v>34</v>
      </c>
      <c r="AC21" s="165">
        <f>AC20+AC18</f>
        <v>0</v>
      </c>
      <c r="AD21" s="68"/>
      <c r="AE21" s="68"/>
      <c r="AF21" s="68"/>
      <c r="AG21" s="63"/>
      <c r="AH21" s="420">
        <f>AC21</f>
        <v>0</v>
      </c>
      <c r="AI21" s="233" t="e">
        <f>AH21/AH45</f>
        <v>#DIV/0!</v>
      </c>
      <c r="AJ21" s="165">
        <f>I21+S21+AC21</f>
        <v>6675.6028500000002</v>
      </c>
      <c r="AK21" s="420"/>
    </row>
    <row r="22" spans="1:37" x14ac:dyDescent="0.25">
      <c r="A22" s="301" t="s">
        <v>8</v>
      </c>
      <c r="B22" s="218" t="str">
        <f t="shared" si="0"/>
        <v>Account Services</v>
      </c>
      <c r="C22" s="217" t="s">
        <v>48</v>
      </c>
      <c r="D22" s="10"/>
      <c r="E22" s="10"/>
      <c r="F22" s="10"/>
      <c r="G22" s="10"/>
      <c r="H22" s="179"/>
      <c r="I22" s="166"/>
      <c r="J22" s="69"/>
      <c r="K22" s="69"/>
      <c r="L22" s="69"/>
      <c r="M22" s="70"/>
      <c r="N22" s="72"/>
      <c r="O22" s="427"/>
      <c r="P22" s="73"/>
      <c r="Q22" s="60"/>
      <c r="R22" s="179"/>
      <c r="S22" s="166"/>
      <c r="T22" s="69"/>
      <c r="U22" s="69"/>
      <c r="V22" s="69"/>
      <c r="W22" s="70"/>
      <c r="X22" s="71"/>
      <c r="Y22" s="427"/>
      <c r="Z22" s="73"/>
      <c r="AA22" s="60"/>
      <c r="AB22" s="179"/>
      <c r="AC22" s="166"/>
      <c r="AD22" s="69"/>
      <c r="AE22" s="69"/>
      <c r="AF22" s="69"/>
      <c r="AG22" s="70"/>
      <c r="AH22" s="72"/>
      <c r="AI22" s="235"/>
      <c r="AJ22" s="166"/>
      <c r="AK22" s="72"/>
    </row>
    <row r="23" spans="1:37" x14ac:dyDescent="0.25">
      <c r="A23" s="301" t="s">
        <v>8</v>
      </c>
      <c r="B23" s="218" t="str">
        <f t="shared" si="0"/>
        <v>Account ServicesEQUIPMENT</v>
      </c>
      <c r="C23" s="220" t="s">
        <v>50</v>
      </c>
      <c r="D23" s="10"/>
      <c r="E23" s="10"/>
      <c r="F23" s="10"/>
      <c r="G23" s="10"/>
      <c r="H23" s="186" t="s">
        <v>36</v>
      </c>
      <c r="I23" s="167"/>
      <c r="J23" s="74"/>
      <c r="K23" s="74"/>
      <c r="L23" s="74"/>
      <c r="M23" s="66"/>
      <c r="N23" s="76"/>
      <c r="O23" s="428"/>
      <c r="P23" s="65"/>
      <c r="Q23" s="37"/>
      <c r="R23" s="186" t="s">
        <v>36</v>
      </c>
      <c r="S23" s="167"/>
      <c r="T23" s="74"/>
      <c r="U23" s="74"/>
      <c r="V23" s="74"/>
      <c r="W23" s="66"/>
      <c r="X23" s="75"/>
      <c r="Y23" s="428"/>
      <c r="Z23" s="65"/>
      <c r="AA23" s="37"/>
      <c r="AB23" s="186" t="s">
        <v>36</v>
      </c>
      <c r="AC23" s="167"/>
      <c r="AD23" s="74"/>
      <c r="AE23" s="74"/>
      <c r="AF23" s="74"/>
      <c r="AG23" s="66"/>
      <c r="AH23" s="76"/>
      <c r="AI23" s="237"/>
      <c r="AJ23" s="167"/>
      <c r="AK23" s="76"/>
    </row>
    <row r="24" spans="1:37" x14ac:dyDescent="0.25">
      <c r="A24" s="301" t="s">
        <v>8</v>
      </c>
      <c r="B24" s="218" t="str">
        <f t="shared" si="0"/>
        <v>Account Services</v>
      </c>
      <c r="C24" s="217" t="s">
        <v>48</v>
      </c>
      <c r="D24" s="10"/>
      <c r="E24" s="10"/>
      <c r="F24" s="10"/>
      <c r="G24" s="10"/>
      <c r="H24" s="187"/>
      <c r="I24" s="158">
        <f t="shared" ref="I24:I27" si="14">J24*K24</f>
        <v>0</v>
      </c>
      <c r="J24" s="42"/>
      <c r="K24" s="39"/>
      <c r="L24" s="39"/>
      <c r="M24" s="40" t="str">
        <f>J24&amp;" hrs @ "&amp;K24</f>
        <v xml:space="preserve"> hrs @ </v>
      </c>
      <c r="N24" s="76"/>
      <c r="O24" s="428"/>
      <c r="P24" s="65"/>
      <c r="Q24" s="37"/>
      <c r="R24" s="187"/>
      <c r="S24" s="158">
        <f t="shared" ref="S24:S27" si="15">T24*U24</f>
        <v>0</v>
      </c>
      <c r="T24" s="42"/>
      <c r="U24" s="39"/>
      <c r="V24" s="39"/>
      <c r="W24" s="40" t="str">
        <f>T24&amp;" hrs @ "&amp;U24</f>
        <v xml:space="preserve"> hrs @ </v>
      </c>
      <c r="X24" s="75"/>
      <c r="Y24" s="428"/>
      <c r="Z24" s="65"/>
      <c r="AA24" s="37"/>
      <c r="AB24" s="187"/>
      <c r="AC24" s="158">
        <f t="shared" ref="AC24:AC27" si="16">AD24*AE24</f>
        <v>0</v>
      </c>
      <c r="AD24" s="42"/>
      <c r="AE24" s="39"/>
      <c r="AF24" s="39"/>
      <c r="AG24" s="40" t="str">
        <f>AD24&amp;" hrs @ "&amp;AE24</f>
        <v xml:space="preserve"> hrs @ </v>
      </c>
      <c r="AH24" s="76"/>
      <c r="AI24" s="237"/>
      <c r="AJ24" s="158">
        <f>I24+S24+AC24</f>
        <v>0</v>
      </c>
      <c r="AK24" s="76"/>
    </row>
    <row r="25" spans="1:37" x14ac:dyDescent="0.25">
      <c r="A25" s="301" t="s">
        <v>8</v>
      </c>
      <c r="B25" s="218" t="str">
        <f t="shared" si="0"/>
        <v>Account Services</v>
      </c>
      <c r="C25" s="217" t="s">
        <v>48</v>
      </c>
      <c r="D25" s="10"/>
      <c r="E25" s="10"/>
      <c r="F25" s="10"/>
      <c r="G25" s="10"/>
      <c r="H25" s="187"/>
      <c r="I25" s="158"/>
      <c r="J25" s="42"/>
      <c r="K25" s="39"/>
      <c r="L25" s="42"/>
      <c r="M25" s="40" t="str">
        <f t="shared" ref="M25:M27" si="17">J25&amp;" hrs @ "&amp;K25</f>
        <v xml:space="preserve"> hrs @ </v>
      </c>
      <c r="N25" s="79"/>
      <c r="O25" s="422"/>
      <c r="P25" s="80"/>
      <c r="Q25" s="81"/>
      <c r="R25" s="187"/>
      <c r="S25" s="158">
        <f t="shared" si="15"/>
        <v>0</v>
      </c>
      <c r="T25" s="42"/>
      <c r="U25" s="39"/>
      <c r="V25" s="42"/>
      <c r="W25" s="40" t="str">
        <f t="shared" ref="W25:W27" si="18">T25&amp;" hrs @ "&amp;U25</f>
        <v xml:space="preserve"> hrs @ </v>
      </c>
      <c r="X25" s="78"/>
      <c r="Y25" s="422"/>
      <c r="Z25" s="80"/>
      <c r="AA25" s="81"/>
      <c r="AB25" s="187"/>
      <c r="AC25" s="158">
        <f t="shared" si="16"/>
        <v>0</v>
      </c>
      <c r="AD25" s="42"/>
      <c r="AE25" s="39"/>
      <c r="AF25" s="42"/>
      <c r="AG25" s="40" t="str">
        <f t="shared" ref="AG25:AG27" si="19">AD25&amp;" hrs @ "&amp;AE25</f>
        <v xml:space="preserve"> hrs @ </v>
      </c>
      <c r="AH25" s="79"/>
      <c r="AI25" s="238"/>
      <c r="AJ25" s="158">
        <f>I25+S25+AC25</f>
        <v>0</v>
      </c>
      <c r="AK25" s="79"/>
    </row>
    <row r="26" spans="1:37" x14ac:dyDescent="0.25">
      <c r="A26" s="301" t="s">
        <v>8</v>
      </c>
      <c r="B26" s="218" t="str">
        <f t="shared" si="0"/>
        <v>Account Services</v>
      </c>
      <c r="C26" s="217" t="s">
        <v>48</v>
      </c>
      <c r="D26" s="10"/>
      <c r="E26" s="10"/>
      <c r="F26" s="10"/>
      <c r="G26" s="10"/>
      <c r="H26" s="187"/>
      <c r="I26" s="158">
        <f t="shared" si="14"/>
        <v>0</v>
      </c>
      <c r="J26" s="42"/>
      <c r="K26" s="39"/>
      <c r="L26" s="42"/>
      <c r="M26" s="40" t="str">
        <f t="shared" si="17"/>
        <v xml:space="preserve"> hrs @ </v>
      </c>
      <c r="N26" s="79"/>
      <c r="O26" s="422"/>
      <c r="P26" s="80"/>
      <c r="Q26" s="81"/>
      <c r="R26" s="187"/>
      <c r="S26" s="158">
        <f t="shared" si="15"/>
        <v>0</v>
      </c>
      <c r="T26" s="42"/>
      <c r="U26" s="39"/>
      <c r="V26" s="42"/>
      <c r="W26" s="40" t="str">
        <f t="shared" si="18"/>
        <v xml:space="preserve"> hrs @ </v>
      </c>
      <c r="X26" s="78"/>
      <c r="Y26" s="422"/>
      <c r="Z26" s="80"/>
      <c r="AA26" s="81"/>
      <c r="AB26" s="187"/>
      <c r="AC26" s="158">
        <f t="shared" si="16"/>
        <v>0</v>
      </c>
      <c r="AD26" s="42"/>
      <c r="AE26" s="39"/>
      <c r="AF26" s="42"/>
      <c r="AG26" s="40" t="str">
        <f t="shared" si="19"/>
        <v xml:space="preserve"> hrs @ </v>
      </c>
      <c r="AH26" s="79"/>
      <c r="AI26" s="238"/>
      <c r="AJ26" s="158">
        <f>I26+S26+AC26</f>
        <v>0</v>
      </c>
      <c r="AK26" s="79"/>
    </row>
    <row r="27" spans="1:37" x14ac:dyDescent="0.25">
      <c r="A27" s="301" t="s">
        <v>8</v>
      </c>
      <c r="B27" s="218" t="str">
        <f t="shared" si="0"/>
        <v>Account Services</v>
      </c>
      <c r="C27" s="217" t="s">
        <v>48</v>
      </c>
      <c r="D27" s="10"/>
      <c r="E27" s="10"/>
      <c r="F27" s="10"/>
      <c r="G27" s="10"/>
      <c r="H27" s="256"/>
      <c r="I27" s="158">
        <f t="shared" si="14"/>
        <v>0</v>
      </c>
      <c r="J27" s="42"/>
      <c r="K27" s="39"/>
      <c r="L27" s="43"/>
      <c r="M27" s="40" t="str">
        <f t="shared" si="17"/>
        <v xml:space="preserve"> hrs @ </v>
      </c>
      <c r="N27" s="79"/>
      <c r="O27" s="422"/>
      <c r="P27" s="80"/>
      <c r="Q27" s="81"/>
      <c r="R27" s="187"/>
      <c r="S27" s="158">
        <f t="shared" si="15"/>
        <v>0</v>
      </c>
      <c r="T27" s="42"/>
      <c r="U27" s="39"/>
      <c r="V27" s="43"/>
      <c r="W27" s="40" t="str">
        <f t="shared" si="18"/>
        <v xml:space="preserve"> hrs @ </v>
      </c>
      <c r="X27" s="78"/>
      <c r="Y27" s="422"/>
      <c r="Z27" s="80"/>
      <c r="AA27" s="81"/>
      <c r="AB27" s="187"/>
      <c r="AC27" s="158">
        <f t="shared" si="16"/>
        <v>0</v>
      </c>
      <c r="AD27" s="42"/>
      <c r="AE27" s="39"/>
      <c r="AF27" s="43"/>
      <c r="AG27" s="40" t="str">
        <f t="shared" si="19"/>
        <v xml:space="preserve"> hrs @ </v>
      </c>
      <c r="AH27" s="79"/>
      <c r="AI27" s="238"/>
      <c r="AJ27" s="158">
        <f>I27+S27+AC27</f>
        <v>0</v>
      </c>
      <c r="AK27" s="79"/>
    </row>
    <row r="28" spans="1:37" x14ac:dyDescent="0.25">
      <c r="A28" s="301" t="s">
        <v>8</v>
      </c>
      <c r="B28" s="218" t="str">
        <f t="shared" si="0"/>
        <v>Account ServicesTotal Equipment</v>
      </c>
      <c r="C28" s="220" t="s">
        <v>50</v>
      </c>
      <c r="D28" s="10"/>
      <c r="E28" s="116">
        <f>I28</f>
        <v>0</v>
      </c>
      <c r="F28" s="116">
        <f>S28</f>
        <v>0</v>
      </c>
      <c r="G28" s="116">
        <f>AC28</f>
        <v>0</v>
      </c>
      <c r="H28" s="257" t="s">
        <v>37</v>
      </c>
      <c r="I28" s="165">
        <f>SUM(I24:I27)</f>
        <v>0</v>
      </c>
      <c r="J28" s="68"/>
      <c r="K28" s="68"/>
      <c r="L28" s="68"/>
      <c r="M28" s="66"/>
      <c r="N28" s="420">
        <f>I28</f>
        <v>0</v>
      </c>
      <c r="O28" s="425">
        <f>N28/N45</f>
        <v>0</v>
      </c>
      <c r="P28" s="80"/>
      <c r="Q28" s="81"/>
      <c r="R28" s="188" t="s">
        <v>37</v>
      </c>
      <c r="S28" s="165">
        <f>SUM(S24:S27)</f>
        <v>0</v>
      </c>
      <c r="T28" s="68"/>
      <c r="U28" s="68"/>
      <c r="V28" s="68"/>
      <c r="W28" s="66"/>
      <c r="X28" s="52">
        <f>S28</f>
        <v>0</v>
      </c>
      <c r="Y28" s="425">
        <f>X28/X45</f>
        <v>0</v>
      </c>
      <c r="Z28" s="80"/>
      <c r="AA28" s="81"/>
      <c r="AB28" s="188" t="s">
        <v>37</v>
      </c>
      <c r="AC28" s="165">
        <f>SUM(AC24:AC27)</f>
        <v>0</v>
      </c>
      <c r="AD28" s="68"/>
      <c r="AE28" s="68"/>
      <c r="AF28" s="68"/>
      <c r="AG28" s="66"/>
      <c r="AH28" s="420">
        <f>AC28</f>
        <v>0</v>
      </c>
      <c r="AI28" s="233" t="e">
        <f>AH28/AH45</f>
        <v>#DIV/0!</v>
      </c>
      <c r="AJ28" s="165">
        <f>I28+S28+AC28</f>
        <v>0</v>
      </c>
      <c r="AK28" s="420"/>
    </row>
    <row r="29" spans="1:37" x14ac:dyDescent="0.25">
      <c r="A29" s="301" t="s">
        <v>8</v>
      </c>
      <c r="B29" s="218" t="str">
        <f t="shared" si="0"/>
        <v>Account Services</v>
      </c>
      <c r="C29" s="217" t="s">
        <v>48</v>
      </c>
      <c r="D29" s="10"/>
      <c r="E29" s="10"/>
      <c r="F29" s="10"/>
      <c r="G29" s="10"/>
      <c r="H29" s="189"/>
      <c r="I29" s="169"/>
      <c r="J29" s="85"/>
      <c r="K29" s="85"/>
      <c r="L29" s="85"/>
      <c r="M29" s="86"/>
      <c r="N29" s="88"/>
      <c r="O29" s="429"/>
      <c r="P29" s="89"/>
      <c r="Q29" s="60"/>
      <c r="R29" s="189"/>
      <c r="S29" s="169"/>
      <c r="T29" s="85"/>
      <c r="U29" s="85"/>
      <c r="V29" s="85"/>
      <c r="W29" s="86"/>
      <c r="X29" s="87"/>
      <c r="Y29" s="429"/>
      <c r="Z29" s="89"/>
      <c r="AA29" s="60"/>
      <c r="AB29" s="189"/>
      <c r="AC29" s="169"/>
      <c r="AD29" s="85"/>
      <c r="AE29" s="85"/>
      <c r="AF29" s="85"/>
      <c r="AG29" s="86"/>
      <c r="AH29" s="88"/>
      <c r="AI29" s="241"/>
      <c r="AJ29" s="169"/>
      <c r="AK29" s="88"/>
    </row>
    <row r="30" spans="1:37" x14ac:dyDescent="0.25">
      <c r="A30" s="301" t="s">
        <v>8</v>
      </c>
      <c r="B30" s="218" t="str">
        <f t="shared" si="0"/>
        <v>Account ServicesIS SUPPORT</v>
      </c>
      <c r="C30" s="220" t="s">
        <v>50</v>
      </c>
      <c r="D30" s="10"/>
      <c r="E30" s="10"/>
      <c r="F30" s="10"/>
      <c r="G30" s="10"/>
      <c r="H30" s="186" t="s">
        <v>38</v>
      </c>
      <c r="I30" s="167"/>
      <c r="J30" s="74"/>
      <c r="K30" s="74"/>
      <c r="L30" s="74"/>
      <c r="M30" s="66"/>
      <c r="N30" s="91"/>
      <c r="O30" s="430"/>
      <c r="P30" s="92"/>
      <c r="Q30" s="37"/>
      <c r="R30" s="186" t="s">
        <v>38</v>
      </c>
      <c r="S30" s="167"/>
      <c r="T30" s="74"/>
      <c r="U30" s="74"/>
      <c r="V30" s="74"/>
      <c r="W30" s="66"/>
      <c r="X30" s="90"/>
      <c r="Y30" s="430"/>
      <c r="Z30" s="92"/>
      <c r="AA30" s="37"/>
      <c r="AB30" s="186" t="s">
        <v>38</v>
      </c>
      <c r="AC30" s="167"/>
      <c r="AD30" s="74"/>
      <c r="AE30" s="74"/>
      <c r="AF30" s="74"/>
      <c r="AG30" s="66"/>
      <c r="AH30" s="91"/>
      <c r="AI30" s="227"/>
      <c r="AJ30" s="167"/>
      <c r="AK30" s="91"/>
    </row>
    <row r="31" spans="1:37" x14ac:dyDescent="0.25">
      <c r="A31" s="301" t="s">
        <v>8</v>
      </c>
      <c r="B31" s="218" t="str">
        <f t="shared" si="0"/>
        <v>Account ServicesAnalyst Labor</v>
      </c>
      <c r="C31" s="217" t="s">
        <v>48</v>
      </c>
      <c r="D31" s="10"/>
      <c r="E31" s="10"/>
      <c r="F31" s="10"/>
      <c r="G31" s="10"/>
      <c r="H31" s="184" t="s">
        <v>39</v>
      </c>
      <c r="I31" s="163">
        <f>J31*K31</f>
        <v>0</v>
      </c>
      <c r="J31" s="42"/>
      <c r="K31" s="39"/>
      <c r="L31" s="39"/>
      <c r="M31" s="40" t="str">
        <f>J31&amp;" hrs @ "&amp;K31</f>
        <v xml:space="preserve"> hrs @ </v>
      </c>
      <c r="N31" s="94"/>
      <c r="O31" s="423"/>
      <c r="P31" s="92"/>
      <c r="Q31" s="37"/>
      <c r="R31" s="184" t="s">
        <v>39</v>
      </c>
      <c r="S31" s="163">
        <f>T31*U31</f>
        <v>0</v>
      </c>
      <c r="T31" s="42"/>
      <c r="U31" s="39"/>
      <c r="V31" s="39"/>
      <c r="W31" s="40" t="str">
        <f>T31&amp;" hrs @ "&amp;U31</f>
        <v xml:space="preserve"> hrs @ </v>
      </c>
      <c r="X31" s="93"/>
      <c r="Y31" s="423"/>
      <c r="Z31" s="92"/>
      <c r="AA31" s="37"/>
      <c r="AB31" s="184" t="s">
        <v>39</v>
      </c>
      <c r="AC31" s="163">
        <f>AD31*AE31</f>
        <v>0</v>
      </c>
      <c r="AD31" s="42"/>
      <c r="AE31" s="39">
        <v>22.94</v>
      </c>
      <c r="AF31" s="39"/>
      <c r="AG31" s="40" t="str">
        <f>AD31&amp;" hrs @ "&amp;AE31</f>
        <v xml:space="preserve"> hrs @ 22.94</v>
      </c>
      <c r="AH31" s="94"/>
      <c r="AI31" s="242"/>
      <c r="AJ31" s="163">
        <f>I31+S31+AC31</f>
        <v>0</v>
      </c>
      <c r="AK31" s="94"/>
    </row>
    <row r="32" spans="1:37" x14ac:dyDescent="0.25">
      <c r="A32" s="301" t="s">
        <v>8</v>
      </c>
      <c r="B32" s="218" t="str">
        <f t="shared" si="0"/>
        <v>Account ServicesAnalyst Benefits</v>
      </c>
      <c r="C32" s="217" t="s">
        <v>48</v>
      </c>
      <c r="D32" s="10"/>
      <c r="E32" s="10"/>
      <c r="F32" s="10"/>
      <c r="G32" s="10"/>
      <c r="H32" s="179" t="s">
        <v>40</v>
      </c>
      <c r="I32" s="159">
        <f>I31*$O$2</f>
        <v>0</v>
      </c>
      <c r="J32" s="42"/>
      <c r="K32" s="39"/>
      <c r="L32" s="156"/>
      <c r="M32" s="45" t="str">
        <f>"@ "&amp;$O$2*100&amp;" %"</f>
        <v>@ 98.59 %</v>
      </c>
      <c r="N32" s="94"/>
      <c r="O32" s="423"/>
      <c r="P32" s="92"/>
      <c r="Q32" s="37"/>
      <c r="R32" s="184" t="s">
        <v>40</v>
      </c>
      <c r="S32" s="159">
        <f>S31*$O$2</f>
        <v>0</v>
      </c>
      <c r="T32" s="42"/>
      <c r="U32" s="39"/>
      <c r="V32" s="156"/>
      <c r="W32" s="45" t="str">
        <f>"@ "&amp;$O$2*100&amp;" %"</f>
        <v>@ 98.59 %</v>
      </c>
      <c r="X32" s="93"/>
      <c r="Y32" s="423"/>
      <c r="Z32" s="92"/>
      <c r="AA32" s="37"/>
      <c r="AB32" s="184" t="s">
        <v>40</v>
      </c>
      <c r="AC32" s="159">
        <f>AC31*$O$2</f>
        <v>0</v>
      </c>
      <c r="AD32" s="42"/>
      <c r="AE32" s="39"/>
      <c r="AF32" s="156"/>
      <c r="AG32" s="45" t="str">
        <f>"@ "&amp;$O$2*100&amp;" %"</f>
        <v>@ 98.59 %</v>
      </c>
      <c r="AH32" s="94"/>
      <c r="AI32" s="242"/>
      <c r="AJ32" s="159">
        <f>I32+S32+AC32</f>
        <v>0</v>
      </c>
      <c r="AK32" s="94"/>
    </row>
    <row r="33" spans="1:37" x14ac:dyDescent="0.25">
      <c r="A33" s="301" t="s">
        <v>8</v>
      </c>
      <c r="B33" s="218" t="str">
        <f t="shared" si="0"/>
        <v>Account ServicesTotal IS</v>
      </c>
      <c r="C33" s="220" t="s">
        <v>50</v>
      </c>
      <c r="D33" s="10"/>
      <c r="E33" s="10"/>
      <c r="F33" s="10"/>
      <c r="G33" s="10"/>
      <c r="H33" s="258" t="s">
        <v>41</v>
      </c>
      <c r="I33" s="165">
        <f>I31+I32</f>
        <v>0</v>
      </c>
      <c r="J33" s="68"/>
      <c r="K33" s="68"/>
      <c r="L33" s="68"/>
      <c r="M33" s="66"/>
      <c r="N33" s="420">
        <f>I33</f>
        <v>0</v>
      </c>
      <c r="O33" s="425">
        <f>N33/N45</f>
        <v>0</v>
      </c>
      <c r="P33" s="92"/>
      <c r="Q33" s="37"/>
      <c r="R33" s="185" t="s">
        <v>41</v>
      </c>
      <c r="S33" s="165">
        <f>S31+S32</f>
        <v>0</v>
      </c>
      <c r="T33" s="68"/>
      <c r="U33" s="68"/>
      <c r="V33" s="68"/>
      <c r="W33" s="66"/>
      <c r="X33" s="52">
        <f>S33</f>
        <v>0</v>
      </c>
      <c r="Y33" s="425">
        <f>X33/X45</f>
        <v>0</v>
      </c>
      <c r="Z33" s="92"/>
      <c r="AA33" s="37"/>
      <c r="AB33" s="185" t="s">
        <v>41</v>
      </c>
      <c r="AC33" s="165">
        <f>AC31+AC32</f>
        <v>0</v>
      </c>
      <c r="AD33" s="68"/>
      <c r="AE33" s="68"/>
      <c r="AF33" s="68"/>
      <c r="AG33" s="66"/>
      <c r="AH33" s="420">
        <f>AC33</f>
        <v>0</v>
      </c>
      <c r="AI33" s="233" t="e">
        <f>AH33/AH45</f>
        <v>#DIV/0!</v>
      </c>
      <c r="AJ33" s="165">
        <f>I33+S33+AC33</f>
        <v>0</v>
      </c>
      <c r="AK33" s="420"/>
    </row>
    <row r="34" spans="1:37" x14ac:dyDescent="0.25">
      <c r="A34" s="301" t="s">
        <v>8</v>
      </c>
      <c r="B34" s="218" t="str">
        <f t="shared" si="0"/>
        <v>Account Services</v>
      </c>
      <c r="C34" s="217" t="s">
        <v>48</v>
      </c>
      <c r="D34" s="10"/>
      <c r="E34" s="10"/>
      <c r="F34" s="10"/>
      <c r="G34" s="10"/>
      <c r="H34" s="179"/>
      <c r="I34" s="170"/>
      <c r="J34" s="95"/>
      <c r="K34" s="95"/>
      <c r="L34" s="95"/>
      <c r="M34" s="96"/>
      <c r="N34" s="98"/>
      <c r="O34" s="431"/>
      <c r="P34" s="99"/>
      <c r="Q34" s="60"/>
      <c r="R34" s="179"/>
      <c r="S34" s="170"/>
      <c r="T34" s="95"/>
      <c r="U34" s="95"/>
      <c r="V34" s="95"/>
      <c r="W34" s="96"/>
      <c r="X34" s="97"/>
      <c r="Y34" s="431"/>
      <c r="Z34" s="99"/>
      <c r="AA34" s="60"/>
      <c r="AB34" s="179"/>
      <c r="AC34" s="170"/>
      <c r="AD34" s="95"/>
      <c r="AE34" s="95"/>
      <c r="AF34" s="95"/>
      <c r="AG34" s="96"/>
      <c r="AH34" s="98"/>
      <c r="AI34" s="243"/>
      <c r="AJ34" s="170"/>
      <c r="AK34" s="98"/>
    </row>
    <row r="35" spans="1:37" x14ac:dyDescent="0.25">
      <c r="A35" s="301" t="s">
        <v>8</v>
      </c>
      <c r="B35" s="218" t="str">
        <f t="shared" si="0"/>
        <v>Account ServicesOTHER</v>
      </c>
      <c r="C35" s="220" t="s">
        <v>50</v>
      </c>
      <c r="D35" s="10"/>
      <c r="E35" s="10"/>
      <c r="F35" s="10"/>
      <c r="G35" s="10"/>
      <c r="H35" s="186" t="s">
        <v>42</v>
      </c>
      <c r="I35" s="167"/>
      <c r="J35" s="74"/>
      <c r="K35" s="74"/>
      <c r="L35" s="74"/>
      <c r="M35" s="66"/>
      <c r="N35" s="91"/>
      <c r="O35" s="430"/>
      <c r="P35" s="92"/>
      <c r="Q35" s="37"/>
      <c r="R35" s="186" t="s">
        <v>42</v>
      </c>
      <c r="S35" s="167"/>
      <c r="T35" s="74"/>
      <c r="U35" s="74"/>
      <c r="V35" s="74"/>
      <c r="W35" s="66"/>
      <c r="X35" s="90"/>
      <c r="Y35" s="430"/>
      <c r="Z35" s="92"/>
      <c r="AA35" s="37"/>
      <c r="AB35" s="186" t="s">
        <v>42</v>
      </c>
      <c r="AC35" s="167"/>
      <c r="AD35" s="74"/>
      <c r="AE35" s="74"/>
      <c r="AF35" s="74"/>
      <c r="AG35" s="66"/>
      <c r="AH35" s="91"/>
      <c r="AI35" s="227"/>
      <c r="AJ35" s="167"/>
      <c r="AK35" s="91"/>
    </row>
    <row r="36" spans="1:37" x14ac:dyDescent="0.25">
      <c r="A36" s="301" t="s">
        <v>8</v>
      </c>
      <c r="B36" s="218" t="str">
        <f t="shared" si="0"/>
        <v>Account Services</v>
      </c>
      <c r="C36" s="217" t="s">
        <v>48</v>
      </c>
      <c r="D36" s="10"/>
      <c r="E36" s="10"/>
      <c r="F36" s="10"/>
      <c r="G36" s="10"/>
      <c r="H36" s="184"/>
      <c r="I36" s="163">
        <f>J36*K36</f>
        <v>0</v>
      </c>
      <c r="J36" s="42"/>
      <c r="K36" s="39"/>
      <c r="L36" s="42"/>
      <c r="M36" s="66"/>
      <c r="N36" s="91"/>
      <c r="O36" s="430"/>
      <c r="P36" s="92"/>
      <c r="Q36" s="37"/>
      <c r="R36" s="184"/>
      <c r="S36" s="163">
        <f>T36*U36</f>
        <v>0</v>
      </c>
      <c r="T36" s="42"/>
      <c r="U36" s="39"/>
      <c r="V36" s="42"/>
      <c r="W36" s="66"/>
      <c r="X36" s="90"/>
      <c r="Y36" s="430"/>
      <c r="Z36" s="92"/>
      <c r="AA36" s="37"/>
      <c r="AB36" s="184"/>
      <c r="AC36" s="163">
        <f>AD36*AE36</f>
        <v>0</v>
      </c>
      <c r="AD36" s="42"/>
      <c r="AE36" s="39"/>
      <c r="AF36" s="42"/>
      <c r="AG36" s="66"/>
      <c r="AH36" s="91"/>
      <c r="AI36" s="227"/>
      <c r="AJ36" s="163"/>
      <c r="AK36" s="91"/>
    </row>
    <row r="37" spans="1:37" x14ac:dyDescent="0.25">
      <c r="A37" s="301" t="s">
        <v>8</v>
      </c>
      <c r="B37" s="218" t="str">
        <f t="shared" si="0"/>
        <v>Account Services</v>
      </c>
      <c r="C37" s="217" t="s">
        <v>48</v>
      </c>
      <c r="D37" s="10"/>
      <c r="E37" s="10"/>
      <c r="F37" s="10"/>
      <c r="G37" s="10"/>
      <c r="H37" s="184"/>
      <c r="I37" s="163">
        <f t="shared" ref="I37:I41" si="20">J37*K37</f>
        <v>0</v>
      </c>
      <c r="J37" s="42"/>
      <c r="K37" s="39"/>
      <c r="L37" s="42"/>
      <c r="M37" s="66"/>
      <c r="N37" s="91"/>
      <c r="O37" s="430"/>
      <c r="P37" s="92"/>
      <c r="Q37" s="37"/>
      <c r="R37" s="184"/>
      <c r="S37" s="163">
        <f t="shared" ref="S37:S41" si="21">T37*U37</f>
        <v>0</v>
      </c>
      <c r="T37" s="42"/>
      <c r="U37" s="39"/>
      <c r="V37" s="42"/>
      <c r="W37" s="66"/>
      <c r="X37" s="90"/>
      <c r="Y37" s="430"/>
      <c r="Z37" s="92"/>
      <c r="AA37" s="37"/>
      <c r="AB37" s="184"/>
      <c r="AC37" s="163">
        <f t="shared" ref="AC37:AC41" si="22">AD37*AE37</f>
        <v>0</v>
      </c>
      <c r="AD37" s="42"/>
      <c r="AE37" s="39"/>
      <c r="AF37" s="42"/>
      <c r="AG37" s="66"/>
      <c r="AH37" s="91"/>
      <c r="AI37" s="227"/>
      <c r="AJ37" s="163"/>
      <c r="AK37" s="91"/>
    </row>
    <row r="38" spans="1:37" x14ac:dyDescent="0.25">
      <c r="A38" s="301" t="s">
        <v>8</v>
      </c>
      <c r="B38" s="218" t="str">
        <f t="shared" si="0"/>
        <v>Account Services</v>
      </c>
      <c r="C38" s="217" t="s">
        <v>48</v>
      </c>
      <c r="D38" s="10"/>
      <c r="E38" s="10"/>
      <c r="F38" s="10"/>
      <c r="G38" s="10"/>
      <c r="H38" s="184"/>
      <c r="I38" s="163">
        <f t="shared" si="20"/>
        <v>0</v>
      </c>
      <c r="J38" s="42"/>
      <c r="K38" s="39"/>
      <c r="L38" s="42"/>
      <c r="M38" s="66"/>
      <c r="N38" s="91"/>
      <c r="O38" s="430"/>
      <c r="P38" s="92"/>
      <c r="Q38" s="37"/>
      <c r="R38" s="184"/>
      <c r="S38" s="163">
        <f t="shared" si="21"/>
        <v>0</v>
      </c>
      <c r="T38" s="42"/>
      <c r="U38" s="39"/>
      <c r="V38" s="42"/>
      <c r="W38" s="66"/>
      <c r="X38" s="90"/>
      <c r="Y38" s="430"/>
      <c r="Z38" s="92"/>
      <c r="AA38" s="37"/>
      <c r="AB38" s="184"/>
      <c r="AC38" s="163">
        <f t="shared" si="22"/>
        <v>0</v>
      </c>
      <c r="AD38" s="42"/>
      <c r="AE38" s="39"/>
      <c r="AF38" s="42"/>
      <c r="AG38" s="66"/>
      <c r="AH38" s="91"/>
      <c r="AI38" s="227"/>
      <c r="AJ38" s="163"/>
      <c r="AK38" s="91"/>
    </row>
    <row r="39" spans="1:37" x14ac:dyDescent="0.25">
      <c r="A39" s="301" t="s">
        <v>8</v>
      </c>
      <c r="B39" s="218" t="str">
        <f t="shared" si="0"/>
        <v>Account Services</v>
      </c>
      <c r="C39" s="217" t="s">
        <v>48</v>
      </c>
      <c r="D39" s="10"/>
      <c r="E39" s="10"/>
      <c r="F39" s="10"/>
      <c r="G39" s="10"/>
      <c r="H39" s="184"/>
      <c r="I39" s="163">
        <f t="shared" si="20"/>
        <v>0</v>
      </c>
      <c r="J39" s="42"/>
      <c r="K39" s="39"/>
      <c r="L39" s="42"/>
      <c r="M39" s="66"/>
      <c r="N39" s="91"/>
      <c r="O39" s="430"/>
      <c r="P39" s="92"/>
      <c r="Q39" s="37"/>
      <c r="R39" s="184"/>
      <c r="S39" s="163">
        <f t="shared" si="21"/>
        <v>0</v>
      </c>
      <c r="T39" s="42"/>
      <c r="U39" s="39"/>
      <c r="V39" s="42"/>
      <c r="W39" s="66"/>
      <c r="X39" s="90"/>
      <c r="Y39" s="430"/>
      <c r="Z39" s="92"/>
      <c r="AA39" s="37"/>
      <c r="AB39" s="184"/>
      <c r="AC39" s="163">
        <f t="shared" si="22"/>
        <v>0</v>
      </c>
      <c r="AD39" s="42"/>
      <c r="AE39" s="39"/>
      <c r="AF39" s="42"/>
      <c r="AG39" s="66"/>
      <c r="AH39" s="91"/>
      <c r="AI39" s="227"/>
      <c r="AJ39" s="163"/>
      <c r="AK39" s="91"/>
    </row>
    <row r="40" spans="1:37" x14ac:dyDescent="0.25">
      <c r="A40" s="301" t="s">
        <v>8</v>
      </c>
      <c r="B40" s="218" t="str">
        <f t="shared" si="0"/>
        <v>Account Services</v>
      </c>
      <c r="C40" s="217" t="s">
        <v>48</v>
      </c>
      <c r="D40" s="10"/>
      <c r="E40" s="10"/>
      <c r="F40" s="10"/>
      <c r="G40" s="10"/>
      <c r="H40" s="184"/>
      <c r="I40" s="163">
        <f t="shared" si="20"/>
        <v>0</v>
      </c>
      <c r="J40" s="42"/>
      <c r="K40" s="39"/>
      <c r="L40" s="42"/>
      <c r="M40" s="66"/>
      <c r="N40" s="91"/>
      <c r="O40" s="430"/>
      <c r="P40" s="92"/>
      <c r="Q40" s="37"/>
      <c r="R40" s="184"/>
      <c r="S40" s="163">
        <f t="shared" si="21"/>
        <v>0</v>
      </c>
      <c r="T40" s="42"/>
      <c r="U40" s="39"/>
      <c r="V40" s="42"/>
      <c r="W40" s="66"/>
      <c r="X40" s="90"/>
      <c r="Y40" s="430"/>
      <c r="Z40" s="92"/>
      <c r="AA40" s="37"/>
      <c r="AB40" s="184"/>
      <c r="AC40" s="163">
        <f t="shared" si="22"/>
        <v>0</v>
      </c>
      <c r="AD40" s="42"/>
      <c r="AE40" s="39"/>
      <c r="AF40" s="42"/>
      <c r="AG40" s="66"/>
      <c r="AH40" s="91"/>
      <c r="AI40" s="227"/>
      <c r="AJ40" s="163"/>
      <c r="AK40" s="91"/>
    </row>
    <row r="41" spans="1:37" x14ac:dyDescent="0.25">
      <c r="A41" s="301" t="s">
        <v>8</v>
      </c>
      <c r="B41" s="218" t="str">
        <f t="shared" si="0"/>
        <v>Account Services</v>
      </c>
      <c r="C41" s="217" t="s">
        <v>48</v>
      </c>
      <c r="D41" s="10"/>
      <c r="E41" s="10"/>
      <c r="F41" s="10"/>
      <c r="G41" s="10"/>
      <c r="H41" s="179"/>
      <c r="I41" s="163">
        <f t="shared" si="20"/>
        <v>0</v>
      </c>
      <c r="J41" s="82"/>
      <c r="K41" s="82"/>
      <c r="L41" s="67"/>
      <c r="M41" s="177"/>
      <c r="N41" s="94"/>
      <c r="O41" s="423"/>
      <c r="P41" s="92"/>
      <c r="Q41" s="37"/>
      <c r="R41" s="184"/>
      <c r="S41" s="163">
        <f t="shared" si="21"/>
        <v>0</v>
      </c>
      <c r="T41" s="82"/>
      <c r="U41" s="82"/>
      <c r="V41" s="67"/>
      <c r="W41" s="177"/>
      <c r="X41" s="93"/>
      <c r="Y41" s="423"/>
      <c r="Z41" s="92"/>
      <c r="AA41" s="37"/>
      <c r="AB41" s="184"/>
      <c r="AC41" s="163">
        <f t="shared" si="22"/>
        <v>0</v>
      </c>
      <c r="AD41" s="82"/>
      <c r="AE41" s="82"/>
      <c r="AF41" s="67"/>
      <c r="AG41" s="177"/>
      <c r="AH41" s="94"/>
      <c r="AI41" s="242"/>
      <c r="AJ41" s="163"/>
      <c r="AK41" s="94"/>
    </row>
    <row r="42" spans="1:37" x14ac:dyDescent="0.25">
      <c r="A42" s="301" t="s">
        <v>8</v>
      </c>
      <c r="B42" s="218" t="str">
        <f t="shared" si="0"/>
        <v>Account ServicesTotal Other</v>
      </c>
      <c r="C42" s="220" t="s">
        <v>50</v>
      </c>
      <c r="D42" s="10"/>
      <c r="E42" s="116">
        <f>I42</f>
        <v>0</v>
      </c>
      <c r="F42" s="116">
        <f>S42</f>
        <v>0</v>
      </c>
      <c r="G42" s="116">
        <f>AC42</f>
        <v>0</v>
      </c>
      <c r="H42" s="229" t="s">
        <v>45</v>
      </c>
      <c r="I42" s="209">
        <f>SUM(I36:I41)</f>
        <v>0</v>
      </c>
      <c r="J42" s="152"/>
      <c r="K42" s="152"/>
      <c r="L42" s="152"/>
      <c r="M42" s="86"/>
      <c r="N42" s="210">
        <f>I42</f>
        <v>0</v>
      </c>
      <c r="O42" s="211">
        <f>N42/N45</f>
        <v>0</v>
      </c>
      <c r="P42" s="99"/>
      <c r="Q42" s="60"/>
      <c r="R42" s="134" t="s">
        <v>45</v>
      </c>
      <c r="S42" s="209">
        <f>SUM(S36:S41)</f>
        <v>0</v>
      </c>
      <c r="T42" s="152"/>
      <c r="U42" s="152"/>
      <c r="V42" s="152"/>
      <c r="W42" s="86"/>
      <c r="X42" s="210">
        <f>S42</f>
        <v>0</v>
      </c>
      <c r="Y42" s="211">
        <f>X42/X45</f>
        <v>0</v>
      </c>
      <c r="Z42" s="99"/>
      <c r="AA42" s="60"/>
      <c r="AB42" s="134" t="s">
        <v>45</v>
      </c>
      <c r="AC42" s="209">
        <f>SUM(AC36:AC41)</f>
        <v>0</v>
      </c>
      <c r="AD42" s="152"/>
      <c r="AE42" s="152"/>
      <c r="AF42" s="152"/>
      <c r="AG42" s="86"/>
      <c r="AH42" s="210">
        <f>AC42</f>
        <v>0</v>
      </c>
      <c r="AI42" s="211" t="e">
        <f>AH42/AH45</f>
        <v>#DIV/0!</v>
      </c>
      <c r="AJ42" s="209">
        <f>I42+S42+AC42</f>
        <v>0</v>
      </c>
      <c r="AK42" s="210"/>
    </row>
    <row r="43" spans="1:37" x14ac:dyDescent="0.25">
      <c r="A43" s="301" t="s">
        <v>8</v>
      </c>
      <c r="B43" s="218" t="str">
        <f t="shared" si="0"/>
        <v>Account Services</v>
      </c>
      <c r="C43" s="217" t="s">
        <v>48</v>
      </c>
      <c r="D43" s="10"/>
      <c r="E43" s="10"/>
      <c r="F43" s="10"/>
      <c r="G43" s="10"/>
      <c r="H43" s="135"/>
      <c r="I43" s="171"/>
      <c r="J43" s="153"/>
      <c r="K43" s="153"/>
      <c r="L43" s="153"/>
      <c r="M43" s="66"/>
      <c r="N43" s="91"/>
      <c r="O43" s="135"/>
      <c r="P43" s="92"/>
      <c r="Q43" s="37"/>
      <c r="R43" s="135"/>
      <c r="S43" s="171"/>
      <c r="T43" s="153"/>
      <c r="U43" s="153"/>
      <c r="V43" s="153"/>
      <c r="W43" s="66"/>
      <c r="X43" s="90"/>
      <c r="Y43" s="135"/>
      <c r="Z43" s="92"/>
      <c r="AA43" s="37"/>
      <c r="AB43" s="135"/>
      <c r="AC43" s="171"/>
      <c r="AD43" s="153"/>
      <c r="AE43" s="153"/>
      <c r="AF43" s="153"/>
      <c r="AG43" s="66"/>
      <c r="AH43" s="91"/>
      <c r="AI43" s="135"/>
      <c r="AJ43" s="171"/>
      <c r="AK43" s="91"/>
    </row>
    <row r="44" spans="1:37" x14ac:dyDescent="0.25">
      <c r="A44" s="301" t="s">
        <v>8</v>
      </c>
      <c r="B44" s="218" t="str">
        <f t="shared" si="0"/>
        <v>Account ServicesTOTALS</v>
      </c>
      <c r="C44" s="217" t="s">
        <v>48</v>
      </c>
      <c r="D44" s="10"/>
      <c r="E44" s="10"/>
      <c r="F44" s="10"/>
      <c r="G44" s="10"/>
      <c r="H44" s="136" t="s">
        <v>28</v>
      </c>
      <c r="I44" s="172"/>
      <c r="J44" s="42"/>
      <c r="K44" s="39"/>
      <c r="L44" s="154"/>
      <c r="M44" s="33"/>
      <c r="N44" s="91"/>
      <c r="O44" s="136"/>
      <c r="P44" s="92"/>
      <c r="Q44" s="37"/>
      <c r="R44" s="136" t="s">
        <v>28</v>
      </c>
      <c r="S44" s="172"/>
      <c r="T44" s="42"/>
      <c r="U44" s="39"/>
      <c r="V44" s="154"/>
      <c r="W44" s="33"/>
      <c r="X44" s="90"/>
      <c r="Y44" s="136"/>
      <c r="Z44" s="92"/>
      <c r="AA44" s="37"/>
      <c r="AB44" s="136" t="s">
        <v>28</v>
      </c>
      <c r="AC44" s="172"/>
      <c r="AD44" s="42"/>
      <c r="AE44" s="39"/>
      <c r="AF44" s="154"/>
      <c r="AG44" s="33"/>
      <c r="AH44" s="91"/>
      <c r="AI44" s="136"/>
      <c r="AJ44" s="172"/>
      <c r="AK44" s="91"/>
    </row>
    <row r="45" spans="1:37" x14ac:dyDescent="0.25">
      <c r="A45" s="301" t="s">
        <v>8</v>
      </c>
      <c r="B45" s="218" t="str">
        <f t="shared" si="0"/>
        <v>Account ServicesPER YEAR</v>
      </c>
      <c r="C45" s="220" t="s">
        <v>50</v>
      </c>
      <c r="D45" s="10"/>
      <c r="E45" s="116">
        <f>I45</f>
        <v>26760.439398000002</v>
      </c>
      <c r="F45" s="116">
        <f>S45</f>
        <v>2167.3119649999999</v>
      </c>
      <c r="G45" s="116">
        <f>S45</f>
        <v>2167.3119649999999</v>
      </c>
      <c r="H45" s="105" t="s">
        <v>46</v>
      </c>
      <c r="I45" s="106">
        <f>I14+I21+I28+I33+I42</f>
        <v>26760.439398000002</v>
      </c>
      <c r="J45" s="106"/>
      <c r="K45" s="106"/>
      <c r="L45" s="106"/>
      <c r="M45" s="107"/>
      <c r="N45" s="420">
        <f>SUM(N14:N43)</f>
        <v>26760.439398000002</v>
      </c>
      <c r="O45" s="425">
        <f>SUM(O14:O43)</f>
        <v>1</v>
      </c>
      <c r="P45" s="92"/>
      <c r="Q45" s="37"/>
      <c r="R45" s="190" t="s">
        <v>46</v>
      </c>
      <c r="S45" s="106">
        <f>S14+S21+S28+S33+S42</f>
        <v>2167.3119649999999</v>
      </c>
      <c r="T45" s="106"/>
      <c r="U45" s="106"/>
      <c r="V45" s="106"/>
      <c r="W45" s="107"/>
      <c r="X45" s="52">
        <f>SUM(X14:X43)</f>
        <v>2167.3119649999999</v>
      </c>
      <c r="Y45" s="425">
        <f>SUM(Y14:Y43)</f>
        <v>1</v>
      </c>
      <c r="Z45" s="92"/>
      <c r="AA45" s="37"/>
      <c r="AB45" s="190" t="s">
        <v>46</v>
      </c>
      <c r="AC45" s="106">
        <f>AC14+AC21+AC28+AC33+AC42</f>
        <v>0</v>
      </c>
      <c r="AD45" s="106"/>
      <c r="AE45" s="106"/>
      <c r="AF45" s="106"/>
      <c r="AG45" s="107"/>
      <c r="AH45" s="420">
        <f>SUM(AH14:AH43)</f>
        <v>0</v>
      </c>
      <c r="AI45" s="233" t="e">
        <f>SUM(AI14:AI43)</f>
        <v>#DIV/0!</v>
      </c>
      <c r="AJ45" s="106">
        <f>I45+S45+AC45</f>
        <v>28927.751363000003</v>
      </c>
      <c r="AK45" s="420"/>
    </row>
    <row r="46" spans="1:37" x14ac:dyDescent="0.25">
      <c r="A46" s="301" t="s">
        <v>8</v>
      </c>
      <c r="B46" s="218" t="str">
        <f t="shared" si="0"/>
        <v>Account ServicesPER BILL</v>
      </c>
      <c r="C46" s="220" t="s">
        <v>50</v>
      </c>
      <c r="D46" s="10"/>
      <c r="E46" s="10"/>
      <c r="F46" s="10"/>
      <c r="G46" s="10"/>
      <c r="H46" s="245" t="s">
        <v>283</v>
      </c>
      <c r="I46" s="653">
        <f>I45/I$6</f>
        <v>3.4260773720011114E-3</v>
      </c>
      <c r="J46" s="654"/>
      <c r="K46" s="654"/>
      <c r="L46" s="654"/>
      <c r="M46" s="655"/>
      <c r="N46" s="98"/>
      <c r="O46" s="137"/>
      <c r="P46" s="99"/>
      <c r="Q46" s="60"/>
      <c r="R46" s="245" t="s">
        <v>283</v>
      </c>
      <c r="S46" s="108">
        <f>S45/S$6</f>
        <v>2.8449657327456069E-3</v>
      </c>
      <c r="T46" s="108"/>
      <c r="U46" s="108"/>
      <c r="V46" s="108"/>
      <c r="W46" s="109"/>
      <c r="X46" s="97"/>
      <c r="Y46" s="137"/>
      <c r="Z46" s="99"/>
      <c r="AA46" s="60"/>
      <c r="AB46" s="245" t="s">
        <v>283</v>
      </c>
      <c r="AC46" s="108">
        <f>AC45/AC$6</f>
        <v>0</v>
      </c>
      <c r="AD46" s="108"/>
      <c r="AE46" s="108"/>
      <c r="AF46" s="108"/>
      <c r="AG46" s="109"/>
      <c r="AH46" s="98"/>
      <c r="AI46" s="137"/>
      <c r="AJ46" s="108">
        <f>I46+S46+AC46</f>
        <v>6.2710431047467187E-3</v>
      </c>
      <c r="AK46" s="98"/>
    </row>
    <row r="47" spans="1:37" x14ac:dyDescent="0.25">
      <c r="A47" s="301" t="s">
        <v>8</v>
      </c>
      <c r="B47" s="218"/>
      <c r="C47" s="220"/>
      <c r="D47" s="10"/>
      <c r="E47" s="10"/>
      <c r="F47" s="10"/>
      <c r="G47" s="10"/>
      <c r="H47" s="137" t="s">
        <v>553</v>
      </c>
      <c r="I47" s="652">
        <f>I14+I21</f>
        <v>26760.439398000002</v>
      </c>
      <c r="J47" s="108"/>
      <c r="K47" s="108"/>
      <c r="L47" s="108"/>
      <c r="M47" s="109"/>
      <c r="N47" s="649"/>
      <c r="O47" s="650"/>
      <c r="P47" s="92"/>
      <c r="Q47" s="37"/>
      <c r="R47" s="137" t="s">
        <v>553</v>
      </c>
      <c r="S47" s="652">
        <f>S14+S21</f>
        <v>2167.3119649999999</v>
      </c>
      <c r="T47" s="108"/>
      <c r="U47" s="108"/>
      <c r="V47" s="108"/>
      <c r="W47" s="109"/>
      <c r="X47" s="651"/>
      <c r="Y47" s="650"/>
      <c r="Z47" s="92"/>
      <c r="AA47" s="37"/>
      <c r="AB47" s="137" t="s">
        <v>553</v>
      </c>
      <c r="AC47" s="652">
        <f>AC14+AC21</f>
        <v>0</v>
      </c>
      <c r="AD47" s="108"/>
      <c r="AE47" s="108"/>
      <c r="AF47" s="108"/>
      <c r="AG47" s="109"/>
      <c r="AH47" s="649"/>
      <c r="AI47" s="137"/>
      <c r="AJ47" s="652">
        <f>I47+S47+AC47</f>
        <v>28927.751363000003</v>
      </c>
      <c r="AK47" s="649"/>
    </row>
    <row r="48" spans="1:37" x14ac:dyDescent="0.25">
      <c r="A48" s="301" t="s">
        <v>8</v>
      </c>
      <c r="B48" s="218"/>
      <c r="C48" s="220"/>
      <c r="D48" s="10"/>
      <c r="E48" s="10"/>
      <c r="F48" s="10"/>
      <c r="G48" s="10"/>
      <c r="H48" s="137" t="s">
        <v>554</v>
      </c>
      <c r="I48" s="652">
        <f>I42+I33+I28</f>
        <v>0</v>
      </c>
      <c r="J48" s="108"/>
      <c r="K48" s="652"/>
      <c r="L48" s="108"/>
      <c r="M48" s="109"/>
      <c r="N48" s="649"/>
      <c r="O48" s="650"/>
      <c r="P48" s="92"/>
      <c r="Q48" s="37"/>
      <c r="R48" s="137" t="s">
        <v>554</v>
      </c>
      <c r="S48" s="652">
        <f>S42+S33+S28</f>
        <v>0</v>
      </c>
      <c r="T48" s="108"/>
      <c r="U48" s="652"/>
      <c r="V48" s="108"/>
      <c r="W48" s="109"/>
      <c r="X48" s="651"/>
      <c r="Y48" s="650"/>
      <c r="Z48" s="92"/>
      <c r="AA48" s="37"/>
      <c r="AB48" s="137" t="s">
        <v>554</v>
      </c>
      <c r="AC48" s="652">
        <f>AC42+AC33+AC28</f>
        <v>0</v>
      </c>
      <c r="AD48" s="108"/>
      <c r="AE48" s="652"/>
      <c r="AF48" s="108"/>
      <c r="AG48" s="109"/>
      <c r="AH48" s="649"/>
      <c r="AI48" s="137"/>
      <c r="AJ48" s="652">
        <f>I48+S48+AC48</f>
        <v>0</v>
      </c>
      <c r="AK48" s="649"/>
    </row>
    <row r="49" spans="1:37" x14ac:dyDescent="0.25">
      <c r="A49" s="301" t="s">
        <v>8</v>
      </c>
      <c r="B49" s="218"/>
      <c r="C49" s="220"/>
      <c r="D49" s="10"/>
      <c r="E49" s="10"/>
      <c r="F49" s="10"/>
      <c r="G49" s="10"/>
      <c r="H49" s="137" t="s">
        <v>552</v>
      </c>
      <c r="I49" s="652">
        <f>I45</f>
        <v>26760.439398000002</v>
      </c>
      <c r="J49" s="108"/>
      <c r="K49" s="108"/>
      <c r="L49" s="108"/>
      <c r="M49" s="109"/>
      <c r="N49" s="649"/>
      <c r="O49" s="650"/>
      <c r="P49" s="92"/>
      <c r="Q49" s="37"/>
      <c r="R49" s="137" t="s">
        <v>552</v>
      </c>
      <c r="S49" s="652">
        <f>S45</f>
        <v>2167.3119649999999</v>
      </c>
      <c r="T49" s="108"/>
      <c r="U49" s="108"/>
      <c r="V49" s="108"/>
      <c r="W49" s="109"/>
      <c r="X49" s="651"/>
      <c r="Y49" s="650"/>
      <c r="Z49" s="92"/>
      <c r="AA49" s="37"/>
      <c r="AB49" s="137" t="s">
        <v>552</v>
      </c>
      <c r="AC49" s="652">
        <f>AC45</f>
        <v>0</v>
      </c>
      <c r="AD49" s="108"/>
      <c r="AE49" s="108"/>
      <c r="AF49" s="108"/>
      <c r="AG49" s="109"/>
      <c r="AH49" s="649"/>
      <c r="AI49" s="137"/>
      <c r="AJ49" s="652">
        <f>I49+S49+AC49</f>
        <v>28927.751363000003</v>
      </c>
      <c r="AK49" s="649"/>
    </row>
    <row r="50" spans="1:37" ht="64.150000000000006" customHeight="1" x14ac:dyDescent="0.25">
      <c r="A50" s="301" t="s">
        <v>5</v>
      </c>
      <c r="B50" s="218" t="str">
        <f t="shared" ref="B50:B60" si="23">A50&amp;H50</f>
        <v>MASTLABOR: NON-SUPERVISORY</v>
      </c>
      <c r="C50" s="218" t="s">
        <v>5</v>
      </c>
      <c r="D50" s="10" t="str">
        <f>'2015Summary METER to CASH (Base'!C15</f>
        <v>* Initiate corrective action for non-reporting readers (Talon)</v>
      </c>
      <c r="E50" s="117">
        <f>N90</f>
        <v>0</v>
      </c>
      <c r="F50" s="117">
        <f>X90</f>
        <v>4029.6458827993793</v>
      </c>
      <c r="G50" s="117">
        <f>AC90</f>
        <v>44810.427262778067</v>
      </c>
      <c r="H50" s="183" t="s">
        <v>31</v>
      </c>
      <c r="I50" s="157"/>
      <c r="J50" s="118"/>
      <c r="K50" s="118"/>
      <c r="L50" s="118"/>
      <c r="M50" s="119"/>
      <c r="N50" s="121"/>
      <c r="O50" s="206"/>
      <c r="P50" s="122"/>
      <c r="Q50" s="123"/>
      <c r="R50" s="183" t="s">
        <v>31</v>
      </c>
      <c r="S50" s="157"/>
      <c r="T50" s="118"/>
      <c r="U50" s="118"/>
      <c r="V50" s="118"/>
      <c r="W50" s="119"/>
      <c r="X50" s="120"/>
      <c r="Y50" s="206"/>
      <c r="Z50" s="122"/>
      <c r="AA50" s="123"/>
      <c r="AB50" s="183" t="s">
        <v>31</v>
      </c>
      <c r="AC50" s="157"/>
      <c r="AD50" s="118"/>
      <c r="AE50" s="118"/>
      <c r="AF50" s="118"/>
      <c r="AG50" s="119"/>
      <c r="AH50" s="121"/>
      <c r="AI50" s="135"/>
      <c r="AJ50" s="157"/>
      <c r="AK50" s="121"/>
    </row>
    <row r="51" spans="1:37" x14ac:dyDescent="0.25">
      <c r="A51" s="301" t="s">
        <v>5</v>
      </c>
      <c r="B51" s="218" t="str">
        <f t="shared" si="23"/>
        <v>MASTMAST Rep (Grade 145)</v>
      </c>
      <c r="C51" s="217" t="s">
        <v>48</v>
      </c>
      <c r="D51" s="10"/>
      <c r="E51" s="126"/>
      <c r="F51" s="126"/>
      <c r="G51" s="126"/>
      <c r="H51" s="184" t="s">
        <v>243</v>
      </c>
      <c r="I51" s="158">
        <f>J51*K51</f>
        <v>0</v>
      </c>
      <c r="J51" s="289"/>
      <c r="K51" s="259">
        <v>29.13</v>
      </c>
      <c r="L51" s="39"/>
      <c r="M51" s="40" t="str">
        <f>J51&amp;" hrs @ "&amp;K51</f>
        <v xml:space="preserve"> hrs @ 29.13</v>
      </c>
      <c r="N51" s="35"/>
      <c r="O51" s="207"/>
      <c r="P51" s="36"/>
      <c r="Q51" s="41"/>
      <c r="R51" s="184" t="s">
        <v>243</v>
      </c>
      <c r="S51" s="158">
        <f>T51*U51</f>
        <v>0</v>
      </c>
      <c r="T51" s="289"/>
      <c r="U51" s="259">
        <v>29.13</v>
      </c>
      <c r="V51" s="39"/>
      <c r="W51" s="40" t="str">
        <f>T51&amp;" hrs @ "&amp;U51</f>
        <v xml:space="preserve"> hrs @ 29.13</v>
      </c>
      <c r="X51" s="34"/>
      <c r="Y51" s="207"/>
      <c r="Z51" s="36"/>
      <c r="AA51" s="41"/>
      <c r="AB51" s="184" t="s">
        <v>243</v>
      </c>
      <c r="AC51" s="158">
        <f>AD51*AE51</f>
        <v>17623.649999999998</v>
      </c>
      <c r="AD51" s="289">
        <f>+ROUND('FTE Alloc OR &amp; WA'!F40*2080,0)</f>
        <v>605</v>
      </c>
      <c r="AE51" s="259">
        <v>29.13</v>
      </c>
      <c r="AF51" s="39"/>
      <c r="AG51" s="40" t="str">
        <f>AD51&amp;" hrs @ "&amp;AE51</f>
        <v>605 hrs @ 29.13</v>
      </c>
      <c r="AH51" s="35"/>
      <c r="AI51" s="136"/>
      <c r="AJ51" s="158">
        <f t="shared" ref="AJ51:AJ57" si="24">I51+S51+AC51</f>
        <v>17623.649999999998</v>
      </c>
      <c r="AK51" s="35"/>
    </row>
    <row r="52" spans="1:37" x14ac:dyDescent="0.25">
      <c r="A52" s="301" t="s">
        <v>5</v>
      </c>
      <c r="B52" s="218" t="str">
        <f t="shared" si="23"/>
        <v>MASTOp Supp 2 (Grade 125)</v>
      </c>
      <c r="C52" s="217" t="s">
        <v>48</v>
      </c>
      <c r="D52" s="10"/>
      <c r="E52" s="126"/>
      <c r="F52" s="126"/>
      <c r="G52" s="126"/>
      <c r="H52" s="184" t="s">
        <v>244</v>
      </c>
      <c r="I52" s="158">
        <f t="shared" ref="I52:I53" si="25">J52*K52</f>
        <v>0</v>
      </c>
      <c r="J52" s="289"/>
      <c r="K52" s="259">
        <v>22.01</v>
      </c>
      <c r="L52" s="42"/>
      <c r="M52" s="40" t="str">
        <f t="shared" ref="M52:M54" si="26">J52&amp;" hrs @ "&amp;K52</f>
        <v xml:space="preserve"> hrs @ 22.01</v>
      </c>
      <c r="N52" s="35"/>
      <c r="O52" s="207"/>
      <c r="P52" s="36"/>
      <c r="Q52" s="3"/>
      <c r="R52" s="184" t="s">
        <v>244</v>
      </c>
      <c r="S52" s="158">
        <f t="shared" ref="S52:S53" si="27">T52*U52</f>
        <v>88.04</v>
      </c>
      <c r="T52" s="289">
        <v>4</v>
      </c>
      <c r="U52" s="259">
        <v>22.01</v>
      </c>
      <c r="V52" s="42"/>
      <c r="W52" s="40" t="str">
        <f t="shared" ref="W52:W54" si="28">T52&amp;" hrs @ "&amp;U52</f>
        <v>4 hrs @ 22.01</v>
      </c>
      <c r="X52" s="34"/>
      <c r="Y52" s="207"/>
      <c r="Z52" s="36"/>
      <c r="AA52" s="3"/>
      <c r="AB52" s="184" t="s">
        <v>244</v>
      </c>
      <c r="AC52" s="158">
        <f t="shared" ref="AC52:AC54" si="29">AD52*AE52</f>
        <v>0</v>
      </c>
      <c r="AD52" s="289">
        <f>+ROUND('FTE Alloc OR &amp; WA'!F41*2080,0)</f>
        <v>0</v>
      </c>
      <c r="AE52" s="259">
        <v>22.01</v>
      </c>
      <c r="AF52" s="42"/>
      <c r="AG52" s="40" t="str">
        <f t="shared" ref="AG52:AG54" si="30">AD52&amp;" hrs @ "&amp;AE52</f>
        <v>0 hrs @ 22.01</v>
      </c>
      <c r="AH52" s="35"/>
      <c r="AI52" s="136"/>
      <c r="AJ52" s="158">
        <f t="shared" si="24"/>
        <v>88.04</v>
      </c>
      <c r="AK52" s="35"/>
    </row>
    <row r="53" spans="1:37" x14ac:dyDescent="0.25">
      <c r="A53" s="301" t="s">
        <v>5</v>
      </c>
      <c r="B53" s="218" t="str">
        <f t="shared" si="23"/>
        <v>MASTCustomer Field Service 4</v>
      </c>
      <c r="C53" s="217" t="s">
        <v>48</v>
      </c>
      <c r="D53" s="10"/>
      <c r="E53" s="126"/>
      <c r="F53" s="126"/>
      <c r="G53" s="126"/>
      <c r="H53" s="184" t="s">
        <v>343</v>
      </c>
      <c r="I53" s="158">
        <f t="shared" si="25"/>
        <v>0</v>
      </c>
      <c r="J53" s="42"/>
      <c r="K53" s="39">
        <v>36.78</v>
      </c>
      <c r="L53" s="42"/>
      <c r="M53" s="40" t="str">
        <f t="shared" si="26"/>
        <v xml:space="preserve"> hrs @ 36.78</v>
      </c>
      <c r="N53" s="35"/>
      <c r="O53" s="207"/>
      <c r="P53" s="36"/>
      <c r="Q53" s="41"/>
      <c r="R53" s="184" t="s">
        <v>343</v>
      </c>
      <c r="S53" s="158">
        <f t="shared" si="27"/>
        <v>1856.9974278394079</v>
      </c>
      <c r="T53" s="42">
        <f>35*1.49*(S6/($S$6+$AC$6))</f>
        <v>50.489326477417286</v>
      </c>
      <c r="U53" s="39">
        <v>36.78</v>
      </c>
      <c r="V53" s="42"/>
      <c r="W53" s="40" t="str">
        <f>ROUND(T53,0)&amp;" hrs @ "&amp;U53</f>
        <v>50 hrs @ 36.78</v>
      </c>
      <c r="X53" s="34"/>
      <c r="Y53" s="207"/>
      <c r="Z53" s="36"/>
      <c r="AA53" s="41"/>
      <c r="AB53" s="184" t="s">
        <v>343</v>
      </c>
      <c r="AC53" s="158">
        <f t="shared" si="29"/>
        <v>61.079572160592129</v>
      </c>
      <c r="AD53" s="42">
        <f>35*1.49*(AC6/($S$6+$AC$6))</f>
        <v>1.6606735225827114</v>
      </c>
      <c r="AE53" s="39">
        <v>36.78</v>
      </c>
      <c r="AF53" s="42"/>
      <c r="AG53" s="40" t="str">
        <f>ROUND(AD53,0)&amp;" hrs @ "&amp;AE53</f>
        <v>2 hrs @ 36.78</v>
      </c>
      <c r="AH53" s="35"/>
      <c r="AI53" s="136"/>
      <c r="AJ53" s="158">
        <f t="shared" si="24"/>
        <v>1918.077</v>
      </c>
      <c r="AK53" s="35"/>
    </row>
    <row r="54" spans="1:37" x14ac:dyDescent="0.25">
      <c r="A54" s="301" t="s">
        <v>5</v>
      </c>
      <c r="B54" s="218" t="str">
        <f t="shared" si="23"/>
        <v>MAST</v>
      </c>
      <c r="C54" s="217" t="s">
        <v>48</v>
      </c>
      <c r="D54" s="10"/>
      <c r="E54" s="126"/>
      <c r="F54" s="126"/>
      <c r="G54" s="126"/>
      <c r="H54" s="179"/>
      <c r="I54" s="173">
        <f>J54*K54*L54</f>
        <v>0</v>
      </c>
      <c r="J54" s="174"/>
      <c r="K54" s="175"/>
      <c r="L54" s="181">
        <v>7.0000000000000007E-2</v>
      </c>
      <c r="M54" s="176" t="str">
        <f t="shared" si="26"/>
        <v xml:space="preserve"> hrs @ </v>
      </c>
      <c r="N54" s="35"/>
      <c r="O54" s="207"/>
      <c r="P54" s="36"/>
      <c r="Q54" s="44"/>
      <c r="R54" s="179"/>
      <c r="S54" s="173">
        <f>T54*U54*V54</f>
        <v>0</v>
      </c>
      <c r="T54" s="174"/>
      <c r="U54" s="175"/>
      <c r="V54" s="181">
        <v>7.0000000000000007E-2</v>
      </c>
      <c r="W54" s="176" t="str">
        <f t="shared" si="28"/>
        <v xml:space="preserve"> hrs @ </v>
      </c>
      <c r="X54" s="34"/>
      <c r="Y54" s="207"/>
      <c r="Z54" s="36"/>
      <c r="AA54" s="44"/>
      <c r="AB54" s="179"/>
      <c r="AC54" s="173">
        <f t="shared" si="29"/>
        <v>0</v>
      </c>
      <c r="AD54" s="174"/>
      <c r="AE54" s="175"/>
      <c r="AF54" s="181"/>
      <c r="AG54" s="176" t="str">
        <f t="shared" si="30"/>
        <v xml:space="preserve"> hrs @ </v>
      </c>
      <c r="AH54" s="35"/>
      <c r="AI54" s="136"/>
      <c r="AJ54" s="173">
        <f t="shared" si="24"/>
        <v>0</v>
      </c>
      <c r="AK54" s="35"/>
    </row>
    <row r="55" spans="1:37" x14ac:dyDescent="0.25">
      <c r="A55" s="301" t="s">
        <v>5</v>
      </c>
      <c r="B55" s="218" t="str">
        <f t="shared" si="23"/>
        <v>MASTTotal Wages</v>
      </c>
      <c r="C55" s="217" t="s">
        <v>48</v>
      </c>
      <c r="D55" s="10"/>
      <c r="E55" s="126"/>
      <c r="F55" s="126"/>
      <c r="G55" s="126"/>
      <c r="H55" s="184" t="s">
        <v>32</v>
      </c>
      <c r="I55" s="158">
        <f>SUM(I51:I54)</f>
        <v>0</v>
      </c>
      <c r="J55" s="42"/>
      <c r="K55" s="39"/>
      <c r="L55" s="39"/>
      <c r="M55" s="40"/>
      <c r="N55" s="35"/>
      <c r="O55" s="207"/>
      <c r="P55" s="36"/>
      <c r="Q55" s="41"/>
      <c r="R55" s="184" t="s">
        <v>32</v>
      </c>
      <c r="S55" s="158">
        <f>SUM(S51:S54)</f>
        <v>1945.0374278394079</v>
      </c>
      <c r="T55" s="42"/>
      <c r="U55" s="39"/>
      <c r="V55" s="39"/>
      <c r="W55" s="40"/>
      <c r="X55" s="34"/>
      <c r="Y55" s="207"/>
      <c r="Z55" s="36"/>
      <c r="AA55" s="41"/>
      <c r="AB55" s="184" t="s">
        <v>32</v>
      </c>
      <c r="AC55" s="158">
        <f>SUM(AC51:AC54)</f>
        <v>17684.729572160591</v>
      </c>
      <c r="AD55" s="42"/>
      <c r="AE55" s="39"/>
      <c r="AF55" s="39"/>
      <c r="AG55" s="40"/>
      <c r="AH55" s="35"/>
      <c r="AI55" s="136"/>
      <c r="AJ55" s="158">
        <f t="shared" si="24"/>
        <v>19629.767</v>
      </c>
      <c r="AK55" s="35"/>
    </row>
    <row r="56" spans="1:37" x14ac:dyDescent="0.25">
      <c r="A56" s="301" t="s">
        <v>5</v>
      </c>
      <c r="B56" s="218" t="str">
        <f t="shared" si="23"/>
        <v>MASTBenefits</v>
      </c>
      <c r="C56" s="217" t="s">
        <v>48</v>
      </c>
      <c r="D56" s="10"/>
      <c r="E56" s="126"/>
      <c r="F56" s="126"/>
      <c r="G56" s="126"/>
      <c r="H56" s="184" t="s">
        <v>33</v>
      </c>
      <c r="I56" s="159">
        <f>I55*$O$2</f>
        <v>0</v>
      </c>
      <c r="J56" s="42"/>
      <c r="K56" s="39"/>
      <c r="M56" s="45" t="str">
        <f>"@ "&amp;$O$2*100&amp;" %"</f>
        <v>@ 98.59 %</v>
      </c>
      <c r="N56" s="47"/>
      <c r="O56" s="424"/>
      <c r="P56" s="48"/>
      <c r="Q56" s="41"/>
      <c r="R56" s="184" t="s">
        <v>33</v>
      </c>
      <c r="S56" s="159">
        <f>S55*$O$2</f>
        <v>1917.6124001068722</v>
      </c>
      <c r="T56" s="42"/>
      <c r="U56" s="39"/>
      <c r="W56" s="45" t="str">
        <f>"@ "&amp;$O$2*100&amp;" %"</f>
        <v>@ 98.59 %</v>
      </c>
      <c r="X56" s="46"/>
      <c r="Y56" s="424"/>
      <c r="Z56" s="48"/>
      <c r="AA56" s="41"/>
      <c r="AB56" s="184" t="s">
        <v>33</v>
      </c>
      <c r="AC56" s="159">
        <f>AC55*$O$2</f>
        <v>17435.374885193127</v>
      </c>
      <c r="AD56" s="42"/>
      <c r="AE56" s="39"/>
      <c r="AG56" s="45" t="str">
        <f>"@ "&amp;$O$2*100&amp;" %"</f>
        <v>@ 98.59 %</v>
      </c>
      <c r="AH56" s="47"/>
      <c r="AI56" s="432"/>
      <c r="AJ56" s="159">
        <f t="shared" si="24"/>
        <v>19352.987285299998</v>
      </c>
      <c r="AK56" s="47"/>
    </row>
    <row r="57" spans="1:37" x14ac:dyDescent="0.25">
      <c r="A57" s="301" t="s">
        <v>5</v>
      </c>
      <c r="B57" s="218" t="str">
        <f t="shared" si="23"/>
        <v>MASTTotal</v>
      </c>
      <c r="C57" s="219" t="s">
        <v>50</v>
      </c>
      <c r="D57" s="10"/>
      <c r="E57" s="126"/>
      <c r="F57" s="126"/>
      <c r="G57" s="126"/>
      <c r="H57" s="185" t="s">
        <v>34</v>
      </c>
      <c r="I57" s="160">
        <f>I55+I56</f>
        <v>0</v>
      </c>
      <c r="J57" s="42"/>
      <c r="K57" s="39"/>
      <c r="L57" s="50"/>
      <c r="M57" s="51"/>
      <c r="N57" s="420">
        <f>I57</f>
        <v>0</v>
      </c>
      <c r="O57" s="425" t="e">
        <f>N57/N90</f>
        <v>#DIV/0!</v>
      </c>
      <c r="P57" s="53"/>
      <c r="Q57" s="37"/>
      <c r="R57" s="185" t="s">
        <v>34</v>
      </c>
      <c r="S57" s="160">
        <f>S55+S56</f>
        <v>3862.6498279462803</v>
      </c>
      <c r="T57" s="42"/>
      <c r="U57" s="39"/>
      <c r="V57" s="50"/>
      <c r="W57" s="51"/>
      <c r="X57" s="52">
        <f>S57</f>
        <v>3862.6498279462803</v>
      </c>
      <c r="Y57" s="425">
        <f>X57/X90</f>
        <v>0.95855813148100066</v>
      </c>
      <c r="Z57" s="53"/>
      <c r="AA57" s="37"/>
      <c r="AB57" s="185" t="s">
        <v>34</v>
      </c>
      <c r="AC57" s="160">
        <f>AC55+AC56</f>
        <v>35120.104457353722</v>
      </c>
      <c r="AD57" s="42"/>
      <c r="AE57" s="39"/>
      <c r="AF57" s="50"/>
      <c r="AG57" s="51"/>
      <c r="AH57" s="420">
        <f>AC57</f>
        <v>35120.104457353722</v>
      </c>
      <c r="AI57" s="233">
        <f>AH57/AH90</f>
        <v>0.78374848450789836</v>
      </c>
      <c r="AJ57" s="160">
        <f t="shared" si="24"/>
        <v>38982.754285300005</v>
      </c>
      <c r="AK57" s="420"/>
    </row>
    <row r="58" spans="1:37" x14ac:dyDescent="0.25">
      <c r="A58" s="301" t="s">
        <v>5</v>
      </c>
      <c r="B58" s="218" t="str">
        <f t="shared" si="23"/>
        <v>MAST</v>
      </c>
      <c r="C58" s="217" t="s">
        <v>48</v>
      </c>
      <c r="D58" s="10"/>
      <c r="E58" s="126"/>
      <c r="F58" s="126"/>
      <c r="G58" s="126"/>
      <c r="H58" s="179"/>
      <c r="I58" s="166"/>
      <c r="J58" s="69"/>
      <c r="K58" s="69"/>
      <c r="L58" s="69"/>
      <c r="M58" s="70"/>
      <c r="N58" s="58"/>
      <c r="O58" s="426"/>
      <c r="P58" s="59"/>
      <c r="Q58" s="60"/>
      <c r="R58" s="179"/>
      <c r="S58" s="166"/>
      <c r="T58" s="69"/>
      <c r="U58" s="69"/>
      <c r="V58" s="69"/>
      <c r="W58" s="70"/>
      <c r="X58" s="57"/>
      <c r="Y58" s="426"/>
      <c r="Z58" s="59"/>
      <c r="AA58" s="60"/>
      <c r="AB58" s="179"/>
      <c r="AC58" s="166"/>
      <c r="AD58" s="69"/>
      <c r="AE58" s="69"/>
      <c r="AF58" s="69"/>
      <c r="AG58" s="70"/>
      <c r="AH58" s="58"/>
      <c r="AI58" s="231"/>
      <c r="AJ58" s="166"/>
      <c r="AK58" s="58"/>
    </row>
    <row r="59" spans="1:37" x14ac:dyDescent="0.25">
      <c r="A59" s="301" t="s">
        <v>5</v>
      </c>
      <c r="B59" s="218" t="str">
        <f t="shared" si="23"/>
        <v>MASTLABOR: SUPERVISORY</v>
      </c>
      <c r="C59" s="220" t="s">
        <v>50</v>
      </c>
      <c r="D59" s="10"/>
      <c r="E59" s="126"/>
      <c r="F59" s="126"/>
      <c r="G59" s="126"/>
      <c r="H59" s="186" t="s">
        <v>35</v>
      </c>
      <c r="I59" s="167"/>
      <c r="J59" s="74"/>
      <c r="K59" s="74"/>
      <c r="L59" s="74"/>
      <c r="M59" s="66"/>
      <c r="N59" s="26"/>
      <c r="O59" s="421"/>
      <c r="P59" s="65"/>
      <c r="Q59" s="37"/>
      <c r="R59" s="186" t="s">
        <v>35</v>
      </c>
      <c r="S59" s="167"/>
      <c r="T59" s="74"/>
      <c r="U59" s="74"/>
      <c r="V59" s="74"/>
      <c r="W59" s="66"/>
      <c r="X59" s="64"/>
      <c r="Y59" s="421"/>
      <c r="Z59" s="65"/>
      <c r="AA59" s="37"/>
      <c r="AB59" s="186" t="s">
        <v>35</v>
      </c>
      <c r="AC59" s="167"/>
      <c r="AD59" s="74"/>
      <c r="AE59" s="74"/>
      <c r="AF59" s="74"/>
      <c r="AG59" s="66"/>
      <c r="AH59" s="26"/>
      <c r="AI59" s="234"/>
      <c r="AJ59" s="167"/>
      <c r="AK59" s="26"/>
    </row>
    <row r="60" spans="1:37" x14ac:dyDescent="0.25">
      <c r="A60" s="301" t="s">
        <v>5</v>
      </c>
      <c r="B60" s="218" t="str">
        <f t="shared" si="23"/>
        <v>MASTManager (Grade 23)</v>
      </c>
      <c r="C60" s="220"/>
      <c r="D60" s="10"/>
      <c r="E60" s="126"/>
      <c r="F60" s="126"/>
      <c r="G60" s="126"/>
      <c r="H60" s="38" t="s">
        <v>346</v>
      </c>
      <c r="I60" s="158">
        <f t="shared" ref="I60" si="31">J60*K60</f>
        <v>0</v>
      </c>
      <c r="J60" s="289">
        <f>(1/6)*J62</f>
        <v>0</v>
      </c>
      <c r="K60" s="259">
        <v>55.78</v>
      </c>
      <c r="L60" s="43"/>
      <c r="M60" s="40" t="str">
        <f t="shared" ref="M60:M61" si="32">J60&amp;" hrs @ "&amp;K60</f>
        <v>0 hrs @ 55.78</v>
      </c>
      <c r="N60" s="26"/>
      <c r="O60" s="421"/>
      <c r="P60" s="65"/>
      <c r="Q60" s="37"/>
      <c r="R60" s="184" t="s">
        <v>346</v>
      </c>
      <c r="S60" s="158">
        <f t="shared" ref="S60" si="33">T60*U60</f>
        <v>0</v>
      </c>
      <c r="T60" s="289">
        <f>(1/6)*T62</f>
        <v>0</v>
      </c>
      <c r="U60" s="259">
        <v>55.78</v>
      </c>
      <c r="V60" s="43"/>
      <c r="W60" s="40" t="str">
        <f t="shared" ref="W60" si="34">T60&amp;" hrs @ "&amp;U60</f>
        <v>0 hrs @ 55.78</v>
      </c>
      <c r="X60" s="64"/>
      <c r="Y60" s="421"/>
      <c r="Z60" s="65"/>
      <c r="AA60" s="37"/>
      <c r="AB60" s="184" t="s">
        <v>346</v>
      </c>
      <c r="AC60" s="158">
        <f t="shared" ref="AC60:AC62" si="35">AD60*AE60</f>
        <v>836.7</v>
      </c>
      <c r="AD60" s="289">
        <f>(1/6)*AD62</f>
        <v>15</v>
      </c>
      <c r="AE60" s="259">
        <v>55.78</v>
      </c>
      <c r="AF60" s="43"/>
      <c r="AG60" s="40" t="str">
        <f>ROUND(AD60,0)&amp;" hrs @ "&amp;AE60</f>
        <v>15 hrs @ 55.78</v>
      </c>
      <c r="AH60" s="26"/>
      <c r="AI60" s="234"/>
      <c r="AJ60" s="158">
        <f t="shared" ref="AJ60:AJ66" si="36">I60+S60+AC60</f>
        <v>836.7</v>
      </c>
      <c r="AK60" s="26"/>
    </row>
    <row r="61" spans="1:37" x14ac:dyDescent="0.25">
      <c r="A61" s="301" t="s">
        <v>5</v>
      </c>
      <c r="B61" s="218" t="str">
        <f t="shared" ref="B61:B89" si="37">A61&amp;H61</f>
        <v>MASTMAS Supervisor(Grade 21)</v>
      </c>
      <c r="C61" s="220"/>
      <c r="D61" s="10"/>
      <c r="E61" s="126"/>
      <c r="F61" s="126"/>
      <c r="G61" s="126"/>
      <c r="H61" s="38" t="s">
        <v>344</v>
      </c>
      <c r="I61" s="158">
        <f t="shared" ref="I61" si="38">J61*K61</f>
        <v>0</v>
      </c>
      <c r="J61" s="289">
        <f>(1/6)*J64</f>
        <v>0</v>
      </c>
      <c r="K61" s="259">
        <v>45.18</v>
      </c>
      <c r="L61" s="43"/>
      <c r="M61" s="40" t="str">
        <f t="shared" si="32"/>
        <v>0 hrs @ 45.18</v>
      </c>
      <c r="N61" s="26"/>
      <c r="O61" s="421"/>
      <c r="P61" s="65"/>
      <c r="Q61" s="37"/>
      <c r="R61" s="184" t="s">
        <v>344</v>
      </c>
      <c r="S61" s="158">
        <f>T61*U61</f>
        <v>15.996054853098769</v>
      </c>
      <c r="T61" s="289">
        <f>T53*(T53/(4*1800))</f>
        <v>0.35405167890878197</v>
      </c>
      <c r="U61" s="259">
        <v>45.18</v>
      </c>
      <c r="V61" s="43"/>
      <c r="W61" s="40" t="str">
        <f>ROUND(T61,0)&amp;" hrs @ "&amp;U61</f>
        <v>0 hrs @ 45.18</v>
      </c>
      <c r="X61" s="64"/>
      <c r="Y61" s="421"/>
      <c r="Z61" s="65"/>
      <c r="AA61" s="37"/>
      <c r="AB61" s="184" t="s">
        <v>344</v>
      </c>
      <c r="AC61" s="158">
        <f t="shared" si="35"/>
        <v>1.7305424342510627E-2</v>
      </c>
      <c r="AD61" s="289">
        <f>AD53*(AD53/(4*1800))</f>
        <v>3.8303285397323214E-4</v>
      </c>
      <c r="AE61" s="259">
        <v>45.18</v>
      </c>
      <c r="AF61" s="43"/>
      <c r="AG61" s="40" t="str">
        <f>ROUND(AD61,0)&amp;" hrs @ "&amp;AE61</f>
        <v>0 hrs @ 45.18</v>
      </c>
      <c r="AH61" s="26"/>
      <c r="AI61" s="234"/>
      <c r="AJ61" s="158">
        <f t="shared" si="36"/>
        <v>16.013360277441279</v>
      </c>
      <c r="AK61" s="26"/>
    </row>
    <row r="62" spans="1:37" x14ac:dyDescent="0.25">
      <c r="A62" s="301" t="s">
        <v>5</v>
      </c>
      <c r="B62" s="218" t="str">
        <f t="shared" si="37"/>
        <v>MASTSupervisor MAST (Grade 20)</v>
      </c>
      <c r="C62" s="217" t="s">
        <v>48</v>
      </c>
      <c r="D62" s="10"/>
      <c r="E62" s="126"/>
      <c r="F62" s="126"/>
      <c r="G62" s="126"/>
      <c r="H62" s="179" t="s">
        <v>345</v>
      </c>
      <c r="I62" s="173">
        <f t="shared" ref="I62" si="39">J62*K62</f>
        <v>0</v>
      </c>
      <c r="J62" s="174">
        <v>0</v>
      </c>
      <c r="K62" s="175">
        <v>40.5</v>
      </c>
      <c r="L62" s="181"/>
      <c r="M62" s="176" t="str">
        <f t="shared" ref="M62" si="40">J62&amp;" hrs @ "&amp;K62</f>
        <v>0 hrs @ 40.5</v>
      </c>
      <c r="N62" s="26"/>
      <c r="O62" s="421"/>
      <c r="P62" s="65"/>
      <c r="Q62" s="41"/>
      <c r="R62" s="179" t="s">
        <v>345</v>
      </c>
      <c r="S62" s="173">
        <f t="shared" ref="S62" si="41">T62*U62</f>
        <v>0</v>
      </c>
      <c r="T62" s="174">
        <v>0</v>
      </c>
      <c r="U62" s="175">
        <v>40.5</v>
      </c>
      <c r="V62" s="181"/>
      <c r="W62" s="176" t="str">
        <f t="shared" ref="W62" si="42">T62&amp;" hrs @ "&amp;U62</f>
        <v>0 hrs @ 40.5</v>
      </c>
      <c r="X62" s="64"/>
      <c r="Y62" s="421"/>
      <c r="Z62" s="65"/>
      <c r="AA62" s="41"/>
      <c r="AB62" s="179" t="s">
        <v>345</v>
      </c>
      <c r="AC62" s="173">
        <f t="shared" si="35"/>
        <v>3645</v>
      </c>
      <c r="AD62" s="174">
        <f>+ROUND(('FTE Alloc OR &amp; WA'!F45+'FTE Alloc OR &amp; WA'!F47)*2080,0)</f>
        <v>90</v>
      </c>
      <c r="AE62" s="175">
        <v>40.5</v>
      </c>
      <c r="AF62" s="181"/>
      <c r="AG62" s="176" t="str">
        <f t="shared" ref="AG62" si="43">AD62&amp;" hrs @ "&amp;AE62</f>
        <v>90 hrs @ 40.5</v>
      </c>
      <c r="AH62" s="26"/>
      <c r="AI62" s="234"/>
      <c r="AJ62" s="173">
        <f t="shared" si="36"/>
        <v>3645</v>
      </c>
      <c r="AK62" s="26"/>
    </row>
    <row r="63" spans="1:37" x14ac:dyDescent="0.25">
      <c r="A63" s="301" t="s">
        <v>5</v>
      </c>
      <c r="B63" s="218" t="str">
        <f t="shared" si="37"/>
        <v>MASTTotal Wages</v>
      </c>
      <c r="C63" s="179"/>
      <c r="D63" s="158">
        <v>0</v>
      </c>
      <c r="E63" s="42"/>
      <c r="F63" s="39"/>
      <c r="G63" s="39"/>
      <c r="H63" s="184" t="s">
        <v>32</v>
      </c>
      <c r="I63" s="158">
        <f>SUM(I59:I62)</f>
        <v>0</v>
      </c>
      <c r="J63" s="42"/>
      <c r="K63" s="39"/>
      <c r="L63" s="39"/>
      <c r="M63" s="40"/>
      <c r="N63" s="26"/>
      <c r="O63" s="421"/>
      <c r="P63" s="40"/>
      <c r="Q63" s="34"/>
      <c r="R63" s="184" t="s">
        <v>32</v>
      </c>
      <c r="S63" s="158">
        <f>SUM(S59:S62)</f>
        <v>15.996054853098769</v>
      </c>
      <c r="T63" s="42"/>
      <c r="U63" s="39"/>
      <c r="V63" s="39"/>
      <c r="W63" s="40"/>
      <c r="X63" s="40"/>
      <c r="Y63" s="421"/>
      <c r="Z63" s="40"/>
      <c r="AA63" s="34"/>
      <c r="AB63" s="184" t="s">
        <v>32</v>
      </c>
      <c r="AC63" s="158">
        <f>SUM(AC59:AC62)</f>
        <v>4481.7173054243431</v>
      </c>
      <c r="AD63" s="42"/>
      <c r="AE63" s="39"/>
      <c r="AF63" s="39"/>
      <c r="AG63" s="40"/>
      <c r="AH63" s="26"/>
      <c r="AI63" s="234"/>
      <c r="AJ63" s="158">
        <f t="shared" si="36"/>
        <v>4497.713360277442</v>
      </c>
      <c r="AK63" s="26"/>
    </row>
    <row r="64" spans="1:37" ht="21" x14ac:dyDescent="0.35">
      <c r="A64" s="301"/>
      <c r="B64" s="218" t="str">
        <f t="shared" si="37"/>
        <v>Payroll Increase from Base Year</v>
      </c>
      <c r="C64" s="5"/>
      <c r="D64" s="10"/>
      <c r="E64" s="126"/>
      <c r="F64" s="126"/>
      <c r="G64" s="126"/>
      <c r="H64" s="184" t="s">
        <v>222</v>
      </c>
      <c r="I64" s="159"/>
      <c r="J64" s="42"/>
      <c r="K64" s="39"/>
      <c r="L64" s="43"/>
      <c r="M64" s="40"/>
      <c r="N64" s="26"/>
      <c r="O64" s="421"/>
      <c r="P64" s="65"/>
      <c r="Q64" s="41"/>
      <c r="R64" s="255" t="s">
        <v>222</v>
      </c>
      <c r="S64" s="159"/>
      <c r="T64" s="42"/>
      <c r="U64" s="39"/>
      <c r="V64" s="43"/>
      <c r="W64" s="40"/>
      <c r="X64" s="64"/>
      <c r="Y64" s="421"/>
      <c r="Z64" s="65"/>
      <c r="AA64" s="41"/>
      <c r="AB64" s="255" t="s">
        <v>222</v>
      </c>
      <c r="AC64" s="159"/>
      <c r="AD64" s="42"/>
      <c r="AE64" s="39"/>
      <c r="AF64" s="43"/>
      <c r="AG64" s="40"/>
      <c r="AH64" s="26"/>
      <c r="AI64" s="234"/>
      <c r="AJ64" s="159">
        <f t="shared" si="36"/>
        <v>0</v>
      </c>
      <c r="AK64" s="26"/>
    </row>
    <row r="65" spans="1:37" x14ac:dyDescent="0.25">
      <c r="A65" s="301" t="s">
        <v>5</v>
      </c>
      <c r="B65" s="218" t="str">
        <f t="shared" si="37"/>
        <v>MASTBenefits</v>
      </c>
      <c r="C65" s="217" t="s">
        <v>48</v>
      </c>
      <c r="D65" s="10"/>
      <c r="E65" s="126"/>
      <c r="F65" s="126"/>
      <c r="G65" s="126"/>
      <c r="H65" s="184" t="s">
        <v>33</v>
      </c>
      <c r="I65" s="159">
        <f>I63*$O$2</f>
        <v>0</v>
      </c>
      <c r="J65" s="42"/>
      <c r="K65" s="39"/>
      <c r="L65" s="156"/>
      <c r="M65" s="45" t="str">
        <f>"@ "&amp;$O$2*100&amp;" %"</f>
        <v>@ 98.59 %</v>
      </c>
      <c r="N65" s="26"/>
      <c r="O65" s="421"/>
      <c r="P65" s="65"/>
      <c r="Q65" s="41"/>
      <c r="R65" s="184" t="s">
        <v>33</v>
      </c>
      <c r="S65" s="159">
        <f>S62*$O$2</f>
        <v>0</v>
      </c>
      <c r="T65" s="42"/>
      <c r="U65" s="39"/>
      <c r="V65" s="156"/>
      <c r="W65" s="45" t="str">
        <f>"@ "&amp;$O$2*100&amp;" %"</f>
        <v>@ 98.59 %</v>
      </c>
      <c r="X65" s="64"/>
      <c r="Y65" s="421"/>
      <c r="Z65" s="65"/>
      <c r="AA65" s="41"/>
      <c r="AB65" s="184" t="s">
        <v>33</v>
      </c>
      <c r="AC65" s="159">
        <f>AC62*$O$2</f>
        <v>3593.6055000000001</v>
      </c>
      <c r="AD65" s="42"/>
      <c r="AE65" s="39"/>
      <c r="AF65" s="156"/>
      <c r="AG65" s="45" t="str">
        <f>"@ "&amp;$O$2*100&amp;" %"</f>
        <v>@ 98.59 %</v>
      </c>
      <c r="AH65" s="26"/>
      <c r="AI65" s="234"/>
      <c r="AJ65" s="159">
        <f t="shared" si="36"/>
        <v>3593.6055000000001</v>
      </c>
      <c r="AK65" s="26"/>
    </row>
    <row r="66" spans="1:37" x14ac:dyDescent="0.25">
      <c r="A66" s="301" t="s">
        <v>5</v>
      </c>
      <c r="B66" s="218" t="str">
        <f t="shared" si="37"/>
        <v>MASTTotal</v>
      </c>
      <c r="C66" s="220" t="s">
        <v>50</v>
      </c>
      <c r="D66" s="10"/>
      <c r="E66" s="126"/>
      <c r="F66" s="126"/>
      <c r="G66" s="126"/>
      <c r="H66" s="185" t="s">
        <v>34</v>
      </c>
      <c r="I66" s="165">
        <f>I65+I63</f>
        <v>0</v>
      </c>
      <c r="J66" s="68"/>
      <c r="K66" s="68"/>
      <c r="L66" s="68"/>
      <c r="M66" s="63"/>
      <c r="N66" s="420">
        <f>I66</f>
        <v>0</v>
      </c>
      <c r="O66" s="425" t="e">
        <f>N66/N90</f>
        <v>#DIV/0!</v>
      </c>
      <c r="P66" s="65"/>
      <c r="Q66" s="41"/>
      <c r="R66" s="185" t="s">
        <v>34</v>
      </c>
      <c r="S66" s="397">
        <f>S65+S63</f>
        <v>15.996054853098769</v>
      </c>
      <c r="T66" s="68"/>
      <c r="U66" s="68"/>
      <c r="V66" s="68"/>
      <c r="W66" s="63"/>
      <c r="X66" s="52">
        <f>S66</f>
        <v>15.996054853098769</v>
      </c>
      <c r="Y66" s="425">
        <f>X66/X90</f>
        <v>3.9695931896592297E-3</v>
      </c>
      <c r="Z66" s="65"/>
      <c r="AA66" s="41"/>
      <c r="AB66" s="185" t="s">
        <v>34</v>
      </c>
      <c r="AC66" s="397">
        <f>AC65+AC63</f>
        <v>8075.3228054243427</v>
      </c>
      <c r="AD66" s="68"/>
      <c r="AE66" s="68"/>
      <c r="AF66" s="68"/>
      <c r="AG66" s="63"/>
      <c r="AH66" s="420">
        <f>AC66</f>
        <v>8075.3228054243427</v>
      </c>
      <c r="AI66" s="233">
        <f>AH66/AH90</f>
        <v>0.18021079687700584</v>
      </c>
      <c r="AJ66" s="397">
        <f t="shared" si="36"/>
        <v>8091.3188602774417</v>
      </c>
      <c r="AK66" s="420"/>
    </row>
    <row r="67" spans="1:37" x14ac:dyDescent="0.25">
      <c r="A67" s="301" t="s">
        <v>5</v>
      </c>
      <c r="B67" s="218" t="str">
        <f t="shared" si="37"/>
        <v>MAST</v>
      </c>
      <c r="C67" s="217" t="s">
        <v>48</v>
      </c>
      <c r="D67" s="10"/>
      <c r="E67" s="126"/>
      <c r="F67" s="126"/>
      <c r="G67" s="126"/>
      <c r="H67" s="179"/>
      <c r="I67" s="166"/>
      <c r="J67" s="69"/>
      <c r="K67" s="69"/>
      <c r="L67" s="69"/>
      <c r="M67" s="70"/>
      <c r="N67" s="72"/>
      <c r="O67" s="427"/>
      <c r="P67" s="73"/>
      <c r="Q67" s="60"/>
      <c r="R67" s="179"/>
      <c r="S67" s="166"/>
      <c r="T67" s="69"/>
      <c r="U67" s="69"/>
      <c r="V67" s="69"/>
      <c r="W67" s="70"/>
      <c r="X67" s="71"/>
      <c r="Y67" s="427"/>
      <c r="Z67" s="73"/>
      <c r="AA67" s="60"/>
      <c r="AB67" s="179"/>
      <c r="AC67" s="166"/>
      <c r="AD67" s="69"/>
      <c r="AE67" s="69"/>
      <c r="AF67" s="69"/>
      <c r="AG67" s="70"/>
      <c r="AH67" s="72"/>
      <c r="AI67" s="235"/>
      <c r="AJ67" s="166"/>
      <c r="AK67" s="72"/>
    </row>
    <row r="68" spans="1:37" x14ac:dyDescent="0.25">
      <c r="A68" s="301" t="s">
        <v>5</v>
      </c>
      <c r="B68" s="218" t="str">
        <f t="shared" si="37"/>
        <v>MASTEQUIPMENT</v>
      </c>
      <c r="C68" s="220" t="s">
        <v>50</v>
      </c>
      <c r="D68" s="10"/>
      <c r="E68" s="126"/>
      <c r="F68" s="126"/>
      <c r="G68" s="126"/>
      <c r="H68" s="186" t="s">
        <v>36</v>
      </c>
      <c r="I68" s="167"/>
      <c r="J68" s="74"/>
      <c r="K68" s="74"/>
      <c r="L68" s="74"/>
      <c r="M68" s="66"/>
      <c r="N68" s="76"/>
      <c r="O68" s="428"/>
      <c r="P68" s="65"/>
      <c r="Q68" s="37"/>
      <c r="R68" s="186" t="s">
        <v>36</v>
      </c>
      <c r="S68" s="167"/>
      <c r="T68" s="74"/>
      <c r="U68" s="74"/>
      <c r="V68" s="74"/>
      <c r="W68" s="66"/>
      <c r="X68" s="75"/>
      <c r="Y68" s="428"/>
      <c r="Z68" s="65"/>
      <c r="AA68" s="37"/>
      <c r="AB68" s="186" t="s">
        <v>36</v>
      </c>
      <c r="AC68" s="167"/>
      <c r="AD68" s="74"/>
      <c r="AE68" s="74"/>
      <c r="AF68" s="74"/>
      <c r="AG68" s="66"/>
      <c r="AH68" s="76"/>
      <c r="AI68" s="237"/>
      <c r="AJ68" s="167"/>
      <c r="AK68" s="76"/>
    </row>
    <row r="69" spans="1:37" x14ac:dyDescent="0.25">
      <c r="A69" s="301" t="s">
        <v>5</v>
      </c>
      <c r="B69" s="218" t="str">
        <f t="shared" si="37"/>
        <v>MAST</v>
      </c>
      <c r="C69" s="217" t="s">
        <v>48</v>
      </c>
      <c r="D69" s="10"/>
      <c r="E69" s="126"/>
      <c r="F69" s="126"/>
      <c r="G69" s="126"/>
      <c r="H69" s="187"/>
      <c r="I69" s="158">
        <f t="shared" ref="I69:I72" si="44">J69*K69</f>
        <v>0</v>
      </c>
      <c r="J69" s="42"/>
      <c r="K69" s="39"/>
      <c r="L69" s="39"/>
      <c r="M69" s="40" t="str">
        <f>J69&amp;" hrs @ "&amp;K69</f>
        <v xml:space="preserve"> hrs @ </v>
      </c>
      <c r="N69" s="76"/>
      <c r="O69" s="428"/>
      <c r="P69" s="65"/>
      <c r="Q69" s="37"/>
      <c r="R69" s="187"/>
      <c r="S69" s="158">
        <f t="shared" ref="S69:S72" si="45">T69*U69</f>
        <v>0</v>
      </c>
      <c r="T69" s="42"/>
      <c r="U69" s="39"/>
      <c r="V69" s="39"/>
      <c r="W69" s="40" t="str">
        <f>T69&amp;" hrs @ "&amp;U69</f>
        <v xml:space="preserve"> hrs @ </v>
      </c>
      <c r="X69" s="75"/>
      <c r="Y69" s="428"/>
      <c r="Z69" s="65"/>
      <c r="AA69" s="37"/>
      <c r="AB69" s="187"/>
      <c r="AC69" s="158">
        <f t="shared" ref="AC69:AC72" si="46">AD69*AE69</f>
        <v>0</v>
      </c>
      <c r="AD69" s="42"/>
      <c r="AE69" s="39"/>
      <c r="AF69" s="39"/>
      <c r="AG69" s="40" t="str">
        <f>AD69&amp;" hrs @ "&amp;AE69</f>
        <v xml:space="preserve"> hrs @ </v>
      </c>
      <c r="AH69" s="76"/>
      <c r="AI69" s="237"/>
      <c r="AJ69" s="158">
        <f>I69+S69+AC69</f>
        <v>0</v>
      </c>
      <c r="AK69" s="76"/>
    </row>
    <row r="70" spans="1:37" x14ac:dyDescent="0.25">
      <c r="A70" s="301" t="s">
        <v>5</v>
      </c>
      <c r="B70" s="218" t="str">
        <f t="shared" si="37"/>
        <v>MAST</v>
      </c>
      <c r="C70" s="217" t="s">
        <v>48</v>
      </c>
      <c r="D70" s="10"/>
      <c r="E70" s="126"/>
      <c r="F70" s="126"/>
      <c r="G70" s="126"/>
      <c r="H70" s="187"/>
      <c r="I70" s="158">
        <f t="shared" si="44"/>
        <v>0</v>
      </c>
      <c r="J70" s="42"/>
      <c r="K70" s="39"/>
      <c r="L70" s="39"/>
      <c r="M70" s="40" t="str">
        <f t="shared" ref="M70:M72" si="47">J70&amp;" hrs @ "&amp;K70</f>
        <v xml:space="preserve"> hrs @ </v>
      </c>
      <c r="N70" s="79"/>
      <c r="O70" s="422"/>
      <c r="P70" s="80"/>
      <c r="Q70" s="81"/>
      <c r="R70" s="187"/>
      <c r="S70" s="158">
        <f t="shared" si="45"/>
        <v>0</v>
      </c>
      <c r="T70" s="42"/>
      <c r="U70" s="39"/>
      <c r="V70" s="39"/>
      <c r="W70" s="40" t="str">
        <f t="shared" ref="W70:W72" si="48">T70&amp;" hrs @ "&amp;U70</f>
        <v xml:space="preserve"> hrs @ </v>
      </c>
      <c r="X70" s="78"/>
      <c r="Y70" s="422"/>
      <c r="Z70" s="80"/>
      <c r="AA70" s="81"/>
      <c r="AB70" s="187"/>
      <c r="AC70" s="158">
        <f t="shared" si="46"/>
        <v>0</v>
      </c>
      <c r="AD70" s="42"/>
      <c r="AE70" s="39"/>
      <c r="AF70" s="39"/>
      <c r="AG70" s="40" t="str">
        <f t="shared" ref="AG70:AG72" si="49">AD70&amp;" hrs @ "&amp;AE70</f>
        <v xml:space="preserve"> hrs @ </v>
      </c>
      <c r="AH70" s="79"/>
      <c r="AI70" s="238"/>
      <c r="AJ70" s="158">
        <f>I70+S70+AC70</f>
        <v>0</v>
      </c>
      <c r="AK70" s="79"/>
    </row>
    <row r="71" spans="1:37" x14ac:dyDescent="0.25">
      <c r="A71" s="301" t="s">
        <v>5</v>
      </c>
      <c r="B71" s="218" t="str">
        <f t="shared" si="37"/>
        <v>MAST</v>
      </c>
      <c r="C71" s="217" t="s">
        <v>48</v>
      </c>
      <c r="D71" s="10"/>
      <c r="E71" s="126"/>
      <c r="F71" s="126"/>
      <c r="G71" s="126"/>
      <c r="H71" s="187"/>
      <c r="I71" s="158">
        <f t="shared" si="44"/>
        <v>0</v>
      </c>
      <c r="J71" s="42"/>
      <c r="K71" s="39"/>
      <c r="L71" s="42"/>
      <c r="M71" s="40" t="str">
        <f t="shared" si="47"/>
        <v xml:space="preserve"> hrs @ </v>
      </c>
      <c r="N71" s="79"/>
      <c r="O71" s="422"/>
      <c r="P71" s="80"/>
      <c r="Q71" s="81"/>
      <c r="R71" s="187"/>
      <c r="S71" s="158">
        <f t="shared" si="45"/>
        <v>0</v>
      </c>
      <c r="T71" s="42"/>
      <c r="U71" s="39"/>
      <c r="V71" s="42"/>
      <c r="W71" s="40" t="str">
        <f t="shared" si="48"/>
        <v xml:space="preserve"> hrs @ </v>
      </c>
      <c r="X71" s="78"/>
      <c r="Y71" s="422"/>
      <c r="Z71" s="80"/>
      <c r="AA71" s="81"/>
      <c r="AB71" s="187"/>
      <c r="AC71" s="158">
        <f t="shared" si="46"/>
        <v>0</v>
      </c>
      <c r="AD71" s="42"/>
      <c r="AE71" s="39"/>
      <c r="AF71" s="42"/>
      <c r="AG71" s="40" t="str">
        <f t="shared" si="49"/>
        <v xml:space="preserve"> hrs @ </v>
      </c>
      <c r="AH71" s="79"/>
      <c r="AI71" s="238"/>
      <c r="AJ71" s="158">
        <f>I71+S71+AC71</f>
        <v>0</v>
      </c>
      <c r="AK71" s="79"/>
    </row>
    <row r="72" spans="1:37" x14ac:dyDescent="0.25">
      <c r="A72" s="301" t="s">
        <v>5</v>
      </c>
      <c r="B72" s="218" t="str">
        <f t="shared" si="37"/>
        <v>MAST</v>
      </c>
      <c r="C72" s="217" t="s">
        <v>48</v>
      </c>
      <c r="D72" s="10"/>
      <c r="E72" s="126"/>
      <c r="F72" s="126"/>
      <c r="G72" s="126"/>
      <c r="H72" s="256"/>
      <c r="I72" s="158">
        <f t="shared" si="44"/>
        <v>0</v>
      </c>
      <c r="J72" s="42"/>
      <c r="K72" s="39"/>
      <c r="L72" s="43"/>
      <c r="M72" s="40" t="str">
        <f t="shared" si="47"/>
        <v xml:space="preserve"> hrs @ </v>
      </c>
      <c r="N72" s="79"/>
      <c r="O72" s="422"/>
      <c r="P72" s="80"/>
      <c r="Q72" s="81"/>
      <c r="R72" s="187"/>
      <c r="S72" s="158">
        <f t="shared" si="45"/>
        <v>0</v>
      </c>
      <c r="T72" s="42"/>
      <c r="U72" s="39"/>
      <c r="V72" s="43"/>
      <c r="W72" s="40" t="str">
        <f t="shared" si="48"/>
        <v xml:space="preserve"> hrs @ </v>
      </c>
      <c r="X72" s="78"/>
      <c r="Y72" s="422"/>
      <c r="Z72" s="80"/>
      <c r="AA72" s="81"/>
      <c r="AB72" s="187"/>
      <c r="AC72" s="158">
        <f t="shared" si="46"/>
        <v>0</v>
      </c>
      <c r="AD72" s="42"/>
      <c r="AE72" s="39"/>
      <c r="AF72" s="43"/>
      <c r="AG72" s="40" t="str">
        <f t="shared" si="49"/>
        <v xml:space="preserve"> hrs @ </v>
      </c>
      <c r="AH72" s="79"/>
      <c r="AI72" s="238"/>
      <c r="AJ72" s="158">
        <f>I72+S72+AC72</f>
        <v>0</v>
      </c>
      <c r="AK72" s="79"/>
    </row>
    <row r="73" spans="1:37" x14ac:dyDescent="0.25">
      <c r="A73" s="301" t="s">
        <v>5</v>
      </c>
      <c r="B73" s="218" t="str">
        <f t="shared" si="37"/>
        <v>MASTTotal Equipment</v>
      </c>
      <c r="C73" s="220" t="s">
        <v>50</v>
      </c>
      <c r="D73" s="10"/>
      <c r="E73" s="116">
        <f>I73</f>
        <v>0</v>
      </c>
      <c r="F73" s="116">
        <f>S73</f>
        <v>0</v>
      </c>
      <c r="G73" s="116">
        <f>AC73</f>
        <v>0</v>
      </c>
      <c r="H73" s="257" t="s">
        <v>37</v>
      </c>
      <c r="I73" s="165">
        <f>SUM(I69:I72)</f>
        <v>0</v>
      </c>
      <c r="J73" s="68"/>
      <c r="K73" s="68"/>
      <c r="L73" s="68"/>
      <c r="M73" s="66"/>
      <c r="N73" s="420">
        <f>I73</f>
        <v>0</v>
      </c>
      <c r="O73" s="425" t="e">
        <f>N73/N90</f>
        <v>#DIV/0!</v>
      </c>
      <c r="P73" s="80"/>
      <c r="Q73" s="81"/>
      <c r="R73" s="188" t="s">
        <v>37</v>
      </c>
      <c r="S73" s="165">
        <f>SUM(S69:S72)</f>
        <v>0</v>
      </c>
      <c r="T73" s="68"/>
      <c r="U73" s="68"/>
      <c r="V73" s="68"/>
      <c r="W73" s="66"/>
      <c r="X73" s="52">
        <f>S73</f>
        <v>0</v>
      </c>
      <c r="Y73" s="425">
        <f>X73/X90</f>
        <v>0</v>
      </c>
      <c r="Z73" s="80"/>
      <c r="AA73" s="81"/>
      <c r="AB73" s="188" t="s">
        <v>37</v>
      </c>
      <c r="AC73" s="165">
        <f>SUM(AC69:AC72)</f>
        <v>0</v>
      </c>
      <c r="AD73" s="68"/>
      <c r="AE73" s="68"/>
      <c r="AF73" s="68"/>
      <c r="AG73" s="66"/>
      <c r="AH73" s="420">
        <f>AC73</f>
        <v>0</v>
      </c>
      <c r="AI73" s="233">
        <f>AH73/AH90</f>
        <v>0</v>
      </c>
      <c r="AJ73" s="165">
        <f>I73+S73+AC73</f>
        <v>0</v>
      </c>
      <c r="AK73" s="420"/>
    </row>
    <row r="74" spans="1:37" x14ac:dyDescent="0.25">
      <c r="A74" s="301" t="s">
        <v>5</v>
      </c>
      <c r="B74" s="218" t="str">
        <f t="shared" si="37"/>
        <v>MAST</v>
      </c>
      <c r="C74" s="217" t="s">
        <v>48</v>
      </c>
      <c r="D74" s="10"/>
      <c r="E74" s="126"/>
      <c r="F74" s="126"/>
      <c r="G74" s="126"/>
      <c r="H74" s="189"/>
      <c r="I74" s="166"/>
      <c r="J74" s="69"/>
      <c r="K74" s="69"/>
      <c r="L74" s="69"/>
      <c r="M74" s="70"/>
      <c r="N74" s="88"/>
      <c r="O74" s="429"/>
      <c r="P74" s="89"/>
      <c r="Q74" s="60"/>
      <c r="R74" s="189"/>
      <c r="S74" s="166"/>
      <c r="T74" s="69"/>
      <c r="U74" s="69"/>
      <c r="V74" s="69"/>
      <c r="W74" s="70"/>
      <c r="X74" s="87"/>
      <c r="Y74" s="429"/>
      <c r="Z74" s="89"/>
      <c r="AA74" s="60"/>
      <c r="AB74" s="189"/>
      <c r="AC74" s="166"/>
      <c r="AD74" s="69"/>
      <c r="AE74" s="69"/>
      <c r="AF74" s="69"/>
      <c r="AG74" s="70"/>
      <c r="AH74" s="88"/>
      <c r="AI74" s="241"/>
      <c r="AJ74" s="166"/>
      <c r="AK74" s="88"/>
    </row>
    <row r="75" spans="1:37" x14ac:dyDescent="0.25">
      <c r="A75" s="301" t="s">
        <v>5</v>
      </c>
      <c r="B75" s="218" t="str">
        <f t="shared" si="37"/>
        <v>MASTIS SUPPORT</v>
      </c>
      <c r="C75" s="220" t="s">
        <v>50</v>
      </c>
      <c r="D75" s="10"/>
      <c r="E75" s="126"/>
      <c r="F75" s="126"/>
      <c r="G75" s="126"/>
      <c r="H75" s="186" t="s">
        <v>38</v>
      </c>
      <c r="I75" s="167"/>
      <c r="J75" s="74"/>
      <c r="K75" s="74"/>
      <c r="L75" s="74"/>
      <c r="M75" s="66"/>
      <c r="N75" s="91"/>
      <c r="O75" s="430"/>
      <c r="P75" s="92"/>
      <c r="Q75" s="37"/>
      <c r="R75" s="186" t="s">
        <v>38</v>
      </c>
      <c r="S75" s="167"/>
      <c r="T75" s="74"/>
      <c r="U75" s="74"/>
      <c r="V75" s="74"/>
      <c r="W75" s="66"/>
      <c r="X75" s="90"/>
      <c r="Y75" s="430"/>
      <c r="Z75" s="92"/>
      <c r="AA75" s="37"/>
      <c r="AB75" s="186" t="s">
        <v>38</v>
      </c>
      <c r="AC75" s="167"/>
      <c r="AD75" s="74"/>
      <c r="AE75" s="74"/>
      <c r="AF75" s="74"/>
      <c r="AG75" s="66"/>
      <c r="AH75" s="91"/>
      <c r="AI75" s="227"/>
      <c r="AJ75" s="167"/>
      <c r="AK75" s="91"/>
    </row>
    <row r="76" spans="1:37" x14ac:dyDescent="0.25">
      <c r="A76" s="301" t="s">
        <v>5</v>
      </c>
      <c r="B76" s="218" t="str">
        <f t="shared" si="37"/>
        <v>MASTAnalyst Labor</v>
      </c>
      <c r="C76" s="217" t="s">
        <v>48</v>
      </c>
      <c r="D76" s="10"/>
      <c r="E76" s="126"/>
      <c r="F76" s="126"/>
      <c r="G76" s="126"/>
      <c r="H76" s="184" t="s">
        <v>39</v>
      </c>
      <c r="I76" s="162">
        <f>J76*K76</f>
        <v>0</v>
      </c>
      <c r="J76" s="42"/>
      <c r="K76" s="39"/>
      <c r="L76" s="39"/>
      <c r="M76" s="40" t="str">
        <f>J76&amp;" hrs @ "&amp;K76</f>
        <v xml:space="preserve"> hrs @ </v>
      </c>
      <c r="N76" s="94"/>
      <c r="O76" s="423"/>
      <c r="P76" s="92"/>
      <c r="Q76" s="37"/>
      <c r="R76" s="184" t="s">
        <v>39</v>
      </c>
      <c r="S76" s="162">
        <f>T76*U76</f>
        <v>0</v>
      </c>
      <c r="T76" s="42"/>
      <c r="U76" s="39"/>
      <c r="V76" s="39"/>
      <c r="W76" s="40" t="str">
        <f>T76&amp;" hrs @ "&amp;U76</f>
        <v xml:space="preserve"> hrs @ </v>
      </c>
      <c r="X76" s="93"/>
      <c r="Y76" s="423"/>
      <c r="Z76" s="92"/>
      <c r="AA76" s="37"/>
      <c r="AB76" s="184" t="s">
        <v>39</v>
      </c>
      <c r="AC76" s="162">
        <f>AD76*AE76</f>
        <v>0</v>
      </c>
      <c r="AD76" s="42"/>
      <c r="AE76" s="39"/>
      <c r="AF76" s="39"/>
      <c r="AG76" s="40" t="str">
        <f>AD76&amp;" hrs @ "&amp;AE76</f>
        <v xml:space="preserve"> hrs @ </v>
      </c>
      <c r="AH76" s="94"/>
      <c r="AI76" s="242"/>
      <c r="AJ76" s="162">
        <f>I76+S76+AC76</f>
        <v>0</v>
      </c>
      <c r="AK76" s="94"/>
    </row>
    <row r="77" spans="1:37" x14ac:dyDescent="0.25">
      <c r="A77" s="301" t="s">
        <v>5</v>
      </c>
      <c r="B77" s="218" t="str">
        <f t="shared" si="37"/>
        <v>MASTAnalyst Benefits</v>
      </c>
      <c r="C77" s="217" t="s">
        <v>48</v>
      </c>
      <c r="D77" s="10"/>
      <c r="E77" s="126"/>
      <c r="F77" s="126"/>
      <c r="G77" s="126"/>
      <c r="H77" s="179" t="s">
        <v>40</v>
      </c>
      <c r="I77" s="159">
        <f>I76*$O$2</f>
        <v>0</v>
      </c>
      <c r="J77" s="42"/>
      <c r="K77" s="39"/>
      <c r="L77" s="156"/>
      <c r="M77" s="45" t="str">
        <f>"@ "&amp;$O$2*100&amp;" %"</f>
        <v>@ 98.59 %</v>
      </c>
      <c r="N77" s="94"/>
      <c r="O77" s="423"/>
      <c r="P77" s="92"/>
      <c r="Q77" s="37"/>
      <c r="R77" s="184" t="s">
        <v>40</v>
      </c>
      <c r="S77" s="159">
        <f>S76*$O$2</f>
        <v>0</v>
      </c>
      <c r="T77" s="42"/>
      <c r="U77" s="39"/>
      <c r="V77" s="156"/>
      <c r="W77" s="45" t="str">
        <f>"@ "&amp;$O$2*100&amp;" %"</f>
        <v>@ 98.59 %</v>
      </c>
      <c r="X77" s="93"/>
      <c r="Y77" s="423"/>
      <c r="Z77" s="92"/>
      <c r="AA77" s="37"/>
      <c r="AB77" s="184" t="s">
        <v>40</v>
      </c>
      <c r="AC77" s="159">
        <f>AC76*$O$2</f>
        <v>0</v>
      </c>
      <c r="AD77" s="42"/>
      <c r="AE77" s="39"/>
      <c r="AF77" s="156"/>
      <c r="AG77" s="45" t="str">
        <f>"@ "&amp;$O$2*100&amp;" %"</f>
        <v>@ 98.59 %</v>
      </c>
      <c r="AH77" s="94"/>
      <c r="AI77" s="242"/>
      <c r="AJ77" s="159">
        <f>I77+S77+AC77</f>
        <v>0</v>
      </c>
      <c r="AK77" s="94"/>
    </row>
    <row r="78" spans="1:37" x14ac:dyDescent="0.25">
      <c r="A78" s="301" t="s">
        <v>5</v>
      </c>
      <c r="B78" s="218" t="str">
        <f t="shared" si="37"/>
        <v>MASTTotal IS</v>
      </c>
      <c r="C78" s="220" t="s">
        <v>50</v>
      </c>
      <c r="D78" s="10"/>
      <c r="E78" s="126"/>
      <c r="F78" s="126"/>
      <c r="G78" s="126"/>
      <c r="H78" s="258" t="s">
        <v>41</v>
      </c>
      <c r="I78" s="165">
        <f>I76+I77</f>
        <v>0</v>
      </c>
      <c r="J78" s="68"/>
      <c r="K78" s="68"/>
      <c r="L78" s="68"/>
      <c r="M78" s="66"/>
      <c r="N78" s="420">
        <f>I78</f>
        <v>0</v>
      </c>
      <c r="O78" s="425" t="e">
        <f>N78/N90</f>
        <v>#DIV/0!</v>
      </c>
      <c r="P78" s="92"/>
      <c r="Q78" s="37"/>
      <c r="R78" s="185" t="s">
        <v>41</v>
      </c>
      <c r="S78" s="165">
        <f>S76+S77</f>
        <v>0</v>
      </c>
      <c r="T78" s="68"/>
      <c r="U78" s="68"/>
      <c r="V78" s="68"/>
      <c r="W78" s="66"/>
      <c r="X78" s="52">
        <f>S78</f>
        <v>0</v>
      </c>
      <c r="Y78" s="425">
        <f>X78/X90</f>
        <v>0</v>
      </c>
      <c r="Z78" s="92"/>
      <c r="AA78" s="37"/>
      <c r="AB78" s="185" t="s">
        <v>41</v>
      </c>
      <c r="AC78" s="165">
        <f>AC76+AC77</f>
        <v>0</v>
      </c>
      <c r="AD78" s="68"/>
      <c r="AE78" s="68"/>
      <c r="AF78" s="68"/>
      <c r="AG78" s="66"/>
      <c r="AH78" s="420">
        <f>AC78</f>
        <v>0</v>
      </c>
      <c r="AI78" s="233">
        <f>AH78/AH90</f>
        <v>0</v>
      </c>
      <c r="AJ78" s="165">
        <f>I78+S78+AC78</f>
        <v>0</v>
      </c>
      <c r="AK78" s="420"/>
    </row>
    <row r="79" spans="1:37" x14ac:dyDescent="0.25">
      <c r="A79" s="301" t="s">
        <v>5</v>
      </c>
      <c r="B79" s="218" t="str">
        <f t="shared" si="37"/>
        <v>MAST</v>
      </c>
      <c r="C79" s="217" t="s">
        <v>48</v>
      </c>
      <c r="D79" s="10"/>
      <c r="E79" s="126"/>
      <c r="F79" s="126"/>
      <c r="G79" s="126"/>
      <c r="H79" s="179"/>
      <c r="I79" s="166"/>
      <c r="J79" s="69"/>
      <c r="K79" s="69"/>
      <c r="L79" s="69"/>
      <c r="M79" s="70"/>
      <c r="N79" s="98"/>
      <c r="O79" s="431"/>
      <c r="P79" s="99"/>
      <c r="Q79" s="60"/>
      <c r="R79" s="179"/>
      <c r="S79" s="166"/>
      <c r="T79" s="69"/>
      <c r="U79" s="69"/>
      <c r="V79" s="69"/>
      <c r="W79" s="70"/>
      <c r="X79" s="97"/>
      <c r="Y79" s="431"/>
      <c r="Z79" s="99"/>
      <c r="AA79" s="60"/>
      <c r="AB79" s="179"/>
      <c r="AC79" s="166"/>
      <c r="AD79" s="69"/>
      <c r="AE79" s="69"/>
      <c r="AF79" s="69"/>
      <c r="AG79" s="70"/>
      <c r="AH79" s="98"/>
      <c r="AI79" s="243"/>
      <c r="AJ79" s="166"/>
      <c r="AK79" s="98"/>
    </row>
    <row r="80" spans="1:37" ht="15.6" customHeight="1" x14ac:dyDescent="0.25">
      <c r="A80" s="301" t="s">
        <v>5</v>
      </c>
      <c r="B80" s="218" t="str">
        <f t="shared" si="37"/>
        <v>MASTOTHER</v>
      </c>
      <c r="C80" s="220" t="s">
        <v>50</v>
      </c>
      <c r="D80" s="10"/>
      <c r="E80" s="126"/>
      <c r="F80" s="126"/>
      <c r="G80" s="126"/>
      <c r="H80" s="186" t="s">
        <v>42</v>
      </c>
      <c r="I80" s="167"/>
      <c r="J80" s="74"/>
      <c r="K80" s="74"/>
      <c r="L80" s="74"/>
      <c r="M80" s="66"/>
      <c r="N80" s="91"/>
      <c r="O80" s="430"/>
      <c r="P80" s="92"/>
      <c r="Q80" s="37"/>
      <c r="R80" s="186" t="s">
        <v>42</v>
      </c>
      <c r="S80" s="167"/>
      <c r="T80" s="74"/>
      <c r="U80" s="74"/>
      <c r="V80" s="74"/>
      <c r="W80" s="66"/>
      <c r="X80" s="90"/>
      <c r="Y80" s="430"/>
      <c r="Z80" s="92"/>
      <c r="AA80" s="37"/>
      <c r="AB80" s="186" t="s">
        <v>42</v>
      </c>
      <c r="AC80" s="167"/>
      <c r="AD80" s="74"/>
      <c r="AE80" s="74"/>
      <c r="AF80" s="74"/>
      <c r="AG80" s="66"/>
      <c r="AH80" s="91"/>
      <c r="AI80" s="227"/>
      <c r="AJ80" s="167"/>
      <c r="AK80" s="91"/>
    </row>
    <row r="81" spans="1:37" ht="15.6" customHeight="1" x14ac:dyDescent="0.25">
      <c r="A81" s="301" t="s">
        <v>5</v>
      </c>
      <c r="B81" s="218" t="str">
        <f t="shared" si="37"/>
        <v>MASTManager Non Payroll</v>
      </c>
      <c r="C81" s="217" t="s">
        <v>48</v>
      </c>
      <c r="D81" s="10"/>
      <c r="E81" s="126"/>
      <c r="F81" s="126"/>
      <c r="G81" s="126"/>
      <c r="H81" s="42" t="s">
        <v>546</v>
      </c>
      <c r="I81" s="163">
        <f>ROUND((((I51+I60)*(1+$O$2))/VLOOKUP("MAJ ACCT SERV TEAMPayroll",'Base 2015 actual for Cost Cente'!$A:$F,6,FALSE))*VLOOKUP("MAJ ACCT SERV TEAMNon-Payroll",'Base 2015 actual for Cost Cente'!$A:$F,6,FALSE),0)</f>
        <v>0</v>
      </c>
      <c r="J81" s="74"/>
      <c r="K81" s="74"/>
      <c r="L81" s="74" t="s">
        <v>544</v>
      </c>
      <c r="M81" s="773" t="s">
        <v>369</v>
      </c>
      <c r="N81" s="91"/>
      <c r="O81" s="430"/>
      <c r="P81" s="92"/>
      <c r="Q81" s="37"/>
      <c r="R81" s="38" t="s">
        <v>334</v>
      </c>
      <c r="S81" s="163">
        <f>ROUND((((S51+S60)*(1+$O$2))/VLOOKUP("MAJ ACCT SERV TEAMPayroll",'Base 2015 actual for Cost Cente'!$A:$F,6,FALSE))*VLOOKUP("MAJ ACCT SERV TEAMNon-Payroll",'Base 2015 actual for Cost Cente'!$A:$F,6,FALSE),0)</f>
        <v>0</v>
      </c>
      <c r="T81" s="74"/>
      <c r="U81" s="74"/>
      <c r="V81" s="74" t="s">
        <v>544</v>
      </c>
      <c r="W81" s="773" t="s">
        <v>369</v>
      </c>
      <c r="X81" s="90"/>
      <c r="Y81" s="430"/>
      <c r="Z81" s="92"/>
      <c r="AA81" s="37"/>
      <c r="AB81" s="38" t="s">
        <v>334</v>
      </c>
      <c r="AC81" s="163">
        <f>ROUND((((AC51+AC60)*(1+$O$2))/VLOOKUP("MAJ ACCT SERV TEAMPayroll",'Base 2015 actual for Cost Cente'!$A:$F,6,FALSE))*VLOOKUP("MAJ ACCT SERV TEAMNon-Payroll",'Base 2015 actual for Cost Cente'!$A:$F,6,FALSE),0)</f>
        <v>1105</v>
      </c>
      <c r="AD81" s="74"/>
      <c r="AE81" s="74"/>
      <c r="AF81" s="74" t="s">
        <v>544</v>
      </c>
      <c r="AG81" s="773" t="s">
        <v>369</v>
      </c>
      <c r="AH81" s="91"/>
      <c r="AI81" s="227"/>
      <c r="AJ81" s="163">
        <f>I81+S81+AC81</f>
        <v>1105</v>
      </c>
      <c r="AK81" s="91"/>
    </row>
    <row r="82" spans="1:37" x14ac:dyDescent="0.25">
      <c r="A82" s="301" t="s">
        <v>5</v>
      </c>
      <c r="B82" s="218" t="str">
        <f t="shared" si="37"/>
        <v>MASTMAS NonPayroll</v>
      </c>
      <c r="C82" s="217" t="s">
        <v>48</v>
      </c>
      <c r="D82" s="10"/>
      <c r="E82" s="126"/>
      <c r="F82" s="126"/>
      <c r="G82" s="126"/>
      <c r="H82" s="42" t="s">
        <v>547</v>
      </c>
      <c r="I82" s="163">
        <f>ROUND((((I53+I61)*(1+$O$2))/VLOOKUP("FIELD SERVICESPayroll",'Base 2015 actual for Cost Cente'!$A:$F,6,FALSE))*VLOOKUP("FIELD SERVICESNon-Payroll",'Base 2015 actual for Cost Cente'!$A:$F,6,FALSE),0)</f>
        <v>0</v>
      </c>
      <c r="J82" s="42"/>
      <c r="K82" s="39"/>
      <c r="L82" s="42" t="s">
        <v>545</v>
      </c>
      <c r="M82" s="774"/>
      <c r="N82" s="91"/>
      <c r="O82" s="430"/>
      <c r="P82" s="92"/>
      <c r="Q82" s="37"/>
      <c r="R82" s="38"/>
      <c r="S82" s="163">
        <f>ROUND((((S53+S61)*(1+$O$2))/VLOOKUP("FIELD SERVICESPayroll",'Base 2015 actual for Cost Cente'!$A:$F,6,FALSE))*VLOOKUP("FIELD SERVICESNon-Payroll",'Base 2015 actual for Cost Cente'!$A:$F,6,FALSE),0)</f>
        <v>139</v>
      </c>
      <c r="T82" s="42"/>
      <c r="U82" s="39"/>
      <c r="V82" s="42" t="s">
        <v>545</v>
      </c>
      <c r="W82" s="774"/>
      <c r="X82" s="90"/>
      <c r="Y82" s="430"/>
      <c r="Z82" s="92"/>
      <c r="AA82" s="37"/>
      <c r="AB82" s="38"/>
      <c r="AC82" s="163">
        <f>ROUND((((AC53+AC61)*(1+$O$2))/VLOOKUP("FIELD SERVICESPayroll",'Base 2015 actual for Cost Cente'!$A:$F,6,FALSE))*VLOOKUP("FIELD SERVICESNon-Payroll",'Base 2015 actual for Cost Cente'!$A:$F,6,FALSE),0)</f>
        <v>5</v>
      </c>
      <c r="AD82" s="42"/>
      <c r="AE82" s="39"/>
      <c r="AF82" s="42" t="s">
        <v>545</v>
      </c>
      <c r="AG82" s="774"/>
      <c r="AH82" s="91"/>
      <c r="AI82" s="227"/>
      <c r="AJ82" s="163">
        <f>I82+S82+AC82</f>
        <v>144</v>
      </c>
      <c r="AK82" s="91"/>
    </row>
    <row r="83" spans="1:37" x14ac:dyDescent="0.25">
      <c r="A83" s="301" t="s">
        <v>5</v>
      </c>
      <c r="B83" s="218" t="str">
        <f t="shared" si="37"/>
        <v>MASTMAST Payroll</v>
      </c>
      <c r="C83" s="217" t="s">
        <v>48</v>
      </c>
      <c r="D83" s="10"/>
      <c r="E83" s="126"/>
      <c r="F83" s="126"/>
      <c r="G83" s="126"/>
      <c r="H83" s="42" t="s">
        <v>548</v>
      </c>
      <c r="I83" s="163">
        <f>ROUND((((I52+I62)*(1+$O$2))/VLOOKUP("CUST SEG SRVCPayroll",'Base 2015 actual for Cost Cente'!$A:$F,6,FALSE))*VLOOKUP("CUST SEG SRVCNon-Payroll",'Base 2015 actual for Cost Cente'!$A:$F,6,FALSE),0)</f>
        <v>0</v>
      </c>
      <c r="J83" s="42"/>
      <c r="K83" s="39"/>
      <c r="L83" s="42" t="s">
        <v>5</v>
      </c>
      <c r="M83" s="66" t="s">
        <v>542</v>
      </c>
      <c r="N83" s="91"/>
      <c r="O83" s="430"/>
      <c r="P83" s="92"/>
      <c r="Q83" s="37"/>
      <c r="R83" s="184"/>
      <c r="S83" s="163">
        <f>ROUND((((S52+S62)*(1+$O$2))/VLOOKUP("CUST SEG SRVCPayroll",'Base 2015 actual for Cost Cente'!$A:$F,6,FALSE))*VLOOKUP("CUST SEG SRVCNon-Payroll",'Base 2015 actual for Cost Cente'!$A:$F,6,FALSE),0)</f>
        <v>12</v>
      </c>
      <c r="T83" s="42"/>
      <c r="U83" s="39"/>
      <c r="V83" s="42" t="s">
        <v>5</v>
      </c>
      <c r="W83" s="66" t="s">
        <v>542</v>
      </c>
      <c r="X83" s="90"/>
      <c r="Y83" s="430"/>
      <c r="Z83" s="92"/>
      <c r="AA83" s="37"/>
      <c r="AB83" s="184"/>
      <c r="AC83" s="163">
        <f>ROUND((((AC52+AC62)*(1+$O$2))/VLOOKUP("CUST SEG SRVCPayroll",'Base 2015 actual for Cost Cente'!$A:$F,6,FALSE))*VLOOKUP("CUST SEG SRVCNon-Payroll",'Base 2015 actual for Cost Cente'!$A:$F,6,FALSE),0)</f>
        <v>505</v>
      </c>
      <c r="AD83" s="42"/>
      <c r="AE83" s="39"/>
      <c r="AF83" s="42" t="s">
        <v>5</v>
      </c>
      <c r="AG83" s="66" t="s">
        <v>542</v>
      </c>
      <c r="AH83" s="91"/>
      <c r="AI83" s="227"/>
      <c r="AJ83" s="163">
        <f>I83+S83+AC83</f>
        <v>517</v>
      </c>
      <c r="AK83" s="91"/>
    </row>
    <row r="84" spans="1:37" x14ac:dyDescent="0.25">
      <c r="A84" s="301" t="s">
        <v>5</v>
      </c>
      <c r="B84" s="218" t="str">
        <f t="shared" si="37"/>
        <v>MAST</v>
      </c>
      <c r="C84" s="217" t="s">
        <v>48</v>
      </c>
      <c r="D84" s="10"/>
      <c r="E84" s="126"/>
      <c r="F84" s="126"/>
      <c r="G84" s="126"/>
      <c r="H84" s="184"/>
      <c r="I84" s="158">
        <f t="shared" ref="I84:I86" si="50">J84*K84</f>
        <v>0</v>
      </c>
      <c r="J84" s="42"/>
      <c r="K84" s="39"/>
      <c r="L84" s="42"/>
      <c r="M84" s="66"/>
      <c r="N84" s="91"/>
      <c r="O84" s="430"/>
      <c r="P84" s="92"/>
      <c r="Q84" s="37"/>
      <c r="R84" s="184"/>
      <c r="S84" s="158"/>
      <c r="T84" s="42"/>
      <c r="U84" s="39"/>
      <c r="V84" s="42"/>
      <c r="W84" s="66"/>
      <c r="X84" s="90"/>
      <c r="Y84" s="430"/>
      <c r="Z84" s="92"/>
      <c r="AA84" s="37"/>
      <c r="AB84" s="184"/>
      <c r="AC84" s="158"/>
      <c r="AD84" s="42"/>
      <c r="AE84" s="39"/>
      <c r="AF84" s="42"/>
      <c r="AG84" s="66"/>
      <c r="AH84" s="91"/>
      <c r="AI84" s="227"/>
      <c r="AJ84" s="158"/>
      <c r="AK84" s="91"/>
    </row>
    <row r="85" spans="1:37" x14ac:dyDescent="0.25">
      <c r="A85" s="301" t="s">
        <v>5</v>
      </c>
      <c r="B85" s="218" t="str">
        <f t="shared" si="37"/>
        <v>MAST</v>
      </c>
      <c r="C85" s="217" t="s">
        <v>48</v>
      </c>
      <c r="D85" s="10"/>
      <c r="E85" s="126"/>
      <c r="F85" s="126"/>
      <c r="G85" s="126"/>
      <c r="H85" s="184"/>
      <c r="I85" s="158">
        <f t="shared" si="50"/>
        <v>0</v>
      </c>
      <c r="J85" s="42"/>
      <c r="K85" s="39"/>
      <c r="L85" s="42"/>
      <c r="M85" s="66"/>
      <c r="N85" s="91"/>
      <c r="O85" s="430"/>
      <c r="P85" s="92"/>
      <c r="Q85" s="37"/>
      <c r="R85" s="184"/>
      <c r="S85" s="158"/>
      <c r="T85" s="42"/>
      <c r="U85" s="39"/>
      <c r="V85" s="42"/>
      <c r="W85" s="66"/>
      <c r="X85" s="90"/>
      <c r="Y85" s="430"/>
      <c r="Z85" s="92"/>
      <c r="AA85" s="37"/>
      <c r="AB85" s="184"/>
      <c r="AC85" s="158"/>
      <c r="AD85" s="42"/>
      <c r="AE85" s="39"/>
      <c r="AF85" s="42"/>
      <c r="AG85" s="66"/>
      <c r="AH85" s="91"/>
      <c r="AI85" s="227"/>
      <c r="AJ85" s="158"/>
      <c r="AK85" s="91"/>
    </row>
    <row r="86" spans="1:37" x14ac:dyDescent="0.25">
      <c r="A86" s="301" t="s">
        <v>5</v>
      </c>
      <c r="B86" s="218" t="str">
        <f t="shared" si="37"/>
        <v>MAST</v>
      </c>
      <c r="C86" s="217" t="s">
        <v>48</v>
      </c>
      <c r="D86" s="10"/>
      <c r="E86" s="126"/>
      <c r="F86" s="126"/>
      <c r="G86" s="126"/>
      <c r="H86" s="179"/>
      <c r="I86" s="158">
        <f t="shared" si="50"/>
        <v>0</v>
      </c>
      <c r="J86" s="82"/>
      <c r="K86" s="82"/>
      <c r="L86" s="67"/>
      <c r="M86" s="40"/>
      <c r="N86" s="94"/>
      <c r="O86" s="423"/>
      <c r="P86" s="92"/>
      <c r="Q86" s="37"/>
      <c r="R86" s="184"/>
      <c r="S86" s="158"/>
      <c r="T86" s="82"/>
      <c r="U86" s="82"/>
      <c r="V86" s="67"/>
      <c r="W86" s="40"/>
      <c r="X86" s="93"/>
      <c r="Y86" s="423"/>
      <c r="Z86" s="92"/>
      <c r="AA86" s="37"/>
      <c r="AB86" s="184"/>
      <c r="AC86" s="158"/>
      <c r="AD86" s="82"/>
      <c r="AE86" s="82"/>
      <c r="AF86" s="67"/>
      <c r="AG86" s="40"/>
      <c r="AH86" s="94"/>
      <c r="AI86" s="242"/>
      <c r="AJ86" s="158"/>
      <c r="AK86" s="94"/>
    </row>
    <row r="87" spans="1:37" x14ac:dyDescent="0.25">
      <c r="A87" s="301" t="s">
        <v>5</v>
      </c>
      <c r="B87" s="218" t="str">
        <f t="shared" si="37"/>
        <v>MASTTotal Other</v>
      </c>
      <c r="C87" s="220" t="s">
        <v>50</v>
      </c>
      <c r="D87" s="10"/>
      <c r="E87" s="116">
        <f>I87</f>
        <v>0</v>
      </c>
      <c r="F87" s="116">
        <f>S87</f>
        <v>151</v>
      </c>
      <c r="G87" s="116">
        <f>AC87</f>
        <v>1615</v>
      </c>
      <c r="H87" s="258" t="s">
        <v>45</v>
      </c>
      <c r="I87" s="165">
        <f>SUM(I81:I86)</f>
        <v>0</v>
      </c>
      <c r="J87" s="68"/>
      <c r="K87" s="68"/>
      <c r="L87" s="68"/>
      <c r="M87" s="66"/>
      <c r="N87" s="414">
        <f>I87</f>
        <v>0</v>
      </c>
      <c r="O87" s="425" t="e">
        <f>N87/N90</f>
        <v>#DIV/0!</v>
      </c>
      <c r="P87" s="92"/>
      <c r="Q87" s="68"/>
      <c r="R87" s="185" t="s">
        <v>45</v>
      </c>
      <c r="S87" s="165">
        <f>SUM(S81:S86)</f>
        <v>151</v>
      </c>
      <c r="T87" s="68"/>
      <c r="U87" s="68"/>
      <c r="V87" s="68"/>
      <c r="W87" s="66"/>
      <c r="X87" s="165">
        <f>S87</f>
        <v>151</v>
      </c>
      <c r="Y87" s="425">
        <f>X87/X90</f>
        <v>3.7472275329340075E-2</v>
      </c>
      <c r="Z87" s="92"/>
      <c r="AA87" s="68"/>
      <c r="AB87" s="185" t="s">
        <v>45</v>
      </c>
      <c r="AC87" s="165">
        <f>SUM(AC81:AC86)</f>
        <v>1615</v>
      </c>
      <c r="AD87" s="68"/>
      <c r="AE87" s="68"/>
      <c r="AF87" s="68"/>
      <c r="AG87" s="66"/>
      <c r="AH87" s="414">
        <f>AC87</f>
        <v>1615</v>
      </c>
      <c r="AI87" s="233">
        <f>AH87/AH90</f>
        <v>3.6040718615095758E-2</v>
      </c>
      <c r="AJ87" s="165">
        <f>I87+S87+AC87</f>
        <v>1766</v>
      </c>
      <c r="AK87" s="414"/>
    </row>
    <row r="88" spans="1:37" ht="16.5" thickBot="1" x14ac:dyDescent="0.3">
      <c r="A88" s="301" t="s">
        <v>5</v>
      </c>
      <c r="B88" s="218" t="str">
        <f t="shared" si="37"/>
        <v>MAST</v>
      </c>
      <c r="C88" s="217" t="s">
        <v>48</v>
      </c>
      <c r="D88" s="10"/>
      <c r="E88" s="126"/>
      <c r="F88" s="126"/>
      <c r="G88" s="126"/>
      <c r="H88" s="189"/>
      <c r="I88" s="178"/>
      <c r="J88" s="101"/>
      <c r="K88" s="101"/>
      <c r="L88" s="101"/>
      <c r="M88" s="102"/>
      <c r="N88" s="415"/>
      <c r="O88" s="178"/>
      <c r="P88" s="101"/>
      <c r="Q88" s="101"/>
      <c r="R88" s="178"/>
      <c r="S88" s="178"/>
      <c r="T88" s="101"/>
      <c r="U88" s="101"/>
      <c r="V88" s="101"/>
      <c r="W88" s="102"/>
      <c r="X88" s="178"/>
      <c r="Y88" s="178"/>
      <c r="Z88" s="101"/>
      <c r="AA88" s="101"/>
      <c r="AB88" s="178"/>
      <c r="AC88" s="178"/>
      <c r="AD88" s="101"/>
      <c r="AE88" s="101"/>
      <c r="AF88" s="101"/>
      <c r="AG88" s="102"/>
      <c r="AH88" s="415"/>
      <c r="AI88" s="178"/>
      <c r="AJ88" s="178"/>
      <c r="AK88" s="415"/>
    </row>
    <row r="89" spans="1:37" ht="16.5" thickTop="1" x14ac:dyDescent="0.25">
      <c r="A89" s="301" t="s">
        <v>5</v>
      </c>
      <c r="B89" s="218" t="str">
        <f t="shared" si="37"/>
        <v>MASTTOTALS</v>
      </c>
      <c r="C89" s="217" t="s">
        <v>48</v>
      </c>
      <c r="D89" s="10"/>
      <c r="E89" s="126"/>
      <c r="F89" s="126"/>
      <c r="G89" s="126"/>
      <c r="H89" s="61" t="s">
        <v>28</v>
      </c>
      <c r="I89" s="103"/>
      <c r="J89" s="103"/>
      <c r="K89" s="103"/>
      <c r="L89" s="103"/>
      <c r="M89" s="104"/>
      <c r="N89" s="91"/>
      <c r="O89" s="136"/>
      <c r="P89" s="92"/>
      <c r="Q89" s="37"/>
      <c r="R89" s="186" t="s">
        <v>28</v>
      </c>
      <c r="S89" s="103"/>
      <c r="T89" s="103"/>
      <c r="U89" s="103"/>
      <c r="V89" s="103"/>
      <c r="W89" s="104"/>
      <c r="X89" s="90"/>
      <c r="Y89" s="136"/>
      <c r="Z89" s="92"/>
      <c r="AA89" s="37"/>
      <c r="AB89" s="186" t="s">
        <v>28</v>
      </c>
      <c r="AC89" s="103"/>
      <c r="AD89" s="103"/>
      <c r="AE89" s="103"/>
      <c r="AF89" s="103"/>
      <c r="AG89" s="104"/>
      <c r="AH89" s="91"/>
      <c r="AI89" s="136"/>
      <c r="AJ89" s="103"/>
      <c r="AK89" s="91"/>
    </row>
    <row r="90" spans="1:37" x14ac:dyDescent="0.25">
      <c r="A90" s="301" t="s">
        <v>5</v>
      </c>
      <c r="B90" s="218" t="str">
        <f t="shared" ref="B90:B120" si="51">A90&amp;H90</f>
        <v>MASTPER YEAR</v>
      </c>
      <c r="C90" s="220" t="s">
        <v>50</v>
      </c>
      <c r="D90" s="10"/>
      <c r="E90" s="116">
        <f>I90</f>
        <v>0</v>
      </c>
      <c r="F90" s="116">
        <f>S90</f>
        <v>4029.6458827993793</v>
      </c>
      <c r="G90" s="116">
        <f>S90</f>
        <v>4029.6458827993793</v>
      </c>
      <c r="H90" s="105" t="s">
        <v>46</v>
      </c>
      <c r="I90" s="106">
        <f>I57+I66+I73+I78+I87</f>
        <v>0</v>
      </c>
      <c r="J90" s="106"/>
      <c r="K90" s="106"/>
      <c r="L90" s="106"/>
      <c r="M90" s="107"/>
      <c r="N90" s="420">
        <f>SUM(N57:N88)</f>
        <v>0</v>
      </c>
      <c r="O90" s="425" t="e">
        <f>SUM(O57:O88)</f>
        <v>#DIV/0!</v>
      </c>
      <c r="P90" s="92"/>
      <c r="Q90" s="37"/>
      <c r="R90" s="190" t="s">
        <v>46</v>
      </c>
      <c r="S90" s="106">
        <f>S57+S66+S73+S78+S87</f>
        <v>4029.6458827993793</v>
      </c>
      <c r="T90" s="106"/>
      <c r="U90" s="106"/>
      <c r="V90" s="106"/>
      <c r="W90" s="107"/>
      <c r="X90" s="52">
        <f>SUM(X57:X88)</f>
        <v>4029.6458827993793</v>
      </c>
      <c r="Y90" s="425">
        <f>SUM(Y57:Y88)</f>
        <v>1</v>
      </c>
      <c r="Z90" s="92"/>
      <c r="AA90" s="37"/>
      <c r="AB90" s="190" t="s">
        <v>46</v>
      </c>
      <c r="AC90" s="106">
        <f>AC57+AC66+AC73+AC78+AC87</f>
        <v>44810.427262778067</v>
      </c>
      <c r="AD90" s="106"/>
      <c r="AE90" s="106"/>
      <c r="AF90" s="106"/>
      <c r="AG90" s="107"/>
      <c r="AH90" s="420">
        <f>SUM(AH57:AH88)</f>
        <v>44810.427262778067</v>
      </c>
      <c r="AI90" s="233">
        <f>SUM(AI57:AI88)</f>
        <v>0.99999999999999989</v>
      </c>
      <c r="AJ90" s="106">
        <f>I90+S90+AC90</f>
        <v>48840.073145577444</v>
      </c>
      <c r="AK90" s="420"/>
    </row>
    <row r="91" spans="1:37" x14ac:dyDescent="0.25">
      <c r="A91" s="301" t="s">
        <v>5</v>
      </c>
      <c r="B91" s="218" t="str">
        <f t="shared" si="51"/>
        <v>MASTPER BILL</v>
      </c>
      <c r="C91" s="220" t="s">
        <v>50</v>
      </c>
      <c r="D91" s="10"/>
      <c r="E91" s="126"/>
      <c r="F91" s="126"/>
      <c r="G91" s="126"/>
      <c r="H91" s="656" t="s">
        <v>283</v>
      </c>
      <c r="I91" s="657">
        <f>I90/I$6</f>
        <v>0</v>
      </c>
      <c r="J91" s="657"/>
      <c r="K91" s="657"/>
      <c r="L91" s="657"/>
      <c r="M91" s="658"/>
      <c r="N91" s="98"/>
      <c r="O91" s="431"/>
      <c r="P91" s="99"/>
      <c r="Q91" s="60"/>
      <c r="R91" s="659" t="s">
        <v>283</v>
      </c>
      <c r="S91" s="657">
        <f>S90/S$6</f>
        <v>5.2895958850407839E-3</v>
      </c>
      <c r="T91" s="657"/>
      <c r="U91" s="657"/>
      <c r="V91" s="657"/>
      <c r="W91" s="658"/>
      <c r="X91" s="97"/>
      <c r="Y91" s="431"/>
      <c r="Z91" s="99"/>
      <c r="AA91" s="60"/>
      <c r="AB91" s="659" t="s">
        <v>283</v>
      </c>
      <c r="AC91" s="657">
        <f>AC90/AC$6</f>
        <v>1.7883396760497292</v>
      </c>
      <c r="AD91" s="657"/>
      <c r="AE91" s="657"/>
      <c r="AF91" s="657"/>
      <c r="AG91" s="658"/>
      <c r="AH91" s="98"/>
      <c r="AI91" s="243"/>
      <c r="AJ91" s="657">
        <f>I91+S91+AC91</f>
        <v>1.79362927193477</v>
      </c>
      <c r="AK91" s="98"/>
    </row>
    <row r="92" spans="1:37" x14ac:dyDescent="0.25">
      <c r="A92" s="301" t="s">
        <v>5</v>
      </c>
      <c r="B92" s="218"/>
      <c r="C92" s="220"/>
      <c r="D92" s="10"/>
      <c r="E92" s="10"/>
      <c r="F92" s="10"/>
      <c r="G92" s="10"/>
      <c r="H92" s="137" t="s">
        <v>553</v>
      </c>
      <c r="I92" s="652">
        <f>I57+I66</f>
        <v>0</v>
      </c>
      <c r="J92" s="108"/>
      <c r="K92" s="108"/>
      <c r="L92" s="108"/>
      <c r="M92" s="109"/>
      <c r="N92" s="649"/>
      <c r="O92" s="650"/>
      <c r="P92" s="92"/>
      <c r="Q92" s="37"/>
      <c r="R92" s="137" t="s">
        <v>553</v>
      </c>
      <c r="S92" s="652">
        <f>S57+S66</f>
        <v>3878.6458827993793</v>
      </c>
      <c r="T92" s="108"/>
      <c r="U92" s="108"/>
      <c r="V92" s="108"/>
      <c r="W92" s="109"/>
      <c r="X92" s="651"/>
      <c r="Y92" s="650"/>
      <c r="Z92" s="92"/>
      <c r="AA92" s="37"/>
      <c r="AB92" s="137" t="s">
        <v>553</v>
      </c>
      <c r="AC92" s="652">
        <f>AC57+AC66</f>
        <v>43195.427262778067</v>
      </c>
      <c r="AD92" s="108"/>
      <c r="AE92" s="108"/>
      <c r="AF92" s="108"/>
      <c r="AG92" s="109"/>
      <c r="AH92" s="649"/>
      <c r="AI92" s="137"/>
      <c r="AJ92" s="652">
        <f>I92+S92+AC92</f>
        <v>47074.073145577444</v>
      </c>
      <c r="AK92" s="649"/>
    </row>
    <row r="93" spans="1:37" x14ac:dyDescent="0.25">
      <c r="A93" s="301" t="s">
        <v>5</v>
      </c>
      <c r="B93" s="218"/>
      <c r="C93" s="220"/>
      <c r="D93" s="10"/>
      <c r="E93" s="10"/>
      <c r="F93" s="10"/>
      <c r="G93" s="10"/>
      <c r="H93" s="137" t="s">
        <v>554</v>
      </c>
      <c r="I93" s="652">
        <f>I87+I78+I73</f>
        <v>0</v>
      </c>
      <c r="J93" s="108"/>
      <c r="K93" s="652"/>
      <c r="L93" s="108"/>
      <c r="M93" s="109"/>
      <c r="N93" s="649"/>
      <c r="O93" s="650"/>
      <c r="P93" s="92"/>
      <c r="Q93" s="37"/>
      <c r="R93" s="137" t="s">
        <v>554</v>
      </c>
      <c r="S93" s="652">
        <f>S87+S78+S73</f>
        <v>151</v>
      </c>
      <c r="T93" s="108"/>
      <c r="U93" s="652"/>
      <c r="V93" s="108"/>
      <c r="W93" s="109"/>
      <c r="X93" s="651"/>
      <c r="Y93" s="650"/>
      <c r="Z93" s="92"/>
      <c r="AA93" s="37"/>
      <c r="AB93" s="137" t="s">
        <v>554</v>
      </c>
      <c r="AC93" s="652">
        <f>AC87+AC78+AC73</f>
        <v>1615</v>
      </c>
      <c r="AD93" s="108"/>
      <c r="AE93" s="652"/>
      <c r="AF93" s="108"/>
      <c r="AG93" s="109"/>
      <c r="AH93" s="649"/>
      <c r="AI93" s="137"/>
      <c r="AJ93" s="652">
        <f>I93+S93+AC93</f>
        <v>1766</v>
      </c>
      <c r="AK93" s="649"/>
    </row>
    <row r="94" spans="1:37" x14ac:dyDescent="0.25">
      <c r="A94" s="301" t="s">
        <v>5</v>
      </c>
      <c r="B94" s="218"/>
      <c r="C94" s="220"/>
      <c r="D94" s="10"/>
      <c r="E94" s="10"/>
      <c r="F94" s="10"/>
      <c r="G94" s="10"/>
      <c r="H94" s="137" t="s">
        <v>552</v>
      </c>
      <c r="I94" s="652">
        <f>I90</f>
        <v>0</v>
      </c>
      <c r="J94" s="108"/>
      <c r="K94" s="108"/>
      <c r="L94" s="108"/>
      <c r="M94" s="109"/>
      <c r="N94" s="649"/>
      <c r="O94" s="650"/>
      <c r="P94" s="92"/>
      <c r="Q94" s="37"/>
      <c r="R94" s="137" t="s">
        <v>552</v>
      </c>
      <c r="S94" s="652">
        <f>S90</f>
        <v>4029.6458827993793</v>
      </c>
      <c r="T94" s="108"/>
      <c r="U94" s="108"/>
      <c r="V94" s="108"/>
      <c r="W94" s="109"/>
      <c r="X94" s="651"/>
      <c r="Y94" s="650"/>
      <c r="Z94" s="92"/>
      <c r="AA94" s="37"/>
      <c r="AB94" s="137" t="s">
        <v>552</v>
      </c>
      <c r="AC94" s="652">
        <f>AC90</f>
        <v>44810.427262778067</v>
      </c>
      <c r="AD94" s="108"/>
      <c r="AE94" s="108"/>
      <c r="AF94" s="108"/>
      <c r="AG94" s="109"/>
      <c r="AH94" s="649"/>
      <c r="AI94" s="137"/>
      <c r="AJ94" s="652">
        <f>I94+S94+AC94</f>
        <v>48840.073145577444</v>
      </c>
      <c r="AK94" s="649"/>
    </row>
    <row r="95" spans="1:37" ht="46.9" customHeight="1" x14ac:dyDescent="0.25">
      <c r="A95" s="301" t="s">
        <v>6</v>
      </c>
      <c r="B95" s="218" t="str">
        <f t="shared" si="51"/>
        <v>RMCLABOR: NON-SUPERVISORY</v>
      </c>
      <c r="C95" s="12" t="s">
        <v>6</v>
      </c>
      <c r="D95" s="10" t="str">
        <f>'2015Summary METER to CASH (Base'!C18</f>
        <v>* Plan &amp; assign all routes to field personnel</v>
      </c>
      <c r="E95" s="117">
        <f>N131</f>
        <v>39590.008439999998</v>
      </c>
      <c r="F95" s="117">
        <f>X131</f>
        <v>3891.34276</v>
      </c>
      <c r="G95" s="117">
        <f>AC131</f>
        <v>78.464200000000005</v>
      </c>
      <c r="H95" s="182" t="s">
        <v>31</v>
      </c>
      <c r="I95" s="157"/>
      <c r="J95" s="118"/>
      <c r="K95" s="118"/>
      <c r="L95" s="118"/>
      <c r="M95" s="119"/>
      <c r="N95" s="121"/>
      <c r="O95" s="206"/>
      <c r="P95" s="122"/>
      <c r="Q95" s="123"/>
      <c r="R95" s="183" t="s">
        <v>31</v>
      </c>
      <c r="S95" s="157"/>
      <c r="T95" s="118"/>
      <c r="U95" s="118"/>
      <c r="V95" s="118"/>
      <c r="W95" s="119"/>
      <c r="X95" s="120"/>
      <c r="Y95" s="206"/>
      <c r="Z95" s="122"/>
      <c r="AA95" s="123"/>
      <c r="AB95" s="183" t="s">
        <v>31</v>
      </c>
      <c r="AC95" s="157"/>
      <c r="AD95" s="118"/>
      <c r="AE95" s="118"/>
      <c r="AF95" s="118"/>
      <c r="AG95" s="119"/>
      <c r="AH95" s="121"/>
      <c r="AI95" s="135"/>
      <c r="AJ95" s="157"/>
      <c r="AK95" s="121"/>
    </row>
    <row r="96" spans="1:37" ht="21" x14ac:dyDescent="0.35">
      <c r="A96" s="301" t="s">
        <v>6</v>
      </c>
      <c r="B96" s="218" t="str">
        <f t="shared" si="51"/>
        <v>RMCReso Mgmt Spec (Grade 18)</v>
      </c>
      <c r="C96" s="5" t="s">
        <v>48</v>
      </c>
      <c r="D96" s="10"/>
      <c r="E96" s="116"/>
      <c r="F96" s="116"/>
      <c r="G96" s="116"/>
      <c r="H96" s="38" t="s">
        <v>312</v>
      </c>
      <c r="I96" s="163">
        <f>J96*K96</f>
        <v>17594</v>
      </c>
      <c r="J96" s="42">
        <f>ROUND(510*(I$6/($I$6+$S$6+$AC$6)),0)</f>
        <v>463</v>
      </c>
      <c r="K96" s="39">
        <v>38</v>
      </c>
      <c r="L96" s="39"/>
      <c r="M96" s="40" t="str">
        <f>J96&amp;" hrs @ "&amp;K96</f>
        <v>463 hrs @ 38</v>
      </c>
      <c r="N96" s="35"/>
      <c r="O96" s="207"/>
      <c r="P96" s="36"/>
      <c r="Q96" s="41"/>
      <c r="R96" s="184" t="s">
        <v>312</v>
      </c>
      <c r="S96" s="163">
        <f>T96*U96</f>
        <v>1710</v>
      </c>
      <c r="T96" s="42">
        <f>ROUND(510*(S$6/($I$6+$S$6+$AC$6)),0)</f>
        <v>45</v>
      </c>
      <c r="U96" s="39">
        <v>38</v>
      </c>
      <c r="V96" s="39"/>
      <c r="W96" s="40" t="str">
        <f>T96&amp;" hrs @ "&amp;U96</f>
        <v>45 hrs @ 38</v>
      </c>
      <c r="X96" s="34"/>
      <c r="Y96" s="207"/>
      <c r="Z96" s="36"/>
      <c r="AA96" s="41"/>
      <c r="AB96" s="184" t="s">
        <v>312</v>
      </c>
      <c r="AC96" s="163">
        <f>AD96*AE96</f>
        <v>38</v>
      </c>
      <c r="AD96" s="42">
        <f>ROUND(510*(AC$6/($I$6+$S$6+$AC$6)),0)</f>
        <v>1</v>
      </c>
      <c r="AE96" s="39">
        <v>38</v>
      </c>
      <c r="AF96" s="39"/>
      <c r="AG96" s="40" t="str">
        <f>AD96&amp;" hrs @ "&amp;AE96</f>
        <v>1 hrs @ 38</v>
      </c>
      <c r="AH96" s="35"/>
      <c r="AI96" s="136"/>
      <c r="AJ96" s="163">
        <f>I96+S96+AC96</f>
        <v>19342</v>
      </c>
      <c r="AK96" s="35"/>
    </row>
    <row r="97" spans="1:37" ht="21" x14ac:dyDescent="0.35">
      <c r="A97" s="301" t="s">
        <v>6</v>
      </c>
      <c r="B97" s="218" t="str">
        <f t="shared" si="51"/>
        <v>RMC</v>
      </c>
      <c r="C97" s="5" t="s">
        <v>48</v>
      </c>
      <c r="D97" s="10"/>
      <c r="E97" s="116"/>
      <c r="F97" s="116"/>
      <c r="G97" s="116"/>
      <c r="H97" s="38"/>
      <c r="I97" s="158"/>
      <c r="J97" s="42"/>
      <c r="K97" s="39"/>
      <c r="L97" s="42"/>
      <c r="M97" s="40" t="str">
        <f t="shared" ref="M97:M99" si="52">J97&amp;" hrs @ "&amp;K97</f>
        <v xml:space="preserve"> hrs @ </v>
      </c>
      <c r="N97" s="35"/>
      <c r="O97" s="207"/>
      <c r="P97" s="36"/>
      <c r="Q97" s="3"/>
      <c r="R97" s="184"/>
      <c r="S97" s="158"/>
      <c r="T97" s="42"/>
      <c r="U97" s="39"/>
      <c r="V97" s="42"/>
      <c r="W97" s="40" t="str">
        <f t="shared" ref="W97:W99" si="53">T97&amp;" hrs @ "&amp;U97</f>
        <v xml:space="preserve"> hrs @ </v>
      </c>
      <c r="X97" s="34"/>
      <c r="Y97" s="207"/>
      <c r="Z97" s="36"/>
      <c r="AA97" s="3"/>
      <c r="AB97" s="184"/>
      <c r="AC97" s="158"/>
      <c r="AD97" s="42"/>
      <c r="AE97" s="39"/>
      <c r="AF97" s="42"/>
      <c r="AG97" s="40" t="str">
        <f t="shared" ref="AG97:AG99" si="54">AD97&amp;" hrs @ "&amp;AE97</f>
        <v xml:space="preserve"> hrs @ </v>
      </c>
      <c r="AH97" s="35"/>
      <c r="AI97" s="136"/>
      <c r="AJ97" s="158"/>
      <c r="AK97" s="35"/>
    </row>
    <row r="98" spans="1:37" ht="21" x14ac:dyDescent="0.35">
      <c r="A98" s="301" t="s">
        <v>6</v>
      </c>
      <c r="B98" s="218" t="str">
        <f t="shared" si="51"/>
        <v>RMC</v>
      </c>
      <c r="C98" s="5" t="s">
        <v>48</v>
      </c>
      <c r="D98" s="10"/>
      <c r="E98" s="116"/>
      <c r="F98" s="116"/>
      <c r="G98" s="116"/>
      <c r="H98" s="38"/>
      <c r="I98" s="158"/>
      <c r="J98" s="42"/>
      <c r="K98" s="39"/>
      <c r="L98" s="42"/>
      <c r="M98" s="40" t="str">
        <f t="shared" si="52"/>
        <v xml:space="preserve"> hrs @ </v>
      </c>
      <c r="N98" s="35"/>
      <c r="O98" s="207"/>
      <c r="P98" s="36"/>
      <c r="Q98" s="41"/>
      <c r="R98" s="184"/>
      <c r="S98" s="158"/>
      <c r="T98" s="42"/>
      <c r="U98" s="39"/>
      <c r="V98" s="42"/>
      <c r="W98" s="40" t="str">
        <f t="shared" si="53"/>
        <v xml:space="preserve"> hrs @ </v>
      </c>
      <c r="X98" s="34"/>
      <c r="Y98" s="207"/>
      <c r="Z98" s="36"/>
      <c r="AA98" s="41"/>
      <c r="AB98" s="184"/>
      <c r="AC98" s="158"/>
      <c r="AD98" s="42"/>
      <c r="AE98" s="39"/>
      <c r="AF98" s="42"/>
      <c r="AG98" s="40" t="str">
        <f t="shared" si="54"/>
        <v xml:space="preserve"> hrs @ </v>
      </c>
      <c r="AH98" s="35"/>
      <c r="AI98" s="136"/>
      <c r="AJ98" s="158"/>
      <c r="AK98" s="35"/>
    </row>
    <row r="99" spans="1:37" ht="21" x14ac:dyDescent="0.35">
      <c r="A99" s="301" t="s">
        <v>6</v>
      </c>
      <c r="B99" s="218" t="str">
        <f t="shared" si="51"/>
        <v>RMC</v>
      </c>
      <c r="C99" s="5" t="s">
        <v>48</v>
      </c>
      <c r="D99" s="10"/>
      <c r="E99" s="116"/>
      <c r="F99" s="116"/>
      <c r="G99" s="116"/>
      <c r="H99" s="179"/>
      <c r="I99" s="173"/>
      <c r="J99" s="174"/>
      <c r="K99" s="175"/>
      <c r="L99" s="181">
        <v>7.0000000000000007E-2</v>
      </c>
      <c r="M99" s="176" t="str">
        <f t="shared" si="52"/>
        <v xml:space="preserve"> hrs @ </v>
      </c>
      <c r="N99" s="35"/>
      <c r="O99" s="207"/>
      <c r="P99" s="36"/>
      <c r="Q99" s="44"/>
      <c r="R99" s="179"/>
      <c r="S99" s="173"/>
      <c r="T99" s="174"/>
      <c r="U99" s="175"/>
      <c r="V99" s="181">
        <v>7.0000000000000007E-2</v>
      </c>
      <c r="W99" s="176" t="str">
        <f t="shared" si="53"/>
        <v xml:space="preserve"> hrs @ </v>
      </c>
      <c r="X99" s="34"/>
      <c r="Y99" s="207"/>
      <c r="Z99" s="36"/>
      <c r="AA99" s="44"/>
      <c r="AB99" s="179"/>
      <c r="AC99" s="173"/>
      <c r="AD99" s="174"/>
      <c r="AE99" s="175"/>
      <c r="AF99" s="181"/>
      <c r="AG99" s="176" t="str">
        <f t="shared" si="54"/>
        <v xml:space="preserve"> hrs @ </v>
      </c>
      <c r="AH99" s="35"/>
      <c r="AI99" s="136"/>
      <c r="AJ99" s="173"/>
      <c r="AK99" s="35"/>
    </row>
    <row r="100" spans="1:37" ht="21" x14ac:dyDescent="0.35">
      <c r="A100" s="301" t="s">
        <v>6</v>
      </c>
      <c r="B100" s="218" t="str">
        <f t="shared" si="51"/>
        <v>RMCTotal Wages</v>
      </c>
      <c r="C100" s="5" t="s">
        <v>48</v>
      </c>
      <c r="D100" s="10"/>
      <c r="E100" s="116"/>
      <c r="F100" s="116"/>
      <c r="G100" s="116"/>
      <c r="H100" s="38" t="s">
        <v>32</v>
      </c>
      <c r="I100" s="158">
        <f>SUM(I96:I99)</f>
        <v>17594</v>
      </c>
      <c r="J100" s="42"/>
      <c r="K100" s="39"/>
      <c r="L100" s="39"/>
      <c r="M100" s="40"/>
      <c r="N100" s="35"/>
      <c r="O100" s="207"/>
      <c r="P100" s="36"/>
      <c r="Q100" s="41"/>
      <c r="R100" s="184" t="s">
        <v>32</v>
      </c>
      <c r="S100" s="158">
        <f>SUM(S96:S99)</f>
        <v>1710</v>
      </c>
      <c r="T100" s="42"/>
      <c r="U100" s="39"/>
      <c r="V100" s="39"/>
      <c r="W100" s="40"/>
      <c r="X100" s="34"/>
      <c r="Y100" s="207"/>
      <c r="Z100" s="36"/>
      <c r="AA100" s="41"/>
      <c r="AB100" s="184" t="s">
        <v>32</v>
      </c>
      <c r="AC100" s="158">
        <f>SUM(AC96:AC99)</f>
        <v>38</v>
      </c>
      <c r="AD100" s="42"/>
      <c r="AE100" s="39"/>
      <c r="AF100" s="39"/>
      <c r="AG100" s="40"/>
      <c r="AH100" s="35"/>
      <c r="AI100" s="136"/>
      <c r="AJ100" s="158">
        <f>I100+S100+AC100</f>
        <v>19342</v>
      </c>
      <c r="AK100" s="35"/>
    </row>
    <row r="101" spans="1:37" ht="21" x14ac:dyDescent="0.35">
      <c r="A101" s="301" t="s">
        <v>6</v>
      </c>
      <c r="B101" s="218" t="str">
        <f t="shared" si="51"/>
        <v>RMCBenefits</v>
      </c>
      <c r="C101" s="5" t="s">
        <v>48</v>
      </c>
      <c r="D101" s="10"/>
      <c r="E101" s="116"/>
      <c r="F101" s="116"/>
      <c r="G101" s="116"/>
      <c r="H101" s="38" t="s">
        <v>33</v>
      </c>
      <c r="I101" s="159">
        <f>I100*$O$2</f>
        <v>17345.924599999998</v>
      </c>
      <c r="J101" s="42"/>
      <c r="K101" s="39"/>
      <c r="M101" s="45" t="str">
        <f>"@ "&amp;$O$2*100&amp;" %"</f>
        <v>@ 98.59 %</v>
      </c>
      <c r="N101" s="47"/>
      <c r="O101" s="424"/>
      <c r="P101" s="48"/>
      <c r="Q101" s="41"/>
      <c r="R101" s="184" t="s">
        <v>33</v>
      </c>
      <c r="S101" s="159">
        <f>S100*$O$2</f>
        <v>1685.8889999999999</v>
      </c>
      <c r="T101" s="42"/>
      <c r="U101" s="39"/>
      <c r="W101" s="45" t="str">
        <f>"@ "&amp;$O$2*100&amp;" %"</f>
        <v>@ 98.59 %</v>
      </c>
      <c r="X101" s="46"/>
      <c r="Y101" s="424"/>
      <c r="Z101" s="48"/>
      <c r="AA101" s="41"/>
      <c r="AB101" s="184" t="s">
        <v>33</v>
      </c>
      <c r="AC101" s="159">
        <f>AC100*$O$2</f>
        <v>37.464199999999998</v>
      </c>
      <c r="AD101" s="42"/>
      <c r="AE101" s="39"/>
      <c r="AG101" s="45" t="str">
        <f>"@ "&amp;$O$2*100&amp;" %"</f>
        <v>@ 98.59 %</v>
      </c>
      <c r="AH101" s="47"/>
      <c r="AI101" s="432"/>
      <c r="AJ101" s="159">
        <f>I101+S101+AC101</f>
        <v>19069.277799999996</v>
      </c>
      <c r="AK101" s="47"/>
    </row>
    <row r="102" spans="1:37" ht="21" x14ac:dyDescent="0.25">
      <c r="A102" s="301" t="s">
        <v>6</v>
      </c>
      <c r="B102" s="218" t="str">
        <f t="shared" si="51"/>
        <v>RMCTotal</v>
      </c>
      <c r="C102" s="125" t="s">
        <v>50</v>
      </c>
      <c r="D102" s="10"/>
      <c r="E102" s="116"/>
      <c r="F102" s="116"/>
      <c r="G102" s="116"/>
      <c r="H102" s="49" t="s">
        <v>34</v>
      </c>
      <c r="I102" s="160">
        <f>I100+I101</f>
        <v>34939.924599999998</v>
      </c>
      <c r="J102" s="42"/>
      <c r="K102" s="39"/>
      <c r="L102" s="50"/>
      <c r="M102" s="51"/>
      <c r="N102" s="420">
        <f>I102</f>
        <v>34939.924599999998</v>
      </c>
      <c r="O102" s="425">
        <f>N102/N131</f>
        <v>0.88254400483275064</v>
      </c>
      <c r="P102" s="53"/>
      <c r="Q102" s="37"/>
      <c r="R102" s="185" t="s">
        <v>34</v>
      </c>
      <c r="S102" s="160">
        <f>S100+S101</f>
        <v>3395.8890000000001</v>
      </c>
      <c r="T102" s="42"/>
      <c r="U102" s="39"/>
      <c r="V102" s="50"/>
      <c r="W102" s="51"/>
      <c r="X102" s="52">
        <f>S102</f>
        <v>3395.8890000000001</v>
      </c>
      <c r="Y102" s="425">
        <f>X102/X131</f>
        <v>0.87267794420659062</v>
      </c>
      <c r="Z102" s="53"/>
      <c r="AA102" s="37"/>
      <c r="AB102" s="185" t="s">
        <v>34</v>
      </c>
      <c r="AC102" s="160">
        <f>AC100+AC101</f>
        <v>75.464200000000005</v>
      </c>
      <c r="AD102" s="42"/>
      <c r="AE102" s="39"/>
      <c r="AF102" s="50"/>
      <c r="AG102" s="51"/>
      <c r="AH102" s="420">
        <f>AC102</f>
        <v>75.464200000000005</v>
      </c>
      <c r="AI102" s="233">
        <f>AH102/AH131</f>
        <v>0.96176600283951152</v>
      </c>
      <c r="AJ102" s="160">
        <f>I102+S102+AC102</f>
        <v>38411.277800000003</v>
      </c>
      <c r="AK102" s="420"/>
    </row>
    <row r="103" spans="1:37" ht="21" x14ac:dyDescent="0.35">
      <c r="A103" s="301" t="s">
        <v>6</v>
      </c>
      <c r="B103" s="218" t="str">
        <f t="shared" si="51"/>
        <v>RMC</v>
      </c>
      <c r="C103" s="5" t="s">
        <v>48</v>
      </c>
      <c r="D103" s="10"/>
      <c r="E103" s="116"/>
      <c r="F103" s="116"/>
      <c r="G103" s="116"/>
      <c r="H103" s="54"/>
      <c r="I103" s="166"/>
      <c r="J103" s="69"/>
      <c r="K103" s="69"/>
      <c r="L103" s="69"/>
      <c r="M103" s="70"/>
      <c r="N103" s="58"/>
      <c r="O103" s="426"/>
      <c r="P103" s="59"/>
      <c r="Q103" s="60"/>
      <c r="R103" s="179"/>
      <c r="S103" s="166"/>
      <c r="T103" s="69"/>
      <c r="U103" s="69"/>
      <c r="V103" s="69"/>
      <c r="W103" s="70"/>
      <c r="X103" s="57"/>
      <c r="Y103" s="426"/>
      <c r="Z103" s="59"/>
      <c r="AA103" s="60"/>
      <c r="AB103" s="179"/>
      <c r="AC103" s="166"/>
      <c r="AD103" s="69"/>
      <c r="AE103" s="69"/>
      <c r="AF103" s="69"/>
      <c r="AG103" s="70"/>
      <c r="AH103" s="58"/>
      <c r="AI103" s="231"/>
      <c r="AJ103" s="166"/>
      <c r="AK103" s="58"/>
    </row>
    <row r="104" spans="1:37" ht="27.6" customHeight="1" x14ac:dyDescent="0.35">
      <c r="A104" s="301" t="s">
        <v>6</v>
      </c>
      <c r="B104" s="218" t="str">
        <f t="shared" si="51"/>
        <v>RMCLABOR: SUPERVISORY</v>
      </c>
      <c r="C104" s="124" t="s">
        <v>50</v>
      </c>
      <c r="D104" s="10"/>
      <c r="E104" s="116"/>
      <c r="F104" s="116"/>
      <c r="G104" s="116"/>
      <c r="H104" s="61" t="s">
        <v>35</v>
      </c>
      <c r="I104" s="167"/>
      <c r="J104" s="74"/>
      <c r="K104" s="74"/>
      <c r="L104" s="74"/>
      <c r="M104" s="66"/>
      <c r="N104" s="26"/>
      <c r="O104" s="421"/>
      <c r="P104" s="65"/>
      <c r="Q104" s="37"/>
      <c r="R104" s="186" t="s">
        <v>35</v>
      </c>
      <c r="S104" s="167"/>
      <c r="T104" s="74"/>
      <c r="U104" s="74"/>
      <c r="V104" s="74"/>
      <c r="W104" s="66"/>
      <c r="X104" s="64"/>
      <c r="Y104" s="421"/>
      <c r="Z104" s="65"/>
      <c r="AA104" s="37"/>
      <c r="AB104" s="186" t="s">
        <v>35</v>
      </c>
      <c r="AC104" s="167"/>
      <c r="AD104" s="74"/>
      <c r="AE104" s="74"/>
      <c r="AF104" s="74"/>
      <c r="AG104" s="66"/>
      <c r="AH104" s="26"/>
      <c r="AI104" s="234"/>
      <c r="AJ104" s="167"/>
      <c r="AK104" s="26"/>
    </row>
    <row r="105" spans="1:37" ht="21" x14ac:dyDescent="0.35">
      <c r="A105" s="301" t="s">
        <v>6</v>
      </c>
      <c r="B105" s="218" t="str">
        <f t="shared" si="51"/>
        <v>RMCResource Mgmt Supv</v>
      </c>
      <c r="C105" s="5" t="s">
        <v>48</v>
      </c>
      <c r="D105" s="10"/>
      <c r="E105" s="116"/>
      <c r="F105" s="116"/>
      <c r="G105" s="116"/>
      <c r="H105" s="38" t="s">
        <v>311</v>
      </c>
      <c r="I105" s="163">
        <f>J105*K105</f>
        <v>1497.6000000000001</v>
      </c>
      <c r="J105" s="42">
        <f>ROUND(40*(I$6/($I$6+$S$6+$AC$6)),0)</f>
        <v>36</v>
      </c>
      <c r="K105" s="39">
        <v>41.6</v>
      </c>
      <c r="L105" s="43"/>
      <c r="M105" s="40" t="str">
        <f t="shared" ref="M105" si="55">J105&amp;" hrs @ "&amp;K105</f>
        <v>36 hrs @ 41.6</v>
      </c>
      <c r="N105" s="26"/>
      <c r="O105" s="421"/>
      <c r="P105" s="65"/>
      <c r="Q105" s="41"/>
      <c r="R105" s="184" t="s">
        <v>311</v>
      </c>
      <c r="S105" s="163">
        <f>T105*U105</f>
        <v>166.4</v>
      </c>
      <c r="T105" s="42">
        <f>ROUND(40*(S$6/($I$6+$S$6+$AC$6)),0)</f>
        <v>4</v>
      </c>
      <c r="U105" s="39">
        <v>41.6</v>
      </c>
      <c r="V105" s="43"/>
      <c r="W105" s="40" t="str">
        <f t="shared" ref="W105" si="56">T105&amp;" hrs @ "&amp;U105</f>
        <v>4 hrs @ 41.6</v>
      </c>
      <c r="X105" s="64"/>
      <c r="Y105" s="421"/>
      <c r="Z105" s="65"/>
      <c r="AA105" s="41"/>
      <c r="AB105" s="184" t="s">
        <v>311</v>
      </c>
      <c r="AC105" s="163">
        <f>AD105*AE105</f>
        <v>0</v>
      </c>
      <c r="AD105" s="42">
        <f>ROUND(40*(AC$6/($I$6+$S$6+$AC$6)),0)</f>
        <v>0</v>
      </c>
      <c r="AE105" s="39">
        <v>41.6</v>
      </c>
      <c r="AF105" s="43"/>
      <c r="AG105" s="40" t="str">
        <f t="shared" ref="AG105" si="57">AD105&amp;" hrs @ "&amp;AE105</f>
        <v>0 hrs @ 41.6</v>
      </c>
      <c r="AH105" s="26"/>
      <c r="AI105" s="234"/>
      <c r="AJ105" s="163">
        <f>I105+S105+AC105</f>
        <v>1664.0000000000002</v>
      </c>
      <c r="AK105" s="26"/>
    </row>
    <row r="106" spans="1:37" ht="21" x14ac:dyDescent="0.35">
      <c r="A106" s="301" t="s">
        <v>6</v>
      </c>
      <c r="B106" s="218" t="str">
        <f t="shared" si="51"/>
        <v>RMCBenefits</v>
      </c>
      <c r="C106" s="5" t="s">
        <v>48</v>
      </c>
      <c r="D106" s="10"/>
      <c r="E106" s="116"/>
      <c r="F106" s="116"/>
      <c r="G106" s="116"/>
      <c r="H106" s="38" t="s">
        <v>33</v>
      </c>
      <c r="I106" s="159">
        <f>I105*$O$2</f>
        <v>1476.4838400000001</v>
      </c>
      <c r="J106" s="42"/>
      <c r="K106" s="39"/>
      <c r="L106" s="156"/>
      <c r="M106" s="45" t="str">
        <f>"@ "&amp;$O$2*100&amp;" %"</f>
        <v>@ 98.59 %</v>
      </c>
      <c r="N106" s="26"/>
      <c r="O106" s="421"/>
      <c r="P106" s="65"/>
      <c r="Q106" s="41"/>
      <c r="R106" s="184" t="s">
        <v>33</v>
      </c>
      <c r="S106" s="159">
        <f>S105*$O$2</f>
        <v>164.05376000000001</v>
      </c>
      <c r="T106" s="42"/>
      <c r="U106" s="39"/>
      <c r="V106" s="156"/>
      <c r="W106" s="45" t="str">
        <f>"@ "&amp;$O$2*100&amp;" %"</f>
        <v>@ 98.59 %</v>
      </c>
      <c r="X106" s="64"/>
      <c r="Y106" s="421"/>
      <c r="Z106" s="65"/>
      <c r="AA106" s="41"/>
      <c r="AB106" s="184" t="s">
        <v>33</v>
      </c>
      <c r="AC106" s="159">
        <f>AC105*$O$2</f>
        <v>0</v>
      </c>
      <c r="AD106" s="42"/>
      <c r="AE106" s="39"/>
      <c r="AF106" s="156"/>
      <c r="AG106" s="45" t="str">
        <f>"@ "&amp;$O$2*100&amp;" %"</f>
        <v>@ 98.59 %</v>
      </c>
      <c r="AH106" s="26"/>
      <c r="AI106" s="234"/>
      <c r="AJ106" s="159">
        <f>I106+S106+AC106</f>
        <v>1640.5376000000001</v>
      </c>
      <c r="AK106" s="26"/>
    </row>
    <row r="107" spans="1:37" ht="21" x14ac:dyDescent="0.35">
      <c r="A107" s="301" t="s">
        <v>6</v>
      </c>
      <c r="B107" s="218" t="str">
        <f t="shared" si="51"/>
        <v>RMCTotal</v>
      </c>
      <c r="C107" s="124" t="s">
        <v>50</v>
      </c>
      <c r="D107" s="10"/>
      <c r="E107" s="116"/>
      <c r="F107" s="116"/>
      <c r="G107" s="116"/>
      <c r="H107" s="49" t="s">
        <v>34</v>
      </c>
      <c r="I107" s="165">
        <f>I106+I105</f>
        <v>2974.0838400000002</v>
      </c>
      <c r="J107" s="68"/>
      <c r="K107" s="68"/>
      <c r="L107" s="68"/>
      <c r="M107" s="63"/>
      <c r="N107" s="420">
        <f>I107</f>
        <v>2974.0838400000002</v>
      </c>
      <c r="O107" s="425">
        <f>N107/N131</f>
        <v>7.5122081484456496E-2</v>
      </c>
      <c r="P107" s="65"/>
      <c r="Q107" s="41"/>
      <c r="R107" s="185" t="s">
        <v>34</v>
      </c>
      <c r="S107" s="165">
        <f>S106+S105</f>
        <v>330.45375999999999</v>
      </c>
      <c r="T107" s="68"/>
      <c r="U107" s="68"/>
      <c r="V107" s="68"/>
      <c r="W107" s="63"/>
      <c r="X107" s="52">
        <f>S107</f>
        <v>330.45375999999999</v>
      </c>
      <c r="Y107" s="425">
        <f>X107/X131</f>
        <v>8.4920239716945414E-2</v>
      </c>
      <c r="Z107" s="65"/>
      <c r="AA107" s="41"/>
      <c r="AB107" s="185" t="s">
        <v>34</v>
      </c>
      <c r="AC107" s="165">
        <f>AC106+AC105</f>
        <v>0</v>
      </c>
      <c r="AD107" s="68"/>
      <c r="AE107" s="68"/>
      <c r="AF107" s="68"/>
      <c r="AG107" s="63"/>
      <c r="AH107" s="420">
        <f>AC107</f>
        <v>0</v>
      </c>
      <c r="AI107" s="233">
        <f>AH107/AH131</f>
        <v>0</v>
      </c>
      <c r="AJ107" s="165">
        <f>I107+S107+AC107</f>
        <v>3304.5376000000001</v>
      </c>
      <c r="AK107" s="420"/>
    </row>
    <row r="108" spans="1:37" ht="21" x14ac:dyDescent="0.35">
      <c r="A108" s="301" t="s">
        <v>6</v>
      </c>
      <c r="B108" s="218" t="str">
        <f t="shared" si="51"/>
        <v>RMC</v>
      </c>
      <c r="C108" s="5" t="s">
        <v>48</v>
      </c>
      <c r="D108" s="10"/>
      <c r="E108" s="116"/>
      <c r="F108" s="116"/>
      <c r="G108" s="116"/>
      <c r="H108" s="54"/>
      <c r="I108" s="166"/>
      <c r="J108" s="69"/>
      <c r="K108" s="69"/>
      <c r="L108" s="69"/>
      <c r="M108" s="70"/>
      <c r="N108" s="72"/>
      <c r="O108" s="427"/>
      <c r="P108" s="73"/>
      <c r="Q108" s="60"/>
      <c r="R108" s="179"/>
      <c r="S108" s="166"/>
      <c r="T108" s="69"/>
      <c r="U108" s="69"/>
      <c r="V108" s="69"/>
      <c r="W108" s="70"/>
      <c r="X108" s="71"/>
      <c r="Y108" s="427"/>
      <c r="Z108" s="73"/>
      <c r="AA108" s="60"/>
      <c r="AB108" s="179"/>
      <c r="AC108" s="166"/>
      <c r="AD108" s="69"/>
      <c r="AE108" s="69"/>
      <c r="AF108" s="69"/>
      <c r="AG108" s="70"/>
      <c r="AH108" s="72"/>
      <c r="AI108" s="235"/>
      <c r="AJ108" s="166"/>
      <c r="AK108" s="72"/>
    </row>
    <row r="109" spans="1:37" ht="21" x14ac:dyDescent="0.35">
      <c r="A109" s="301" t="s">
        <v>6</v>
      </c>
      <c r="B109" s="218" t="str">
        <f t="shared" si="51"/>
        <v>RMCEQUIPMENT</v>
      </c>
      <c r="C109" s="124" t="s">
        <v>50</v>
      </c>
      <c r="D109" s="10"/>
      <c r="E109" s="116"/>
      <c r="F109" s="116"/>
      <c r="G109" s="116"/>
      <c r="H109" s="61" t="s">
        <v>36</v>
      </c>
      <c r="I109" s="167"/>
      <c r="J109" s="74"/>
      <c r="K109" s="74"/>
      <c r="L109" s="74"/>
      <c r="M109" s="66"/>
      <c r="N109" s="76"/>
      <c r="O109" s="428"/>
      <c r="P109" s="65"/>
      <c r="Q109" s="37"/>
      <c r="R109" s="186" t="s">
        <v>36</v>
      </c>
      <c r="S109" s="167"/>
      <c r="T109" s="74"/>
      <c r="U109" s="74"/>
      <c r="V109" s="74"/>
      <c r="W109" s="66"/>
      <c r="X109" s="75"/>
      <c r="Y109" s="428"/>
      <c r="Z109" s="65"/>
      <c r="AA109" s="37"/>
      <c r="AB109" s="186" t="s">
        <v>36</v>
      </c>
      <c r="AC109" s="167"/>
      <c r="AD109" s="74"/>
      <c r="AE109" s="74"/>
      <c r="AF109" s="74"/>
      <c r="AG109" s="66"/>
      <c r="AH109" s="76"/>
      <c r="AI109" s="237"/>
      <c r="AJ109" s="167"/>
      <c r="AK109" s="76"/>
    </row>
    <row r="110" spans="1:37" ht="21" x14ac:dyDescent="0.35">
      <c r="A110" s="301" t="s">
        <v>6</v>
      </c>
      <c r="B110" s="218" t="str">
        <f t="shared" si="51"/>
        <v>RMC</v>
      </c>
      <c r="C110" s="5" t="s">
        <v>48</v>
      </c>
      <c r="D110" s="10"/>
      <c r="E110" s="116"/>
      <c r="F110" s="116"/>
      <c r="G110" s="116"/>
      <c r="H110" s="77"/>
      <c r="I110" s="163"/>
      <c r="J110" s="42"/>
      <c r="K110" s="39"/>
      <c r="L110" s="39"/>
      <c r="M110" s="40" t="str">
        <f>J110&amp;" hrs @ "&amp;K110</f>
        <v xml:space="preserve"> hrs @ </v>
      </c>
      <c r="N110" s="76"/>
      <c r="O110" s="428"/>
      <c r="P110" s="65"/>
      <c r="Q110" s="37"/>
      <c r="R110" s="187"/>
      <c r="S110" s="163"/>
      <c r="T110" s="42"/>
      <c r="U110" s="39"/>
      <c r="V110" s="39"/>
      <c r="W110" s="40" t="str">
        <f>T110&amp;" hrs @ "&amp;U110</f>
        <v xml:space="preserve"> hrs @ </v>
      </c>
      <c r="X110" s="75"/>
      <c r="Y110" s="428"/>
      <c r="Z110" s="65"/>
      <c r="AA110" s="37"/>
      <c r="AB110" s="187"/>
      <c r="AC110" s="163"/>
      <c r="AD110" s="42"/>
      <c r="AE110" s="39"/>
      <c r="AF110" s="39"/>
      <c r="AG110" s="40" t="str">
        <f>AD110&amp;" hrs @ "&amp;AE110</f>
        <v xml:space="preserve"> hrs @ </v>
      </c>
      <c r="AH110" s="76"/>
      <c r="AI110" s="237"/>
      <c r="AJ110" s="163"/>
      <c r="AK110" s="76"/>
    </row>
    <row r="111" spans="1:37" ht="21" x14ac:dyDescent="0.35">
      <c r="A111" s="301" t="s">
        <v>6</v>
      </c>
      <c r="B111" s="218" t="str">
        <f t="shared" si="51"/>
        <v>RMC</v>
      </c>
      <c r="C111" s="5" t="s">
        <v>48</v>
      </c>
      <c r="D111" s="10"/>
      <c r="E111" s="116"/>
      <c r="F111" s="116"/>
      <c r="G111" s="116"/>
      <c r="H111" s="77"/>
      <c r="I111" s="163"/>
      <c r="J111" s="42"/>
      <c r="K111" s="39"/>
      <c r="L111" s="39"/>
      <c r="M111" s="40" t="str">
        <f t="shared" ref="M111:M113" si="58">J111&amp;" hrs @ "&amp;K111</f>
        <v xml:space="preserve"> hrs @ </v>
      </c>
      <c r="N111" s="79"/>
      <c r="O111" s="422"/>
      <c r="P111" s="80"/>
      <c r="Q111" s="81"/>
      <c r="R111" s="187"/>
      <c r="S111" s="163"/>
      <c r="T111" s="42"/>
      <c r="U111" s="39"/>
      <c r="V111" s="39"/>
      <c r="W111" s="40" t="str">
        <f t="shared" ref="W111:W113" si="59">T111&amp;" hrs @ "&amp;U111</f>
        <v xml:space="preserve"> hrs @ </v>
      </c>
      <c r="X111" s="78"/>
      <c r="Y111" s="422"/>
      <c r="Z111" s="80"/>
      <c r="AA111" s="81"/>
      <c r="AB111" s="187"/>
      <c r="AC111" s="163"/>
      <c r="AD111" s="42"/>
      <c r="AE111" s="39"/>
      <c r="AF111" s="39"/>
      <c r="AG111" s="40" t="str">
        <f t="shared" ref="AG111:AG113" si="60">AD111&amp;" hrs @ "&amp;AE111</f>
        <v xml:space="preserve"> hrs @ </v>
      </c>
      <c r="AH111" s="79"/>
      <c r="AI111" s="238"/>
      <c r="AJ111" s="163"/>
      <c r="AK111" s="79"/>
    </row>
    <row r="112" spans="1:37" ht="21" x14ac:dyDescent="0.35">
      <c r="A112" s="301" t="s">
        <v>6</v>
      </c>
      <c r="B112" s="218" t="str">
        <f t="shared" si="51"/>
        <v>RMC</v>
      </c>
      <c r="C112" s="5" t="s">
        <v>48</v>
      </c>
      <c r="D112" s="10"/>
      <c r="E112" s="116"/>
      <c r="F112" s="116"/>
      <c r="G112" s="116"/>
      <c r="H112" s="77"/>
      <c r="I112" s="168"/>
      <c r="J112" s="42"/>
      <c r="K112" s="39"/>
      <c r="L112" s="42"/>
      <c r="M112" s="40" t="str">
        <f t="shared" si="58"/>
        <v xml:space="preserve"> hrs @ </v>
      </c>
      <c r="N112" s="79"/>
      <c r="O112" s="422"/>
      <c r="P112" s="80"/>
      <c r="Q112" s="81"/>
      <c r="R112" s="187"/>
      <c r="S112" s="168"/>
      <c r="T112" s="42"/>
      <c r="U112" s="39"/>
      <c r="V112" s="42"/>
      <c r="W112" s="40" t="str">
        <f t="shared" si="59"/>
        <v xml:space="preserve"> hrs @ </v>
      </c>
      <c r="X112" s="78"/>
      <c r="Y112" s="422"/>
      <c r="Z112" s="80"/>
      <c r="AA112" s="81"/>
      <c r="AB112" s="187"/>
      <c r="AC112" s="168"/>
      <c r="AD112" s="42"/>
      <c r="AE112" s="39"/>
      <c r="AF112" s="42"/>
      <c r="AG112" s="40" t="str">
        <f t="shared" si="60"/>
        <v xml:space="preserve"> hrs @ </v>
      </c>
      <c r="AH112" s="79"/>
      <c r="AI112" s="238"/>
      <c r="AJ112" s="168"/>
      <c r="AK112" s="79"/>
    </row>
    <row r="113" spans="1:37" ht="21" x14ac:dyDescent="0.35">
      <c r="A113" s="301" t="s">
        <v>6</v>
      </c>
      <c r="B113" s="218" t="str">
        <f t="shared" si="51"/>
        <v>RMC</v>
      </c>
      <c r="C113" s="5" t="s">
        <v>48</v>
      </c>
      <c r="D113" s="10"/>
      <c r="E113" s="116"/>
      <c r="F113" s="116"/>
      <c r="G113" s="116"/>
      <c r="H113" s="77"/>
      <c r="I113" s="164"/>
      <c r="J113" s="42"/>
      <c r="K113" s="39"/>
      <c r="L113" s="43"/>
      <c r="M113" s="40" t="str">
        <f t="shared" si="58"/>
        <v xml:space="preserve"> hrs @ </v>
      </c>
      <c r="N113" s="79"/>
      <c r="O113" s="422"/>
      <c r="P113" s="80"/>
      <c r="Q113" s="81"/>
      <c r="R113" s="187"/>
      <c r="S113" s="164"/>
      <c r="T113" s="42"/>
      <c r="U113" s="39"/>
      <c r="V113" s="43"/>
      <c r="W113" s="40" t="str">
        <f t="shared" si="59"/>
        <v xml:space="preserve"> hrs @ </v>
      </c>
      <c r="X113" s="78"/>
      <c r="Y113" s="422"/>
      <c r="Z113" s="80"/>
      <c r="AA113" s="81"/>
      <c r="AB113" s="187"/>
      <c r="AC113" s="164"/>
      <c r="AD113" s="42"/>
      <c r="AE113" s="39"/>
      <c r="AF113" s="43"/>
      <c r="AG113" s="40" t="str">
        <f t="shared" si="60"/>
        <v xml:space="preserve"> hrs @ </v>
      </c>
      <c r="AH113" s="79"/>
      <c r="AI113" s="238"/>
      <c r="AJ113" s="164"/>
      <c r="AK113" s="79"/>
    </row>
    <row r="114" spans="1:37" ht="21" x14ac:dyDescent="0.35">
      <c r="A114" s="301" t="s">
        <v>6</v>
      </c>
      <c r="B114" s="218" t="str">
        <f t="shared" si="51"/>
        <v>RMCTotal Equipment</v>
      </c>
      <c r="C114" s="124" t="s">
        <v>50</v>
      </c>
      <c r="D114" s="10"/>
      <c r="E114" s="116">
        <f>I114</f>
        <v>0</v>
      </c>
      <c r="F114" s="116">
        <f>S114</f>
        <v>0</v>
      </c>
      <c r="G114" s="116">
        <f>AC114</f>
        <v>0</v>
      </c>
      <c r="H114" s="83" t="s">
        <v>37</v>
      </c>
      <c r="I114" s="165">
        <f>SUM(I110:I113)</f>
        <v>0</v>
      </c>
      <c r="J114" s="68"/>
      <c r="K114" s="68"/>
      <c r="L114" s="68"/>
      <c r="M114" s="66"/>
      <c r="N114" s="420">
        <f>I114</f>
        <v>0</v>
      </c>
      <c r="O114" s="425">
        <f>N114/N131</f>
        <v>0</v>
      </c>
      <c r="P114" s="80"/>
      <c r="Q114" s="81"/>
      <c r="R114" s="188" t="s">
        <v>37</v>
      </c>
      <c r="S114" s="165">
        <f>SUM(S110:S113)</f>
        <v>0</v>
      </c>
      <c r="T114" s="68"/>
      <c r="U114" s="68"/>
      <c r="V114" s="68"/>
      <c r="W114" s="66"/>
      <c r="X114" s="52">
        <f>S114</f>
        <v>0</v>
      </c>
      <c r="Y114" s="425">
        <f>X114/X131</f>
        <v>0</v>
      </c>
      <c r="Z114" s="80"/>
      <c r="AA114" s="81"/>
      <c r="AB114" s="188" t="s">
        <v>37</v>
      </c>
      <c r="AC114" s="165">
        <f>SUM(AC110:AC113)</f>
        <v>0</v>
      </c>
      <c r="AD114" s="68"/>
      <c r="AE114" s="68"/>
      <c r="AF114" s="68"/>
      <c r="AG114" s="66"/>
      <c r="AH114" s="420">
        <f>AC114</f>
        <v>0</v>
      </c>
      <c r="AI114" s="233">
        <f>AH114/AH131</f>
        <v>0</v>
      </c>
      <c r="AJ114" s="165">
        <f>I114+S114+AC114</f>
        <v>0</v>
      </c>
      <c r="AK114" s="420"/>
    </row>
    <row r="115" spans="1:37" ht="21" x14ac:dyDescent="0.35">
      <c r="A115" s="301" t="s">
        <v>6</v>
      </c>
      <c r="B115" s="218" t="str">
        <f t="shared" si="51"/>
        <v>RMC</v>
      </c>
      <c r="C115" s="5" t="s">
        <v>48</v>
      </c>
      <c r="D115" s="10"/>
      <c r="E115" s="116"/>
      <c r="F115" s="116"/>
      <c r="G115" s="116"/>
      <c r="H115" s="84"/>
      <c r="I115" s="166"/>
      <c r="J115" s="69"/>
      <c r="K115" s="69"/>
      <c r="L115" s="69"/>
      <c r="M115" s="70"/>
      <c r="N115" s="88"/>
      <c r="O115" s="429"/>
      <c r="P115" s="89"/>
      <c r="Q115" s="60"/>
      <c r="R115" s="189"/>
      <c r="S115" s="166"/>
      <c r="T115" s="69"/>
      <c r="U115" s="69"/>
      <c r="V115" s="69"/>
      <c r="W115" s="70"/>
      <c r="X115" s="87"/>
      <c r="Y115" s="429"/>
      <c r="Z115" s="89"/>
      <c r="AA115" s="60"/>
      <c r="AB115" s="189"/>
      <c r="AC115" s="166"/>
      <c r="AD115" s="69"/>
      <c r="AE115" s="69"/>
      <c r="AF115" s="69"/>
      <c r="AG115" s="70"/>
      <c r="AH115" s="88"/>
      <c r="AI115" s="241"/>
      <c r="AJ115" s="166"/>
      <c r="AK115" s="88"/>
    </row>
    <row r="116" spans="1:37" ht="21" x14ac:dyDescent="0.35">
      <c r="A116" s="301" t="s">
        <v>6</v>
      </c>
      <c r="B116" s="218" t="str">
        <f t="shared" si="51"/>
        <v>RMCIS SUPPORT</v>
      </c>
      <c r="C116" s="124" t="s">
        <v>50</v>
      </c>
      <c r="D116" s="10"/>
      <c r="E116" s="116"/>
      <c r="F116" s="116"/>
      <c r="G116" s="116"/>
      <c r="H116" s="61" t="s">
        <v>38</v>
      </c>
      <c r="I116" s="167"/>
      <c r="J116" s="74"/>
      <c r="K116" s="74"/>
      <c r="L116" s="74"/>
      <c r="M116" s="66"/>
      <c r="N116" s="91"/>
      <c r="O116" s="430"/>
      <c r="P116" s="92"/>
      <c r="Q116" s="37"/>
      <c r="R116" s="186" t="s">
        <v>38</v>
      </c>
      <c r="S116" s="167"/>
      <c r="T116" s="74"/>
      <c r="U116" s="74"/>
      <c r="V116" s="74"/>
      <c r="W116" s="66"/>
      <c r="X116" s="90"/>
      <c r="Y116" s="430"/>
      <c r="Z116" s="92"/>
      <c r="AA116" s="37"/>
      <c r="AB116" s="186" t="s">
        <v>38</v>
      </c>
      <c r="AC116" s="167"/>
      <c r="AD116" s="74"/>
      <c r="AE116" s="74"/>
      <c r="AF116" s="74"/>
      <c r="AG116" s="66"/>
      <c r="AH116" s="91"/>
      <c r="AI116" s="227"/>
      <c r="AJ116" s="167"/>
      <c r="AK116" s="91"/>
    </row>
    <row r="117" spans="1:37" ht="21" x14ac:dyDescent="0.35">
      <c r="A117" s="301" t="s">
        <v>6</v>
      </c>
      <c r="B117" s="218" t="str">
        <f t="shared" si="51"/>
        <v>RMC</v>
      </c>
      <c r="C117" s="5" t="s">
        <v>48</v>
      </c>
      <c r="D117" s="10"/>
      <c r="E117" s="116"/>
      <c r="F117" s="116"/>
      <c r="G117" s="116"/>
      <c r="H117" s="38"/>
      <c r="I117" s="162"/>
      <c r="J117" s="42"/>
      <c r="K117" s="39"/>
      <c r="L117" s="39"/>
      <c r="M117" s="40" t="str">
        <f>J117&amp;" hrs @ "&amp;K117</f>
        <v xml:space="preserve"> hrs @ </v>
      </c>
      <c r="N117" s="94"/>
      <c r="O117" s="423"/>
      <c r="P117" s="92"/>
      <c r="Q117" s="37"/>
      <c r="R117" s="184"/>
      <c r="S117" s="162"/>
      <c r="T117" s="42"/>
      <c r="U117" s="39"/>
      <c r="V117" s="39"/>
      <c r="W117" s="40" t="str">
        <f>T117&amp;" hrs @ "&amp;U117</f>
        <v xml:space="preserve"> hrs @ </v>
      </c>
      <c r="X117" s="93"/>
      <c r="Y117" s="423"/>
      <c r="Z117" s="92"/>
      <c r="AA117" s="37"/>
      <c r="AB117" s="184"/>
      <c r="AC117" s="162"/>
      <c r="AD117" s="42"/>
      <c r="AE117" s="39"/>
      <c r="AF117" s="39"/>
      <c r="AG117" s="40" t="str">
        <f>AD117&amp;" hrs @ "&amp;AE117</f>
        <v xml:space="preserve"> hrs @ </v>
      </c>
      <c r="AH117" s="94"/>
      <c r="AI117" s="242"/>
      <c r="AJ117" s="162"/>
      <c r="AK117" s="94"/>
    </row>
    <row r="118" spans="1:37" ht="21" x14ac:dyDescent="0.35">
      <c r="A118" s="301" t="s">
        <v>6</v>
      </c>
      <c r="B118" s="218" t="str">
        <f t="shared" si="51"/>
        <v>RMCAnalyst Benefits</v>
      </c>
      <c r="C118" s="5" t="s">
        <v>48</v>
      </c>
      <c r="D118" s="10"/>
      <c r="E118" s="116"/>
      <c r="F118" s="116"/>
      <c r="G118" s="116"/>
      <c r="H118" s="38" t="s">
        <v>40</v>
      </c>
      <c r="I118" s="159">
        <f>I117*$O$2</f>
        <v>0</v>
      </c>
      <c r="J118" s="42"/>
      <c r="K118" s="39"/>
      <c r="L118" s="156"/>
      <c r="M118" s="45" t="str">
        <f>"@ "&amp;$O$2*100&amp;" %"</f>
        <v>@ 98.59 %</v>
      </c>
      <c r="N118" s="94"/>
      <c r="O118" s="423"/>
      <c r="P118" s="92"/>
      <c r="Q118" s="37"/>
      <c r="R118" s="184" t="s">
        <v>40</v>
      </c>
      <c r="S118" s="159">
        <f>S117*$O$2</f>
        <v>0</v>
      </c>
      <c r="T118" s="42"/>
      <c r="U118" s="39"/>
      <c r="V118" s="156"/>
      <c r="W118" s="45" t="str">
        <f>"@ "&amp;$O$2*100&amp;" %"</f>
        <v>@ 98.59 %</v>
      </c>
      <c r="X118" s="93"/>
      <c r="Y118" s="423"/>
      <c r="Z118" s="92"/>
      <c r="AA118" s="37"/>
      <c r="AB118" s="184" t="s">
        <v>40</v>
      </c>
      <c r="AC118" s="159">
        <f>AC117*$O$2</f>
        <v>0</v>
      </c>
      <c r="AD118" s="42"/>
      <c r="AE118" s="39"/>
      <c r="AF118" s="156"/>
      <c r="AG118" s="45" t="str">
        <f>"@ "&amp;$O$2*100&amp;" %"</f>
        <v>@ 98.59 %</v>
      </c>
      <c r="AH118" s="94"/>
      <c r="AI118" s="242"/>
      <c r="AJ118" s="159"/>
      <c r="AK118" s="94"/>
    </row>
    <row r="119" spans="1:37" ht="21" x14ac:dyDescent="0.35">
      <c r="A119" s="301" t="s">
        <v>6</v>
      </c>
      <c r="B119" s="218" t="str">
        <f t="shared" si="51"/>
        <v>RMCTotal IS</v>
      </c>
      <c r="C119" s="124" t="s">
        <v>50</v>
      </c>
      <c r="D119" s="10"/>
      <c r="E119" s="116"/>
      <c r="F119" s="116"/>
      <c r="G119" s="116"/>
      <c r="H119" s="49" t="s">
        <v>41</v>
      </c>
      <c r="I119" s="165">
        <f>I117+I118</f>
        <v>0</v>
      </c>
      <c r="J119" s="68"/>
      <c r="K119" s="68"/>
      <c r="L119" s="68"/>
      <c r="M119" s="66"/>
      <c r="N119" s="420">
        <f>I119</f>
        <v>0</v>
      </c>
      <c r="O119" s="425">
        <f>N119/N131</f>
        <v>0</v>
      </c>
      <c r="P119" s="92"/>
      <c r="Q119" s="37"/>
      <c r="R119" s="185" t="s">
        <v>41</v>
      </c>
      <c r="S119" s="165">
        <f>S117+S118</f>
        <v>0</v>
      </c>
      <c r="T119" s="68"/>
      <c r="U119" s="68"/>
      <c r="V119" s="68"/>
      <c r="W119" s="66"/>
      <c r="X119" s="52">
        <f>S119</f>
        <v>0</v>
      </c>
      <c r="Y119" s="425">
        <f>X119/X131</f>
        <v>0</v>
      </c>
      <c r="Z119" s="92"/>
      <c r="AA119" s="37"/>
      <c r="AB119" s="185" t="s">
        <v>41</v>
      </c>
      <c r="AC119" s="165">
        <f>AC117+AC118</f>
        <v>0</v>
      </c>
      <c r="AD119" s="68"/>
      <c r="AE119" s="68"/>
      <c r="AF119" s="68"/>
      <c r="AG119" s="66"/>
      <c r="AH119" s="420">
        <f>AC119</f>
        <v>0</v>
      </c>
      <c r="AI119" s="233">
        <f>AH119/AH131</f>
        <v>0</v>
      </c>
      <c r="AJ119" s="165">
        <f>I119+S119+AC119</f>
        <v>0</v>
      </c>
      <c r="AK119" s="420"/>
    </row>
    <row r="120" spans="1:37" ht="21" x14ac:dyDescent="0.35">
      <c r="A120" s="301" t="s">
        <v>6</v>
      </c>
      <c r="B120" s="218" t="str">
        <f t="shared" si="51"/>
        <v>RMC</v>
      </c>
      <c r="C120" s="5" t="s">
        <v>48</v>
      </c>
      <c r="D120" s="10"/>
      <c r="E120" s="116"/>
      <c r="F120" s="116"/>
      <c r="G120" s="116"/>
      <c r="H120" s="54"/>
      <c r="I120" s="166"/>
      <c r="J120" s="69"/>
      <c r="K120" s="69"/>
      <c r="L120" s="69"/>
      <c r="M120" s="70"/>
      <c r="N120" s="98"/>
      <c r="O120" s="431"/>
      <c r="P120" s="99"/>
      <c r="Q120" s="60"/>
      <c r="R120" s="179"/>
      <c r="S120" s="166"/>
      <c r="T120" s="69"/>
      <c r="U120" s="69"/>
      <c r="V120" s="69"/>
      <c r="W120" s="70"/>
      <c r="X120" s="97"/>
      <c r="Y120" s="431"/>
      <c r="Z120" s="99"/>
      <c r="AA120" s="60"/>
      <c r="AB120" s="179"/>
      <c r="AC120" s="166"/>
      <c r="AD120" s="69"/>
      <c r="AE120" s="69"/>
      <c r="AF120" s="69"/>
      <c r="AG120" s="70"/>
      <c r="AH120" s="98"/>
      <c r="AI120" s="243"/>
      <c r="AJ120" s="166"/>
      <c r="AK120" s="98"/>
    </row>
    <row r="121" spans="1:37" ht="21" x14ac:dyDescent="0.35">
      <c r="A121" s="301" t="s">
        <v>6</v>
      </c>
      <c r="B121" s="218" t="str">
        <f t="shared" ref="B121:B145" si="61">A121&amp;H121</f>
        <v>RMCOTHER</v>
      </c>
      <c r="C121" s="124" t="s">
        <v>50</v>
      </c>
      <c r="D121" s="10"/>
      <c r="E121" s="116"/>
      <c r="F121" s="116"/>
      <c r="G121" s="116"/>
      <c r="H121" s="61" t="s">
        <v>42</v>
      </c>
      <c r="I121" s="167"/>
      <c r="J121" s="74"/>
      <c r="K121" s="74"/>
      <c r="L121" s="74"/>
      <c r="M121" s="66"/>
      <c r="N121" s="91"/>
      <c r="O121" s="430"/>
      <c r="P121" s="92"/>
      <c r="Q121" s="37"/>
      <c r="R121" s="186" t="s">
        <v>42</v>
      </c>
      <c r="S121" s="167"/>
      <c r="T121" s="74"/>
      <c r="U121" s="74"/>
      <c r="V121" s="74"/>
      <c r="W121" s="66"/>
      <c r="X121" s="90"/>
      <c r="Y121" s="430"/>
      <c r="Z121" s="92"/>
      <c r="AA121" s="37"/>
      <c r="AB121" s="186" t="s">
        <v>42</v>
      </c>
      <c r="AC121" s="167"/>
      <c r="AD121" s="74"/>
      <c r="AE121" s="74"/>
      <c r="AF121" s="74"/>
      <c r="AG121" s="66"/>
      <c r="AH121" s="91"/>
      <c r="AI121" s="227"/>
      <c r="AJ121" s="167"/>
      <c r="AK121" s="91"/>
    </row>
    <row r="122" spans="1:37" ht="21" x14ac:dyDescent="0.35">
      <c r="A122" s="301" t="s">
        <v>6</v>
      </c>
      <c r="B122" s="218" t="str">
        <f t="shared" si="61"/>
        <v xml:space="preserve">RMCNon-Payroll </v>
      </c>
      <c r="C122" s="5" t="s">
        <v>48</v>
      </c>
      <c r="D122" s="10"/>
      <c r="E122" s="116"/>
      <c r="F122" s="116"/>
      <c r="G122" s="116"/>
      <c r="H122" s="38" t="s">
        <v>334</v>
      </c>
      <c r="I122" s="167">
        <f>ROUND(((I102+I107+I119)/VLOOKUP("RESOURCE MGMT CTRPayroll",'Base 2015 actual for Cost Cente'!$A:$F,6,FALSE))*VLOOKUP("RESOURCE MGMT CTRNon-Payroll",'Base 2015 actual for Cost Cente'!$A:$F,6,FALSE),0)</f>
        <v>1676</v>
      </c>
      <c r="J122" s="74"/>
      <c r="K122" s="74"/>
      <c r="L122" s="74"/>
      <c r="M122" s="773" t="s">
        <v>369</v>
      </c>
      <c r="N122" s="91"/>
      <c r="O122" s="430"/>
      <c r="P122" s="92"/>
      <c r="Q122" s="37"/>
      <c r="R122" s="184" t="s">
        <v>334</v>
      </c>
      <c r="S122" s="167">
        <f>ROUND(((S102+S107+S119)/VLOOKUP("RESOURCE MGMT CTRPayroll",'Base 2015 actual for Cost Cente'!$A:$F,6,FALSE))*VLOOKUP("RESOURCE MGMT CTRNon-Payroll",'Base 2015 actual for Cost Cente'!$A:$F,6,FALSE),0)</f>
        <v>165</v>
      </c>
      <c r="T122" s="74"/>
      <c r="U122" s="74"/>
      <c r="V122" s="74"/>
      <c r="W122" s="773" t="s">
        <v>369</v>
      </c>
      <c r="X122" s="90"/>
      <c r="Y122" s="430"/>
      <c r="Z122" s="92"/>
      <c r="AA122" s="37"/>
      <c r="AB122" s="184" t="s">
        <v>334</v>
      </c>
      <c r="AC122" s="167">
        <f>ROUND(((AC102+AC107+AC119)/VLOOKUP("RESOURCE MGMT CTRPayroll",'Base 2015 actual for Cost Cente'!$A:$F,6,FALSE))*VLOOKUP("RESOURCE MGMT CTRNon-Payroll",'Base 2015 actual for Cost Cente'!$A:$F,6,FALSE),0)</f>
        <v>3</v>
      </c>
      <c r="AD122" s="74"/>
      <c r="AE122" s="74"/>
      <c r="AF122" s="74"/>
      <c r="AG122" s="773" t="s">
        <v>369</v>
      </c>
      <c r="AH122" s="91"/>
      <c r="AI122" s="227"/>
      <c r="AJ122" s="167"/>
      <c r="AK122" s="91"/>
    </row>
    <row r="123" spans="1:37" ht="21" x14ac:dyDescent="0.35">
      <c r="A123" s="301" t="s">
        <v>6</v>
      </c>
      <c r="B123" s="218" t="str">
        <f t="shared" si="61"/>
        <v>RMC</v>
      </c>
      <c r="C123" s="5" t="s">
        <v>48</v>
      </c>
      <c r="D123" s="10"/>
      <c r="E123" s="116"/>
      <c r="F123" s="116"/>
      <c r="G123" s="116"/>
      <c r="H123" s="38"/>
      <c r="I123" s="168"/>
      <c r="J123" s="42"/>
      <c r="K123" s="39"/>
      <c r="L123" s="42"/>
      <c r="M123" s="774"/>
      <c r="N123" s="91"/>
      <c r="O123" s="430"/>
      <c r="P123" s="92"/>
      <c r="Q123" s="37"/>
      <c r="R123" s="184"/>
      <c r="S123" s="168"/>
      <c r="T123" s="42"/>
      <c r="U123" s="39"/>
      <c r="V123" s="42"/>
      <c r="W123" s="774"/>
      <c r="X123" s="90"/>
      <c r="Y123" s="430"/>
      <c r="Z123" s="92"/>
      <c r="AA123" s="37"/>
      <c r="AB123" s="184"/>
      <c r="AC123" s="168"/>
      <c r="AD123" s="42"/>
      <c r="AE123" s="39"/>
      <c r="AF123" s="42"/>
      <c r="AG123" s="774"/>
      <c r="AH123" s="91"/>
      <c r="AI123" s="227"/>
      <c r="AJ123" s="168"/>
      <c r="AK123" s="91"/>
    </row>
    <row r="124" spans="1:37" ht="21" x14ac:dyDescent="0.35">
      <c r="A124" s="301" t="s">
        <v>6</v>
      </c>
      <c r="B124" s="218" t="str">
        <f t="shared" si="61"/>
        <v>RMC</v>
      </c>
      <c r="C124" s="5" t="s">
        <v>48</v>
      </c>
      <c r="D124" s="10"/>
      <c r="E124" s="116"/>
      <c r="F124" s="116"/>
      <c r="G124" s="116"/>
      <c r="H124" s="38"/>
      <c r="I124" s="168"/>
      <c r="J124" s="42"/>
      <c r="K124" s="39"/>
      <c r="L124" s="42"/>
      <c r="M124" s="66"/>
      <c r="N124" s="91"/>
      <c r="O124" s="430"/>
      <c r="P124" s="92"/>
      <c r="Q124" s="37"/>
      <c r="R124" s="184"/>
      <c r="S124" s="168"/>
      <c r="T124" s="42"/>
      <c r="U124" s="39"/>
      <c r="V124" s="42"/>
      <c r="W124" s="66"/>
      <c r="X124" s="90"/>
      <c r="Y124" s="430"/>
      <c r="Z124" s="92"/>
      <c r="AA124" s="37"/>
      <c r="AB124" s="184"/>
      <c r="AC124" s="168"/>
      <c r="AD124" s="42"/>
      <c r="AE124" s="39"/>
      <c r="AF124" s="42"/>
      <c r="AG124" s="66"/>
      <c r="AH124" s="91"/>
      <c r="AI124" s="227"/>
      <c r="AJ124" s="168"/>
      <c r="AK124" s="91"/>
    </row>
    <row r="125" spans="1:37" ht="21" x14ac:dyDescent="0.35">
      <c r="A125" s="301" t="s">
        <v>6</v>
      </c>
      <c r="B125" s="218" t="str">
        <f t="shared" si="61"/>
        <v>RMC</v>
      </c>
      <c r="C125" s="5" t="s">
        <v>48</v>
      </c>
      <c r="D125" s="10"/>
      <c r="E125" s="116"/>
      <c r="F125" s="116"/>
      <c r="G125" s="116"/>
      <c r="H125" s="38"/>
      <c r="I125" s="168"/>
      <c r="J125" s="42"/>
      <c r="K125" s="39"/>
      <c r="L125" s="42"/>
      <c r="M125" s="66"/>
      <c r="N125" s="91"/>
      <c r="O125" s="430"/>
      <c r="P125" s="92"/>
      <c r="Q125" s="37"/>
      <c r="R125" s="184"/>
      <c r="S125" s="168"/>
      <c r="T125" s="42"/>
      <c r="U125" s="39"/>
      <c r="V125" s="42"/>
      <c r="W125" s="66"/>
      <c r="X125" s="90"/>
      <c r="Y125" s="430"/>
      <c r="Z125" s="92"/>
      <c r="AA125" s="37"/>
      <c r="AB125" s="184"/>
      <c r="AC125" s="168"/>
      <c r="AD125" s="42"/>
      <c r="AE125" s="39"/>
      <c r="AF125" s="42"/>
      <c r="AG125" s="66"/>
      <c r="AH125" s="91"/>
      <c r="AI125" s="227"/>
      <c r="AJ125" s="168"/>
      <c r="AK125" s="91"/>
    </row>
    <row r="126" spans="1:37" ht="21" x14ac:dyDescent="0.35">
      <c r="A126" s="301" t="s">
        <v>6</v>
      </c>
      <c r="B126" s="218" t="str">
        <f t="shared" si="61"/>
        <v>RMC</v>
      </c>
      <c r="C126" s="5" t="s">
        <v>48</v>
      </c>
      <c r="D126" s="10"/>
      <c r="E126" s="116"/>
      <c r="F126" s="116"/>
      <c r="G126" s="116"/>
      <c r="H126" s="38"/>
      <c r="I126" s="168"/>
      <c r="J126" s="42"/>
      <c r="K126" s="39"/>
      <c r="L126" s="42"/>
      <c r="M126" s="66"/>
      <c r="N126" s="91"/>
      <c r="O126" s="430"/>
      <c r="P126" s="92"/>
      <c r="Q126" s="37"/>
      <c r="R126" s="184"/>
      <c r="S126" s="168"/>
      <c r="T126" s="42"/>
      <c r="U126" s="39"/>
      <c r="V126" s="42"/>
      <c r="W126" s="66"/>
      <c r="X126" s="90"/>
      <c r="Y126" s="430"/>
      <c r="Z126" s="92"/>
      <c r="AA126" s="37"/>
      <c r="AB126" s="184"/>
      <c r="AC126" s="168"/>
      <c r="AD126" s="42"/>
      <c r="AE126" s="39"/>
      <c r="AF126" s="42"/>
      <c r="AG126" s="66"/>
      <c r="AH126" s="91"/>
      <c r="AI126" s="227"/>
      <c r="AJ126" s="168"/>
      <c r="AK126" s="91"/>
    </row>
    <row r="127" spans="1:37" ht="21" x14ac:dyDescent="0.35">
      <c r="A127" s="301" t="s">
        <v>6</v>
      </c>
      <c r="B127" s="218" t="str">
        <f t="shared" si="61"/>
        <v>RMC</v>
      </c>
      <c r="C127" s="5" t="s">
        <v>48</v>
      </c>
      <c r="D127" s="10"/>
      <c r="E127" s="116"/>
      <c r="F127" s="116"/>
      <c r="G127" s="116"/>
      <c r="H127" s="38"/>
      <c r="I127" s="164"/>
      <c r="J127" s="67"/>
      <c r="K127" s="67"/>
      <c r="L127" s="67"/>
      <c r="M127" s="40" t="str">
        <f>J127&amp;" days @ "&amp;K127</f>
        <v xml:space="preserve"> days @ </v>
      </c>
      <c r="N127" s="94"/>
      <c r="O127" s="423"/>
      <c r="P127" s="92"/>
      <c r="Q127" s="37"/>
      <c r="R127" s="184"/>
      <c r="S127" s="164"/>
      <c r="T127" s="67"/>
      <c r="U127" s="67"/>
      <c r="V127" s="67"/>
      <c r="W127" s="40" t="str">
        <f>T127&amp;" days @ "&amp;U127</f>
        <v xml:space="preserve"> days @ </v>
      </c>
      <c r="X127" s="93"/>
      <c r="Y127" s="423"/>
      <c r="Z127" s="92"/>
      <c r="AA127" s="37"/>
      <c r="AB127" s="184"/>
      <c r="AC127" s="164"/>
      <c r="AD127" s="67"/>
      <c r="AE127" s="67"/>
      <c r="AF127" s="67"/>
      <c r="AG127" s="40" t="str">
        <f>AD127&amp;" days @ "&amp;AE127</f>
        <v xml:space="preserve"> days @ </v>
      </c>
      <c r="AH127" s="94"/>
      <c r="AI127" s="242"/>
      <c r="AJ127" s="164"/>
      <c r="AK127" s="94"/>
    </row>
    <row r="128" spans="1:37" ht="21" x14ac:dyDescent="0.35">
      <c r="A128" s="301" t="s">
        <v>6</v>
      </c>
      <c r="B128" s="218" t="str">
        <f t="shared" si="61"/>
        <v>RMCTotal Other</v>
      </c>
      <c r="C128" s="124" t="s">
        <v>50</v>
      </c>
      <c r="D128" s="10"/>
      <c r="E128" s="116">
        <f>I128</f>
        <v>1676</v>
      </c>
      <c r="F128" s="116">
        <f>S128</f>
        <v>165</v>
      </c>
      <c r="G128" s="116">
        <f>AC128</f>
        <v>3</v>
      </c>
      <c r="H128" s="49" t="s">
        <v>45</v>
      </c>
      <c r="I128" s="165">
        <f>SUM(I122:I127)</f>
        <v>1676</v>
      </c>
      <c r="J128" s="68"/>
      <c r="K128" s="68"/>
      <c r="L128" s="68"/>
      <c r="M128" s="66"/>
      <c r="N128" s="414">
        <f>I128</f>
        <v>1676</v>
      </c>
      <c r="O128" s="425">
        <f>N128/N131</f>
        <v>4.2333913682792844E-2</v>
      </c>
      <c r="P128" s="92"/>
      <c r="Q128" s="68"/>
      <c r="R128" s="185" t="s">
        <v>45</v>
      </c>
      <c r="S128" s="165">
        <f>SUM(S122:S127)</f>
        <v>165</v>
      </c>
      <c r="T128" s="68"/>
      <c r="U128" s="68"/>
      <c r="V128" s="68"/>
      <c r="W128" s="66"/>
      <c r="X128" s="165">
        <f>S128</f>
        <v>165</v>
      </c>
      <c r="Y128" s="425">
        <f>X128/X131</f>
        <v>4.2401816076464052E-2</v>
      </c>
      <c r="Z128" s="92"/>
      <c r="AA128" s="68"/>
      <c r="AB128" s="185" t="s">
        <v>45</v>
      </c>
      <c r="AC128" s="165">
        <f>SUM(AC122:AC127)</f>
        <v>3</v>
      </c>
      <c r="AD128" s="68"/>
      <c r="AE128" s="68"/>
      <c r="AF128" s="68"/>
      <c r="AG128" s="66"/>
      <c r="AH128" s="414">
        <f>AC128</f>
        <v>3</v>
      </c>
      <c r="AI128" s="233">
        <f>AH128/AH131</f>
        <v>3.8233997160488475E-2</v>
      </c>
      <c r="AJ128" s="165">
        <f>I128+S128+AC128</f>
        <v>1844</v>
      </c>
      <c r="AK128" s="414"/>
    </row>
    <row r="129" spans="1:37" ht="21.75" thickBot="1" x14ac:dyDescent="0.4">
      <c r="A129" s="301" t="s">
        <v>6</v>
      </c>
      <c r="B129" s="218" t="str">
        <f t="shared" si="61"/>
        <v>RMC</v>
      </c>
      <c r="C129" s="5" t="s">
        <v>48</v>
      </c>
      <c r="D129" s="10"/>
      <c r="E129" s="116"/>
      <c r="F129" s="116"/>
      <c r="G129" s="116"/>
      <c r="H129" s="100"/>
      <c r="I129" s="178"/>
      <c r="J129" s="101"/>
      <c r="K129" s="101"/>
      <c r="L129" s="101"/>
      <c r="M129" s="102"/>
      <c r="N129" s="415"/>
      <c r="O129" s="178"/>
      <c r="P129" s="101"/>
      <c r="Q129" s="101"/>
      <c r="R129" s="178"/>
      <c r="S129" s="178"/>
      <c r="T129" s="101"/>
      <c r="U129" s="101"/>
      <c r="V129" s="101"/>
      <c r="W129" s="102"/>
      <c r="X129" s="178"/>
      <c r="Y129" s="178"/>
      <c r="Z129" s="101"/>
      <c r="AA129" s="101"/>
      <c r="AB129" s="178"/>
      <c r="AC129" s="178"/>
      <c r="AD129" s="101"/>
      <c r="AE129" s="101"/>
      <c r="AF129" s="101"/>
      <c r="AG129" s="102"/>
      <c r="AH129" s="415"/>
      <c r="AI129" s="178"/>
      <c r="AJ129" s="178"/>
      <c r="AK129" s="415"/>
    </row>
    <row r="130" spans="1:37" ht="21.75" thickTop="1" x14ac:dyDescent="0.35">
      <c r="A130" s="301" t="s">
        <v>6</v>
      </c>
      <c r="B130" s="218" t="str">
        <f t="shared" si="61"/>
        <v>RMCTOTALS</v>
      </c>
      <c r="C130" s="5" t="s">
        <v>48</v>
      </c>
      <c r="D130" s="10"/>
      <c r="E130" s="116"/>
      <c r="F130" s="116"/>
      <c r="G130" s="116"/>
      <c r="H130" s="61" t="s">
        <v>28</v>
      </c>
      <c r="I130" s="103"/>
      <c r="J130" s="103"/>
      <c r="K130" s="103"/>
      <c r="L130" s="103"/>
      <c r="M130" s="104"/>
      <c r="N130" s="91"/>
      <c r="O130" s="136"/>
      <c r="P130" s="92"/>
      <c r="Q130" s="37"/>
      <c r="R130" s="186" t="s">
        <v>28</v>
      </c>
      <c r="S130" s="103"/>
      <c r="T130" s="103"/>
      <c r="U130" s="103"/>
      <c r="V130" s="103"/>
      <c r="W130" s="104"/>
      <c r="X130" s="90"/>
      <c r="Y130" s="136"/>
      <c r="Z130" s="92"/>
      <c r="AA130" s="37"/>
      <c r="AB130" s="186" t="s">
        <v>28</v>
      </c>
      <c r="AC130" s="103"/>
      <c r="AD130" s="103"/>
      <c r="AE130" s="103"/>
      <c r="AF130" s="103"/>
      <c r="AG130" s="104"/>
      <c r="AH130" s="91"/>
      <c r="AI130" s="136"/>
      <c r="AJ130" s="165"/>
      <c r="AK130" s="91"/>
    </row>
    <row r="131" spans="1:37" ht="21" x14ac:dyDescent="0.35">
      <c r="A131" s="301" t="s">
        <v>6</v>
      </c>
      <c r="B131" s="218" t="str">
        <f t="shared" si="61"/>
        <v>RMCPER YEAR</v>
      </c>
      <c r="C131" s="124" t="s">
        <v>50</v>
      </c>
      <c r="D131" s="10"/>
      <c r="E131" s="116"/>
      <c r="F131" s="116"/>
      <c r="G131" s="116"/>
      <c r="H131" s="105" t="s">
        <v>46</v>
      </c>
      <c r="I131" s="106">
        <f>I102+I107+I114+I119+I128</f>
        <v>39590.008439999998</v>
      </c>
      <c r="J131" s="106"/>
      <c r="K131" s="106"/>
      <c r="L131" s="106"/>
      <c r="M131" s="107"/>
      <c r="N131" s="420">
        <f>SUM(N102:N129)</f>
        <v>39590.008439999998</v>
      </c>
      <c r="O131" s="425">
        <f>SUM(O102:O129)</f>
        <v>1</v>
      </c>
      <c r="P131" s="92"/>
      <c r="Q131" s="37"/>
      <c r="R131" s="190" t="s">
        <v>46</v>
      </c>
      <c r="S131" s="106">
        <f>S102+S107+S114+S119+S128</f>
        <v>3891.34276</v>
      </c>
      <c r="T131" s="106"/>
      <c r="U131" s="106"/>
      <c r="V131" s="106"/>
      <c r="W131" s="107"/>
      <c r="X131" s="52">
        <f>SUM(X102:X129)</f>
        <v>3891.34276</v>
      </c>
      <c r="Y131" s="425">
        <f>SUM(Y102:Y129)</f>
        <v>1</v>
      </c>
      <c r="Z131" s="92"/>
      <c r="AA131" s="37"/>
      <c r="AB131" s="190" t="s">
        <v>46</v>
      </c>
      <c r="AC131" s="106">
        <f>AC102+AC107+AC114+AC119+AC128</f>
        <v>78.464200000000005</v>
      </c>
      <c r="AD131" s="106"/>
      <c r="AE131" s="106"/>
      <c r="AF131" s="106"/>
      <c r="AG131" s="107"/>
      <c r="AH131" s="420">
        <f>SUM(AH102:AH129)</f>
        <v>78.464200000000005</v>
      </c>
      <c r="AI131" s="233">
        <f>SUM(AI102:AI129)</f>
        <v>1</v>
      </c>
      <c r="AJ131" s="165">
        <f>I131+S131+AC131</f>
        <v>43559.815399999999</v>
      </c>
      <c r="AK131" s="420"/>
    </row>
    <row r="132" spans="1:37" ht="21" x14ac:dyDescent="0.35">
      <c r="A132" s="301" t="s">
        <v>6</v>
      </c>
      <c r="B132" s="218" t="str">
        <f t="shared" si="61"/>
        <v>RMCPER PAYMENT</v>
      </c>
      <c r="C132" s="124" t="s">
        <v>50</v>
      </c>
      <c r="D132" s="10"/>
      <c r="E132" s="116"/>
      <c r="F132" s="116"/>
      <c r="G132" s="116"/>
      <c r="H132" s="49" t="s">
        <v>47</v>
      </c>
      <c r="I132" s="108">
        <f>I131/I$6</f>
        <v>5.0686175236627183E-3</v>
      </c>
      <c r="J132" s="108"/>
      <c r="K132" s="108"/>
      <c r="L132" s="108"/>
      <c r="M132" s="109"/>
      <c r="N132" s="98"/>
      <c r="O132" s="431"/>
      <c r="P132" s="99"/>
      <c r="Q132" s="60"/>
      <c r="R132" s="185" t="s">
        <v>47</v>
      </c>
      <c r="S132" s="108">
        <f>S131/S$6</f>
        <v>5.1080495034168802E-3</v>
      </c>
      <c r="T132" s="108"/>
      <c r="U132" s="108"/>
      <c r="V132" s="108"/>
      <c r="W132" s="109"/>
      <c r="X132" s="97"/>
      <c r="Y132" s="431"/>
      <c r="Z132" s="99"/>
      <c r="AA132" s="60"/>
      <c r="AB132" s="185" t="s">
        <v>47</v>
      </c>
      <c r="AC132" s="108">
        <f>AC131/AC$6</f>
        <v>3.1314283433771005E-3</v>
      </c>
      <c r="AD132" s="108"/>
      <c r="AE132" s="108"/>
      <c r="AF132" s="108"/>
      <c r="AG132" s="109"/>
      <c r="AH132" s="98"/>
      <c r="AI132" s="243"/>
      <c r="AJ132" s="165">
        <f>I132+S132+AC132</f>
        <v>1.3308095370456699E-2</v>
      </c>
      <c r="AK132" s="98"/>
    </row>
    <row r="133" spans="1:37" x14ac:dyDescent="0.25">
      <c r="A133" s="301" t="s">
        <v>6</v>
      </c>
      <c r="B133" s="218"/>
      <c r="C133" s="220"/>
      <c r="D133" s="10"/>
      <c r="E133" s="10"/>
      <c r="F133" s="10"/>
      <c r="G133" s="10"/>
      <c r="H133" s="137" t="s">
        <v>553</v>
      </c>
      <c r="I133" s="652">
        <f>I102+I107</f>
        <v>37914.008439999998</v>
      </c>
      <c r="J133" s="108"/>
      <c r="K133" s="108"/>
      <c r="L133" s="108"/>
      <c r="M133" s="109"/>
      <c r="N133" s="649"/>
      <c r="O133" s="650"/>
      <c r="P133" s="92"/>
      <c r="Q133" s="37"/>
      <c r="R133" s="137" t="s">
        <v>553</v>
      </c>
      <c r="S133" s="652">
        <f>S102+S107</f>
        <v>3726.34276</v>
      </c>
      <c r="T133" s="108"/>
      <c r="U133" s="108"/>
      <c r="V133" s="108"/>
      <c r="W133" s="109"/>
      <c r="X133" s="651"/>
      <c r="Y133" s="650"/>
      <c r="Z133" s="92"/>
      <c r="AA133" s="37"/>
      <c r="AB133" s="137" t="s">
        <v>553</v>
      </c>
      <c r="AC133" s="652">
        <f>AC102+AC107</f>
        <v>75.464200000000005</v>
      </c>
      <c r="AD133" s="108"/>
      <c r="AE133" s="108"/>
      <c r="AF133" s="108"/>
      <c r="AG133" s="109"/>
      <c r="AH133" s="649"/>
      <c r="AI133" s="137"/>
      <c r="AJ133" s="165">
        <f>I133+S133+AC133</f>
        <v>41715.815399999999</v>
      </c>
      <c r="AK133" s="649"/>
    </row>
    <row r="134" spans="1:37" x14ac:dyDescent="0.25">
      <c r="A134" s="301" t="s">
        <v>6</v>
      </c>
      <c r="B134" s="218"/>
      <c r="C134" s="220"/>
      <c r="D134" s="10"/>
      <c r="E134" s="10"/>
      <c r="F134" s="10"/>
      <c r="G134" s="10"/>
      <c r="H134" s="137" t="s">
        <v>554</v>
      </c>
      <c r="I134" s="652">
        <f>I128+I119+I114</f>
        <v>1676</v>
      </c>
      <c r="J134" s="108"/>
      <c r="K134" s="652"/>
      <c r="L134" s="108"/>
      <c r="M134" s="109"/>
      <c r="N134" s="649"/>
      <c r="O134" s="650"/>
      <c r="P134" s="92"/>
      <c r="Q134" s="37"/>
      <c r="R134" s="137" t="s">
        <v>554</v>
      </c>
      <c r="S134" s="652">
        <f>S128+S119+S114</f>
        <v>165</v>
      </c>
      <c r="T134" s="108"/>
      <c r="U134" s="652"/>
      <c r="V134" s="108"/>
      <c r="W134" s="109"/>
      <c r="X134" s="651"/>
      <c r="Y134" s="650"/>
      <c r="Z134" s="92"/>
      <c r="AA134" s="37"/>
      <c r="AB134" s="137" t="s">
        <v>554</v>
      </c>
      <c r="AC134" s="652">
        <f>AC128+AC119+AC114</f>
        <v>3</v>
      </c>
      <c r="AD134" s="108"/>
      <c r="AE134" s="652"/>
      <c r="AF134" s="108"/>
      <c r="AG134" s="109"/>
      <c r="AH134" s="649"/>
      <c r="AI134" s="137"/>
      <c r="AJ134" s="165">
        <f>I134+S134+AC134</f>
        <v>1844</v>
      </c>
      <c r="AK134" s="649"/>
    </row>
    <row r="135" spans="1:37" x14ac:dyDescent="0.25">
      <c r="A135" s="301" t="s">
        <v>6</v>
      </c>
      <c r="B135" s="218"/>
      <c r="C135" s="220"/>
      <c r="D135" s="10"/>
      <c r="E135" s="10"/>
      <c r="F135" s="10"/>
      <c r="G135" s="10"/>
      <c r="H135" s="137" t="s">
        <v>552</v>
      </c>
      <c r="I135" s="652">
        <f>I131</f>
        <v>39590.008439999998</v>
      </c>
      <c r="J135" s="108"/>
      <c r="K135" s="108"/>
      <c r="L135" s="108"/>
      <c r="M135" s="109"/>
      <c r="N135" s="649"/>
      <c r="O135" s="650"/>
      <c r="P135" s="92"/>
      <c r="Q135" s="37"/>
      <c r="R135" s="137" t="s">
        <v>552</v>
      </c>
      <c r="S135" s="652">
        <f>S131</f>
        <v>3891.34276</v>
      </c>
      <c r="T135" s="108"/>
      <c r="U135" s="108"/>
      <c r="V135" s="108"/>
      <c r="W135" s="109"/>
      <c r="X135" s="651"/>
      <c r="Y135" s="650"/>
      <c r="Z135" s="92"/>
      <c r="AA135" s="37"/>
      <c r="AB135" s="137" t="s">
        <v>552</v>
      </c>
      <c r="AC135" s="652">
        <f>AC131</f>
        <v>78.464200000000005</v>
      </c>
      <c r="AD135" s="108"/>
      <c r="AE135" s="108"/>
      <c r="AF135" s="108"/>
      <c r="AG135" s="109"/>
      <c r="AH135" s="649"/>
      <c r="AI135" s="137"/>
      <c r="AJ135" s="165">
        <f>I135+S135+AC135</f>
        <v>43559.815399999999</v>
      </c>
      <c r="AK135" s="649"/>
    </row>
    <row r="136" spans="1:37" ht="63" x14ac:dyDescent="0.25">
      <c r="A136" s="301" t="s">
        <v>52</v>
      </c>
      <c r="B136" s="218" t="str">
        <f t="shared" si="61"/>
        <v>CFSLABOR: NON-SUPERVISORY</v>
      </c>
      <c r="C136" s="12" t="s">
        <v>52</v>
      </c>
      <c r="D136" s="10" t="str">
        <f>'2015Summary METER to CASH (Base'!C21</f>
        <v>* Read routes
* Investigate, repair or replace non-operable meters and ERTs</v>
      </c>
      <c r="E136" s="117">
        <f>N173</f>
        <v>770312.59009081672</v>
      </c>
      <c r="F136" s="117">
        <f>X173</f>
        <v>74685.748028237285</v>
      </c>
      <c r="G136" s="117">
        <f>AC173</f>
        <v>2456.2294709460698</v>
      </c>
      <c r="H136" s="182" t="s">
        <v>31</v>
      </c>
      <c r="I136" s="157"/>
      <c r="J136" s="118"/>
      <c r="K136" s="118"/>
      <c r="L136" s="118"/>
      <c r="M136" s="119"/>
      <c r="N136" s="121"/>
      <c r="O136" s="206"/>
      <c r="P136" s="122"/>
      <c r="Q136" s="123"/>
      <c r="R136" s="183" t="s">
        <v>31</v>
      </c>
      <c r="S136" s="157"/>
      <c r="T136" s="118"/>
      <c r="U136" s="118"/>
      <c r="V136" s="118"/>
      <c r="W136" s="119"/>
      <c r="X136" s="120"/>
      <c r="Y136" s="206"/>
      <c r="Z136" s="122"/>
      <c r="AA136" s="123"/>
      <c r="AB136" s="183" t="s">
        <v>31</v>
      </c>
      <c r="AC136" s="157"/>
      <c r="AD136" s="118"/>
      <c r="AE136" s="118"/>
      <c r="AF136" s="118"/>
      <c r="AG136" s="119"/>
      <c r="AH136" s="121"/>
      <c r="AI136" s="135"/>
      <c r="AJ136" s="157"/>
      <c r="AK136" s="121"/>
    </row>
    <row r="137" spans="1:37" ht="22.5" x14ac:dyDescent="0.35">
      <c r="A137" s="301" t="s">
        <v>52</v>
      </c>
      <c r="B137" s="218" t="str">
        <f t="shared" si="61"/>
        <v>CFSUtilility Support  2 &amp; 3</v>
      </c>
      <c r="C137" s="5" t="s">
        <v>48</v>
      </c>
      <c r="D137" s="10"/>
      <c r="E137" s="116"/>
      <c r="F137" s="116"/>
      <c r="G137" s="116"/>
      <c r="H137" s="38" t="s">
        <v>340</v>
      </c>
      <c r="I137" s="158">
        <f>J137*K137</f>
        <v>298229.93950770173</v>
      </c>
      <c r="J137" s="42">
        <f>14089*(I6/($I$6+$S$6+$AC$6))</f>
        <v>12799.568219214665</v>
      </c>
      <c r="K137" s="39">
        <v>23.3</v>
      </c>
      <c r="L137" s="39"/>
      <c r="M137" s="40" t="str">
        <f>ROUND(J137,0)&amp;" hrs @ "&amp;K137</f>
        <v>12800 hrs @ 23.3</v>
      </c>
      <c r="N137" s="35"/>
      <c r="O137" s="428"/>
      <c r="P137" s="187"/>
      <c r="Q137" s="41"/>
      <c r="R137" s="184" t="s">
        <v>340</v>
      </c>
      <c r="S137" s="158">
        <f>T137*U137</f>
        <v>29087.041842856783</v>
      </c>
      <c r="T137" s="42">
        <f>14089*(S6/($I$6+$S$6+$AC$6))</f>
        <v>1248.3708945432095</v>
      </c>
      <c r="U137" s="39">
        <v>23.3</v>
      </c>
      <c r="V137" s="39"/>
      <c r="W137" s="40" t="str">
        <f>ROUND(T137,0)&amp;" hrs @ "&amp;U137</f>
        <v>1248 hrs @ 23.3</v>
      </c>
      <c r="X137" s="34"/>
      <c r="Y137" s="207"/>
      <c r="Z137" s="36"/>
      <c r="AA137" s="41"/>
      <c r="AB137" s="184" t="s">
        <v>340</v>
      </c>
      <c r="AC137" s="158">
        <f>AD137*AE137</f>
        <v>956.71864944154072</v>
      </c>
      <c r="AD137" s="42">
        <f>14089*(AC6/($I$6+$S$6+$AC$6))</f>
        <v>41.060886242126209</v>
      </c>
      <c r="AE137" s="39">
        <v>23.3</v>
      </c>
      <c r="AF137" s="39"/>
      <c r="AG137" s="40" t="str">
        <f>ROUND(AD137,0)&amp;" hrs @ "&amp;AE137</f>
        <v>41 hrs @ 23.3</v>
      </c>
      <c r="AH137" s="35"/>
      <c r="AI137" s="136"/>
      <c r="AJ137" s="158">
        <f>I137+S137+AC137</f>
        <v>328273.70000000007</v>
      </c>
      <c r="AK137" s="35"/>
    </row>
    <row r="138" spans="1:37" ht="21" x14ac:dyDescent="0.35">
      <c r="A138" s="301" t="s">
        <v>52</v>
      </c>
      <c r="B138" s="218" t="str">
        <f t="shared" si="61"/>
        <v>CFS</v>
      </c>
      <c r="C138" s="5" t="s">
        <v>48</v>
      </c>
      <c r="D138" s="10"/>
      <c r="E138" s="116"/>
      <c r="F138" s="116"/>
      <c r="G138" s="116"/>
      <c r="H138" s="38"/>
      <c r="I138" s="158">
        <f t="shared" ref="I138:I139" si="62">J138*K138</f>
        <v>0</v>
      </c>
      <c r="J138" s="42"/>
      <c r="K138" s="39"/>
      <c r="L138" s="42"/>
      <c r="M138" s="40" t="str">
        <f t="shared" ref="M138:M140" si="63">J138&amp;" hrs @ "&amp;K138</f>
        <v xml:space="preserve"> hrs @ </v>
      </c>
      <c r="N138" s="35"/>
      <c r="O138" s="207"/>
      <c r="P138" s="36"/>
      <c r="Q138" s="3"/>
      <c r="R138" s="184"/>
      <c r="S138" s="158">
        <f t="shared" ref="S138:S139" si="64">T138*U138</f>
        <v>0</v>
      </c>
      <c r="T138" s="42"/>
      <c r="U138" s="39"/>
      <c r="V138" s="42"/>
      <c r="W138" s="40" t="str">
        <f t="shared" ref="W138:W140" si="65">T138&amp;" hrs @ "&amp;U138</f>
        <v xml:space="preserve"> hrs @ </v>
      </c>
      <c r="X138" s="34"/>
      <c r="Y138" s="207"/>
      <c r="Z138" s="36"/>
      <c r="AA138" s="3"/>
      <c r="AB138" s="184"/>
      <c r="AC138" s="158">
        <f t="shared" ref="AC138:AC140" si="66">AD138*AE138</f>
        <v>0</v>
      </c>
      <c r="AD138" s="42"/>
      <c r="AE138" s="39"/>
      <c r="AF138" s="42"/>
      <c r="AG138" s="40" t="str">
        <f t="shared" ref="AG138:AG140" si="67">AD138&amp;" hrs @ "&amp;AE138</f>
        <v xml:space="preserve"> hrs @ </v>
      </c>
      <c r="AH138" s="35"/>
      <c r="AI138" s="136"/>
      <c r="AJ138" s="158"/>
      <c r="AK138" s="35"/>
    </row>
    <row r="139" spans="1:37" ht="21" x14ac:dyDescent="0.35">
      <c r="A139" s="301" t="s">
        <v>52</v>
      </c>
      <c r="B139" s="218" t="str">
        <f t="shared" si="61"/>
        <v>CFS</v>
      </c>
      <c r="C139" s="5" t="s">
        <v>48</v>
      </c>
      <c r="D139" s="10"/>
      <c r="E139" s="116"/>
      <c r="F139" s="116"/>
      <c r="G139" s="116"/>
      <c r="H139" s="38"/>
      <c r="I139" s="158">
        <f t="shared" si="62"/>
        <v>0</v>
      </c>
      <c r="J139" s="42"/>
      <c r="K139" s="39"/>
      <c r="L139" s="42"/>
      <c r="M139" s="40" t="str">
        <f t="shared" si="63"/>
        <v xml:space="preserve"> hrs @ </v>
      </c>
      <c r="N139" s="35"/>
      <c r="O139" s="207"/>
      <c r="P139" s="36"/>
      <c r="Q139" s="41"/>
      <c r="R139" s="184"/>
      <c r="S139" s="158">
        <f t="shared" si="64"/>
        <v>0</v>
      </c>
      <c r="T139" s="42"/>
      <c r="U139" s="39"/>
      <c r="V139" s="42"/>
      <c r="W139" s="40" t="str">
        <f t="shared" si="65"/>
        <v xml:space="preserve"> hrs @ </v>
      </c>
      <c r="X139" s="34"/>
      <c r="Y139" s="207"/>
      <c r="Z139" s="36"/>
      <c r="AA139" s="41"/>
      <c r="AB139" s="184"/>
      <c r="AC139" s="158">
        <f t="shared" si="66"/>
        <v>0</v>
      </c>
      <c r="AD139" s="42"/>
      <c r="AE139" s="39"/>
      <c r="AF139" s="42"/>
      <c r="AG139" s="40" t="str">
        <f t="shared" si="67"/>
        <v xml:space="preserve"> hrs @ </v>
      </c>
      <c r="AH139" s="35"/>
      <c r="AI139" s="136"/>
      <c r="AJ139" s="158"/>
      <c r="AK139" s="35"/>
    </row>
    <row r="140" spans="1:37" ht="21" x14ac:dyDescent="0.35">
      <c r="A140" s="301" t="s">
        <v>52</v>
      </c>
      <c r="B140" s="218" t="str">
        <f t="shared" si="61"/>
        <v>CFS</v>
      </c>
      <c r="C140" s="5" t="s">
        <v>48</v>
      </c>
      <c r="D140" s="10"/>
      <c r="E140" s="116"/>
      <c r="F140" s="116"/>
      <c r="G140" s="116"/>
      <c r="H140" s="179"/>
      <c r="I140" s="173">
        <f>J140*K140*L140</f>
        <v>0</v>
      </c>
      <c r="J140" s="174"/>
      <c r="K140" s="175"/>
      <c r="L140" s="181"/>
      <c r="M140" s="176" t="str">
        <f t="shared" si="63"/>
        <v xml:space="preserve"> hrs @ </v>
      </c>
      <c r="N140" s="35"/>
      <c r="O140" s="207"/>
      <c r="P140" s="36"/>
      <c r="Q140" s="44"/>
      <c r="R140" s="179"/>
      <c r="S140" s="173">
        <f>T140*U140*V140</f>
        <v>0</v>
      </c>
      <c r="T140" s="174"/>
      <c r="U140" s="175"/>
      <c r="V140" s="181"/>
      <c r="W140" s="176" t="str">
        <f t="shared" si="65"/>
        <v xml:space="preserve"> hrs @ </v>
      </c>
      <c r="X140" s="34"/>
      <c r="Y140" s="207"/>
      <c r="Z140" s="36"/>
      <c r="AA140" s="44"/>
      <c r="AB140" s="179"/>
      <c r="AC140" s="173">
        <f t="shared" si="66"/>
        <v>0</v>
      </c>
      <c r="AD140" s="174"/>
      <c r="AE140" s="175"/>
      <c r="AF140" s="181"/>
      <c r="AG140" s="176" t="str">
        <f t="shared" si="67"/>
        <v xml:space="preserve"> hrs @ </v>
      </c>
      <c r="AH140" s="35"/>
      <c r="AI140" s="136"/>
      <c r="AJ140" s="173"/>
      <c r="AK140" s="35"/>
    </row>
    <row r="141" spans="1:37" ht="21" x14ac:dyDescent="0.35">
      <c r="A141" s="301" t="s">
        <v>52</v>
      </c>
      <c r="B141" s="218" t="str">
        <f t="shared" si="61"/>
        <v>CFSTotal Wages</v>
      </c>
      <c r="C141" s="5" t="s">
        <v>48</v>
      </c>
      <c r="D141" s="10"/>
      <c r="E141" s="116"/>
      <c r="F141" s="116"/>
      <c r="G141" s="116"/>
      <c r="H141" s="38" t="s">
        <v>32</v>
      </c>
      <c r="I141" s="158">
        <f>SUM(I137:I140)</f>
        <v>298229.93950770173</v>
      </c>
      <c r="J141" s="42"/>
      <c r="K141" s="39"/>
      <c r="L141" s="39"/>
      <c r="M141" s="40"/>
      <c r="N141" s="35"/>
      <c r="O141" s="207"/>
      <c r="P141" s="36"/>
      <c r="Q141" s="41"/>
      <c r="R141" s="184" t="s">
        <v>32</v>
      </c>
      <c r="S141" s="158">
        <f>SUM(S137:S140)</f>
        <v>29087.041842856783</v>
      </c>
      <c r="T141" s="42"/>
      <c r="U141" s="39"/>
      <c r="V141" s="39"/>
      <c r="W141" s="40"/>
      <c r="X141" s="34"/>
      <c r="Y141" s="207"/>
      <c r="Z141" s="36"/>
      <c r="AA141" s="41"/>
      <c r="AB141" s="184" t="s">
        <v>32</v>
      </c>
      <c r="AC141" s="158">
        <f>SUM(AC137:AC140)</f>
        <v>956.71864944154072</v>
      </c>
      <c r="AD141" s="42"/>
      <c r="AE141" s="39"/>
      <c r="AF141" s="39"/>
      <c r="AG141" s="40"/>
      <c r="AH141" s="35"/>
      <c r="AI141" s="136"/>
      <c r="AJ141" s="158">
        <f>I141+S141+AC141</f>
        <v>328273.70000000007</v>
      </c>
      <c r="AK141" s="35"/>
    </row>
    <row r="142" spans="1:37" ht="21" x14ac:dyDescent="0.35">
      <c r="A142" s="301" t="s">
        <v>52</v>
      </c>
      <c r="B142" s="218" t="str">
        <f t="shared" si="61"/>
        <v>CFSBenefits</v>
      </c>
      <c r="C142" s="5" t="s">
        <v>48</v>
      </c>
      <c r="D142" s="10"/>
      <c r="E142" s="116"/>
      <c r="F142" s="116"/>
      <c r="G142" s="116"/>
      <c r="H142" s="38" t="s">
        <v>33</v>
      </c>
      <c r="I142" s="159">
        <f>I141*$O$2</f>
        <v>294024.89736064314</v>
      </c>
      <c r="J142" s="42"/>
      <c r="K142" s="39"/>
      <c r="M142" s="45" t="str">
        <f>"@ "&amp;$O$2*100&amp;" %"</f>
        <v>@ 98.59 %</v>
      </c>
      <c r="N142" s="47"/>
      <c r="O142" s="424"/>
      <c r="P142" s="48"/>
      <c r="Q142" s="41"/>
      <c r="R142" s="184" t="s">
        <v>33</v>
      </c>
      <c r="S142" s="159">
        <f>S141*$O$2</f>
        <v>28676.914552872502</v>
      </c>
      <c r="T142" s="42"/>
      <c r="U142" s="39"/>
      <c r="W142" s="45" t="str">
        <f>"@ "&amp;$O$2*100&amp;" %"</f>
        <v>@ 98.59 %</v>
      </c>
      <c r="X142" s="46"/>
      <c r="Y142" s="424"/>
      <c r="Z142" s="48"/>
      <c r="AA142" s="41"/>
      <c r="AB142" s="184" t="s">
        <v>33</v>
      </c>
      <c r="AC142" s="159">
        <f>AC141*$O$2</f>
        <v>943.22891648441498</v>
      </c>
      <c r="AD142" s="42"/>
      <c r="AE142" s="39"/>
      <c r="AG142" s="45" t="str">
        <f>"@ "&amp;$O$2*100&amp;" %"</f>
        <v>@ 98.59 %</v>
      </c>
      <c r="AH142" s="47"/>
      <c r="AI142" s="432"/>
      <c r="AJ142" s="159">
        <f>I142+S142+AC142</f>
        <v>323645.04083000001</v>
      </c>
      <c r="AK142" s="47"/>
    </row>
    <row r="143" spans="1:37" ht="21" x14ac:dyDescent="0.35">
      <c r="A143" s="301" t="s">
        <v>52</v>
      </c>
      <c r="B143" s="218" t="str">
        <f t="shared" si="61"/>
        <v>CFSTotal</v>
      </c>
      <c r="C143" s="5" t="s">
        <v>48</v>
      </c>
      <c r="D143" s="10"/>
      <c r="E143" s="116"/>
      <c r="F143" s="116"/>
      <c r="G143" s="116"/>
      <c r="H143" s="49" t="s">
        <v>34</v>
      </c>
      <c r="I143" s="160">
        <f>I141+I142</f>
        <v>592254.83686834481</v>
      </c>
      <c r="J143" s="42"/>
      <c r="K143" s="39"/>
      <c r="L143" s="50"/>
      <c r="M143" s="51"/>
      <c r="N143" s="420">
        <f>I143</f>
        <v>592254.83686834481</v>
      </c>
      <c r="O143" s="425">
        <f>N143/N173</f>
        <v>0.76885000256651703</v>
      </c>
      <c r="P143" s="53"/>
      <c r="Q143" s="37"/>
      <c r="R143" s="185" t="s">
        <v>34</v>
      </c>
      <c r="S143" s="160">
        <f>S141+S142</f>
        <v>57763.956395729285</v>
      </c>
      <c r="T143" s="42"/>
      <c r="U143" s="39"/>
      <c r="V143" s="50"/>
      <c r="W143" s="51"/>
      <c r="X143" s="52">
        <f>S143</f>
        <v>57763.956395729285</v>
      </c>
      <c r="Y143" s="425">
        <f>X143/X173</f>
        <v>0.77342676375002384</v>
      </c>
      <c r="Z143" s="53"/>
      <c r="AA143" s="37"/>
      <c r="AB143" s="185" t="s">
        <v>34</v>
      </c>
      <c r="AC143" s="160">
        <f>AC141+AC142</f>
        <v>1899.9475659259556</v>
      </c>
      <c r="AD143" s="42"/>
      <c r="AE143" s="39"/>
      <c r="AF143" s="50"/>
      <c r="AG143" s="51"/>
      <c r="AH143" s="420">
        <f>AC143</f>
        <v>1899.9475659259556</v>
      </c>
      <c r="AI143" s="233">
        <f>AH143/AH173</f>
        <v>0.77352201347626925</v>
      </c>
      <c r="AJ143" s="160">
        <f>I143+S143+AC143</f>
        <v>651918.74083000014</v>
      </c>
      <c r="AK143" s="420"/>
    </row>
    <row r="144" spans="1:37" ht="21" x14ac:dyDescent="0.35">
      <c r="A144" s="301" t="s">
        <v>52</v>
      </c>
      <c r="B144" s="218" t="str">
        <f t="shared" si="61"/>
        <v>CFS</v>
      </c>
      <c r="C144" s="5" t="s">
        <v>48</v>
      </c>
      <c r="D144" s="10"/>
      <c r="E144" s="116"/>
      <c r="F144" s="116"/>
      <c r="G144" s="116"/>
      <c r="H144" s="54"/>
      <c r="I144" s="166"/>
      <c r="J144" s="69"/>
      <c r="K144" s="69"/>
      <c r="L144" s="69"/>
      <c r="M144" s="70"/>
      <c r="N144" s="58"/>
      <c r="O144" s="426"/>
      <c r="P144" s="59"/>
      <c r="Q144" s="60"/>
      <c r="R144" s="179"/>
      <c r="S144" s="166"/>
      <c r="T144" s="69"/>
      <c r="U144" s="69"/>
      <c r="V144" s="69"/>
      <c r="W144" s="70"/>
      <c r="X144" s="57"/>
      <c r="Y144" s="426"/>
      <c r="Z144" s="59"/>
      <c r="AA144" s="60"/>
      <c r="AB144" s="179"/>
      <c r="AC144" s="166"/>
      <c r="AD144" s="69"/>
      <c r="AE144" s="69"/>
      <c r="AF144" s="69"/>
      <c r="AG144" s="70"/>
      <c r="AH144" s="58"/>
      <c r="AI144" s="231"/>
      <c r="AJ144" s="166"/>
      <c r="AK144" s="58"/>
    </row>
    <row r="145" spans="1:37" ht="21" x14ac:dyDescent="0.35">
      <c r="A145" s="301" t="s">
        <v>52</v>
      </c>
      <c r="B145" s="218" t="str">
        <f t="shared" si="61"/>
        <v>CFSLABOR: SUPERVISORY</v>
      </c>
      <c r="C145" s="124" t="s">
        <v>50</v>
      </c>
      <c r="D145" s="10"/>
      <c r="E145" s="116"/>
      <c r="F145" s="116"/>
      <c r="G145" s="116"/>
      <c r="H145" s="61" t="s">
        <v>35</v>
      </c>
      <c r="I145" s="167"/>
      <c r="J145" s="74"/>
      <c r="K145" s="74"/>
      <c r="L145" s="74"/>
      <c r="M145" s="66"/>
      <c r="N145" s="26"/>
      <c r="O145" s="421"/>
      <c r="P145" s="65"/>
      <c r="Q145" s="37"/>
      <c r="R145" s="186" t="s">
        <v>35</v>
      </c>
      <c r="S145" s="167"/>
      <c r="T145" s="74"/>
      <c r="U145" s="74"/>
      <c r="V145" s="74"/>
      <c r="W145" s="66"/>
      <c r="X145" s="64"/>
      <c r="Y145" s="421"/>
      <c r="Z145" s="65"/>
      <c r="AA145" s="37"/>
      <c r="AB145" s="186" t="s">
        <v>35</v>
      </c>
      <c r="AC145" s="167"/>
      <c r="AD145" s="74"/>
      <c r="AE145" s="74"/>
      <c r="AF145" s="74"/>
      <c r="AG145" s="66"/>
      <c r="AH145" s="26"/>
      <c r="AI145" s="234"/>
      <c r="AJ145" s="167"/>
      <c r="AK145" s="26"/>
    </row>
    <row r="146" spans="1:37" ht="21" x14ac:dyDescent="0.35">
      <c r="A146" s="301" t="s">
        <v>52</v>
      </c>
      <c r="B146" s="218"/>
      <c r="C146" s="124"/>
      <c r="D146" s="10"/>
      <c r="E146" s="116"/>
      <c r="F146" s="116"/>
      <c r="G146" s="116"/>
      <c r="H146" s="184" t="s">
        <v>349</v>
      </c>
      <c r="I146" s="158">
        <f t="shared" ref="I146" si="68">J146*K146</f>
        <v>2036.3999999999999</v>
      </c>
      <c r="J146" s="42">
        <v>40</v>
      </c>
      <c r="K146" s="39">
        <v>50.91</v>
      </c>
      <c r="L146" s="43"/>
      <c r="M146" s="40" t="str">
        <f>ROUND(J146,0)&amp;" hrs @ "&amp;K146</f>
        <v>40 hrs @ 50.91</v>
      </c>
      <c r="N146" s="26"/>
      <c r="O146" s="421"/>
      <c r="P146" s="65"/>
      <c r="Q146" s="37"/>
      <c r="R146" s="184" t="s">
        <v>349</v>
      </c>
      <c r="S146" s="158">
        <f t="shared" ref="S146" si="69">T146*U146</f>
        <v>0</v>
      </c>
      <c r="T146" s="42">
        <f>1800*((T136/1800)/12)</f>
        <v>0</v>
      </c>
      <c r="U146" s="39">
        <v>50.91</v>
      </c>
      <c r="V146" s="43"/>
      <c r="W146" s="40" t="str">
        <f>ROUND(T146,0)&amp;" hrs @ "&amp;U146</f>
        <v>0 hrs @ 50.91</v>
      </c>
      <c r="X146" s="64"/>
      <c r="Y146" s="421"/>
      <c r="Z146" s="65"/>
      <c r="AA146" s="37"/>
      <c r="AB146" s="184" t="s">
        <v>349</v>
      </c>
      <c r="AC146" s="158">
        <f t="shared" ref="AC146" si="70">AD146*AE146</f>
        <v>0</v>
      </c>
      <c r="AD146" s="42">
        <f>1800*((AD136/1800)/12)</f>
        <v>0</v>
      </c>
      <c r="AE146" s="39">
        <v>50.91</v>
      </c>
      <c r="AF146" s="43"/>
      <c r="AG146" s="40" t="str">
        <f>ROUND(AD146,0)&amp;" hrs @ "&amp;AE146</f>
        <v>0 hrs @ 50.91</v>
      </c>
      <c r="AH146" s="26"/>
      <c r="AI146" s="234"/>
      <c r="AJ146" s="158">
        <f>I146+S146+AC146</f>
        <v>2036.3999999999999</v>
      </c>
      <c r="AK146" s="26"/>
    </row>
    <row r="147" spans="1:37" ht="22.5" x14ac:dyDescent="0.35">
      <c r="A147" s="301" t="s">
        <v>52</v>
      </c>
      <c r="B147" s="218" t="str">
        <f t="shared" ref="B147:B174" si="71">A147&amp;H147</f>
        <v>CFSUtility Support Supervisor (Grade 20)</v>
      </c>
      <c r="C147" s="5" t="s">
        <v>48</v>
      </c>
      <c r="D147" s="10"/>
      <c r="E147" s="116"/>
      <c r="F147" s="116"/>
      <c r="G147" s="116"/>
      <c r="H147" s="38" t="s">
        <v>347</v>
      </c>
      <c r="I147" s="158">
        <f t="shared" ref="I147" si="72">J147*K147</f>
        <v>44152.105575543523</v>
      </c>
      <c r="J147" s="289">
        <f>(2/3)*(I$6/($I$6+$S$6+$AC$6)*1800)</f>
        <v>1090.1754463097166</v>
      </c>
      <c r="K147" s="259">
        <v>40.5</v>
      </c>
      <c r="L147" s="43"/>
      <c r="M147" s="40" t="str">
        <f>ROUND(J147,0)&amp;" hrs @ "&amp;K147</f>
        <v>1090 hrs @ 40.5</v>
      </c>
      <c r="N147" s="26"/>
      <c r="O147" s="421"/>
      <c r="P147" s="65"/>
      <c r="Q147" s="41"/>
      <c r="R147" s="184" t="s">
        <v>347</v>
      </c>
      <c r="S147" s="158">
        <f t="shared" ref="S147" si="73">T147*U147</f>
        <v>4306.2549133934262</v>
      </c>
      <c r="T147" s="289">
        <f>(2/3)*(S$6/($I$6+$S$6+$AC$6)*1800)</f>
        <v>106.32728181218336</v>
      </c>
      <c r="U147" s="259">
        <v>40.5</v>
      </c>
      <c r="V147" s="43"/>
      <c r="W147" s="40" t="str">
        <f>ROUND(T147,0)&amp;" hrs @ "&amp;U147</f>
        <v>106 hrs @ 40.5</v>
      </c>
      <c r="X147" s="64"/>
      <c r="Y147" s="421"/>
      <c r="Z147" s="65"/>
      <c r="AA147" s="41"/>
      <c r="AB147" s="184" t="s">
        <v>347</v>
      </c>
      <c r="AC147" s="158">
        <f t="shared" ref="AC147" si="74">AD147*AE147</f>
        <v>141.63951106305157</v>
      </c>
      <c r="AD147" s="289">
        <f>(2/3)*(AC$6/($I$6+$S$6+$AC$6)*1800)</f>
        <v>3.4972718781000389</v>
      </c>
      <c r="AE147" s="259">
        <v>40.5</v>
      </c>
      <c r="AF147" s="43"/>
      <c r="AG147" s="40" t="str">
        <f>ROUND(AD147,0)&amp;" hrs @ "&amp;AE147</f>
        <v>3 hrs @ 40.5</v>
      </c>
      <c r="AH147" s="26"/>
      <c r="AI147" s="234"/>
      <c r="AJ147" s="158">
        <f>I147+S147+AC147</f>
        <v>48600</v>
      </c>
      <c r="AK147" s="26"/>
    </row>
    <row r="148" spans="1:37" ht="21" x14ac:dyDescent="0.35">
      <c r="A148" s="301" t="s">
        <v>52</v>
      </c>
      <c r="B148" s="218" t="str">
        <f t="shared" si="71"/>
        <v>CFSBenefits</v>
      </c>
      <c r="C148" s="5" t="s">
        <v>48</v>
      </c>
      <c r="D148" s="10"/>
      <c r="E148" s="116"/>
      <c r="F148" s="116"/>
      <c r="G148" s="116"/>
      <c r="H148" s="38" t="s">
        <v>33</v>
      </c>
      <c r="I148" s="159">
        <f>(I147+I146)*$O$2</f>
        <v>45537.247646928357</v>
      </c>
      <c r="J148" s="42"/>
      <c r="K148" s="39"/>
      <c r="L148" s="156"/>
      <c r="M148" s="45" t="str">
        <f>"@ "&amp;$O$2*100&amp;" %"</f>
        <v>@ 98.59 %</v>
      </c>
      <c r="N148" s="26"/>
      <c r="O148" s="421"/>
      <c r="P148" s="65"/>
      <c r="Q148" s="41"/>
      <c r="R148" s="184" t="s">
        <v>33</v>
      </c>
      <c r="S148" s="159">
        <f>S147*$O$2</f>
        <v>4245.5367191145788</v>
      </c>
      <c r="T148" s="42"/>
      <c r="U148" s="39"/>
      <c r="V148" s="156"/>
      <c r="W148" s="45" t="str">
        <f>"@ "&amp;$O$2*100&amp;" %"</f>
        <v>@ 98.59 %</v>
      </c>
      <c r="X148" s="64"/>
      <c r="Y148" s="421"/>
      <c r="Z148" s="65"/>
      <c r="AA148" s="41"/>
      <c r="AB148" s="184" t="s">
        <v>33</v>
      </c>
      <c r="AC148" s="159">
        <f>AC147*$O$2</f>
        <v>139.64239395706255</v>
      </c>
      <c r="AD148" s="42"/>
      <c r="AE148" s="39"/>
      <c r="AF148" s="156"/>
      <c r="AG148" s="45" t="str">
        <f>"@ "&amp;$O$2*100&amp;" %"</f>
        <v>@ 98.59 %</v>
      </c>
      <c r="AH148" s="26"/>
      <c r="AI148" s="234"/>
      <c r="AJ148" s="159">
        <f>I148+S148+AC148</f>
        <v>49922.426759999995</v>
      </c>
      <c r="AK148" s="26"/>
    </row>
    <row r="149" spans="1:37" ht="21" x14ac:dyDescent="0.35">
      <c r="A149" s="301" t="s">
        <v>52</v>
      </c>
      <c r="B149" s="218" t="str">
        <f t="shared" si="71"/>
        <v>CFSTotal</v>
      </c>
      <c r="C149" s="124" t="s">
        <v>50</v>
      </c>
      <c r="D149" s="10"/>
      <c r="E149" s="116"/>
      <c r="F149" s="116"/>
      <c r="G149" s="116"/>
      <c r="H149" s="49" t="s">
        <v>34</v>
      </c>
      <c r="I149" s="160">
        <f>I148+I147+I146</f>
        <v>91725.753222471874</v>
      </c>
      <c r="J149" s="68"/>
      <c r="K149" s="68"/>
      <c r="L149" s="68"/>
      <c r="M149" s="63"/>
      <c r="N149" s="420">
        <f>I149</f>
        <v>91725.753222471874</v>
      </c>
      <c r="O149" s="425">
        <f>N149/N173</f>
        <v>0.11907601459773334</v>
      </c>
      <c r="P149" s="65"/>
      <c r="Q149" s="41"/>
      <c r="R149" s="185" t="s">
        <v>34</v>
      </c>
      <c r="S149" s="160">
        <f>S148+S147+S146</f>
        <v>8551.7916325080041</v>
      </c>
      <c r="T149" s="68"/>
      <c r="U149" s="68"/>
      <c r="V149" s="68"/>
      <c r="W149" s="63"/>
      <c r="X149" s="52">
        <f>S149</f>
        <v>8551.7916325080041</v>
      </c>
      <c r="Y149" s="425">
        <f>X149/X173</f>
        <v>0.11450366178664678</v>
      </c>
      <c r="Z149" s="65"/>
      <c r="AA149" s="41"/>
      <c r="AB149" s="185" t="s">
        <v>34</v>
      </c>
      <c r="AC149" s="160">
        <f>AC148+AC147+AC146</f>
        <v>281.2819050201141</v>
      </c>
      <c r="AD149" s="68"/>
      <c r="AE149" s="68"/>
      <c r="AF149" s="68"/>
      <c r="AG149" s="63"/>
      <c r="AH149" s="420">
        <f>AC149</f>
        <v>281.2819050201141</v>
      </c>
      <c r="AI149" s="233">
        <f>AH149/AH173</f>
        <v>0.11451776324130347</v>
      </c>
      <c r="AJ149" s="160">
        <f>I149+S149+AC149</f>
        <v>100558.82675999998</v>
      </c>
      <c r="AK149" s="420"/>
    </row>
    <row r="150" spans="1:37" ht="21" x14ac:dyDescent="0.35">
      <c r="A150" s="301" t="s">
        <v>52</v>
      </c>
      <c r="B150" s="218" t="str">
        <f t="shared" si="71"/>
        <v>CFS</v>
      </c>
      <c r="C150" s="5" t="s">
        <v>48</v>
      </c>
      <c r="D150" s="10"/>
      <c r="E150" s="116"/>
      <c r="F150" s="116"/>
      <c r="G150" s="116"/>
      <c r="H150" s="54"/>
      <c r="I150" s="166"/>
      <c r="J150" s="69"/>
      <c r="K150" s="69"/>
      <c r="L150" s="69"/>
      <c r="M150" s="70"/>
      <c r="N150" s="72"/>
      <c r="O150" s="427"/>
      <c r="P150" s="73"/>
      <c r="Q150" s="60"/>
      <c r="R150" s="179"/>
      <c r="S150" s="166"/>
      <c r="T150" s="69"/>
      <c r="U150" s="69"/>
      <c r="V150" s="69"/>
      <c r="W150" s="70"/>
      <c r="X150" s="71"/>
      <c r="Y150" s="427"/>
      <c r="Z150" s="73"/>
      <c r="AA150" s="60"/>
      <c r="AB150" s="179"/>
      <c r="AC150" s="166"/>
      <c r="AD150" s="69"/>
      <c r="AE150" s="69"/>
      <c r="AF150" s="69"/>
      <c r="AG150" s="70"/>
      <c r="AH150" s="72"/>
      <c r="AI150" s="235"/>
      <c r="AJ150" s="166"/>
      <c r="AK150" s="72"/>
    </row>
    <row r="151" spans="1:37" ht="21" x14ac:dyDescent="0.35">
      <c r="A151" s="301" t="s">
        <v>52</v>
      </c>
      <c r="B151" s="218" t="str">
        <f t="shared" si="71"/>
        <v>CFSEQUIPMENT</v>
      </c>
      <c r="C151" s="124" t="s">
        <v>50</v>
      </c>
      <c r="D151" s="10"/>
      <c r="E151" s="116"/>
      <c r="F151" s="116"/>
      <c r="G151" s="116"/>
      <c r="H151" s="61" t="s">
        <v>36</v>
      </c>
      <c r="I151" s="167"/>
      <c r="J151" s="74"/>
      <c r="K151" s="74"/>
      <c r="L151" s="74"/>
      <c r="M151" s="66"/>
      <c r="N151" s="76"/>
      <c r="O151" s="428"/>
      <c r="P151" s="65"/>
      <c r="Q151" s="37"/>
      <c r="R151" s="186" t="s">
        <v>36</v>
      </c>
      <c r="S151" s="167"/>
      <c r="T151" s="74"/>
      <c r="U151" s="74"/>
      <c r="V151" s="74"/>
      <c r="W151" s="66"/>
      <c r="X151" s="75"/>
      <c r="Y151" s="428"/>
      <c r="Z151" s="65"/>
      <c r="AA151" s="37"/>
      <c r="AB151" s="186" t="s">
        <v>36</v>
      </c>
      <c r="AC151" s="167"/>
      <c r="AD151" s="74"/>
      <c r="AE151" s="74"/>
      <c r="AF151" s="74"/>
      <c r="AG151" s="66"/>
      <c r="AH151" s="76"/>
      <c r="AI151" s="237"/>
      <c r="AJ151" s="167"/>
      <c r="AK151" s="76"/>
    </row>
    <row r="152" spans="1:37" ht="21" x14ac:dyDescent="0.35">
      <c r="A152" s="301" t="s">
        <v>52</v>
      </c>
      <c r="B152" s="218" t="str">
        <f t="shared" si="71"/>
        <v>CFS</v>
      </c>
      <c r="C152" s="5" t="s">
        <v>48</v>
      </c>
      <c r="D152" s="10"/>
      <c r="E152" s="116"/>
      <c r="F152" s="116"/>
      <c r="G152" s="116"/>
      <c r="H152" s="184"/>
      <c r="I152" s="163"/>
      <c r="J152" s="42"/>
      <c r="K152" s="646"/>
      <c r="L152" s="39"/>
      <c r="M152" s="40" t="str">
        <f>J152&amp;" @ "&amp;K152&amp;""</f>
        <v xml:space="preserve"> @ </v>
      </c>
      <c r="N152" s="76"/>
      <c r="O152" s="428"/>
      <c r="P152" s="65"/>
      <c r="Q152" s="37"/>
      <c r="R152" s="184"/>
      <c r="S152" s="163"/>
      <c r="T152" s="42"/>
      <c r="U152" s="646"/>
      <c r="V152" s="39"/>
      <c r="W152" s="40" t="str">
        <f>T152&amp;" @ "&amp;U152&amp;""</f>
        <v xml:space="preserve"> @ </v>
      </c>
      <c r="X152" s="75"/>
      <c r="Y152" s="428"/>
      <c r="Z152" s="65"/>
      <c r="AA152" s="37"/>
      <c r="AB152" s="184"/>
      <c r="AC152" s="163">
        <f>AD152*AE152</f>
        <v>0</v>
      </c>
      <c r="AD152" s="42"/>
      <c r="AE152" s="646"/>
      <c r="AF152" s="39"/>
      <c r="AG152" s="40" t="str">
        <f>AD152&amp;" @ "&amp;AE152&amp;""</f>
        <v xml:space="preserve"> @ </v>
      </c>
      <c r="AH152" s="76"/>
      <c r="AI152" s="237"/>
      <c r="AJ152" s="163"/>
      <c r="AK152" s="76"/>
    </row>
    <row r="153" spans="1:37" ht="21" x14ac:dyDescent="0.35">
      <c r="A153" s="301" t="s">
        <v>52</v>
      </c>
      <c r="B153" s="218" t="str">
        <f t="shared" si="71"/>
        <v>CFS</v>
      </c>
      <c r="C153" s="5" t="s">
        <v>48</v>
      </c>
      <c r="D153" s="10"/>
      <c r="E153" s="116"/>
      <c r="F153" s="116"/>
      <c r="G153" s="116"/>
      <c r="H153" s="38"/>
      <c r="I153" s="163"/>
      <c r="J153" s="42"/>
      <c r="K153" s="646"/>
      <c r="L153" s="39"/>
      <c r="M153" s="40" t="str">
        <f>J153&amp;" @ "&amp;K153&amp;""</f>
        <v xml:space="preserve"> @ </v>
      </c>
      <c r="N153" s="79"/>
      <c r="O153" s="422"/>
      <c r="P153" s="80"/>
      <c r="Q153" s="81"/>
      <c r="R153" s="38"/>
      <c r="S153" s="163"/>
      <c r="T153" s="42"/>
      <c r="U153" s="646"/>
      <c r="V153" s="39"/>
      <c r="W153" s="40" t="str">
        <f>T153&amp;" @ "&amp;U153&amp;""</f>
        <v xml:space="preserve"> @ </v>
      </c>
      <c r="X153" s="78"/>
      <c r="Y153" s="422"/>
      <c r="Z153" s="80"/>
      <c r="AA153" s="81"/>
      <c r="AB153" s="38"/>
      <c r="AC153" s="163">
        <f>AD153*AE153</f>
        <v>0</v>
      </c>
      <c r="AD153" s="42"/>
      <c r="AE153" s="646"/>
      <c r="AF153" s="39"/>
      <c r="AG153" s="40" t="str">
        <f>AD153&amp;" @ "&amp;AE153&amp;""</f>
        <v xml:space="preserve"> @ </v>
      </c>
      <c r="AH153" s="79"/>
      <c r="AI153" s="238"/>
      <c r="AJ153" s="163"/>
      <c r="AK153" s="79"/>
    </row>
    <row r="154" spans="1:37" ht="21" x14ac:dyDescent="0.35">
      <c r="A154" s="301" t="s">
        <v>52</v>
      </c>
      <c r="B154" s="218" t="str">
        <f t="shared" si="71"/>
        <v>CFS</v>
      </c>
      <c r="C154" s="5" t="s">
        <v>48</v>
      </c>
      <c r="D154" s="10"/>
      <c r="E154" s="116"/>
      <c r="F154" s="116"/>
      <c r="G154" s="116"/>
      <c r="H154" s="77"/>
      <c r="I154" s="168"/>
      <c r="J154" s="42"/>
      <c r="K154" s="39"/>
      <c r="L154" s="42"/>
      <c r="M154" s="40" t="str">
        <f t="shared" ref="M154:M155" si="75">J154&amp;" hrs @ "&amp;K154</f>
        <v xml:space="preserve"> hrs @ </v>
      </c>
      <c r="N154" s="79"/>
      <c r="O154" s="422"/>
      <c r="P154" s="80"/>
      <c r="Q154" s="81"/>
      <c r="R154" s="187"/>
      <c r="S154" s="168"/>
      <c r="T154" s="42"/>
      <c r="U154" s="39"/>
      <c r="V154" s="42"/>
      <c r="W154" s="40" t="str">
        <f t="shared" ref="W154:W155" si="76">T154&amp;" hrs @ "&amp;U154</f>
        <v xml:space="preserve"> hrs @ </v>
      </c>
      <c r="X154" s="78"/>
      <c r="Y154" s="422"/>
      <c r="Z154" s="80"/>
      <c r="AA154" s="81"/>
      <c r="AB154" s="187"/>
      <c r="AC154" s="168"/>
      <c r="AD154" s="42"/>
      <c r="AE154" s="39"/>
      <c r="AF154" s="42"/>
      <c r="AG154" s="40" t="str">
        <f t="shared" ref="AG154:AG155" si="77">AD154&amp;" hrs @ "&amp;AE154</f>
        <v xml:space="preserve"> hrs @ </v>
      </c>
      <c r="AH154" s="79"/>
      <c r="AI154" s="238"/>
      <c r="AJ154" s="168"/>
      <c r="AK154" s="79"/>
    </row>
    <row r="155" spans="1:37" ht="21" x14ac:dyDescent="0.35">
      <c r="A155" s="301" t="s">
        <v>52</v>
      </c>
      <c r="B155" s="218" t="str">
        <f t="shared" si="71"/>
        <v>CFS</v>
      </c>
      <c r="C155" s="5" t="s">
        <v>48</v>
      </c>
      <c r="D155" s="10"/>
      <c r="E155" s="116"/>
      <c r="F155" s="116"/>
      <c r="G155" s="116"/>
      <c r="H155" s="77"/>
      <c r="I155" s="164"/>
      <c r="J155" s="42"/>
      <c r="K155" s="39"/>
      <c r="L155" s="43"/>
      <c r="M155" s="40" t="str">
        <f t="shared" si="75"/>
        <v xml:space="preserve"> hrs @ </v>
      </c>
      <c r="N155" s="79"/>
      <c r="O155" s="422"/>
      <c r="P155" s="80"/>
      <c r="Q155" s="81"/>
      <c r="R155" s="187"/>
      <c r="S155" s="164">
        <f>12*X$2</f>
        <v>0</v>
      </c>
      <c r="T155" s="42"/>
      <c r="U155" s="39"/>
      <c r="V155" s="43"/>
      <c r="W155" s="40" t="str">
        <f t="shared" si="76"/>
        <v xml:space="preserve"> hrs @ </v>
      </c>
      <c r="X155" s="78"/>
      <c r="Y155" s="422"/>
      <c r="Z155" s="80"/>
      <c r="AA155" s="81"/>
      <c r="AB155" s="187"/>
      <c r="AC155" s="164">
        <f>12*AH$2</f>
        <v>0</v>
      </c>
      <c r="AD155" s="42"/>
      <c r="AE155" s="39"/>
      <c r="AF155" s="43"/>
      <c r="AG155" s="40" t="str">
        <f t="shared" si="77"/>
        <v xml:space="preserve"> hrs @ </v>
      </c>
      <c r="AH155" s="79"/>
      <c r="AI155" s="238"/>
      <c r="AJ155" s="164"/>
      <c r="AK155" s="79"/>
    </row>
    <row r="156" spans="1:37" ht="21" x14ac:dyDescent="0.35">
      <c r="A156" s="301" t="s">
        <v>52</v>
      </c>
      <c r="B156" s="218" t="str">
        <f t="shared" si="71"/>
        <v>CFSTotal Equipment</v>
      </c>
      <c r="C156" s="124" t="s">
        <v>50</v>
      </c>
      <c r="D156" s="10"/>
      <c r="E156" s="116">
        <f>I156</f>
        <v>0</v>
      </c>
      <c r="F156" s="116">
        <f>S156</f>
        <v>0</v>
      </c>
      <c r="G156" s="116">
        <f>AC156</f>
        <v>0</v>
      </c>
      <c r="H156" s="83" t="s">
        <v>37</v>
      </c>
      <c r="I156" s="647">
        <f>SUM(I152:I155)</f>
        <v>0</v>
      </c>
      <c r="J156" s="68"/>
      <c r="K156" s="68"/>
      <c r="L156" s="68"/>
      <c r="M156" s="66"/>
      <c r="N156" s="420">
        <f>I156</f>
        <v>0</v>
      </c>
      <c r="O156" s="425">
        <f>N156/N173</f>
        <v>0</v>
      </c>
      <c r="P156" s="80"/>
      <c r="Q156" s="81"/>
      <c r="R156" s="188" t="s">
        <v>37</v>
      </c>
      <c r="S156" s="165">
        <f>SUM(S152:S155)</f>
        <v>0</v>
      </c>
      <c r="T156" s="68"/>
      <c r="U156" s="68"/>
      <c r="V156" s="68"/>
      <c r="W156" s="66"/>
      <c r="X156" s="52">
        <f>S156</f>
        <v>0</v>
      </c>
      <c r="Y156" s="425">
        <f>X156/X173</f>
        <v>0</v>
      </c>
      <c r="Z156" s="80"/>
      <c r="AA156" s="81"/>
      <c r="AB156" s="188" t="s">
        <v>37</v>
      </c>
      <c r="AC156" s="165">
        <f>SUM(AC152:AC155)</f>
        <v>0</v>
      </c>
      <c r="AD156" s="68"/>
      <c r="AE156" s="68"/>
      <c r="AF156" s="68"/>
      <c r="AG156" s="66"/>
      <c r="AH156" s="420">
        <f>AC156</f>
        <v>0</v>
      </c>
      <c r="AI156" s="233">
        <f>AH156/AH173</f>
        <v>0</v>
      </c>
      <c r="AJ156" s="165">
        <f>I156+S156+AC156</f>
        <v>0</v>
      </c>
      <c r="AK156" s="420"/>
    </row>
    <row r="157" spans="1:37" ht="21" x14ac:dyDescent="0.35">
      <c r="A157" s="301" t="s">
        <v>52</v>
      </c>
      <c r="B157" s="218" t="str">
        <f t="shared" si="71"/>
        <v>CFS</v>
      </c>
      <c r="C157" s="5" t="s">
        <v>48</v>
      </c>
      <c r="D157" s="10"/>
      <c r="E157" s="116"/>
      <c r="F157" s="116"/>
      <c r="G157" s="116"/>
      <c r="H157" s="84"/>
      <c r="I157" s="166"/>
      <c r="J157" s="69"/>
      <c r="K157" s="69"/>
      <c r="L157" s="69"/>
      <c r="M157" s="70"/>
      <c r="N157" s="88"/>
      <c r="O157" s="429"/>
      <c r="P157" s="89"/>
      <c r="Q157" s="60"/>
      <c r="R157" s="189"/>
      <c r="S157" s="166"/>
      <c r="T157" s="69"/>
      <c r="U157" s="69"/>
      <c r="V157" s="69"/>
      <c r="W157" s="70"/>
      <c r="X157" s="87"/>
      <c r="Y157" s="429"/>
      <c r="Z157" s="89"/>
      <c r="AA157" s="60"/>
      <c r="AB157" s="189"/>
      <c r="AC157" s="166"/>
      <c r="AD157" s="69"/>
      <c r="AE157" s="69"/>
      <c r="AF157" s="69"/>
      <c r="AG157" s="70"/>
      <c r="AH157" s="88"/>
      <c r="AI157" s="241"/>
      <c r="AJ157" s="166"/>
      <c r="AK157" s="88"/>
    </row>
    <row r="158" spans="1:37" ht="21" x14ac:dyDescent="0.35">
      <c r="A158" s="301" t="s">
        <v>52</v>
      </c>
      <c r="B158" s="218" t="str">
        <f t="shared" si="71"/>
        <v>CFSIS SUPPORT</v>
      </c>
      <c r="C158" s="124" t="s">
        <v>50</v>
      </c>
      <c r="D158" s="10"/>
      <c r="E158" s="116"/>
      <c r="F158" s="116"/>
      <c r="G158" s="116"/>
      <c r="H158" s="61" t="s">
        <v>38</v>
      </c>
      <c r="I158" s="167"/>
      <c r="J158" s="74"/>
      <c r="K158" s="74"/>
      <c r="L158" s="74"/>
      <c r="M158" s="66"/>
      <c r="N158" s="91"/>
      <c r="O158" s="430"/>
      <c r="P158" s="92"/>
      <c r="Q158" s="37"/>
      <c r="R158" s="186" t="s">
        <v>38</v>
      </c>
      <c r="S158" s="167"/>
      <c r="T158" s="74"/>
      <c r="U158" s="74"/>
      <c r="V158" s="74"/>
      <c r="W158" s="66"/>
      <c r="X158" s="90"/>
      <c r="Y158" s="430"/>
      <c r="Z158" s="92"/>
      <c r="AA158" s="37"/>
      <c r="AB158" s="186" t="s">
        <v>38</v>
      </c>
      <c r="AC158" s="167"/>
      <c r="AD158" s="74"/>
      <c r="AE158" s="74"/>
      <c r="AF158" s="74"/>
      <c r="AG158" s="66"/>
      <c r="AH158" s="91"/>
      <c r="AI158" s="227"/>
      <c r="AJ158" s="167"/>
      <c r="AK158" s="91"/>
    </row>
    <row r="159" spans="1:37" ht="21" x14ac:dyDescent="0.35">
      <c r="A159" s="301" t="s">
        <v>52</v>
      </c>
      <c r="B159" s="218" t="str">
        <f t="shared" si="71"/>
        <v>CFS</v>
      </c>
      <c r="C159" s="5" t="s">
        <v>48</v>
      </c>
      <c r="D159" s="10"/>
      <c r="E159" s="116"/>
      <c r="F159" s="116"/>
      <c r="G159" s="116"/>
      <c r="H159" s="38"/>
      <c r="I159" s="162"/>
      <c r="J159" s="42"/>
      <c r="K159" s="39"/>
      <c r="L159" s="39"/>
      <c r="M159" s="40" t="str">
        <f>J159&amp;" hrs @ "&amp;K159</f>
        <v xml:space="preserve"> hrs @ </v>
      </c>
      <c r="N159" s="94"/>
      <c r="O159" s="423"/>
      <c r="P159" s="92"/>
      <c r="Q159" s="37"/>
      <c r="R159" s="184"/>
      <c r="S159" s="162">
        <f>T159*U159</f>
        <v>0</v>
      </c>
      <c r="T159" s="42"/>
      <c r="U159" s="39"/>
      <c r="V159" s="39"/>
      <c r="W159" s="40" t="str">
        <f>T159&amp;" hrs @ "&amp;U159</f>
        <v xml:space="preserve"> hrs @ </v>
      </c>
      <c r="X159" s="93"/>
      <c r="Y159" s="423"/>
      <c r="Z159" s="92"/>
      <c r="AA159" s="37"/>
      <c r="AB159" s="184"/>
      <c r="AC159" s="162">
        <f>AD159*AE159</f>
        <v>0</v>
      </c>
      <c r="AD159" s="42"/>
      <c r="AE159" s="39"/>
      <c r="AF159" s="39"/>
      <c r="AG159" s="40" t="str">
        <f>AD159&amp;" hrs @ "&amp;AE159</f>
        <v xml:space="preserve"> hrs @ </v>
      </c>
      <c r="AH159" s="94"/>
      <c r="AI159" s="242"/>
      <c r="AJ159" s="162"/>
      <c r="AK159" s="94"/>
    </row>
    <row r="160" spans="1:37" ht="21" x14ac:dyDescent="0.35">
      <c r="A160" s="301" t="s">
        <v>52</v>
      </c>
      <c r="B160" s="218" t="str">
        <f t="shared" si="71"/>
        <v>CFSAnalyst Benefits</v>
      </c>
      <c r="C160" s="5" t="s">
        <v>48</v>
      </c>
      <c r="D160" s="10"/>
      <c r="E160" s="116"/>
      <c r="F160" s="116"/>
      <c r="G160" s="116"/>
      <c r="H160" s="38" t="s">
        <v>40</v>
      </c>
      <c r="I160" s="159">
        <f>I159*$O$2</f>
        <v>0</v>
      </c>
      <c r="J160" s="42"/>
      <c r="K160" s="39"/>
      <c r="L160" s="156"/>
      <c r="M160" s="45" t="str">
        <f>"@ "&amp;$O$2*100&amp;" %"</f>
        <v>@ 98.59 %</v>
      </c>
      <c r="N160" s="94"/>
      <c r="O160" s="423"/>
      <c r="P160" s="92"/>
      <c r="Q160" s="37"/>
      <c r="R160" s="184"/>
      <c r="S160" s="159">
        <f>S159*$O$2</f>
        <v>0</v>
      </c>
      <c r="T160" s="42"/>
      <c r="U160" s="39"/>
      <c r="V160" s="156"/>
      <c r="W160" s="45" t="str">
        <f>"@ "&amp;$O$2*100&amp;" %"</f>
        <v>@ 98.59 %</v>
      </c>
      <c r="X160" s="93"/>
      <c r="Y160" s="423"/>
      <c r="Z160" s="92"/>
      <c r="AA160" s="37"/>
      <c r="AB160" s="184"/>
      <c r="AC160" s="159">
        <f>AC159*$O$2</f>
        <v>0</v>
      </c>
      <c r="AD160" s="42"/>
      <c r="AE160" s="39"/>
      <c r="AF160" s="156"/>
      <c r="AG160" s="45" t="str">
        <f>"@ "&amp;$O$2*100&amp;" %"</f>
        <v>@ 98.59 %</v>
      </c>
      <c r="AH160" s="94"/>
      <c r="AI160" s="242"/>
      <c r="AJ160" s="159"/>
      <c r="AK160" s="94"/>
    </row>
    <row r="161" spans="1:37" ht="21" x14ac:dyDescent="0.35">
      <c r="A161" s="301" t="s">
        <v>52</v>
      </c>
      <c r="B161" s="218" t="str">
        <f t="shared" si="71"/>
        <v>CFSTotal IS</v>
      </c>
      <c r="C161" s="124" t="s">
        <v>50</v>
      </c>
      <c r="D161" s="10"/>
      <c r="E161" s="116"/>
      <c r="F161" s="116"/>
      <c r="G161" s="116"/>
      <c r="H161" s="49" t="s">
        <v>41</v>
      </c>
      <c r="I161" s="165">
        <f>I159+I160</f>
        <v>0</v>
      </c>
      <c r="J161" s="68"/>
      <c r="K161" s="68"/>
      <c r="L161" s="68"/>
      <c r="M161" s="66"/>
      <c r="N161" s="420">
        <f>I161</f>
        <v>0</v>
      </c>
      <c r="O161" s="425">
        <f>N161/N173</f>
        <v>0</v>
      </c>
      <c r="P161" s="92"/>
      <c r="Q161" s="37"/>
      <c r="R161" s="185" t="s">
        <v>41</v>
      </c>
      <c r="S161" s="165">
        <f>S159+S160</f>
        <v>0</v>
      </c>
      <c r="T161" s="68"/>
      <c r="U161" s="68"/>
      <c r="V161" s="68"/>
      <c r="W161" s="66"/>
      <c r="X161" s="52">
        <f>S161</f>
        <v>0</v>
      </c>
      <c r="Y161" s="425">
        <f>X161/X173</f>
        <v>0</v>
      </c>
      <c r="Z161" s="92"/>
      <c r="AA161" s="37"/>
      <c r="AB161" s="185" t="s">
        <v>41</v>
      </c>
      <c r="AC161" s="165">
        <f>AC159+AC160</f>
        <v>0</v>
      </c>
      <c r="AD161" s="68"/>
      <c r="AE161" s="68"/>
      <c r="AF161" s="68"/>
      <c r="AG161" s="66"/>
      <c r="AH161" s="420">
        <f>AC161</f>
        <v>0</v>
      </c>
      <c r="AI161" s="233">
        <f>AH161/AH173</f>
        <v>0</v>
      </c>
      <c r="AJ161" s="165">
        <f>I161+S161+AC161</f>
        <v>0</v>
      </c>
      <c r="AK161" s="420"/>
    </row>
    <row r="162" spans="1:37" ht="21" x14ac:dyDescent="0.35">
      <c r="A162" s="301" t="s">
        <v>52</v>
      </c>
      <c r="B162" s="218" t="str">
        <f t="shared" si="71"/>
        <v>CFS</v>
      </c>
      <c r="C162" s="5" t="s">
        <v>48</v>
      </c>
      <c r="D162" s="10"/>
      <c r="E162" s="116"/>
      <c r="F162" s="116"/>
      <c r="G162" s="116"/>
      <c r="H162" s="54"/>
      <c r="I162" s="166"/>
      <c r="J162" s="69"/>
      <c r="K162" s="69"/>
      <c r="L162" s="69"/>
      <c r="M162" s="70"/>
      <c r="N162" s="98"/>
      <c r="O162" s="431"/>
      <c r="P162" s="99"/>
      <c r="Q162" s="60"/>
      <c r="R162" s="179"/>
      <c r="S162" s="166"/>
      <c r="T162" s="69"/>
      <c r="U162" s="69"/>
      <c r="V162" s="69"/>
      <c r="W162" s="70"/>
      <c r="X162" s="97"/>
      <c r="Y162" s="431"/>
      <c r="Z162" s="99"/>
      <c r="AA162" s="60"/>
      <c r="AB162" s="179"/>
      <c r="AC162" s="166"/>
      <c r="AD162" s="69"/>
      <c r="AE162" s="69"/>
      <c r="AF162" s="69"/>
      <c r="AG162" s="70"/>
      <c r="AH162" s="98"/>
      <c r="AI162" s="243"/>
      <c r="AJ162" s="166"/>
      <c r="AK162" s="98"/>
    </row>
    <row r="163" spans="1:37" ht="21" x14ac:dyDescent="0.35">
      <c r="A163" s="301" t="s">
        <v>52</v>
      </c>
      <c r="B163" s="218" t="str">
        <f t="shared" si="71"/>
        <v>CFSOTHER</v>
      </c>
      <c r="C163" s="124" t="s">
        <v>50</v>
      </c>
      <c r="D163" s="10"/>
      <c r="E163" s="116"/>
      <c r="F163" s="116"/>
      <c r="G163" s="116"/>
      <c r="H163" s="61" t="s">
        <v>42</v>
      </c>
      <c r="I163" s="167"/>
      <c r="J163" s="74"/>
      <c r="K163" s="74"/>
      <c r="L163" s="74"/>
      <c r="M163" s="66"/>
      <c r="N163" s="91"/>
      <c r="O163" s="453"/>
      <c r="P163" s="92"/>
      <c r="Q163" s="37"/>
      <c r="R163" s="186" t="s">
        <v>42</v>
      </c>
      <c r="S163" s="167"/>
      <c r="T163" s="74"/>
      <c r="U163" s="74"/>
      <c r="V163" s="74"/>
      <c r="W163" s="66"/>
      <c r="X163" s="90"/>
      <c r="Y163" s="226"/>
      <c r="Z163" s="92"/>
      <c r="AA163" s="37"/>
      <c r="AB163" s="186" t="s">
        <v>42</v>
      </c>
      <c r="AC163" s="167"/>
      <c r="AD163" s="74"/>
      <c r="AE163" s="74"/>
      <c r="AF163" s="74"/>
      <c r="AG163" s="66"/>
      <c r="AH163" s="91"/>
      <c r="AI163" s="227"/>
      <c r="AJ163" s="167"/>
      <c r="AK163" s="91"/>
    </row>
    <row r="164" spans="1:37" ht="21" x14ac:dyDescent="0.35">
      <c r="A164" s="301" t="s">
        <v>52</v>
      </c>
      <c r="B164" s="218" t="str">
        <f t="shared" si="71"/>
        <v xml:space="preserve">CFSNon-Payroll </v>
      </c>
      <c r="C164" s="5" t="s">
        <v>48</v>
      </c>
      <c r="D164" s="10"/>
      <c r="E164" s="116"/>
      <c r="F164" s="116"/>
      <c r="G164" s="116"/>
      <c r="H164" s="38" t="s">
        <v>334</v>
      </c>
      <c r="I164" s="163">
        <f>ROUND(((I143+I149+I161)/VLOOKUP("CUST FIELD SERVICESPayroll",'Base 2015 actual for Cost Cente'!$A:$F,6,FALSE))*VLOOKUP("CUST FIELD SERVICESNon-Payroll",'Base 2015 actual for Cost Cente'!$A:$F,6,FALSE),0)</f>
        <v>86332</v>
      </c>
      <c r="J164" s="74"/>
      <c r="K164" s="74"/>
      <c r="L164" s="74"/>
      <c r="M164" s="773" t="s">
        <v>369</v>
      </c>
      <c r="N164" s="91"/>
      <c r="O164" s="454"/>
      <c r="P164" s="92"/>
      <c r="Q164" s="37"/>
      <c r="R164" s="184" t="s">
        <v>334</v>
      </c>
      <c r="S164" s="163">
        <f>ROUND(((S143+S149+S161)/VLOOKUP("CUST FIELD SERVICESPayroll",'Base 2015 actual for Cost Cente'!$A:$F,6,FALSE))*VLOOKUP("CUST FIELD SERVICESNon-Payroll",'Base 2015 actual for Cost Cente'!$A:$F,6,FALSE),0)</f>
        <v>8370</v>
      </c>
      <c r="T164" s="74"/>
      <c r="U164" s="74"/>
      <c r="V164" s="74"/>
      <c r="W164" s="773" t="s">
        <v>369</v>
      </c>
      <c r="X164" s="90"/>
      <c r="Y164" s="227"/>
      <c r="Z164" s="92"/>
      <c r="AA164" s="37"/>
      <c r="AB164" s="184" t="s">
        <v>334</v>
      </c>
      <c r="AC164" s="163">
        <f>ROUND(((AC143+AC149+AC161)/VLOOKUP("CUST FIELD SERVICESPayroll",'Base 2015 actual for Cost Cente'!$A:$F,6,FALSE))*VLOOKUP("CUST FIELD SERVICESNon-Payroll",'Base 2015 actual for Cost Cente'!$A:$F,6,FALSE),0)</f>
        <v>275</v>
      </c>
      <c r="AD164" s="74"/>
      <c r="AE164" s="74"/>
      <c r="AF164" s="74"/>
      <c r="AG164" s="773" t="s">
        <v>369</v>
      </c>
      <c r="AH164" s="91"/>
      <c r="AI164" s="227"/>
      <c r="AJ164" s="163">
        <f>I164+S164+AC164</f>
        <v>94977</v>
      </c>
      <c r="AK164" s="91"/>
    </row>
    <row r="165" spans="1:37" ht="21" x14ac:dyDescent="0.35">
      <c r="A165" s="301" t="s">
        <v>52</v>
      </c>
      <c r="B165" s="218" t="str">
        <f t="shared" si="71"/>
        <v>CFS</v>
      </c>
      <c r="C165" s="5" t="s">
        <v>48</v>
      </c>
      <c r="D165" s="10"/>
      <c r="E165" s="116"/>
      <c r="F165" s="116"/>
      <c r="G165" s="116"/>
      <c r="H165" s="38"/>
      <c r="I165" s="168"/>
      <c r="J165" s="42"/>
      <c r="K165" s="39"/>
      <c r="L165" s="42"/>
      <c r="M165" s="774"/>
      <c r="N165" s="91"/>
      <c r="O165" s="454"/>
      <c r="P165" s="92"/>
      <c r="Q165" s="37"/>
      <c r="R165" s="184"/>
      <c r="S165" s="168"/>
      <c r="T165" s="42"/>
      <c r="U165" s="39"/>
      <c r="V165" s="42"/>
      <c r="W165" s="774"/>
      <c r="X165" s="90"/>
      <c r="Y165" s="227"/>
      <c r="Z165" s="92"/>
      <c r="AA165" s="37"/>
      <c r="AB165" s="184"/>
      <c r="AC165" s="168"/>
      <c r="AD165" s="42"/>
      <c r="AE165" s="39"/>
      <c r="AF165" s="42"/>
      <c r="AG165" s="774"/>
      <c r="AH165" s="91"/>
      <c r="AI165" s="227"/>
      <c r="AJ165" s="168"/>
      <c r="AK165" s="91"/>
    </row>
    <row r="166" spans="1:37" ht="21" x14ac:dyDescent="0.35">
      <c r="A166" s="301" t="s">
        <v>52</v>
      </c>
      <c r="B166" s="218" t="str">
        <f t="shared" si="71"/>
        <v>CFS</v>
      </c>
      <c r="C166" s="5" t="s">
        <v>48</v>
      </c>
      <c r="D166" s="10"/>
      <c r="E166" s="116"/>
      <c r="F166" s="116"/>
      <c r="G166" s="116"/>
      <c r="H166" s="38"/>
      <c r="I166" s="168"/>
      <c r="J166" s="42"/>
      <c r="K166" s="39"/>
      <c r="L166" s="42"/>
      <c r="M166" s="66" t="s">
        <v>542</v>
      </c>
      <c r="N166" s="91"/>
      <c r="O166" s="454"/>
      <c r="P166" s="92"/>
      <c r="Q166" s="37"/>
      <c r="R166" s="184"/>
      <c r="S166" s="168"/>
      <c r="T166" s="42"/>
      <c r="U166" s="39"/>
      <c r="V166" s="42"/>
      <c r="W166" s="66" t="s">
        <v>542</v>
      </c>
      <c r="X166" s="90"/>
      <c r="Y166" s="227"/>
      <c r="Z166" s="92"/>
      <c r="AA166" s="37"/>
      <c r="AB166" s="184"/>
      <c r="AC166" s="168"/>
      <c r="AD166" s="42"/>
      <c r="AE166" s="39"/>
      <c r="AF166" s="42"/>
      <c r="AG166" s="66" t="s">
        <v>542</v>
      </c>
      <c r="AH166" s="91"/>
      <c r="AI166" s="227"/>
      <c r="AJ166" s="168"/>
      <c r="AK166" s="91"/>
    </row>
    <row r="167" spans="1:37" ht="21" x14ac:dyDescent="0.35">
      <c r="A167" s="301" t="s">
        <v>52</v>
      </c>
      <c r="B167" s="218" t="str">
        <f t="shared" si="71"/>
        <v>CFS</v>
      </c>
      <c r="C167" s="5" t="s">
        <v>48</v>
      </c>
      <c r="D167" s="10"/>
      <c r="E167" s="116"/>
      <c r="F167" s="116"/>
      <c r="G167" s="116"/>
      <c r="H167" s="38"/>
      <c r="I167" s="168"/>
      <c r="J167" s="42"/>
      <c r="K167" s="39"/>
      <c r="L167" s="42"/>
      <c r="M167" s="66"/>
      <c r="N167" s="91"/>
      <c r="O167" s="454"/>
      <c r="P167" s="92"/>
      <c r="Q167" s="37"/>
      <c r="R167" s="184"/>
      <c r="S167" s="168"/>
      <c r="T167" s="42"/>
      <c r="U167" s="39"/>
      <c r="V167" s="42"/>
      <c r="W167" s="66"/>
      <c r="X167" s="90"/>
      <c r="Y167" s="227"/>
      <c r="Z167" s="92"/>
      <c r="AA167" s="37"/>
      <c r="AB167" s="184"/>
      <c r="AC167" s="168"/>
      <c r="AD167" s="42"/>
      <c r="AE167" s="39"/>
      <c r="AF167" s="42"/>
      <c r="AG167" s="66"/>
      <c r="AH167" s="91"/>
      <c r="AI167" s="227"/>
      <c r="AJ167" s="168"/>
      <c r="AK167" s="91"/>
    </row>
    <row r="168" spans="1:37" ht="21" x14ac:dyDescent="0.35">
      <c r="A168" s="301" t="s">
        <v>52</v>
      </c>
      <c r="B168" s="218" t="str">
        <f t="shared" si="71"/>
        <v>CFS</v>
      </c>
      <c r="C168" s="5" t="s">
        <v>48</v>
      </c>
      <c r="D168" s="10"/>
      <c r="E168" s="116"/>
      <c r="F168" s="116"/>
      <c r="G168" s="116"/>
      <c r="H168" s="38"/>
      <c r="I168" s="168"/>
      <c r="J168" s="42"/>
      <c r="K168" s="39"/>
      <c r="L168" s="42"/>
      <c r="M168" s="66"/>
      <c r="N168" s="91"/>
      <c r="O168" s="454"/>
      <c r="P168" s="92"/>
      <c r="Q168" s="37"/>
      <c r="R168" s="184"/>
      <c r="S168" s="168"/>
      <c r="T168" s="42"/>
      <c r="U168" s="39"/>
      <c r="V168" s="42"/>
      <c r="W168" s="66"/>
      <c r="X168" s="90"/>
      <c r="Y168" s="227"/>
      <c r="Z168" s="92"/>
      <c r="AA168" s="37"/>
      <c r="AB168" s="184"/>
      <c r="AC168" s="168"/>
      <c r="AD168" s="42"/>
      <c r="AE168" s="39"/>
      <c r="AF168" s="42"/>
      <c r="AG168" s="66"/>
      <c r="AH168" s="91"/>
      <c r="AI168" s="227"/>
      <c r="AJ168" s="168"/>
      <c r="AK168" s="91"/>
    </row>
    <row r="169" spans="1:37" ht="21" x14ac:dyDescent="0.35">
      <c r="A169" s="301" t="s">
        <v>52</v>
      </c>
      <c r="B169" s="218" t="str">
        <f t="shared" si="71"/>
        <v>CFS</v>
      </c>
      <c r="C169" s="5" t="s">
        <v>48</v>
      </c>
      <c r="D169" s="10"/>
      <c r="E169" s="116"/>
      <c r="F169" s="116"/>
      <c r="G169" s="116"/>
      <c r="H169" s="38"/>
      <c r="I169" s="164"/>
      <c r="J169" s="67"/>
      <c r="K169" s="67"/>
      <c r="L169" s="67"/>
      <c r="M169" s="40" t="str">
        <f>J169&amp;" days @ "&amp;K169</f>
        <v xml:space="preserve"> days @ </v>
      </c>
      <c r="N169" s="94"/>
      <c r="O169" s="455"/>
      <c r="P169" s="92"/>
      <c r="Q169" s="37"/>
      <c r="R169" s="184"/>
      <c r="S169" s="164"/>
      <c r="T169" s="67"/>
      <c r="U169" s="67"/>
      <c r="V169" s="67"/>
      <c r="W169" s="40" t="str">
        <f>T169&amp;" days @ "&amp;U169</f>
        <v xml:space="preserve"> days @ </v>
      </c>
      <c r="X169" s="93"/>
      <c r="Y169" s="242"/>
      <c r="Z169" s="92"/>
      <c r="AA169" s="37"/>
      <c r="AB169" s="184"/>
      <c r="AC169" s="164"/>
      <c r="AD169" s="67"/>
      <c r="AE169" s="67"/>
      <c r="AF169" s="67"/>
      <c r="AG169" s="40" t="str">
        <f>AD169&amp;" days @ "&amp;AE169</f>
        <v xml:space="preserve"> days @ </v>
      </c>
      <c r="AH169" s="94"/>
      <c r="AI169" s="242"/>
      <c r="AJ169" s="164"/>
      <c r="AK169" s="94"/>
    </row>
    <row r="170" spans="1:37" ht="21" x14ac:dyDescent="0.35">
      <c r="A170" s="301" t="s">
        <v>52</v>
      </c>
      <c r="B170" s="218" t="str">
        <f t="shared" si="71"/>
        <v>CFSTotal Other</v>
      </c>
      <c r="C170" s="124" t="s">
        <v>50</v>
      </c>
      <c r="D170" s="10"/>
      <c r="E170" s="116">
        <f>I170</f>
        <v>86332</v>
      </c>
      <c r="F170" s="116">
        <f>S170</f>
        <v>8370</v>
      </c>
      <c r="G170" s="116">
        <f>AC170</f>
        <v>275</v>
      </c>
      <c r="H170" s="49" t="s">
        <v>45</v>
      </c>
      <c r="I170" s="165">
        <f>SUM(I164:I169)</f>
        <v>86332</v>
      </c>
      <c r="J170" s="68"/>
      <c r="K170" s="68"/>
      <c r="L170" s="68"/>
      <c r="M170" s="66"/>
      <c r="N170" s="414">
        <f>I170</f>
        <v>86332</v>
      </c>
      <c r="O170" s="425">
        <f>N170/N173</f>
        <v>0.11207398283574958</v>
      </c>
      <c r="P170" s="92"/>
      <c r="Q170" s="68"/>
      <c r="R170" s="185" t="s">
        <v>45</v>
      </c>
      <c r="S170" s="165">
        <f>SUM(S164:S169)</f>
        <v>8370</v>
      </c>
      <c r="T170" s="68"/>
      <c r="U170" s="68"/>
      <c r="V170" s="68"/>
      <c r="W170" s="66"/>
      <c r="X170" s="165">
        <f>S170</f>
        <v>8370</v>
      </c>
      <c r="Y170" s="425">
        <f>X170/X173</f>
        <v>0.11206957446332946</v>
      </c>
      <c r="Z170" s="92"/>
      <c r="AA170" s="68"/>
      <c r="AB170" s="185" t="s">
        <v>45</v>
      </c>
      <c r="AC170" s="165">
        <f>SUM(AC164:AC169)</f>
        <v>275</v>
      </c>
      <c r="AD170" s="68"/>
      <c r="AE170" s="68"/>
      <c r="AF170" s="68"/>
      <c r="AG170" s="66"/>
      <c r="AH170" s="414">
        <f>AC170</f>
        <v>275</v>
      </c>
      <c r="AI170" s="233">
        <f>AH170/AH173</f>
        <v>0.11196022328242719</v>
      </c>
      <c r="AJ170" s="165">
        <f>I170+S170+AC170</f>
        <v>94977</v>
      </c>
      <c r="AK170" s="414"/>
    </row>
    <row r="171" spans="1:37" ht="21.75" thickBot="1" x14ac:dyDescent="0.4">
      <c r="A171" s="301" t="s">
        <v>52</v>
      </c>
      <c r="B171" s="218" t="str">
        <f t="shared" si="71"/>
        <v>CFS</v>
      </c>
      <c r="C171" s="5" t="s">
        <v>48</v>
      </c>
      <c r="D171" s="10"/>
      <c r="E171" s="116"/>
      <c r="F171" s="116"/>
      <c r="G171" s="116"/>
      <c r="H171" s="100"/>
      <c r="I171" s="178"/>
      <c r="J171" s="101"/>
      <c r="K171" s="101"/>
      <c r="L171" s="101"/>
      <c r="M171" s="102"/>
      <c r="N171" s="415"/>
      <c r="O171" s="178"/>
      <c r="P171" s="101"/>
      <c r="Q171" s="101"/>
      <c r="R171" s="178"/>
      <c r="S171" s="178"/>
      <c r="T171" s="101"/>
      <c r="U171" s="101"/>
      <c r="V171" s="101"/>
      <c r="W171" s="102"/>
      <c r="X171" s="178"/>
      <c r="Y171" s="178"/>
      <c r="Z171" s="101"/>
      <c r="AA171" s="101"/>
      <c r="AB171" s="178"/>
      <c r="AC171" s="178"/>
      <c r="AD171" s="101"/>
      <c r="AE171" s="101"/>
      <c r="AF171" s="101"/>
      <c r="AG171" s="102"/>
      <c r="AH171" s="415"/>
      <c r="AI171" s="178"/>
      <c r="AJ171" s="178"/>
      <c r="AK171" s="415"/>
    </row>
    <row r="172" spans="1:37" ht="21.75" thickTop="1" x14ac:dyDescent="0.35">
      <c r="A172" s="301" t="s">
        <v>52</v>
      </c>
      <c r="B172" s="218" t="str">
        <f t="shared" si="71"/>
        <v>CFSTOTALS</v>
      </c>
      <c r="C172" s="5" t="s">
        <v>48</v>
      </c>
      <c r="D172" s="10"/>
      <c r="E172" s="116"/>
      <c r="F172" s="116"/>
      <c r="G172" s="116"/>
      <c r="H172" s="61" t="s">
        <v>28</v>
      </c>
      <c r="I172" s="103"/>
      <c r="J172" s="103"/>
      <c r="K172" s="103"/>
      <c r="L172" s="103"/>
      <c r="M172" s="104"/>
      <c r="N172" s="91"/>
      <c r="O172" s="136"/>
      <c r="P172" s="92"/>
      <c r="Q172" s="37"/>
      <c r="R172" s="186" t="s">
        <v>28</v>
      </c>
      <c r="S172" s="103"/>
      <c r="T172" s="103"/>
      <c r="U172" s="103"/>
      <c r="V172" s="103"/>
      <c r="W172" s="104"/>
      <c r="X172" s="90"/>
      <c r="Y172" s="136"/>
      <c r="Z172" s="92"/>
      <c r="AA172" s="37"/>
      <c r="AB172" s="186" t="s">
        <v>28</v>
      </c>
      <c r="AC172" s="103"/>
      <c r="AD172" s="103"/>
      <c r="AE172" s="103"/>
      <c r="AF172" s="103"/>
      <c r="AG172" s="104"/>
      <c r="AH172" s="91"/>
      <c r="AI172" s="136"/>
      <c r="AJ172" s="417"/>
      <c r="AK172" s="91"/>
    </row>
    <row r="173" spans="1:37" ht="21" x14ac:dyDescent="0.35">
      <c r="A173" s="301" t="s">
        <v>52</v>
      </c>
      <c r="B173" s="218" t="str">
        <f t="shared" si="71"/>
        <v>CFSPER YEAR</v>
      </c>
      <c r="C173" s="124" t="s">
        <v>50</v>
      </c>
      <c r="D173" s="10"/>
      <c r="E173" s="116"/>
      <c r="F173" s="116"/>
      <c r="G173" s="116"/>
      <c r="H173" s="105" t="s">
        <v>46</v>
      </c>
      <c r="I173" s="106">
        <f>I143+I149+I156+I161+I170</f>
        <v>770312.59009081672</v>
      </c>
      <c r="J173" s="106"/>
      <c r="K173" s="106"/>
      <c r="L173" s="106"/>
      <c r="M173" s="107"/>
      <c r="N173" s="420">
        <f>SUM(N143:N171)</f>
        <v>770312.59009081672</v>
      </c>
      <c r="O173" s="425">
        <f>SUM(O143:O171)</f>
        <v>0.99999999999999989</v>
      </c>
      <c r="P173" s="92"/>
      <c r="Q173" s="37"/>
      <c r="R173" s="190" t="s">
        <v>46</v>
      </c>
      <c r="S173" s="106">
        <f>S143+S149+S156+S161+S170</f>
        <v>74685.748028237285</v>
      </c>
      <c r="T173" s="106"/>
      <c r="U173" s="106"/>
      <c r="V173" s="106"/>
      <c r="W173" s="107"/>
      <c r="X173" s="52">
        <f>SUM(X143:X171)</f>
        <v>74685.748028237285</v>
      </c>
      <c r="Y173" s="425">
        <f>SUM(Y143:Y171)</f>
        <v>1.0000000000000002</v>
      </c>
      <c r="Z173" s="92"/>
      <c r="AA173" s="37"/>
      <c r="AB173" s="190" t="s">
        <v>46</v>
      </c>
      <c r="AC173" s="106">
        <f>AC143+AC149+AC156+AC161+AC170</f>
        <v>2456.2294709460698</v>
      </c>
      <c r="AD173" s="106"/>
      <c r="AE173" s="106"/>
      <c r="AF173" s="106"/>
      <c r="AG173" s="107"/>
      <c r="AH173" s="420">
        <f>SUM(AH143:AH171)</f>
        <v>2456.2294709460698</v>
      </c>
      <c r="AI173" s="233">
        <f>SUM(AI143:AI171)</f>
        <v>0.99999999999999989</v>
      </c>
      <c r="AJ173" s="419">
        <f>I173+S173+AC173</f>
        <v>847454.56759000011</v>
      </c>
      <c r="AK173" s="420"/>
    </row>
    <row r="174" spans="1:37" ht="21" x14ac:dyDescent="0.35">
      <c r="A174" s="301" t="s">
        <v>52</v>
      </c>
      <c r="B174" s="218" t="str">
        <f t="shared" si="71"/>
        <v>CFSPER PAYMENT</v>
      </c>
      <c r="C174" s="124" t="s">
        <v>50</v>
      </c>
      <c r="D174" s="10"/>
      <c r="E174" s="116"/>
      <c r="F174" s="116"/>
      <c r="G174" s="116"/>
      <c r="H174" s="49" t="s">
        <v>47</v>
      </c>
      <c r="I174" s="108">
        <f>I173/I$6</f>
        <v>9.8621345301040067E-2</v>
      </c>
      <c r="J174" s="108"/>
      <c r="K174" s="108"/>
      <c r="L174" s="108"/>
      <c r="M174" s="109"/>
      <c r="N174" s="98"/>
      <c r="O174" s="431"/>
      <c r="P174" s="99"/>
      <c r="Q174" s="60"/>
      <c r="R174" s="185" t="s">
        <v>47</v>
      </c>
      <c r="S174" s="108">
        <f>S173/S$6</f>
        <v>9.8037752430720271E-2</v>
      </c>
      <c r="T174" s="108"/>
      <c r="U174" s="108"/>
      <c r="V174" s="108"/>
      <c r="W174" s="109"/>
      <c r="X174" s="97"/>
      <c r="Y174" s="431"/>
      <c r="Z174" s="99"/>
      <c r="AA174" s="60"/>
      <c r="AB174" s="185" t="s">
        <v>47</v>
      </c>
      <c r="AC174" s="108">
        <f>AC173/AC$6</f>
        <v>9.8025680286788916E-2</v>
      </c>
      <c r="AD174" s="108"/>
      <c r="AE174" s="108"/>
      <c r="AF174" s="108"/>
      <c r="AG174" s="109"/>
      <c r="AH174" s="98"/>
      <c r="AI174" s="243"/>
      <c r="AJ174" s="652">
        <f>I174+S174+AC174</f>
        <v>0.29468477801854925</v>
      </c>
      <c r="AK174" s="98"/>
    </row>
    <row r="175" spans="1:37" x14ac:dyDescent="0.25">
      <c r="A175" s="301" t="s">
        <v>52</v>
      </c>
      <c r="B175" s="218"/>
      <c r="C175" s="220"/>
      <c r="D175" s="10"/>
      <c r="E175" s="10"/>
      <c r="F175" s="10"/>
      <c r="G175" s="10"/>
      <c r="H175" s="137" t="s">
        <v>553</v>
      </c>
      <c r="I175" s="652">
        <f>I143+I149</f>
        <v>683980.59009081672</v>
      </c>
      <c r="J175" s="108"/>
      <c r="K175" s="108"/>
      <c r="L175" s="108"/>
      <c r="M175" s="109"/>
      <c r="N175" s="649"/>
      <c r="O175" s="650"/>
      <c r="P175" s="92"/>
      <c r="Q175" s="37"/>
      <c r="R175" s="137" t="s">
        <v>553</v>
      </c>
      <c r="S175" s="652">
        <f>S143+S149</f>
        <v>66315.748028237285</v>
      </c>
      <c r="T175" s="108"/>
      <c r="U175" s="108"/>
      <c r="V175" s="108"/>
      <c r="W175" s="109"/>
      <c r="X175" s="651"/>
      <c r="Y175" s="650"/>
      <c r="Z175" s="92"/>
      <c r="AA175" s="37"/>
      <c r="AB175" s="137" t="s">
        <v>553</v>
      </c>
      <c r="AC175" s="652">
        <f>AC143+AC149</f>
        <v>2181.2294709460698</v>
      </c>
      <c r="AD175" s="108"/>
      <c r="AE175" s="108"/>
      <c r="AF175" s="108"/>
      <c r="AG175" s="109"/>
      <c r="AH175" s="649"/>
      <c r="AI175" s="137"/>
      <c r="AJ175" s="652">
        <f>I175+S175+AC175</f>
        <v>752477.56759000011</v>
      </c>
      <c r="AK175" s="649"/>
    </row>
    <row r="176" spans="1:37" x14ac:dyDescent="0.25">
      <c r="A176" s="301" t="s">
        <v>52</v>
      </c>
      <c r="B176" s="218"/>
      <c r="C176" s="220"/>
      <c r="D176" s="10"/>
      <c r="E176" s="10"/>
      <c r="F176" s="10"/>
      <c r="G176" s="10"/>
      <c r="H176" s="137" t="s">
        <v>554</v>
      </c>
      <c r="I176" s="652">
        <f>I170+I161+I156</f>
        <v>86332</v>
      </c>
      <c r="J176" s="108"/>
      <c r="K176" s="652"/>
      <c r="L176" s="108"/>
      <c r="M176" s="109"/>
      <c r="N176" s="649"/>
      <c r="O176" s="650"/>
      <c r="P176" s="92"/>
      <c r="Q176" s="37"/>
      <c r="R176" s="137" t="s">
        <v>554</v>
      </c>
      <c r="S176" s="652">
        <f>S170+S161+S156</f>
        <v>8370</v>
      </c>
      <c r="T176" s="108"/>
      <c r="U176" s="652"/>
      <c r="V176" s="108"/>
      <c r="W176" s="109"/>
      <c r="X176" s="651"/>
      <c r="Y176" s="650"/>
      <c r="Z176" s="92"/>
      <c r="AA176" s="37"/>
      <c r="AB176" s="137" t="s">
        <v>554</v>
      </c>
      <c r="AC176" s="652">
        <f>AC170+AC161+AC156</f>
        <v>275</v>
      </c>
      <c r="AD176" s="108"/>
      <c r="AE176" s="652"/>
      <c r="AF176" s="108"/>
      <c r="AG176" s="109"/>
      <c r="AH176" s="649"/>
      <c r="AI176" s="137"/>
      <c r="AJ176" s="652">
        <f>I176+S176+AC176</f>
        <v>94977</v>
      </c>
      <c r="AK176" s="649"/>
    </row>
    <row r="177" spans="1:37" x14ac:dyDescent="0.25">
      <c r="A177" s="301" t="s">
        <v>52</v>
      </c>
      <c r="B177" s="218"/>
      <c r="C177" s="220"/>
      <c r="D177" s="10"/>
      <c r="E177" s="10"/>
      <c r="F177" s="10"/>
      <c r="G177" s="10"/>
      <c r="H177" s="137" t="s">
        <v>552</v>
      </c>
      <c r="I177" s="652">
        <f>I173</f>
        <v>770312.59009081672</v>
      </c>
      <c r="J177" s="108"/>
      <c r="K177" s="108"/>
      <c r="L177" s="108"/>
      <c r="M177" s="109"/>
      <c r="N177" s="649"/>
      <c r="O177" s="650"/>
      <c r="P177" s="92"/>
      <c r="Q177" s="37"/>
      <c r="R177" s="137" t="s">
        <v>552</v>
      </c>
      <c r="S177" s="652">
        <f>S173</f>
        <v>74685.748028237285</v>
      </c>
      <c r="T177" s="108"/>
      <c r="U177" s="108"/>
      <c r="V177" s="108"/>
      <c r="W177" s="109"/>
      <c r="X177" s="651"/>
      <c r="Y177" s="650"/>
      <c r="Z177" s="92"/>
      <c r="AA177" s="37"/>
      <c r="AB177" s="137" t="s">
        <v>552</v>
      </c>
      <c r="AC177" s="652">
        <f>AC173</f>
        <v>2456.2294709460698</v>
      </c>
      <c r="AD177" s="108"/>
      <c r="AE177" s="108"/>
      <c r="AF177" s="108"/>
      <c r="AG177" s="109"/>
      <c r="AH177" s="649"/>
      <c r="AI177" s="137"/>
      <c r="AJ177" s="652">
        <f>I177+S177+AC177</f>
        <v>847454.56759000011</v>
      </c>
      <c r="AK177" s="649"/>
    </row>
    <row r="178" spans="1:37" x14ac:dyDescent="0.25">
      <c r="A178" s="261" t="s">
        <v>50</v>
      </c>
      <c r="AI178" s="392"/>
    </row>
    <row r="179" spans="1:37" x14ac:dyDescent="0.25">
      <c r="H179" s="261" t="s">
        <v>67</v>
      </c>
      <c r="I179" s="660">
        <f>I175+I133+I92+I47</f>
        <v>748655.03792881675</v>
      </c>
      <c r="R179" s="261" t="s">
        <v>67</v>
      </c>
      <c r="S179" s="660">
        <f>S175+S133+S92+S47</f>
        <v>76088.048636036663</v>
      </c>
      <c r="AB179" s="261" t="s">
        <v>67</v>
      </c>
      <c r="AC179" s="660">
        <f>AC175+AC133+AC92+AC47</f>
        <v>45452.120933724138</v>
      </c>
      <c r="AJ179" s="660">
        <f>I179+S179+AC179</f>
        <v>870195.20749857754</v>
      </c>
    </row>
    <row r="180" spans="1:37" x14ac:dyDescent="0.25">
      <c r="H180" s="261" t="s">
        <v>551</v>
      </c>
      <c r="I180" s="660">
        <f t="shared" ref="I180:I181" si="78">I176+I134+I93+I48</f>
        <v>88008</v>
      </c>
      <c r="R180" s="261" t="s">
        <v>551</v>
      </c>
      <c r="S180" s="660">
        <f t="shared" ref="S180:S181" si="79">S176+S134+S93+S48</f>
        <v>8686</v>
      </c>
      <c r="AB180" s="261" t="s">
        <v>551</v>
      </c>
      <c r="AC180" s="660">
        <f t="shared" ref="AC180:AC181" si="80">AC176+AC134+AC93+AC48</f>
        <v>1893</v>
      </c>
      <c r="AJ180" s="660">
        <f>I180+S180+AC180</f>
        <v>98587</v>
      </c>
    </row>
    <row r="181" spans="1:37" x14ac:dyDescent="0.25">
      <c r="H181" s="261" t="s">
        <v>552</v>
      </c>
      <c r="I181" s="660">
        <f t="shared" si="78"/>
        <v>836663.03792881675</v>
      </c>
      <c r="R181" s="261" t="s">
        <v>552</v>
      </c>
      <c r="S181" s="660">
        <f t="shared" si="79"/>
        <v>84774.048636036663</v>
      </c>
      <c r="AB181" s="261" t="s">
        <v>552</v>
      </c>
      <c r="AC181" s="660">
        <f t="shared" si="80"/>
        <v>47345.120933724138</v>
      </c>
      <c r="AJ181" s="660">
        <f>I181+S181+AC181</f>
        <v>968782.20749857754</v>
      </c>
    </row>
    <row r="182" spans="1:37" x14ac:dyDescent="0.25">
      <c r="A182" s="261" t="s">
        <v>50</v>
      </c>
    </row>
    <row r="183" spans="1:37" x14ac:dyDescent="0.25">
      <c r="H183" s="261" t="s">
        <v>556</v>
      </c>
      <c r="I183" s="660">
        <f>SUM(I181,S181,AC181)</f>
        <v>968782.20749857754</v>
      </c>
    </row>
  </sheetData>
  <autoFilter ref="A6:AU183" xr:uid="{00000000-0009-0000-0000-000001000000}"/>
  <mergeCells count="13">
    <mergeCell ref="M164:M165"/>
    <mergeCell ref="W164:W165"/>
    <mergeCell ref="AG164:AG165"/>
    <mergeCell ref="M81:M82"/>
    <mergeCell ref="W81:W82"/>
    <mergeCell ref="AG81:AG82"/>
    <mergeCell ref="AB4:AL4"/>
    <mergeCell ref="I5:M5"/>
    <mergeCell ref="H4:Q4"/>
    <mergeCell ref="R4:AA4"/>
    <mergeCell ref="M122:M123"/>
    <mergeCell ref="W122:W123"/>
    <mergeCell ref="AG122:AG123"/>
  </mergeCells>
  <printOptions horizontalCentered="1"/>
  <pageMargins left="0.28999999999999998" right="0.35" top="0.53" bottom="0.4" header="0.17" footer="0.17"/>
  <pageSetup paperSize="17" scale="16" orientation="landscape" r:id="rId1"/>
  <headerFooter>
    <oddHeader>&amp;C&amp;"-,Bold"&amp;22METER TO CASH MATRIX&amp;RExh. RJW-2 Wyman WP5</oddHeader>
    <oddFooter>&amp;L&amp;Z&amp;F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V295"/>
  <sheetViews>
    <sheetView zoomScale="80" zoomScaleNormal="80" workbookViewId="0">
      <pane xSplit="7" ySplit="6" topLeftCell="H7" activePane="bottomRight" state="frozen"/>
      <selection pane="topRight" activeCell="H1" sqref="H1"/>
      <selection pane="bottomLeft" activeCell="A7" sqref="A7"/>
      <selection pane="bottomRight" activeCell="AB5" sqref="AB5"/>
    </sheetView>
  </sheetViews>
  <sheetFormatPr defaultRowHeight="15" x14ac:dyDescent="0.25"/>
  <cols>
    <col min="1" max="1" width="14.85546875" style="2" customWidth="1"/>
    <col min="2" max="2" width="11.140625" style="214" hidden="1" customWidth="1"/>
    <col min="3" max="3" width="10.5703125" style="215" hidden="1" customWidth="1"/>
    <col min="4" max="4" width="26.28515625" style="1" customWidth="1"/>
    <col min="5" max="5" width="12.5703125" style="1" hidden="1" customWidth="1"/>
    <col min="6" max="6" width="12.7109375" style="1" hidden="1" customWidth="1"/>
    <col min="7" max="7" width="13.7109375" style="1" hidden="1" customWidth="1"/>
    <col min="8" max="8" width="25.7109375" customWidth="1"/>
    <col min="9" max="9" width="11.42578125" customWidth="1"/>
    <col min="10" max="10" width="7.28515625" customWidth="1"/>
    <col min="11" max="11" width="9.42578125" customWidth="1"/>
    <col min="12" max="12" width="6.7109375" customWidth="1"/>
    <col min="13" max="13" width="14.5703125" customWidth="1"/>
    <col min="14" max="14" width="11.28515625" customWidth="1"/>
    <col min="15" max="15" width="7.5703125" customWidth="1"/>
    <col min="16" max="16" width="0" hidden="1" customWidth="1"/>
    <col min="17" max="17" width="25" hidden="1" customWidth="1"/>
    <col min="18" max="18" width="25.7109375" customWidth="1"/>
    <col min="19" max="19" width="11.42578125" customWidth="1"/>
    <col min="20" max="20" width="7.28515625" customWidth="1"/>
    <col min="21" max="21" width="9.42578125" customWidth="1"/>
    <col min="22" max="22" width="6.7109375" customWidth="1"/>
    <col min="23" max="23" width="12.5703125" customWidth="1"/>
    <col min="24" max="24" width="11.28515625" customWidth="1"/>
    <col min="25" max="25" width="7.5703125" customWidth="1"/>
    <col min="26" max="26" width="0" hidden="1" customWidth="1"/>
    <col min="27" max="27" width="25" hidden="1" customWidth="1"/>
    <col min="28" max="28" width="25.85546875" customWidth="1"/>
    <col min="29" max="29" width="11.42578125" customWidth="1"/>
    <col min="30" max="30" width="7.28515625" customWidth="1"/>
    <col min="31" max="31" width="9.42578125" customWidth="1"/>
    <col min="32" max="32" width="6.7109375" customWidth="1"/>
    <col min="33" max="33" width="12.5703125" customWidth="1"/>
    <col min="34" max="34" width="11.28515625" customWidth="1"/>
    <col min="35" max="35" width="7.5703125" customWidth="1"/>
    <col min="36" max="36" width="21.42578125" customWidth="1"/>
    <col min="37" max="37" width="10" customWidth="1"/>
    <col min="38" max="38" width="8.85546875" customWidth="1"/>
    <col min="42" max="42" width="13.7109375" bestFit="1" customWidth="1"/>
  </cols>
  <sheetData>
    <row r="1" spans="1:47" ht="39" x14ac:dyDescent="0.25">
      <c r="E1" s="15" t="s">
        <v>18</v>
      </c>
      <c r="F1" s="16" t="s">
        <v>19</v>
      </c>
      <c r="G1" s="21" t="s">
        <v>20</v>
      </c>
      <c r="R1" s="2"/>
      <c r="S1" s="303">
        <v>0.33</v>
      </c>
      <c r="T1" s="2" t="s">
        <v>388</v>
      </c>
    </row>
    <row r="2" spans="1:47" s="2" customFormat="1" ht="41.45" customHeight="1" x14ac:dyDescent="0.35">
      <c r="B2" s="216"/>
      <c r="C2" s="217"/>
      <c r="D2" s="14"/>
      <c r="E2" s="110" t="s">
        <v>22</v>
      </c>
      <c r="F2" s="111" t="s">
        <v>23</v>
      </c>
      <c r="G2" s="111" t="s">
        <v>24</v>
      </c>
      <c r="N2" s="2" t="s">
        <v>129</v>
      </c>
      <c r="O2" s="303">
        <f>'2018 Projection Inputs'!B34</f>
        <v>0.9859</v>
      </c>
    </row>
    <row r="3" spans="1:47" s="2" customFormat="1" ht="24.75" customHeight="1" x14ac:dyDescent="0.35">
      <c r="B3" s="216"/>
      <c r="C3" s="217"/>
      <c r="D3" s="484" t="s">
        <v>226</v>
      </c>
      <c r="E3" s="110" t="s">
        <v>22</v>
      </c>
      <c r="F3" s="111" t="s">
        <v>23</v>
      </c>
      <c r="G3" s="111" t="s">
        <v>24</v>
      </c>
      <c r="H3" s="225" t="str">
        <f>+D3</f>
        <v xml:space="preserve">BILLING </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929</v>
      </c>
      <c r="AC4" s="762"/>
      <c r="AD4" s="762"/>
      <c r="AE4" s="762"/>
      <c r="AF4" s="762"/>
      <c r="AG4" s="762"/>
      <c r="AH4" s="762"/>
      <c r="AI4" s="762"/>
      <c r="AJ4" s="762"/>
      <c r="AK4" s="762"/>
      <c r="AL4" s="762"/>
    </row>
    <row r="5" spans="1:47" ht="22.5" thickTop="1" thickBot="1" x14ac:dyDescent="0.4">
      <c r="D5" s="115" t="s">
        <v>26</v>
      </c>
      <c r="E5" s="115"/>
      <c r="F5" s="115"/>
      <c r="G5" s="115"/>
      <c r="H5" s="25"/>
      <c r="I5" s="770" t="s">
        <v>278</v>
      </c>
      <c r="J5" s="770"/>
      <c r="K5" s="770"/>
      <c r="L5" s="770"/>
      <c r="M5" s="770"/>
      <c r="N5" s="26"/>
      <c r="O5" s="26"/>
      <c r="P5" s="25"/>
      <c r="Q5" s="3"/>
    </row>
    <row r="6" spans="1:47" s="2" customFormat="1" ht="21.75" thickTop="1" x14ac:dyDescent="0.35">
      <c r="B6" s="216"/>
      <c r="C6" s="217"/>
      <c r="D6" s="112" t="s">
        <v>226</v>
      </c>
      <c r="E6" s="113"/>
      <c r="F6" s="114"/>
      <c r="G6" s="114"/>
      <c r="H6" s="202" t="s">
        <v>27</v>
      </c>
      <c r="I6" s="27">
        <f>Customers!G3+Customers!G4</f>
        <v>7784082</v>
      </c>
      <c r="J6" s="203" t="s">
        <v>127</v>
      </c>
      <c r="K6" s="203" t="s">
        <v>128</v>
      </c>
      <c r="L6" s="155" t="s">
        <v>29</v>
      </c>
      <c r="M6" s="28" t="s">
        <v>371</v>
      </c>
      <c r="N6" s="29" t="s">
        <v>28</v>
      </c>
      <c r="O6" s="230" t="s">
        <v>29</v>
      </c>
      <c r="P6" s="31"/>
      <c r="Q6" s="32" t="s">
        <v>30</v>
      </c>
      <c r="R6" s="202" t="s">
        <v>27</v>
      </c>
      <c r="S6" s="27">
        <f>Customers!H3+Customers!H4</f>
        <v>761806</v>
      </c>
      <c r="T6" s="203" t="s">
        <v>127</v>
      </c>
      <c r="U6" s="203" t="s">
        <v>128</v>
      </c>
      <c r="V6" s="155" t="s">
        <v>29</v>
      </c>
      <c r="W6" s="28" t="s">
        <v>371</v>
      </c>
      <c r="X6" s="29" t="s">
        <v>28</v>
      </c>
      <c r="Y6" s="230" t="s">
        <v>29</v>
      </c>
      <c r="Z6" s="31"/>
      <c r="AA6" s="32" t="s">
        <v>30</v>
      </c>
      <c r="AB6" s="202" t="s">
        <v>27</v>
      </c>
      <c r="AC6" s="27">
        <f>Customers!I3+Customers!I4</f>
        <v>25057</v>
      </c>
      <c r="AD6" s="203" t="s">
        <v>127</v>
      </c>
      <c r="AE6" s="203" t="s">
        <v>128</v>
      </c>
      <c r="AF6" s="155" t="s">
        <v>29</v>
      </c>
      <c r="AG6" s="28" t="s">
        <v>371</v>
      </c>
      <c r="AH6" s="29" t="s">
        <v>28</v>
      </c>
      <c r="AI6" s="230" t="s">
        <v>29</v>
      </c>
      <c r="AJ6" s="380" t="s">
        <v>557</v>
      </c>
      <c r="AK6" s="247" t="s">
        <v>30</v>
      </c>
      <c r="AU6" s="6"/>
    </row>
    <row r="7" spans="1:47" ht="96.6" customHeight="1" x14ac:dyDescent="0.25">
      <c r="A7" s="299" t="s">
        <v>8</v>
      </c>
      <c r="B7" s="218" t="str">
        <f>A7&amp;H7</f>
        <v>Account ServicesLABOR: NON-SUPERVISORY</v>
      </c>
      <c r="C7" s="218" t="s">
        <v>225</v>
      </c>
      <c r="D7" s="10" t="str">
        <f>'2015Summary METER to CASH (Base'!G9</f>
        <v>* Bill exception work
* Rebills
* Bill controls
* Bill paper stock &amp; envelopes
* Postage</v>
      </c>
      <c r="E7" s="116">
        <f>N45</f>
        <v>3441884.8067899998</v>
      </c>
      <c r="F7" s="117">
        <f>X45</f>
        <v>393339.83981499996</v>
      </c>
      <c r="G7" s="117">
        <f>AC45</f>
        <v>11977.528000000002</v>
      </c>
      <c r="H7" s="182" t="s">
        <v>31</v>
      </c>
      <c r="I7" s="157"/>
      <c r="J7" s="118"/>
      <c r="K7" s="118"/>
      <c r="L7" s="118"/>
      <c r="M7" s="119"/>
      <c r="N7" s="121"/>
      <c r="O7" s="135"/>
      <c r="P7" s="456"/>
      <c r="Q7" s="248"/>
      <c r="R7" s="183" t="s">
        <v>31</v>
      </c>
      <c r="S7" s="157"/>
      <c r="T7" s="118"/>
      <c r="U7" s="118"/>
      <c r="V7" s="118"/>
      <c r="W7" s="119"/>
      <c r="X7" s="120"/>
      <c r="Y7" s="135"/>
      <c r="Z7" s="456"/>
      <c r="AA7" s="248"/>
      <c r="AB7" s="183" t="s">
        <v>31</v>
      </c>
      <c r="AC7" s="157"/>
      <c r="AD7" s="118"/>
      <c r="AE7" s="118"/>
      <c r="AF7" s="118"/>
      <c r="AG7" s="119"/>
      <c r="AH7" s="121"/>
      <c r="AI7" s="135"/>
      <c r="AJ7" s="705"/>
      <c r="AK7" s="120"/>
    </row>
    <row r="8" spans="1:47" ht="22.5" x14ac:dyDescent="0.25">
      <c r="A8" s="299" t="s">
        <v>8</v>
      </c>
      <c r="B8" s="218" t="str">
        <f t="shared" ref="B8:B75" si="0">A8&amp;H8</f>
        <v>Account ServicesAccountant (Grade 145)</v>
      </c>
      <c r="C8" s="217" t="s">
        <v>48</v>
      </c>
      <c r="D8" s="10"/>
      <c r="E8" s="10"/>
      <c r="F8" s="10"/>
      <c r="G8" s="10"/>
      <c r="H8" s="255" t="s">
        <v>239</v>
      </c>
      <c r="I8" s="158">
        <f>J8*K8</f>
        <v>57764.79</v>
      </c>
      <c r="J8" s="289">
        <f>+ROUND('FTE Alloc OR &amp; WA'!G31*2080,0)</f>
        <v>1983</v>
      </c>
      <c r="K8" s="259">
        <v>29.13</v>
      </c>
      <c r="L8" s="39"/>
      <c r="M8" s="40" t="str">
        <f>J8&amp;" hrs @ "&amp;K8</f>
        <v>1983 hrs @ 29.13</v>
      </c>
      <c r="N8" s="35"/>
      <c r="O8" s="136"/>
      <c r="P8" s="457"/>
      <c r="Q8" s="249"/>
      <c r="R8" s="255" t="s">
        <v>239</v>
      </c>
      <c r="S8" s="158">
        <f>T8*U8</f>
        <v>4631.67</v>
      </c>
      <c r="T8" s="289">
        <f>+ROUND('FTE Alloc OR &amp; WA'!H31*2080,0)</f>
        <v>159</v>
      </c>
      <c r="U8" s="259">
        <v>29.13</v>
      </c>
      <c r="V8" s="39"/>
      <c r="W8" s="40" t="str">
        <f>T8&amp;" hrs @ "&amp;U8</f>
        <v>159 hrs @ 29.13</v>
      </c>
      <c r="X8" s="34"/>
      <c r="Y8" s="136"/>
      <c r="Z8" s="457"/>
      <c r="AA8" s="249"/>
      <c r="AB8" s="255" t="s">
        <v>239</v>
      </c>
      <c r="AC8" s="158">
        <f>AD8*AE8</f>
        <v>0</v>
      </c>
      <c r="AD8" s="289">
        <f>+ROUND('FTE Alloc OR &amp; WA'!I30*2080,0)</f>
        <v>0</v>
      </c>
      <c r="AE8" s="259">
        <v>29.13</v>
      </c>
      <c r="AF8" s="39"/>
      <c r="AG8" s="40" t="str">
        <f>AD8&amp;" hrs @ "&amp;AE8</f>
        <v>0 hrs @ 29.13</v>
      </c>
      <c r="AH8" s="35"/>
      <c r="AI8" s="136"/>
      <c r="AJ8" s="706">
        <f t="shared" ref="AJ8:AJ14" si="1">I8+S8+AC8</f>
        <v>62396.46</v>
      </c>
      <c r="AK8" s="34"/>
    </row>
    <row r="9" spans="1:47" ht="15.75" x14ac:dyDescent="0.25">
      <c r="A9" s="299" t="s">
        <v>8</v>
      </c>
      <c r="B9" s="218" t="str">
        <f t="shared" si="0"/>
        <v>Account ServicesSr Coll Rep (Grade 140)</v>
      </c>
      <c r="C9" s="217" t="s">
        <v>48</v>
      </c>
      <c r="D9" s="10"/>
      <c r="E9" s="10"/>
      <c r="F9" s="10"/>
      <c r="G9" s="10"/>
      <c r="H9" s="184" t="s">
        <v>240</v>
      </c>
      <c r="I9" s="158">
        <f t="shared" ref="I9:I10" si="2">J9*K9</f>
        <v>0</v>
      </c>
      <c r="J9" s="289">
        <f>+ROUND('FTE Alloc OR &amp; WA'!G36*2080,0)</f>
        <v>0</v>
      </c>
      <c r="K9" s="259">
        <v>27.22</v>
      </c>
      <c r="L9" s="42"/>
      <c r="M9" s="40" t="str">
        <f t="shared" ref="M9:M11" si="3">J9&amp;" hrs @ "&amp;K9</f>
        <v>0 hrs @ 27.22</v>
      </c>
      <c r="N9" s="35"/>
      <c r="O9" s="136"/>
      <c r="P9" s="457"/>
      <c r="Q9" s="250"/>
      <c r="R9" s="184" t="s">
        <v>240</v>
      </c>
      <c r="S9" s="158">
        <f t="shared" ref="S9:S10" si="4">T9*U9</f>
        <v>0</v>
      </c>
      <c r="T9" s="289">
        <f>+ROUND('FTE Alloc OR &amp; WA'!H36*2080,0)</f>
        <v>0</v>
      </c>
      <c r="U9" s="259">
        <v>27.22</v>
      </c>
      <c r="V9" s="42"/>
      <c r="W9" s="40" t="str">
        <f t="shared" ref="W9:W11" si="5">T9&amp;" hrs @ "&amp;U9</f>
        <v>0 hrs @ 27.22</v>
      </c>
      <c r="X9" s="34"/>
      <c r="Y9" s="136"/>
      <c r="Z9" s="457"/>
      <c r="AA9" s="250"/>
      <c r="AB9" s="184" t="s">
        <v>240</v>
      </c>
      <c r="AC9" s="158">
        <f t="shared" ref="AC9:AC10" si="6">AD9*AE9</f>
        <v>0</v>
      </c>
      <c r="AD9" s="289">
        <f>+ROUND('FTE Alloc OR &amp; WA'!I36*2080,0)</f>
        <v>0</v>
      </c>
      <c r="AE9" s="259">
        <v>27.22</v>
      </c>
      <c r="AF9" s="42"/>
      <c r="AG9" s="40" t="str">
        <f t="shared" ref="AG9:AG11" si="7">AD9&amp;" hrs @ "&amp;AE9</f>
        <v>0 hrs @ 27.22</v>
      </c>
      <c r="AH9" s="35"/>
      <c r="AI9" s="136"/>
      <c r="AJ9" s="706">
        <f t="shared" si="1"/>
        <v>0</v>
      </c>
      <c r="AK9" s="34"/>
    </row>
    <row r="10" spans="1:47" ht="22.5" x14ac:dyDescent="0.25">
      <c r="A10" s="299" t="s">
        <v>8</v>
      </c>
      <c r="B10" s="218" t="str">
        <f t="shared" si="0"/>
        <v>Account ServicesSr Biller/ PP Clerk (Grade 135)</v>
      </c>
      <c r="C10" s="217" t="s">
        <v>48</v>
      </c>
      <c r="D10" s="10"/>
      <c r="E10" s="10"/>
      <c r="F10" s="10"/>
      <c r="G10" s="10"/>
      <c r="H10" s="184" t="s">
        <v>242</v>
      </c>
      <c r="I10" s="158">
        <f t="shared" si="2"/>
        <v>130252.8</v>
      </c>
      <c r="J10" s="289">
        <f>+ROUND(('FTE Alloc OR &amp; WA'!G32+'FTE Alloc OR &amp; WA'!G35)*2080,0)</f>
        <v>5120</v>
      </c>
      <c r="K10" s="259">
        <v>25.44</v>
      </c>
      <c r="L10" s="42"/>
      <c r="M10" s="40" t="str">
        <f t="shared" si="3"/>
        <v>5120 hrs @ 25.44</v>
      </c>
      <c r="N10" s="35"/>
      <c r="O10" s="136"/>
      <c r="P10" s="457"/>
      <c r="Q10" s="249"/>
      <c r="R10" s="184" t="s">
        <v>242</v>
      </c>
      <c r="S10" s="158">
        <f t="shared" si="4"/>
        <v>13254.24</v>
      </c>
      <c r="T10" s="289">
        <f>+ROUND(('FTE Alloc OR &amp; WA'!H32+'FTE Alloc OR &amp; WA'!H35)*2080,0)</f>
        <v>521</v>
      </c>
      <c r="U10" s="259">
        <v>25.44</v>
      </c>
      <c r="V10" s="42"/>
      <c r="W10" s="40" t="str">
        <f t="shared" si="5"/>
        <v>521 hrs @ 25.44</v>
      </c>
      <c r="X10" s="34"/>
      <c r="Y10" s="136"/>
      <c r="Z10" s="457"/>
      <c r="AA10" s="249"/>
      <c r="AB10" s="184" t="s">
        <v>242</v>
      </c>
      <c r="AC10" s="158">
        <f t="shared" si="6"/>
        <v>0</v>
      </c>
      <c r="AD10" s="289">
        <f>+ROUND(('FTE Alloc OR &amp; WA'!I31+'FTE Alloc OR &amp; WA'!I34)*2080,0)</f>
        <v>0</v>
      </c>
      <c r="AE10" s="259">
        <v>25.44</v>
      </c>
      <c r="AF10" s="42"/>
      <c r="AG10" s="40" t="str">
        <f t="shared" si="7"/>
        <v>0 hrs @ 25.44</v>
      </c>
      <c r="AH10" s="35"/>
      <c r="AI10" s="136"/>
      <c r="AJ10" s="706">
        <f t="shared" si="1"/>
        <v>143507.04</v>
      </c>
      <c r="AK10" s="34"/>
    </row>
    <row r="11" spans="1:47" ht="22.5" x14ac:dyDescent="0.25">
      <c r="A11" s="299" t="s">
        <v>8</v>
      </c>
      <c r="B11" s="218" t="str">
        <f t="shared" si="0"/>
        <v>Account ServicesBiller (Grade 125)</v>
      </c>
      <c r="C11" s="217" t="s">
        <v>48</v>
      </c>
      <c r="D11" s="10"/>
      <c r="E11" s="10"/>
      <c r="F11" s="10"/>
      <c r="G11" s="10"/>
      <c r="H11" s="179" t="s">
        <v>241</v>
      </c>
      <c r="I11" s="173">
        <f>J11*K11</f>
        <v>111172.51000000001</v>
      </c>
      <c r="J11" s="291">
        <f>+ROUND('FTE Alloc OR &amp; WA'!G33*2080,0)</f>
        <v>5051</v>
      </c>
      <c r="K11" s="260">
        <v>22.01</v>
      </c>
      <c r="L11" s="181"/>
      <c r="M11" s="176" t="str">
        <f t="shared" si="3"/>
        <v>5051 hrs @ 22.01</v>
      </c>
      <c r="N11" s="451"/>
      <c r="O11" s="231"/>
      <c r="P11" s="458"/>
      <c r="Q11" s="459"/>
      <c r="R11" s="179" t="s">
        <v>241</v>
      </c>
      <c r="S11" s="173">
        <f>T11*U11</f>
        <v>11973.44</v>
      </c>
      <c r="T11" s="291">
        <f>+ROUND('FTE Alloc OR &amp; WA'!H33*2080,0)</f>
        <v>544</v>
      </c>
      <c r="U11" s="260">
        <v>22.01</v>
      </c>
      <c r="V11" s="181"/>
      <c r="W11" s="176" t="str">
        <f t="shared" si="5"/>
        <v>544 hrs @ 22.01</v>
      </c>
      <c r="X11" s="57"/>
      <c r="Y11" s="231"/>
      <c r="Z11" s="458"/>
      <c r="AA11" s="459"/>
      <c r="AB11" s="179" t="s">
        <v>241</v>
      </c>
      <c r="AC11" s="173">
        <f>AD11*AE11</f>
        <v>0</v>
      </c>
      <c r="AD11" s="291">
        <f>+ROUND('FTE Alloc OR &amp; WA'!I32*2080,0)</f>
        <v>0</v>
      </c>
      <c r="AE11" s="260">
        <v>22.01</v>
      </c>
      <c r="AF11" s="181"/>
      <c r="AG11" s="176" t="str">
        <f t="shared" si="7"/>
        <v>0 hrs @ 22.01</v>
      </c>
      <c r="AH11" s="35"/>
      <c r="AI11" s="136"/>
      <c r="AJ11" s="707">
        <f t="shared" si="1"/>
        <v>123145.95000000001</v>
      </c>
      <c r="AK11" s="57"/>
    </row>
    <row r="12" spans="1:47" ht="15.75" x14ac:dyDescent="0.25">
      <c r="A12" s="299" t="s">
        <v>8</v>
      </c>
      <c r="B12" s="218" t="str">
        <f t="shared" si="0"/>
        <v>Account ServicesTotal Wages</v>
      </c>
      <c r="C12" s="217" t="s">
        <v>48</v>
      </c>
      <c r="D12" s="10"/>
      <c r="E12" s="10"/>
      <c r="F12" s="10"/>
      <c r="G12" s="10"/>
      <c r="H12" s="38" t="s">
        <v>32</v>
      </c>
      <c r="I12" s="158">
        <f>SUM(I8:I11)</f>
        <v>299190.09999999998</v>
      </c>
      <c r="J12" s="42"/>
      <c r="K12" s="39"/>
      <c r="L12" s="39"/>
      <c r="M12" s="40"/>
      <c r="N12" s="35"/>
      <c r="O12" s="234"/>
      <c r="P12" s="457"/>
      <c r="Q12" s="249"/>
      <c r="R12" s="184" t="s">
        <v>32</v>
      </c>
      <c r="S12" s="158">
        <f>SUM(S8:S11)</f>
        <v>29859.35</v>
      </c>
      <c r="T12" s="42"/>
      <c r="U12" s="39"/>
      <c r="V12" s="39"/>
      <c r="W12" s="40"/>
      <c r="X12" s="34"/>
      <c r="Y12" s="234"/>
      <c r="Z12" s="457"/>
      <c r="AA12" s="249"/>
      <c r="AB12" s="184" t="s">
        <v>32</v>
      </c>
      <c r="AC12" s="158">
        <f>SUM(AC8:AC11)</f>
        <v>0</v>
      </c>
      <c r="AD12" s="42"/>
      <c r="AE12" s="39"/>
      <c r="AF12" s="39"/>
      <c r="AG12" s="40"/>
      <c r="AH12" s="35"/>
      <c r="AI12" s="231"/>
      <c r="AJ12" s="706">
        <f t="shared" si="1"/>
        <v>329049.44999999995</v>
      </c>
      <c r="AK12" s="34"/>
    </row>
    <row r="13" spans="1:47" ht="15.75" x14ac:dyDescent="0.25">
      <c r="A13" s="299" t="s">
        <v>8</v>
      </c>
      <c r="B13" s="218" t="str">
        <f t="shared" si="0"/>
        <v>Account ServicesBenefits</v>
      </c>
      <c r="C13" s="217" t="s">
        <v>48</v>
      </c>
      <c r="D13" s="10"/>
      <c r="E13" s="10"/>
      <c r="F13" s="10"/>
      <c r="G13" s="10"/>
      <c r="H13" s="38" t="s">
        <v>33</v>
      </c>
      <c r="I13" s="159">
        <f>I12*$O$2</f>
        <v>294971.51958999998</v>
      </c>
      <c r="J13" s="42"/>
      <c r="K13" s="39"/>
      <c r="M13" s="45" t="str">
        <f>"@ "&amp;$O$2*100&amp;" %"</f>
        <v>@ 98.59 %</v>
      </c>
      <c r="N13" s="47"/>
      <c r="O13" s="234"/>
      <c r="P13" s="460"/>
      <c r="Q13" s="249"/>
      <c r="R13" s="184" t="s">
        <v>33</v>
      </c>
      <c r="S13" s="159">
        <f>S12*$O$2</f>
        <v>29438.333165</v>
      </c>
      <c r="T13" s="42"/>
      <c r="U13" s="39"/>
      <c r="W13" s="45" t="str">
        <f>"@ "&amp;$O$2*100&amp;" %"</f>
        <v>@ 98.59 %</v>
      </c>
      <c r="X13" s="46"/>
      <c r="Y13" s="234"/>
      <c r="Z13" s="460"/>
      <c r="AA13" s="249"/>
      <c r="AB13" s="184" t="s">
        <v>33</v>
      </c>
      <c r="AC13" s="159">
        <f>AC12*$O$2</f>
        <v>0</v>
      </c>
      <c r="AD13" s="42"/>
      <c r="AE13" s="39"/>
      <c r="AG13" s="45" t="str">
        <f>"@ "&amp;$O$2*100&amp;" %"</f>
        <v>@ 98.59 %</v>
      </c>
      <c r="AH13" s="47"/>
      <c r="AI13" s="232"/>
      <c r="AJ13" s="708">
        <f t="shared" si="1"/>
        <v>324409.852755</v>
      </c>
      <c r="AK13" s="46"/>
    </row>
    <row r="14" spans="1:47" ht="15.75" x14ac:dyDescent="0.25">
      <c r="A14" s="299" t="s">
        <v>8</v>
      </c>
      <c r="B14" s="218" t="str">
        <f t="shared" si="0"/>
        <v>Account ServicesTotal</v>
      </c>
      <c r="C14" s="219" t="s">
        <v>50</v>
      </c>
      <c r="D14" s="10"/>
      <c r="E14" s="10"/>
      <c r="F14" s="10"/>
      <c r="G14" s="10"/>
      <c r="H14" s="49" t="s">
        <v>34</v>
      </c>
      <c r="I14" s="160">
        <f>I12+I13</f>
        <v>594161.61959000002</v>
      </c>
      <c r="J14" s="42"/>
      <c r="K14" s="39"/>
      <c r="L14" s="50"/>
      <c r="M14" s="51"/>
      <c r="N14" s="420">
        <f>I14</f>
        <v>594161.61959000002</v>
      </c>
      <c r="O14" s="233">
        <f>N14/N45</f>
        <v>0.17262681726531462</v>
      </c>
      <c r="P14" s="461"/>
      <c r="Q14" s="252"/>
      <c r="R14" s="185" t="s">
        <v>34</v>
      </c>
      <c r="S14" s="160">
        <f>S12+S13</f>
        <v>59297.683164999995</v>
      </c>
      <c r="T14" s="42"/>
      <c r="U14" s="39"/>
      <c r="V14" s="50"/>
      <c r="W14" s="51"/>
      <c r="X14" s="52">
        <f>S14</f>
        <v>59297.683164999995</v>
      </c>
      <c r="Y14" s="233">
        <f>X14/X45</f>
        <v>0.1507543278425332</v>
      </c>
      <c r="Z14" s="461"/>
      <c r="AA14" s="252"/>
      <c r="AB14" s="185" t="s">
        <v>34</v>
      </c>
      <c r="AC14" s="160">
        <f>AC12+AC13</f>
        <v>0</v>
      </c>
      <c r="AD14" s="42"/>
      <c r="AE14" s="39"/>
      <c r="AF14" s="50"/>
      <c r="AG14" s="51"/>
      <c r="AH14" s="420">
        <f>AC14</f>
        <v>0</v>
      </c>
      <c r="AI14" s="233">
        <f>AH14/AH45</f>
        <v>0</v>
      </c>
      <c r="AJ14" s="221">
        <f t="shared" si="1"/>
        <v>653459.30275500007</v>
      </c>
      <c r="AK14" s="52"/>
    </row>
    <row r="15" spans="1:47" ht="15.75" x14ac:dyDescent="0.25">
      <c r="A15" s="299" t="s">
        <v>8</v>
      </c>
      <c r="B15" s="218" t="str">
        <f t="shared" si="0"/>
        <v>Account Services</v>
      </c>
      <c r="C15" s="217" t="s">
        <v>48</v>
      </c>
      <c r="D15" s="10"/>
      <c r="E15" s="10"/>
      <c r="F15" s="10"/>
      <c r="G15" s="10"/>
      <c r="H15" s="54"/>
      <c r="I15" s="161"/>
      <c r="J15" s="55"/>
      <c r="K15" s="55"/>
      <c r="L15" s="55"/>
      <c r="M15" s="56"/>
      <c r="N15" s="58"/>
      <c r="O15" s="231"/>
      <c r="P15" s="458"/>
      <c r="Q15" s="253"/>
      <c r="R15" s="179"/>
      <c r="S15" s="161"/>
      <c r="T15" s="55"/>
      <c r="U15" s="55"/>
      <c r="V15" s="55"/>
      <c r="W15" s="56"/>
      <c r="X15" s="57"/>
      <c r="Y15" s="231"/>
      <c r="Z15" s="458"/>
      <c r="AA15" s="253"/>
      <c r="AB15" s="179"/>
      <c r="AC15" s="161"/>
      <c r="AD15" s="55"/>
      <c r="AE15" s="55"/>
      <c r="AF15" s="55"/>
      <c r="AG15" s="56"/>
      <c r="AH15" s="58"/>
      <c r="AI15" s="231"/>
      <c r="AJ15" s="707"/>
      <c r="AK15" s="57"/>
    </row>
    <row r="16" spans="1:47" ht="24" customHeight="1" x14ac:dyDescent="0.25">
      <c r="A16" s="299" t="s">
        <v>8</v>
      </c>
      <c r="B16" s="218" t="str">
        <f t="shared" si="0"/>
        <v>Account ServicesLABOR: SUPERVISORY</v>
      </c>
      <c r="C16" s="220" t="s">
        <v>50</v>
      </c>
      <c r="D16" s="10"/>
      <c r="E16" s="10"/>
      <c r="F16" s="10"/>
      <c r="G16" s="10"/>
      <c r="H16" s="61" t="s">
        <v>35</v>
      </c>
      <c r="I16" s="162"/>
      <c r="J16" s="62"/>
      <c r="K16" s="62"/>
      <c r="L16" s="62"/>
      <c r="M16" s="63"/>
      <c r="N16" s="26"/>
      <c r="O16" s="234"/>
      <c r="P16" s="462"/>
      <c r="Q16" s="252"/>
      <c r="R16" s="186" t="s">
        <v>35</v>
      </c>
      <c r="S16" s="162"/>
      <c r="T16" s="62"/>
      <c r="U16" s="62"/>
      <c r="V16" s="62"/>
      <c r="W16" s="63"/>
      <c r="X16" s="64"/>
      <c r="Y16" s="234"/>
      <c r="Z16" s="462"/>
      <c r="AA16" s="252"/>
      <c r="AB16" s="186" t="s">
        <v>35</v>
      </c>
      <c r="AC16" s="162"/>
      <c r="AD16" s="62"/>
      <c r="AE16" s="62"/>
      <c r="AF16" s="62"/>
      <c r="AG16" s="63"/>
      <c r="AH16" s="26"/>
      <c r="AI16" s="234"/>
      <c r="AJ16" s="706"/>
      <c r="AK16" s="64"/>
    </row>
    <row r="17" spans="1:37" ht="24" customHeight="1" x14ac:dyDescent="0.25">
      <c r="A17" s="299" t="s">
        <v>8</v>
      </c>
      <c r="B17" s="218"/>
      <c r="C17" s="220"/>
      <c r="D17" s="10"/>
      <c r="E17" s="10"/>
      <c r="F17" s="10"/>
      <c r="G17" s="10"/>
      <c r="H17" s="184" t="s">
        <v>372</v>
      </c>
      <c r="I17" s="158">
        <f t="shared" ref="I17:I18" si="8">J17*K17</f>
        <v>0</v>
      </c>
      <c r="J17" s="62"/>
      <c r="K17" s="62">
        <v>50.91</v>
      </c>
      <c r="L17" s="62"/>
      <c r="M17" s="40" t="str">
        <f t="shared" ref="M17" si="9">J17&amp;" hrs @ "&amp;K17</f>
        <v xml:space="preserve"> hrs @ 50.91</v>
      </c>
      <c r="N17" s="26"/>
      <c r="O17" s="234"/>
      <c r="P17" s="462"/>
      <c r="Q17" s="252"/>
      <c r="R17" s="184" t="s">
        <v>372</v>
      </c>
      <c r="S17" s="158">
        <f t="shared" ref="S17" si="10">T17*U17</f>
        <v>0</v>
      </c>
      <c r="T17" s="62"/>
      <c r="U17" s="62">
        <v>50.91</v>
      </c>
      <c r="V17" s="62"/>
      <c r="W17" s="40" t="str">
        <f t="shared" ref="W17" si="11">T17&amp;" hrs @ "&amp;U17</f>
        <v xml:space="preserve"> hrs @ 50.91</v>
      </c>
      <c r="X17" s="64"/>
      <c r="Y17" s="234"/>
      <c r="Z17" s="462"/>
      <c r="AA17" s="252"/>
      <c r="AB17" s="184" t="s">
        <v>372</v>
      </c>
      <c r="AC17" s="158">
        <f t="shared" ref="AC17" si="12">AD17*AE17</f>
        <v>0</v>
      </c>
      <c r="AD17" s="62"/>
      <c r="AE17" s="62">
        <v>50.91</v>
      </c>
      <c r="AF17" s="62"/>
      <c r="AG17" s="40" t="str">
        <f t="shared" ref="AG17" si="13">AD17&amp;" hrs @ "&amp;AE17</f>
        <v xml:space="preserve"> hrs @ 50.91</v>
      </c>
      <c r="AH17" s="26"/>
      <c r="AI17" s="234"/>
      <c r="AJ17" s="706">
        <f>I17+S17+AC17</f>
        <v>0</v>
      </c>
      <c r="AK17" s="64"/>
    </row>
    <row r="18" spans="1:37" ht="15.75" x14ac:dyDescent="0.25">
      <c r="A18" s="299" t="s">
        <v>8</v>
      </c>
      <c r="B18" s="218" t="str">
        <f t="shared" si="0"/>
        <v>Account ServicesSupervisor</v>
      </c>
      <c r="C18" s="217" t="s">
        <v>48</v>
      </c>
      <c r="D18" s="10"/>
      <c r="E18" s="10"/>
      <c r="F18" s="10"/>
      <c r="G18" s="10"/>
      <c r="H18" s="184" t="s">
        <v>373</v>
      </c>
      <c r="I18" s="158">
        <f t="shared" si="8"/>
        <v>84078</v>
      </c>
      <c r="J18" s="289">
        <f>+ROUND(('FTE Alloc OR &amp; WA'!G44+'FTE Alloc OR &amp; WA'!G46)*2080,0)</f>
        <v>2076</v>
      </c>
      <c r="K18" s="259">
        <v>40.5</v>
      </c>
      <c r="L18" s="43"/>
      <c r="M18" s="40" t="str">
        <f t="shared" ref="M18" si="14">J18&amp;" hrs @ "&amp;K18</f>
        <v>2076 hrs @ 40.5</v>
      </c>
      <c r="N18" s="26"/>
      <c r="O18" s="234"/>
      <c r="P18" s="462"/>
      <c r="Q18" s="249"/>
      <c r="R18" s="184" t="s">
        <v>373</v>
      </c>
      <c r="S18" s="158">
        <f t="shared" ref="S18" si="15">T18*U18</f>
        <v>9193.5</v>
      </c>
      <c r="T18" s="289">
        <f>+ROUND(('FTE Alloc OR &amp; WA'!H44+'FTE Alloc OR &amp; WA'!H46)*2080,0)</f>
        <v>227</v>
      </c>
      <c r="U18" s="259">
        <v>40.5</v>
      </c>
      <c r="V18" s="43"/>
      <c r="W18" s="40" t="str">
        <f t="shared" ref="W18" si="16">T18&amp;" hrs @ "&amp;U18</f>
        <v>227 hrs @ 40.5</v>
      </c>
      <c r="X18" s="64"/>
      <c r="Y18" s="234"/>
      <c r="Z18" s="462"/>
      <c r="AA18" s="249"/>
      <c r="AB18" s="184" t="s">
        <v>373</v>
      </c>
      <c r="AC18" s="158">
        <f t="shared" ref="AC18" si="17">AD18*AE18</f>
        <v>0</v>
      </c>
      <c r="AD18" s="289">
        <f>+ROUND('FTE Alloc OR &amp; WA'!I31*2080,0)</f>
        <v>0</v>
      </c>
      <c r="AE18" s="259">
        <v>40.5</v>
      </c>
      <c r="AF18" s="43"/>
      <c r="AG18" s="40" t="str">
        <f t="shared" ref="AG18" si="18">AD18&amp;" hrs @ "&amp;AE18</f>
        <v>0 hrs @ 40.5</v>
      </c>
      <c r="AH18" s="26"/>
      <c r="AI18" s="235"/>
      <c r="AJ18" s="706">
        <f>I18+S18+AC18</f>
        <v>93271.5</v>
      </c>
      <c r="AK18" s="64"/>
    </row>
    <row r="19" spans="1:37" ht="15.75" x14ac:dyDescent="0.25">
      <c r="A19" s="299" t="s">
        <v>8</v>
      </c>
      <c r="B19" s="218"/>
      <c r="C19" s="217"/>
      <c r="D19" s="10"/>
      <c r="E19" s="10"/>
      <c r="F19" s="10"/>
      <c r="G19" s="10"/>
      <c r="H19" s="255" t="s">
        <v>32</v>
      </c>
      <c r="I19" s="393">
        <f>SUM(I16:I18)</f>
        <v>84078</v>
      </c>
      <c r="J19" s="394"/>
      <c r="K19" s="395"/>
      <c r="L19" s="395"/>
      <c r="M19" s="396"/>
      <c r="N19" s="26"/>
      <c r="O19" s="234"/>
      <c r="P19" s="462"/>
      <c r="Q19" s="249"/>
      <c r="R19" s="255" t="s">
        <v>32</v>
      </c>
      <c r="S19" s="393">
        <f>SUM(S16:S18)</f>
        <v>9193.5</v>
      </c>
      <c r="T19" s="394"/>
      <c r="U19" s="395"/>
      <c r="V19" s="395"/>
      <c r="W19" s="396"/>
      <c r="X19" s="64"/>
      <c r="Y19" s="234"/>
      <c r="Z19" s="462"/>
      <c r="AA19" s="249"/>
      <c r="AB19" s="255" t="s">
        <v>32</v>
      </c>
      <c r="AC19" s="393">
        <f>SUM(AC16:AC18)</f>
        <v>0</v>
      </c>
      <c r="AD19" s="394"/>
      <c r="AE19" s="395"/>
      <c r="AF19" s="395"/>
      <c r="AG19" s="396"/>
      <c r="AH19" s="26"/>
      <c r="AI19" s="234"/>
      <c r="AJ19" s="706">
        <f>I19+S19+AC19</f>
        <v>93271.5</v>
      </c>
      <c r="AK19" s="64"/>
    </row>
    <row r="20" spans="1:37" ht="15.75" x14ac:dyDescent="0.25">
      <c r="A20" s="299" t="s">
        <v>8</v>
      </c>
      <c r="B20" s="218" t="str">
        <f t="shared" si="0"/>
        <v>Account ServicesBenefits</v>
      </c>
      <c r="C20" s="217" t="s">
        <v>48</v>
      </c>
      <c r="D20" s="10"/>
      <c r="E20" s="10"/>
      <c r="F20" s="10"/>
      <c r="G20" s="10"/>
      <c r="H20" s="38" t="s">
        <v>33</v>
      </c>
      <c r="I20" s="159">
        <f>I19*$O$2</f>
        <v>82892.500199999995</v>
      </c>
      <c r="J20" s="42"/>
      <c r="K20" s="39"/>
      <c r="L20" s="156"/>
      <c r="M20" s="45" t="str">
        <f>"@ "&amp;$O$2*100&amp;" %"</f>
        <v>@ 98.59 %</v>
      </c>
      <c r="N20" s="26"/>
      <c r="O20" s="234"/>
      <c r="P20" s="462"/>
      <c r="Q20" s="249"/>
      <c r="R20" s="184" t="s">
        <v>33</v>
      </c>
      <c r="S20" s="159">
        <f>S19*$O$2</f>
        <v>9063.8716499999991</v>
      </c>
      <c r="T20" s="42"/>
      <c r="U20" s="39"/>
      <c r="V20" s="156"/>
      <c r="W20" s="45" t="str">
        <f>"@ "&amp;$O$2*100&amp;" %"</f>
        <v>@ 98.59 %</v>
      </c>
      <c r="X20" s="64"/>
      <c r="Y20" s="234"/>
      <c r="Z20" s="462"/>
      <c r="AA20" s="249"/>
      <c r="AB20" s="184" t="s">
        <v>33</v>
      </c>
      <c r="AC20" s="159">
        <f>AC19*$O$2</f>
        <v>0</v>
      </c>
      <c r="AD20" s="42"/>
      <c r="AE20" s="39"/>
      <c r="AF20" s="156"/>
      <c r="AG20" s="45" t="str">
        <f>"@ "&amp;$O$2*100&amp;" %"</f>
        <v>@ 98.59 %</v>
      </c>
      <c r="AH20" s="26"/>
      <c r="AI20" s="236"/>
      <c r="AJ20" s="706">
        <f>I20+S20+AC20</f>
        <v>91956.371849999996</v>
      </c>
      <c r="AK20" s="64"/>
    </row>
    <row r="21" spans="1:37" ht="15.75" x14ac:dyDescent="0.25">
      <c r="A21" s="299" t="s">
        <v>8</v>
      </c>
      <c r="B21" s="218" t="str">
        <f t="shared" si="0"/>
        <v>Account ServicesTotal</v>
      </c>
      <c r="C21" s="220" t="s">
        <v>50</v>
      </c>
      <c r="D21" s="10"/>
      <c r="E21" s="10"/>
      <c r="F21" s="10"/>
      <c r="G21" s="10"/>
      <c r="H21" s="49" t="s">
        <v>34</v>
      </c>
      <c r="I21" s="397">
        <f>I20+I18</f>
        <v>166970.50020000001</v>
      </c>
      <c r="J21" s="68"/>
      <c r="K21" s="68"/>
      <c r="L21" s="68"/>
      <c r="M21" s="63"/>
      <c r="N21" s="420">
        <f>I21</f>
        <v>166970.50020000001</v>
      </c>
      <c r="O21" s="233">
        <f>N21/N45</f>
        <v>4.851135629833047E-2</v>
      </c>
      <c r="P21" s="462"/>
      <c r="Q21" s="249"/>
      <c r="R21" s="185" t="s">
        <v>34</v>
      </c>
      <c r="S21" s="397">
        <f>S20+S18</f>
        <v>18257.371650000001</v>
      </c>
      <c r="T21" s="68"/>
      <c r="U21" s="68"/>
      <c r="V21" s="68"/>
      <c r="W21" s="63"/>
      <c r="X21" s="52">
        <f>S21</f>
        <v>18257.371650000001</v>
      </c>
      <c r="Y21" s="233">
        <f>X21/X45</f>
        <v>4.6416278754237088E-2</v>
      </c>
      <c r="Z21" s="462"/>
      <c r="AA21" s="249"/>
      <c r="AB21" s="185" t="s">
        <v>34</v>
      </c>
      <c r="AC21" s="397">
        <f>AC20+AC18</f>
        <v>0</v>
      </c>
      <c r="AD21" s="68"/>
      <c r="AE21" s="68"/>
      <c r="AF21" s="68"/>
      <c r="AG21" s="63"/>
      <c r="AH21" s="420">
        <f>AC21</f>
        <v>0</v>
      </c>
      <c r="AI21" s="233">
        <f>AH21/AH45</f>
        <v>0</v>
      </c>
      <c r="AJ21" s="221">
        <f>I21+S21+AC21</f>
        <v>185227.87185</v>
      </c>
      <c r="AK21" s="52"/>
    </row>
    <row r="22" spans="1:37" ht="15.75" x14ac:dyDescent="0.25">
      <c r="A22" s="299" t="s">
        <v>8</v>
      </c>
      <c r="B22" s="218" t="str">
        <f t="shared" si="0"/>
        <v>Account Services</v>
      </c>
      <c r="C22" s="217" t="s">
        <v>48</v>
      </c>
      <c r="D22" s="10"/>
      <c r="E22" s="10"/>
      <c r="F22" s="10"/>
      <c r="G22" s="10"/>
      <c r="H22" s="54"/>
      <c r="I22" s="166"/>
      <c r="J22" s="69"/>
      <c r="K22" s="69"/>
      <c r="L22" s="69"/>
      <c r="M22" s="70"/>
      <c r="N22" s="72"/>
      <c r="O22" s="235"/>
      <c r="P22" s="463"/>
      <c r="Q22" s="253"/>
      <c r="R22" s="179"/>
      <c r="S22" s="166"/>
      <c r="T22" s="69"/>
      <c r="U22" s="69"/>
      <c r="V22" s="69"/>
      <c r="W22" s="70"/>
      <c r="X22" s="71"/>
      <c r="Y22" s="235"/>
      <c r="Z22" s="463"/>
      <c r="AA22" s="253"/>
      <c r="AB22" s="179"/>
      <c r="AC22" s="166"/>
      <c r="AD22" s="69"/>
      <c r="AE22" s="69"/>
      <c r="AF22" s="69"/>
      <c r="AG22" s="70"/>
      <c r="AH22" s="72"/>
      <c r="AI22" s="235"/>
      <c r="AJ22" s="707"/>
      <c r="AK22" s="71"/>
    </row>
    <row r="23" spans="1:37" ht="15.75" x14ac:dyDescent="0.25">
      <c r="A23" s="299" t="s">
        <v>8</v>
      </c>
      <c r="B23" s="218" t="str">
        <f t="shared" si="0"/>
        <v>Account ServicesEQUIPMENT</v>
      </c>
      <c r="C23" s="220" t="s">
        <v>50</v>
      </c>
      <c r="D23" s="10"/>
      <c r="E23" s="10"/>
      <c r="F23" s="10"/>
      <c r="G23" s="10"/>
      <c r="H23" s="61" t="s">
        <v>36</v>
      </c>
      <c r="I23" s="167"/>
      <c r="J23" s="74"/>
      <c r="K23" s="74"/>
      <c r="L23" s="74"/>
      <c r="M23" s="66"/>
      <c r="N23" s="76"/>
      <c r="O23" s="237"/>
      <c r="P23" s="462"/>
      <c r="Q23" s="252"/>
      <c r="R23" s="186" t="s">
        <v>36</v>
      </c>
      <c r="S23" s="167"/>
      <c r="T23" s="74"/>
      <c r="U23" s="74"/>
      <c r="V23" s="74"/>
      <c r="W23" s="66"/>
      <c r="X23" s="75"/>
      <c r="Y23" s="237"/>
      <c r="Z23" s="462"/>
      <c r="AA23" s="252"/>
      <c r="AB23" s="186" t="s">
        <v>36</v>
      </c>
      <c r="AC23" s="167"/>
      <c r="AD23" s="74"/>
      <c r="AE23" s="74"/>
      <c r="AF23" s="74"/>
      <c r="AG23" s="66"/>
      <c r="AH23" s="76"/>
      <c r="AI23" s="237"/>
      <c r="AJ23" s="221"/>
      <c r="AK23" s="75"/>
    </row>
    <row r="24" spans="1:37" ht="15.75" x14ac:dyDescent="0.25">
      <c r="A24" s="299" t="s">
        <v>8</v>
      </c>
      <c r="B24" s="218" t="str">
        <f t="shared" si="0"/>
        <v>Account Services</v>
      </c>
      <c r="C24" s="217" t="s">
        <v>48</v>
      </c>
      <c r="D24" s="10"/>
      <c r="E24" s="10"/>
      <c r="F24" s="10"/>
      <c r="G24" s="10"/>
      <c r="H24" s="77"/>
      <c r="I24" s="158">
        <f t="shared" ref="I24:I27" si="19">J24*K24</f>
        <v>0</v>
      </c>
      <c r="J24" s="42"/>
      <c r="K24" s="39"/>
      <c r="L24" s="39"/>
      <c r="M24" s="40" t="str">
        <f>J24&amp;" hrs @ "&amp;K24</f>
        <v xml:space="preserve"> hrs @ </v>
      </c>
      <c r="N24" s="76"/>
      <c r="O24" s="237"/>
      <c r="P24" s="462"/>
      <c r="Q24" s="252"/>
      <c r="R24" s="187"/>
      <c r="S24" s="158">
        <f t="shared" ref="S24:S27" si="20">T24*U24</f>
        <v>0</v>
      </c>
      <c r="T24" s="42"/>
      <c r="U24" s="39"/>
      <c r="V24" s="39"/>
      <c r="W24" s="40" t="str">
        <f>T24&amp;" hrs @ "&amp;U24</f>
        <v xml:space="preserve"> hrs @ </v>
      </c>
      <c r="X24" s="75"/>
      <c r="Y24" s="237"/>
      <c r="Z24" s="462"/>
      <c r="AA24" s="252"/>
      <c r="AB24" s="187"/>
      <c r="AC24" s="158">
        <f t="shared" ref="AC24:AC27" si="21">AD24*AE24</f>
        <v>0</v>
      </c>
      <c r="AD24" s="42"/>
      <c r="AE24" s="39"/>
      <c r="AF24" s="39"/>
      <c r="AG24" s="40" t="str">
        <f>AD24&amp;" hrs @ "&amp;AE24</f>
        <v xml:space="preserve"> hrs @ </v>
      </c>
      <c r="AH24" s="76"/>
      <c r="AI24" s="237"/>
      <c r="AJ24" s="221">
        <f t="shared" ref="AJ24:AJ27" si="22">I24+S24+AC24</f>
        <v>0</v>
      </c>
      <c r="AK24" s="75"/>
    </row>
    <row r="25" spans="1:37" ht="15.75" x14ac:dyDescent="0.25">
      <c r="A25" s="299" t="s">
        <v>8</v>
      </c>
      <c r="B25" s="218" t="str">
        <f t="shared" si="0"/>
        <v>Account Services</v>
      </c>
      <c r="C25" s="217" t="s">
        <v>48</v>
      </c>
      <c r="D25" s="10"/>
      <c r="E25" s="10"/>
      <c r="F25" s="10"/>
      <c r="G25" s="10"/>
      <c r="H25" s="77"/>
      <c r="I25" s="158">
        <f t="shared" si="19"/>
        <v>0</v>
      </c>
      <c r="J25" s="42"/>
      <c r="K25" s="39"/>
      <c r="L25" s="42"/>
      <c r="M25" s="40" t="str">
        <f t="shared" ref="M25:M27" si="23">J25&amp;" hrs @ "&amp;K25</f>
        <v xml:space="preserve"> hrs @ </v>
      </c>
      <c r="N25" s="79"/>
      <c r="O25" s="234"/>
      <c r="P25" s="464"/>
      <c r="Q25" s="254"/>
      <c r="R25" s="187"/>
      <c r="S25" s="158">
        <f t="shared" si="20"/>
        <v>0</v>
      </c>
      <c r="T25" s="42"/>
      <c r="U25" s="39"/>
      <c r="V25" s="42"/>
      <c r="W25" s="40" t="str">
        <f t="shared" ref="W25:W27" si="24">T25&amp;" hrs @ "&amp;U25</f>
        <v xml:space="preserve"> hrs @ </v>
      </c>
      <c r="X25" s="78"/>
      <c r="Y25" s="234"/>
      <c r="Z25" s="464"/>
      <c r="AA25" s="254"/>
      <c r="AB25" s="187"/>
      <c r="AC25" s="158">
        <f t="shared" si="21"/>
        <v>0</v>
      </c>
      <c r="AD25" s="42"/>
      <c r="AE25" s="39"/>
      <c r="AF25" s="42"/>
      <c r="AG25" s="40" t="str">
        <f t="shared" ref="AG25:AG27" si="25">AD25&amp;" hrs @ "&amp;AE25</f>
        <v xml:space="preserve"> hrs @ </v>
      </c>
      <c r="AH25" s="79"/>
      <c r="AI25" s="238"/>
      <c r="AJ25" s="709">
        <f t="shared" si="22"/>
        <v>0</v>
      </c>
      <c r="AK25" s="78"/>
    </row>
    <row r="26" spans="1:37" ht="15.75" x14ac:dyDescent="0.25">
      <c r="A26" s="299" t="s">
        <v>8</v>
      </c>
      <c r="B26" s="218" t="str">
        <f t="shared" si="0"/>
        <v>Account Services</v>
      </c>
      <c r="C26" s="217" t="s">
        <v>48</v>
      </c>
      <c r="D26" s="10"/>
      <c r="E26" s="10"/>
      <c r="F26" s="10"/>
      <c r="G26" s="10"/>
      <c r="H26" s="77"/>
      <c r="I26" s="158">
        <f t="shared" si="19"/>
        <v>0</v>
      </c>
      <c r="J26" s="42"/>
      <c r="K26" s="39"/>
      <c r="L26" s="42"/>
      <c r="M26" s="40" t="str">
        <f t="shared" si="23"/>
        <v xml:space="preserve"> hrs @ </v>
      </c>
      <c r="N26" s="79"/>
      <c r="O26" s="234"/>
      <c r="P26" s="464"/>
      <c r="Q26" s="254"/>
      <c r="R26" s="187"/>
      <c r="S26" s="158">
        <f t="shared" si="20"/>
        <v>0</v>
      </c>
      <c r="T26" s="42"/>
      <c r="U26" s="39"/>
      <c r="V26" s="42"/>
      <c r="W26" s="40" t="str">
        <f t="shared" si="24"/>
        <v xml:space="preserve"> hrs @ </v>
      </c>
      <c r="X26" s="78"/>
      <c r="Y26" s="234"/>
      <c r="Z26" s="464"/>
      <c r="AA26" s="254"/>
      <c r="AB26" s="187"/>
      <c r="AC26" s="158">
        <f t="shared" si="21"/>
        <v>0</v>
      </c>
      <c r="AD26" s="42"/>
      <c r="AE26" s="39"/>
      <c r="AF26" s="42"/>
      <c r="AG26" s="40" t="str">
        <f t="shared" si="25"/>
        <v xml:space="preserve"> hrs @ </v>
      </c>
      <c r="AH26" s="79"/>
      <c r="AI26" s="238"/>
      <c r="AJ26" s="709">
        <f t="shared" si="22"/>
        <v>0</v>
      </c>
      <c r="AK26" s="78"/>
    </row>
    <row r="27" spans="1:37" ht="15.75" x14ac:dyDescent="0.25">
      <c r="A27" s="299" t="s">
        <v>8</v>
      </c>
      <c r="B27" s="218" t="str">
        <f t="shared" si="0"/>
        <v>Account Services</v>
      </c>
      <c r="C27" s="217" t="s">
        <v>48</v>
      </c>
      <c r="D27" s="10"/>
      <c r="E27" s="10"/>
      <c r="F27" s="10"/>
      <c r="G27" s="10"/>
      <c r="H27" s="77"/>
      <c r="I27" s="158">
        <f t="shared" si="19"/>
        <v>0</v>
      </c>
      <c r="J27" s="42"/>
      <c r="K27" s="39"/>
      <c r="L27" s="43"/>
      <c r="M27" s="40" t="str">
        <f t="shared" si="23"/>
        <v xml:space="preserve"> hrs @ </v>
      </c>
      <c r="N27" s="79"/>
      <c r="O27" s="234"/>
      <c r="P27" s="464"/>
      <c r="Q27" s="254"/>
      <c r="R27" s="187"/>
      <c r="S27" s="158">
        <f t="shared" si="20"/>
        <v>0</v>
      </c>
      <c r="T27" s="42"/>
      <c r="U27" s="39"/>
      <c r="V27" s="43"/>
      <c r="W27" s="40" t="str">
        <f t="shared" si="24"/>
        <v xml:space="preserve"> hrs @ </v>
      </c>
      <c r="X27" s="78"/>
      <c r="Y27" s="234"/>
      <c r="Z27" s="464"/>
      <c r="AA27" s="254"/>
      <c r="AB27" s="187"/>
      <c r="AC27" s="158">
        <f t="shared" si="21"/>
        <v>0</v>
      </c>
      <c r="AD27" s="42"/>
      <c r="AE27" s="39"/>
      <c r="AF27" s="43"/>
      <c r="AG27" s="40" t="str">
        <f t="shared" si="25"/>
        <v xml:space="preserve"> hrs @ </v>
      </c>
      <c r="AH27" s="79"/>
      <c r="AI27" s="239"/>
      <c r="AJ27" s="709">
        <f t="shared" si="22"/>
        <v>0</v>
      </c>
      <c r="AK27" s="78"/>
    </row>
    <row r="28" spans="1:37" ht="15.75" x14ac:dyDescent="0.25">
      <c r="A28" s="299" t="s">
        <v>8</v>
      </c>
      <c r="B28" s="218" t="str">
        <f t="shared" si="0"/>
        <v>Account ServicesTotal Equipment</v>
      </c>
      <c r="C28" s="220" t="s">
        <v>50</v>
      </c>
      <c r="D28" s="10"/>
      <c r="E28" s="116">
        <f>I28</f>
        <v>0</v>
      </c>
      <c r="F28" s="116">
        <f>S28</f>
        <v>0</v>
      </c>
      <c r="G28" s="116">
        <f>AC28</f>
        <v>0</v>
      </c>
      <c r="H28" s="83" t="s">
        <v>37</v>
      </c>
      <c r="I28" s="165">
        <f>SUM(I24:I27)</f>
        <v>0</v>
      </c>
      <c r="J28" s="68"/>
      <c r="K28" s="68"/>
      <c r="L28" s="68"/>
      <c r="M28" s="66"/>
      <c r="N28" s="420">
        <f>I28</f>
        <v>0</v>
      </c>
      <c r="O28" s="233">
        <f>N28/N45</f>
        <v>0</v>
      </c>
      <c r="P28" s="464"/>
      <c r="Q28" s="254"/>
      <c r="R28" s="188" t="s">
        <v>37</v>
      </c>
      <c r="S28" s="165">
        <f>SUM(S24:S27)</f>
        <v>0</v>
      </c>
      <c r="T28" s="68"/>
      <c r="U28" s="68"/>
      <c r="V28" s="68"/>
      <c r="W28" s="66"/>
      <c r="X28" s="52">
        <f>S28</f>
        <v>0</v>
      </c>
      <c r="Y28" s="233">
        <f>X28/X45</f>
        <v>0</v>
      </c>
      <c r="Z28" s="464"/>
      <c r="AA28" s="254"/>
      <c r="AB28" s="188" t="s">
        <v>37</v>
      </c>
      <c r="AC28" s="165">
        <f>SUM(AC24:AC27)</f>
        <v>0</v>
      </c>
      <c r="AD28" s="68"/>
      <c r="AE28" s="68"/>
      <c r="AF28" s="68"/>
      <c r="AG28" s="66"/>
      <c r="AH28" s="420">
        <f>AC28</f>
        <v>0</v>
      </c>
      <c r="AI28" s="240">
        <f>AH28/AH45</f>
        <v>0</v>
      </c>
      <c r="AJ28" s="221">
        <f>I28+S28+AC28</f>
        <v>0</v>
      </c>
      <c r="AK28" s="52"/>
    </row>
    <row r="29" spans="1:37" ht="15.75" x14ac:dyDescent="0.25">
      <c r="A29" s="299" t="s">
        <v>8</v>
      </c>
      <c r="B29" s="218" t="str">
        <f t="shared" si="0"/>
        <v>Account Services</v>
      </c>
      <c r="C29" s="217" t="s">
        <v>48</v>
      </c>
      <c r="D29" s="10"/>
      <c r="E29" s="10"/>
      <c r="F29" s="10"/>
      <c r="G29" s="10"/>
      <c r="H29" s="84"/>
      <c r="I29" s="169"/>
      <c r="J29" s="85"/>
      <c r="K29" s="85"/>
      <c r="L29" s="85"/>
      <c r="M29" s="86"/>
      <c r="N29" s="88"/>
      <c r="O29" s="241"/>
      <c r="P29" s="465"/>
      <c r="Q29" s="253"/>
      <c r="R29" s="189"/>
      <c r="S29" s="169"/>
      <c r="T29" s="85"/>
      <c r="U29" s="85"/>
      <c r="V29" s="85"/>
      <c r="W29" s="86"/>
      <c r="X29" s="87"/>
      <c r="Y29" s="241"/>
      <c r="Z29" s="465"/>
      <c r="AA29" s="253"/>
      <c r="AB29" s="189"/>
      <c r="AC29" s="169"/>
      <c r="AD29" s="85"/>
      <c r="AE29" s="85"/>
      <c r="AF29" s="85"/>
      <c r="AG29" s="86"/>
      <c r="AH29" s="88"/>
      <c r="AI29" s="241"/>
      <c r="AJ29" s="710"/>
      <c r="AK29" s="87"/>
    </row>
    <row r="30" spans="1:37" ht="15.75" x14ac:dyDescent="0.25">
      <c r="A30" s="299" t="s">
        <v>8</v>
      </c>
      <c r="B30" s="218" t="str">
        <f t="shared" si="0"/>
        <v>Account ServicesIS SUPPORT</v>
      </c>
      <c r="C30" s="220" t="s">
        <v>50</v>
      </c>
      <c r="D30" s="10"/>
      <c r="E30" s="10"/>
      <c r="F30" s="10"/>
      <c r="G30" s="10"/>
      <c r="H30" s="61" t="s">
        <v>38</v>
      </c>
      <c r="I30" s="167"/>
      <c r="J30" s="74"/>
      <c r="K30" s="74"/>
      <c r="L30" s="74"/>
      <c r="M30" s="66"/>
      <c r="N30" s="91"/>
      <c r="O30" s="227"/>
      <c r="P30" s="466"/>
      <c r="Q30" s="252"/>
      <c r="R30" s="186" t="s">
        <v>38</v>
      </c>
      <c r="S30" s="167"/>
      <c r="T30" s="74"/>
      <c r="U30" s="74"/>
      <c r="V30" s="74"/>
      <c r="W30" s="66"/>
      <c r="X30" s="90"/>
      <c r="Y30" s="227"/>
      <c r="Z30" s="466"/>
      <c r="AA30" s="252"/>
      <c r="AB30" s="186" t="s">
        <v>38</v>
      </c>
      <c r="AC30" s="167"/>
      <c r="AD30" s="74"/>
      <c r="AE30" s="74"/>
      <c r="AF30" s="74"/>
      <c r="AG30" s="66"/>
      <c r="AH30" s="91"/>
      <c r="AI30" s="227"/>
      <c r="AJ30" s="711"/>
      <c r="AK30" s="90"/>
    </row>
    <row r="31" spans="1:37" ht="15.75" x14ac:dyDescent="0.25">
      <c r="A31" s="299" t="s">
        <v>8</v>
      </c>
      <c r="B31" s="218" t="str">
        <f t="shared" si="0"/>
        <v>Account ServicesAnalyst Labor</v>
      </c>
      <c r="C31" s="217" t="s">
        <v>48</v>
      </c>
      <c r="D31" s="10"/>
      <c r="E31" s="10"/>
      <c r="F31" s="10"/>
      <c r="G31" s="10"/>
      <c r="H31" s="38" t="s">
        <v>39</v>
      </c>
      <c r="I31" s="162">
        <f>J31*K31</f>
        <v>0</v>
      </c>
      <c r="J31" s="42"/>
      <c r="K31" s="39">
        <v>22.94</v>
      </c>
      <c r="L31" s="39"/>
      <c r="M31" s="40" t="str">
        <f>J31&amp;" hrs @ "&amp;K31</f>
        <v xml:space="preserve"> hrs @ 22.94</v>
      </c>
      <c r="N31" s="94"/>
      <c r="O31" s="234"/>
      <c r="P31" s="466"/>
      <c r="Q31" s="252"/>
      <c r="R31" s="184" t="s">
        <v>39</v>
      </c>
      <c r="S31" s="162">
        <f>T31*U31</f>
        <v>0</v>
      </c>
      <c r="T31" s="42"/>
      <c r="U31" s="39">
        <v>22.94</v>
      </c>
      <c r="V31" s="39"/>
      <c r="W31" s="40" t="str">
        <f>T31&amp;" hrs @ "&amp;U31</f>
        <v xml:space="preserve"> hrs @ 22.94</v>
      </c>
      <c r="X31" s="93"/>
      <c r="Y31" s="234"/>
      <c r="Z31" s="466"/>
      <c r="AA31" s="252"/>
      <c r="AB31" s="184" t="s">
        <v>39</v>
      </c>
      <c r="AC31" s="162">
        <f>AD31*AE31</f>
        <v>0</v>
      </c>
      <c r="AD31" s="42"/>
      <c r="AE31" s="39">
        <v>22.94</v>
      </c>
      <c r="AF31" s="39"/>
      <c r="AG31" s="40" t="str">
        <f>AD31&amp;" hrs @ "&amp;AE31</f>
        <v xml:space="preserve"> hrs @ 22.94</v>
      </c>
      <c r="AH31" s="94"/>
      <c r="AI31" s="242"/>
      <c r="AJ31" s="712">
        <f t="shared" ref="AJ31:AJ33" si="26">I31+S31+AC31</f>
        <v>0</v>
      </c>
      <c r="AK31" s="93"/>
    </row>
    <row r="32" spans="1:37" ht="15.75" x14ac:dyDescent="0.25">
      <c r="A32" s="299" t="s">
        <v>8</v>
      </c>
      <c r="B32" s="218" t="str">
        <f t="shared" si="0"/>
        <v>Account ServicesAnalyst Benefits</v>
      </c>
      <c r="C32" s="217" t="s">
        <v>48</v>
      </c>
      <c r="D32" s="10"/>
      <c r="E32" s="10"/>
      <c r="F32" s="10"/>
      <c r="G32" s="10"/>
      <c r="H32" s="38" t="s">
        <v>40</v>
      </c>
      <c r="I32" s="159">
        <f>I31*$O$2</f>
        <v>0</v>
      </c>
      <c r="J32" s="42"/>
      <c r="K32" s="39"/>
      <c r="L32" s="156"/>
      <c r="M32" s="45" t="str">
        <f>"@ "&amp;$O$2*100&amp;" %"</f>
        <v>@ 98.59 %</v>
      </c>
      <c r="N32" s="94"/>
      <c r="O32" s="234"/>
      <c r="P32" s="466"/>
      <c r="Q32" s="252"/>
      <c r="R32" s="184" t="s">
        <v>40</v>
      </c>
      <c r="S32" s="159">
        <f>S31*$O$2</f>
        <v>0</v>
      </c>
      <c r="T32" s="42"/>
      <c r="U32" s="39"/>
      <c r="V32" s="156"/>
      <c r="W32" s="45" t="str">
        <f>"@ "&amp;$O$2*100&amp;" %"</f>
        <v>@ 98.59 %</v>
      </c>
      <c r="X32" s="93"/>
      <c r="Y32" s="234"/>
      <c r="Z32" s="466"/>
      <c r="AA32" s="252"/>
      <c r="AB32" s="184" t="s">
        <v>40</v>
      </c>
      <c r="AC32" s="159">
        <f>AC31*$O$2</f>
        <v>0</v>
      </c>
      <c r="AD32" s="42"/>
      <c r="AE32" s="39"/>
      <c r="AF32" s="156"/>
      <c r="AG32" s="45" t="str">
        <f>"@ "&amp;$O$2*100&amp;" %"</f>
        <v>@ 98.59 %</v>
      </c>
      <c r="AH32" s="94"/>
      <c r="AI32" s="228"/>
      <c r="AJ32" s="712">
        <f t="shared" si="26"/>
        <v>0</v>
      </c>
      <c r="AK32" s="93"/>
    </row>
    <row r="33" spans="1:37" ht="15.75" x14ac:dyDescent="0.25">
      <c r="A33" s="299" t="s">
        <v>8</v>
      </c>
      <c r="B33" s="218" t="str">
        <f t="shared" si="0"/>
        <v>Account ServicesTotal IS</v>
      </c>
      <c r="C33" s="220" t="s">
        <v>50</v>
      </c>
      <c r="D33" s="10"/>
      <c r="E33" s="10"/>
      <c r="F33" s="10"/>
      <c r="G33" s="10"/>
      <c r="H33" s="49" t="s">
        <v>41</v>
      </c>
      <c r="I33" s="165">
        <f>I31+I32</f>
        <v>0</v>
      </c>
      <c r="J33" s="68"/>
      <c r="K33" s="68"/>
      <c r="L33" s="68"/>
      <c r="M33" s="66"/>
      <c r="N33" s="420">
        <f>I33</f>
        <v>0</v>
      </c>
      <c r="O33" s="233">
        <f>N33/N45</f>
        <v>0</v>
      </c>
      <c r="P33" s="466"/>
      <c r="Q33" s="252"/>
      <c r="R33" s="185" t="s">
        <v>41</v>
      </c>
      <c r="S33" s="165">
        <f>S31+S32</f>
        <v>0</v>
      </c>
      <c r="T33" s="68"/>
      <c r="U33" s="68"/>
      <c r="V33" s="68"/>
      <c r="W33" s="66"/>
      <c r="X33" s="52">
        <f>S33</f>
        <v>0</v>
      </c>
      <c r="Y33" s="233">
        <f>X33/X45</f>
        <v>0</v>
      </c>
      <c r="Z33" s="466"/>
      <c r="AA33" s="252"/>
      <c r="AB33" s="185" t="s">
        <v>41</v>
      </c>
      <c r="AC33" s="165">
        <f>AC31+AC32</f>
        <v>0</v>
      </c>
      <c r="AD33" s="68"/>
      <c r="AE33" s="68"/>
      <c r="AF33" s="68"/>
      <c r="AG33" s="66"/>
      <c r="AH33" s="420">
        <f>AC33</f>
        <v>0</v>
      </c>
      <c r="AI33" s="240">
        <f>AH33/AH45</f>
        <v>0</v>
      </c>
      <c r="AJ33" s="221">
        <f t="shared" si="26"/>
        <v>0</v>
      </c>
      <c r="AK33" s="52"/>
    </row>
    <row r="34" spans="1:37" ht="15.75" x14ac:dyDescent="0.25">
      <c r="A34" s="299" t="s">
        <v>8</v>
      </c>
      <c r="B34" s="218" t="str">
        <f t="shared" si="0"/>
        <v>Account Services</v>
      </c>
      <c r="C34" s="217" t="s">
        <v>48</v>
      </c>
      <c r="D34" s="10"/>
      <c r="E34" s="10"/>
      <c r="F34" s="10"/>
      <c r="G34" s="10"/>
      <c r="H34" s="54"/>
      <c r="I34" s="170"/>
      <c r="J34" s="95"/>
      <c r="K34" s="95"/>
      <c r="L34" s="95"/>
      <c r="M34" s="96"/>
      <c r="N34" s="98"/>
      <c r="O34" s="243"/>
      <c r="P34" s="467"/>
      <c r="Q34" s="253"/>
      <c r="R34" s="179"/>
      <c r="S34" s="170"/>
      <c r="T34" s="95"/>
      <c r="U34" s="95"/>
      <c r="V34" s="95"/>
      <c r="W34" s="96"/>
      <c r="X34" s="97"/>
      <c r="Y34" s="243"/>
      <c r="Z34" s="467"/>
      <c r="AA34" s="253"/>
      <c r="AB34" s="179"/>
      <c r="AC34" s="170"/>
      <c r="AD34" s="95"/>
      <c r="AE34" s="95"/>
      <c r="AF34" s="95"/>
      <c r="AG34" s="96"/>
      <c r="AH34" s="98"/>
      <c r="AI34" s="243"/>
      <c r="AJ34" s="713"/>
      <c r="AK34" s="97"/>
    </row>
    <row r="35" spans="1:37" ht="15.75" x14ac:dyDescent="0.25">
      <c r="A35" s="299" t="s">
        <v>8</v>
      </c>
      <c r="B35" s="218" t="str">
        <f t="shared" si="0"/>
        <v>Account ServicesOTHER</v>
      </c>
      <c r="C35" s="220" t="s">
        <v>50</v>
      </c>
      <c r="D35" s="10"/>
      <c r="E35" s="10"/>
      <c r="F35" s="10"/>
      <c r="G35" s="10"/>
      <c r="H35" s="61" t="s">
        <v>42</v>
      </c>
      <c r="I35" s="167"/>
      <c r="J35" s="74"/>
      <c r="K35" s="74"/>
      <c r="L35" s="74"/>
      <c r="M35" s="66"/>
      <c r="N35" s="91"/>
      <c r="O35" s="227"/>
      <c r="P35" s="466"/>
      <c r="Q35" s="252"/>
      <c r="R35" s="186" t="s">
        <v>42</v>
      </c>
      <c r="S35" s="167"/>
      <c r="T35" s="74"/>
      <c r="U35" s="74"/>
      <c r="V35" s="74"/>
      <c r="W35" s="66"/>
      <c r="X35" s="90"/>
      <c r="Y35" s="227"/>
      <c r="Z35" s="466"/>
      <c r="AA35" s="252"/>
      <c r="AB35" s="186" t="s">
        <v>42</v>
      </c>
      <c r="AC35" s="167"/>
      <c r="AD35" s="74"/>
      <c r="AE35" s="74"/>
      <c r="AF35" s="74"/>
      <c r="AG35" s="66"/>
      <c r="AH35" s="91"/>
      <c r="AI35" s="227"/>
      <c r="AJ35" s="711"/>
      <c r="AK35" s="90"/>
    </row>
    <row r="36" spans="1:37" ht="15.75" x14ac:dyDescent="0.25">
      <c r="A36" s="299" t="s">
        <v>8</v>
      </c>
      <c r="B36" s="218" t="str">
        <f t="shared" si="0"/>
        <v>Account ServicesPostage</v>
      </c>
      <c r="C36" s="217" t="s">
        <v>48</v>
      </c>
      <c r="D36" s="10"/>
      <c r="E36" s="10"/>
      <c r="F36" s="10"/>
      <c r="G36" s="10"/>
      <c r="H36" s="38" t="s">
        <v>229</v>
      </c>
      <c r="I36" s="163">
        <f>J36*K36</f>
        <v>2373145.5329999998</v>
      </c>
      <c r="J36" s="293">
        <v>0.89100000000000001</v>
      </c>
      <c r="K36" s="39">
        <v>2663463</v>
      </c>
      <c r="L36" s="42"/>
      <c r="M36" s="66"/>
      <c r="N36" s="91"/>
      <c r="O36" s="227"/>
      <c r="P36" s="466"/>
      <c r="Q36" s="252"/>
      <c r="R36" s="184" t="s">
        <v>229</v>
      </c>
      <c r="S36" s="163">
        <f>T36*U36</f>
        <v>279663.61499999999</v>
      </c>
      <c r="T36" s="293">
        <v>0.105</v>
      </c>
      <c r="U36" s="39">
        <v>2663463</v>
      </c>
      <c r="V36" s="42"/>
      <c r="W36" s="66"/>
      <c r="X36" s="90"/>
      <c r="Y36" s="227"/>
      <c r="Z36" s="466"/>
      <c r="AA36" s="252"/>
      <c r="AB36" s="184" t="s">
        <v>229</v>
      </c>
      <c r="AC36" s="163">
        <f>AD36*AE36</f>
        <v>10653.852000000001</v>
      </c>
      <c r="AD36" s="293">
        <v>4.0000000000000001E-3</v>
      </c>
      <c r="AE36" s="39">
        <v>2663463</v>
      </c>
      <c r="AF36" s="42"/>
      <c r="AG36" s="66"/>
      <c r="AH36" s="91"/>
      <c r="AI36" s="227"/>
      <c r="AJ36" s="711">
        <f t="shared" ref="AJ36:AJ41" si="27">I36+S36+AC36</f>
        <v>2663463</v>
      </c>
      <c r="AK36" s="90"/>
    </row>
    <row r="37" spans="1:37" ht="15.75" x14ac:dyDescent="0.25">
      <c r="A37" s="299" t="s">
        <v>8</v>
      </c>
      <c r="B37" s="218" t="str">
        <f t="shared" si="0"/>
        <v>Account ServicesEnvelopes</v>
      </c>
      <c r="C37" s="217" t="s">
        <v>48</v>
      </c>
      <c r="D37" s="10"/>
      <c r="E37" s="10"/>
      <c r="F37" s="10"/>
      <c r="G37" s="10"/>
      <c r="H37" s="38" t="s">
        <v>230</v>
      </c>
      <c r="I37" s="163">
        <f t="shared" ref="I37:I41" si="28">J37*K37</f>
        <v>157617.9</v>
      </c>
      <c r="J37" s="293">
        <f>+J36</f>
        <v>0.89100000000000001</v>
      </c>
      <c r="K37" s="39">
        <v>176900</v>
      </c>
      <c r="L37" s="42"/>
      <c r="M37" s="66"/>
      <c r="N37" s="91"/>
      <c r="O37" s="227"/>
      <c r="P37" s="466"/>
      <c r="Q37" s="252"/>
      <c r="R37" s="184" t="s">
        <v>230</v>
      </c>
      <c r="S37" s="163">
        <f t="shared" ref="S37:S41" si="29">T37*U37</f>
        <v>18574.5</v>
      </c>
      <c r="T37" s="293">
        <f>+T36</f>
        <v>0.105</v>
      </c>
      <c r="U37" s="39">
        <v>176900</v>
      </c>
      <c r="V37" s="42"/>
      <c r="W37" s="66"/>
      <c r="X37" s="90"/>
      <c r="Y37" s="227"/>
      <c r="Z37" s="466"/>
      <c r="AA37" s="252"/>
      <c r="AB37" s="184" t="s">
        <v>230</v>
      </c>
      <c r="AC37" s="163">
        <f t="shared" ref="AC37:AC41" si="30">AD37*AE37</f>
        <v>707.6</v>
      </c>
      <c r="AD37" s="293">
        <f>+AD36</f>
        <v>4.0000000000000001E-3</v>
      </c>
      <c r="AE37" s="39">
        <v>176900</v>
      </c>
      <c r="AF37" s="42"/>
      <c r="AG37" s="66"/>
      <c r="AH37" s="91"/>
      <c r="AI37" s="227"/>
      <c r="AJ37" s="711">
        <f t="shared" si="27"/>
        <v>176900</v>
      </c>
      <c r="AK37" s="90"/>
    </row>
    <row r="38" spans="1:37" ht="15.75" x14ac:dyDescent="0.25">
      <c r="A38" s="299" t="s">
        <v>8</v>
      </c>
      <c r="B38" s="218" t="str">
        <f t="shared" si="0"/>
        <v>Account ServicesBill  Stock</v>
      </c>
      <c r="C38" s="217" t="s">
        <v>48</v>
      </c>
      <c r="D38" s="10"/>
      <c r="E38" s="10"/>
      <c r="F38" s="10"/>
      <c r="G38" s="10"/>
      <c r="H38" s="38" t="s">
        <v>231</v>
      </c>
      <c r="I38" s="163">
        <f t="shared" si="28"/>
        <v>135426.65400000001</v>
      </c>
      <c r="J38" s="293">
        <f>+J36</f>
        <v>0.89100000000000001</v>
      </c>
      <c r="K38" s="39">
        <v>151994</v>
      </c>
      <c r="L38" s="42"/>
      <c r="M38" s="66"/>
      <c r="N38" s="91"/>
      <c r="O38" s="227"/>
      <c r="P38" s="466"/>
      <c r="Q38" s="252"/>
      <c r="R38" s="184" t="s">
        <v>231</v>
      </c>
      <c r="S38" s="163">
        <f t="shared" si="29"/>
        <v>15959.369999999999</v>
      </c>
      <c r="T38" s="293">
        <f>+T36</f>
        <v>0.105</v>
      </c>
      <c r="U38" s="39">
        <v>151994</v>
      </c>
      <c r="V38" s="42"/>
      <c r="W38" s="66"/>
      <c r="X38" s="90"/>
      <c r="Y38" s="227"/>
      <c r="Z38" s="466"/>
      <c r="AA38" s="252"/>
      <c r="AB38" s="184" t="s">
        <v>231</v>
      </c>
      <c r="AC38" s="163">
        <f t="shared" si="30"/>
        <v>607.976</v>
      </c>
      <c r="AD38" s="293">
        <f>+AD36</f>
        <v>4.0000000000000001E-3</v>
      </c>
      <c r="AE38" s="39">
        <v>151994</v>
      </c>
      <c r="AF38" s="42"/>
      <c r="AG38" s="66"/>
      <c r="AH38" s="91"/>
      <c r="AI38" s="227"/>
      <c r="AJ38" s="711">
        <f t="shared" si="27"/>
        <v>151994</v>
      </c>
      <c r="AK38" s="90"/>
    </row>
    <row r="39" spans="1:37" ht="15.75" x14ac:dyDescent="0.25">
      <c r="A39" s="299" t="s">
        <v>8</v>
      </c>
      <c r="B39" s="218" t="str">
        <f t="shared" si="0"/>
        <v>Account ServicesRefund Check Stock</v>
      </c>
      <c r="C39" s="217" t="s">
        <v>48</v>
      </c>
      <c r="D39" s="10"/>
      <c r="E39" s="10"/>
      <c r="F39" s="10"/>
      <c r="G39" s="10"/>
      <c r="H39" s="38" t="s">
        <v>237</v>
      </c>
      <c r="I39" s="163">
        <f t="shared" si="28"/>
        <v>1328.1</v>
      </c>
      <c r="J39" s="293">
        <v>0.95</v>
      </c>
      <c r="K39" s="39">
        <v>1398</v>
      </c>
      <c r="L39" s="42"/>
      <c r="M39" s="66"/>
      <c r="N39" s="91"/>
      <c r="O39" s="227"/>
      <c r="P39" s="466"/>
      <c r="Q39" s="252"/>
      <c r="R39" s="184" t="s">
        <v>237</v>
      </c>
      <c r="S39" s="163">
        <f t="shared" si="29"/>
        <v>69.900000000000006</v>
      </c>
      <c r="T39" s="293">
        <v>0.05</v>
      </c>
      <c r="U39" s="39">
        <v>1398</v>
      </c>
      <c r="V39" s="42"/>
      <c r="W39" s="66"/>
      <c r="X39" s="90"/>
      <c r="Y39" s="227"/>
      <c r="Z39" s="466"/>
      <c r="AA39" s="252"/>
      <c r="AB39" s="184" t="s">
        <v>237</v>
      </c>
      <c r="AC39" s="163">
        <f t="shared" si="30"/>
        <v>0</v>
      </c>
      <c r="AD39" s="42">
        <v>0</v>
      </c>
      <c r="AE39" s="39">
        <v>1398</v>
      </c>
      <c r="AF39" s="42"/>
      <c r="AG39" s="66"/>
      <c r="AH39" s="91"/>
      <c r="AI39" s="227"/>
      <c r="AJ39" s="711">
        <f t="shared" si="27"/>
        <v>1398</v>
      </c>
      <c r="AK39" s="90"/>
    </row>
    <row r="40" spans="1:37" ht="15.75" x14ac:dyDescent="0.25">
      <c r="A40" s="299" t="s">
        <v>8</v>
      </c>
      <c r="B40" s="218" t="str">
        <f t="shared" si="0"/>
        <v>Account ServicesAWIS</v>
      </c>
      <c r="C40" s="217" t="s">
        <v>48</v>
      </c>
      <c r="D40" s="10"/>
      <c r="E40" s="10"/>
      <c r="F40" s="10"/>
      <c r="G40" s="10"/>
      <c r="H40" s="38" t="s">
        <v>285</v>
      </c>
      <c r="I40" s="163">
        <f t="shared" si="28"/>
        <v>2440.8000000000002</v>
      </c>
      <c r="J40" s="293">
        <v>0.90400000000000003</v>
      </c>
      <c r="K40" s="39">
        <v>2700</v>
      </c>
      <c r="L40" s="42"/>
      <c r="M40" s="66"/>
      <c r="N40" s="91"/>
      <c r="O40" s="227"/>
      <c r="P40" s="466"/>
      <c r="Q40" s="252"/>
      <c r="R40" s="184" t="s">
        <v>285</v>
      </c>
      <c r="S40" s="163">
        <f t="shared" si="29"/>
        <v>251.1</v>
      </c>
      <c r="T40" s="293">
        <v>9.2999999999999999E-2</v>
      </c>
      <c r="U40" s="39">
        <v>2700</v>
      </c>
      <c r="V40" s="42"/>
      <c r="W40" s="66"/>
      <c r="X40" s="90"/>
      <c r="Y40" s="227"/>
      <c r="Z40" s="466"/>
      <c r="AA40" s="252"/>
      <c r="AB40" s="184" t="s">
        <v>285</v>
      </c>
      <c r="AC40" s="163">
        <f t="shared" si="30"/>
        <v>8.1</v>
      </c>
      <c r="AD40" s="293">
        <v>3.0000000000000001E-3</v>
      </c>
      <c r="AE40" s="39">
        <v>2700</v>
      </c>
      <c r="AF40" s="42"/>
      <c r="AG40" s="66"/>
      <c r="AH40" s="91"/>
      <c r="AI40" s="227"/>
      <c r="AJ40" s="711">
        <f t="shared" si="27"/>
        <v>2700</v>
      </c>
      <c r="AK40" s="90"/>
    </row>
    <row r="41" spans="1:37" ht="15.75" x14ac:dyDescent="0.25">
      <c r="A41" s="299" t="s">
        <v>8</v>
      </c>
      <c r="B41" s="218" t="str">
        <f t="shared" si="0"/>
        <v>Account ServicesMisc</v>
      </c>
      <c r="C41" s="217" t="s">
        <v>48</v>
      </c>
      <c r="D41" s="10"/>
      <c r="E41" s="10"/>
      <c r="F41" s="10"/>
      <c r="G41" s="10"/>
      <c r="H41" s="38" t="s">
        <v>238</v>
      </c>
      <c r="I41" s="163">
        <f t="shared" si="28"/>
        <v>10793.7</v>
      </c>
      <c r="J41" s="294">
        <v>0.89500000000000002</v>
      </c>
      <c r="K41" s="82">
        <v>12060</v>
      </c>
      <c r="L41" s="67"/>
      <c r="M41" s="177"/>
      <c r="N41" s="94"/>
      <c r="O41" s="228"/>
      <c r="P41" s="466"/>
      <c r="Q41" s="252"/>
      <c r="R41" s="184" t="s">
        <v>238</v>
      </c>
      <c r="S41" s="163">
        <f t="shared" si="29"/>
        <v>1266.3</v>
      </c>
      <c r="T41" s="294">
        <v>0.105</v>
      </c>
      <c r="U41" s="82">
        <v>12060</v>
      </c>
      <c r="V41" s="67"/>
      <c r="W41" s="177"/>
      <c r="X41" s="93"/>
      <c r="Y41" s="228"/>
      <c r="Z41" s="466"/>
      <c r="AA41" s="252"/>
      <c r="AB41" s="184" t="s">
        <v>238</v>
      </c>
      <c r="AC41" s="163">
        <f t="shared" si="30"/>
        <v>0</v>
      </c>
      <c r="AD41" s="82">
        <v>0</v>
      </c>
      <c r="AE41" s="82">
        <v>12060</v>
      </c>
      <c r="AF41" s="67"/>
      <c r="AG41" s="177"/>
      <c r="AH41" s="94"/>
      <c r="AI41" s="228"/>
      <c r="AJ41" s="712">
        <f t="shared" si="27"/>
        <v>12060</v>
      </c>
      <c r="AK41" s="93"/>
    </row>
    <row r="42" spans="1:37" ht="15.75" x14ac:dyDescent="0.25">
      <c r="A42" s="299" t="s">
        <v>8</v>
      </c>
      <c r="B42" s="218" t="str">
        <f t="shared" si="0"/>
        <v>Account ServicesTotal Other</v>
      </c>
      <c r="C42" s="220" t="s">
        <v>50</v>
      </c>
      <c r="D42" s="10"/>
      <c r="E42" s="116">
        <f>I42</f>
        <v>2680752.6869999999</v>
      </c>
      <c r="F42" s="116">
        <f>S42</f>
        <v>315784.78499999997</v>
      </c>
      <c r="G42" s="116">
        <f>AC42</f>
        <v>11977.528000000002</v>
      </c>
      <c r="H42" s="30" t="s">
        <v>45</v>
      </c>
      <c r="I42" s="209">
        <f>SUM(I36:I41)</f>
        <v>2680752.6869999999</v>
      </c>
      <c r="J42" s="152"/>
      <c r="K42" s="152"/>
      <c r="L42" s="152"/>
      <c r="M42" s="86"/>
      <c r="N42" s="210">
        <f>I42</f>
        <v>2680752.6869999999</v>
      </c>
      <c r="O42" s="244">
        <f>N42/N45</f>
        <v>0.77886182643635493</v>
      </c>
      <c r="P42" s="467"/>
      <c r="Q42" s="253"/>
      <c r="R42" s="134" t="s">
        <v>45</v>
      </c>
      <c r="S42" s="209">
        <f>SUM(S36:S41)</f>
        <v>315784.78499999997</v>
      </c>
      <c r="T42" s="152"/>
      <c r="U42" s="152"/>
      <c r="V42" s="152"/>
      <c r="W42" s="86"/>
      <c r="X42" s="210">
        <f>S42</f>
        <v>315784.78499999997</v>
      </c>
      <c r="Y42" s="244">
        <f>X42/X45</f>
        <v>0.80282939340322979</v>
      </c>
      <c r="Z42" s="467"/>
      <c r="AA42" s="253"/>
      <c r="AB42" s="134" t="s">
        <v>45</v>
      </c>
      <c r="AC42" s="209">
        <f>SUM(AC36:AC41)</f>
        <v>11977.528000000002</v>
      </c>
      <c r="AD42" s="152"/>
      <c r="AE42" s="152"/>
      <c r="AF42" s="152"/>
      <c r="AG42" s="86"/>
      <c r="AH42" s="210">
        <f>AC42</f>
        <v>11977.528000000002</v>
      </c>
      <c r="AI42" s="244">
        <f>AH42/AH45</f>
        <v>1</v>
      </c>
      <c r="AJ42" s="210">
        <f>I42+S42+AC42</f>
        <v>3008515</v>
      </c>
      <c r="AK42" s="210"/>
    </row>
    <row r="43" spans="1:37" ht="15.75" x14ac:dyDescent="0.25">
      <c r="A43" s="299" t="s">
        <v>8</v>
      </c>
      <c r="B43" s="218" t="str">
        <f t="shared" si="0"/>
        <v>Account Services</v>
      </c>
      <c r="C43" s="217" t="s">
        <v>48</v>
      </c>
      <c r="D43" s="10"/>
      <c r="E43" s="10"/>
      <c r="F43" s="10"/>
      <c r="G43" s="10"/>
      <c r="H43" s="121"/>
      <c r="I43" s="171"/>
      <c r="J43" s="153"/>
      <c r="K43" s="153"/>
      <c r="L43" s="153"/>
      <c r="M43" s="66"/>
      <c r="N43" s="91"/>
      <c r="O43" s="135"/>
      <c r="P43" s="466"/>
      <c r="Q43" s="252"/>
      <c r="R43" s="135"/>
      <c r="S43" s="171"/>
      <c r="T43" s="153"/>
      <c r="U43" s="153"/>
      <c r="V43" s="153"/>
      <c r="W43" s="66"/>
      <c r="X43" s="90"/>
      <c r="Y43" s="135"/>
      <c r="Z43" s="466"/>
      <c r="AA43" s="252"/>
      <c r="AB43" s="135"/>
      <c r="AC43" s="171"/>
      <c r="AD43" s="153"/>
      <c r="AE43" s="153"/>
      <c r="AF43" s="153"/>
      <c r="AG43" s="66"/>
      <c r="AH43" s="91"/>
      <c r="AI43" s="135"/>
      <c r="AJ43" s="711"/>
      <c r="AK43" s="90"/>
    </row>
    <row r="44" spans="1:37" ht="15.75" x14ac:dyDescent="0.25">
      <c r="A44" s="299" t="s">
        <v>8</v>
      </c>
      <c r="B44" s="218" t="str">
        <f t="shared" si="0"/>
        <v>Account ServicesTOTALS</v>
      </c>
      <c r="C44" s="217" t="s">
        <v>48</v>
      </c>
      <c r="D44" s="10"/>
      <c r="E44" s="10"/>
      <c r="F44" s="10"/>
      <c r="G44" s="10"/>
      <c r="H44" s="35" t="s">
        <v>28</v>
      </c>
      <c r="I44" s="172"/>
      <c r="J44" s="42"/>
      <c r="K44" s="39"/>
      <c r="L44" s="154"/>
      <c r="M44" s="33"/>
      <c r="N44" s="91"/>
      <c r="O44" s="136"/>
      <c r="P44" s="466"/>
      <c r="Q44" s="252"/>
      <c r="R44" s="136" t="s">
        <v>28</v>
      </c>
      <c r="S44" s="172"/>
      <c r="T44" s="42"/>
      <c r="U44" s="39"/>
      <c r="V44" s="154"/>
      <c r="W44" s="33"/>
      <c r="X44" s="90"/>
      <c r="Y44" s="136"/>
      <c r="Z44" s="466"/>
      <c r="AA44" s="252"/>
      <c r="AB44" s="136" t="s">
        <v>28</v>
      </c>
      <c r="AC44" s="172"/>
      <c r="AD44" s="42"/>
      <c r="AE44" s="39"/>
      <c r="AF44" s="154"/>
      <c r="AG44" s="33"/>
      <c r="AH44" s="91"/>
      <c r="AI44" s="136"/>
      <c r="AJ44" s="711"/>
      <c r="AK44" s="90"/>
    </row>
    <row r="45" spans="1:37" ht="15.75" x14ac:dyDescent="0.25">
      <c r="A45" s="299" t="s">
        <v>8</v>
      </c>
      <c r="B45" s="218" t="str">
        <f t="shared" si="0"/>
        <v>Account ServicesPER YEAR</v>
      </c>
      <c r="C45" s="220" t="s">
        <v>50</v>
      </c>
      <c r="D45" s="10"/>
      <c r="E45" s="116">
        <f>I45</f>
        <v>3441884.8067899998</v>
      </c>
      <c r="F45" s="116">
        <f>S45</f>
        <v>393339.83981499996</v>
      </c>
      <c r="G45" s="116">
        <f>S45</f>
        <v>393339.83981499996</v>
      </c>
      <c r="H45" s="105" t="s">
        <v>46</v>
      </c>
      <c r="I45" s="106">
        <f>I14+I21+I28+I33+I42</f>
        <v>3441884.8067899998</v>
      </c>
      <c r="J45" s="106"/>
      <c r="K45" s="106"/>
      <c r="L45" s="106"/>
      <c r="M45" s="107"/>
      <c r="N45" s="420">
        <f>SUM(N14:N43)</f>
        <v>3441884.8067899998</v>
      </c>
      <c r="O45" s="233">
        <f>SUM(O14:O43)</f>
        <v>1</v>
      </c>
      <c r="P45" s="466"/>
      <c r="Q45" s="252"/>
      <c r="R45" s="190" t="s">
        <v>46</v>
      </c>
      <c r="S45" s="106">
        <f>S14+S21+S28+S33+S42</f>
        <v>393339.83981499996</v>
      </c>
      <c r="T45" s="106"/>
      <c r="U45" s="106"/>
      <c r="V45" s="106"/>
      <c r="W45" s="107"/>
      <c r="X45" s="52">
        <f>SUM(X14:X43)</f>
        <v>393339.83981499996</v>
      </c>
      <c r="Y45" s="233">
        <f>SUM(Y14:Y43)</f>
        <v>1</v>
      </c>
      <c r="Z45" s="466"/>
      <c r="AA45" s="252"/>
      <c r="AB45" s="190" t="s">
        <v>46</v>
      </c>
      <c r="AC45" s="106">
        <f>AC14+AC21+AC28+AC33+AC42</f>
        <v>11977.528000000002</v>
      </c>
      <c r="AD45" s="106"/>
      <c r="AE45" s="106"/>
      <c r="AF45" s="106"/>
      <c r="AG45" s="107"/>
      <c r="AH45" s="420">
        <f>SUM(AH14:AH43)</f>
        <v>11977.528000000002</v>
      </c>
      <c r="AI45" s="233">
        <f>SUM(AI14:AI43)</f>
        <v>1</v>
      </c>
      <c r="AJ45" s="221">
        <f>I45+S45+AC45</f>
        <v>3847202.1746049998</v>
      </c>
      <c r="AK45" s="52"/>
    </row>
    <row r="46" spans="1:37" ht="15.75" x14ac:dyDescent="0.25">
      <c r="A46" s="299" t="s">
        <v>8</v>
      </c>
      <c r="B46" s="218" t="str">
        <f t="shared" si="0"/>
        <v>Account ServicesPER BILL</v>
      </c>
      <c r="C46" s="220" t="s">
        <v>50</v>
      </c>
      <c r="D46" s="10"/>
      <c r="E46" s="10"/>
      <c r="F46" s="10"/>
      <c r="G46" s="10"/>
      <c r="H46" s="137" t="s">
        <v>283</v>
      </c>
      <c r="I46" s="108">
        <f>I45/I$6</f>
        <v>0.44216964913653273</v>
      </c>
      <c r="J46" s="108"/>
      <c r="K46" s="108"/>
      <c r="L46" s="108"/>
      <c r="M46" s="109"/>
      <c r="N46" s="98"/>
      <c r="O46" s="245"/>
      <c r="P46" s="467"/>
      <c r="Q46" s="253"/>
      <c r="R46" s="137" t="s">
        <v>283</v>
      </c>
      <c r="S46" s="108">
        <f>S45/S$6</f>
        <v>0.51632546844603477</v>
      </c>
      <c r="T46" s="108"/>
      <c r="U46" s="108"/>
      <c r="V46" s="108"/>
      <c r="W46" s="109"/>
      <c r="X46" s="97"/>
      <c r="Y46" s="245"/>
      <c r="Z46" s="467"/>
      <c r="AA46" s="253"/>
      <c r="AB46" s="137" t="s">
        <v>283</v>
      </c>
      <c r="AC46" s="108">
        <f>AC45/AC$6</f>
        <v>0.47801125434010466</v>
      </c>
      <c r="AD46" s="108"/>
      <c r="AE46" s="108"/>
      <c r="AF46" s="108"/>
      <c r="AG46" s="109"/>
      <c r="AH46" s="98"/>
      <c r="AI46" s="245"/>
      <c r="AJ46" s="713">
        <f>I46+S46+AC46</f>
        <v>1.4365063719226723</v>
      </c>
      <c r="AK46" s="97"/>
    </row>
    <row r="47" spans="1:37" ht="15.75" x14ac:dyDescent="0.25">
      <c r="A47" s="299" t="s">
        <v>8</v>
      </c>
      <c r="B47" s="218"/>
      <c r="C47" s="220"/>
      <c r="D47" s="10"/>
      <c r="E47" s="10"/>
      <c r="F47" s="10"/>
      <c r="G47" s="10"/>
      <c r="H47" s="137" t="s">
        <v>553</v>
      </c>
      <c r="I47" s="652">
        <f>I14+I21</f>
        <v>761132.11979000003</v>
      </c>
      <c r="J47" s="108"/>
      <c r="K47" s="108"/>
      <c r="L47" s="108"/>
      <c r="M47" s="109"/>
      <c r="N47" s="649"/>
      <c r="O47" s="650"/>
      <c r="P47" s="92"/>
      <c r="Q47" s="37"/>
      <c r="R47" s="137" t="s">
        <v>553</v>
      </c>
      <c r="S47" s="652">
        <f>S14+S21</f>
        <v>77555.054814999996</v>
      </c>
      <c r="T47" s="108"/>
      <c r="U47" s="108"/>
      <c r="V47" s="108"/>
      <c r="W47" s="109"/>
      <c r="X47" s="651"/>
      <c r="Y47" s="650"/>
      <c r="Z47" s="92"/>
      <c r="AA47" s="37"/>
      <c r="AB47" s="137" t="s">
        <v>553</v>
      </c>
      <c r="AC47" s="652">
        <f>AC14+AC21</f>
        <v>0</v>
      </c>
      <c r="AD47" s="108"/>
      <c r="AE47" s="108"/>
      <c r="AF47" s="108"/>
      <c r="AG47" s="109"/>
      <c r="AH47" s="649"/>
      <c r="AI47" s="137"/>
      <c r="AJ47" s="709">
        <f>I47+S47+AC47</f>
        <v>838687.17460500007</v>
      </c>
      <c r="AK47" s="651"/>
    </row>
    <row r="48" spans="1:37" ht="15.75" x14ac:dyDescent="0.25">
      <c r="A48" s="299" t="s">
        <v>8</v>
      </c>
      <c r="B48" s="218"/>
      <c r="C48" s="220"/>
      <c r="D48" s="10"/>
      <c r="E48" s="10"/>
      <c r="F48" s="10"/>
      <c r="G48" s="10"/>
      <c r="H48" s="137" t="s">
        <v>554</v>
      </c>
      <c r="I48" s="652">
        <f>I42+I33+I28</f>
        <v>2680752.6869999999</v>
      </c>
      <c r="J48" s="108"/>
      <c r="K48" s="652"/>
      <c r="L48" s="108"/>
      <c r="M48" s="109"/>
      <c r="N48" s="649"/>
      <c r="O48" s="650"/>
      <c r="P48" s="92"/>
      <c r="Q48" s="37"/>
      <c r="R48" s="137" t="s">
        <v>554</v>
      </c>
      <c r="S48" s="652">
        <f>S42+S33+S28</f>
        <v>315784.78499999997</v>
      </c>
      <c r="T48" s="108"/>
      <c r="U48" s="652"/>
      <c r="V48" s="108"/>
      <c r="W48" s="109"/>
      <c r="X48" s="651"/>
      <c r="Y48" s="650"/>
      <c r="Z48" s="92"/>
      <c r="AA48" s="37"/>
      <c r="AB48" s="137" t="s">
        <v>554</v>
      </c>
      <c r="AC48" s="652">
        <f>AC42+AC33+AC28</f>
        <v>11977.528000000002</v>
      </c>
      <c r="AD48" s="108"/>
      <c r="AE48" s="652"/>
      <c r="AF48" s="108"/>
      <c r="AG48" s="109"/>
      <c r="AH48" s="649"/>
      <c r="AI48" s="137"/>
      <c r="AJ48" s="709">
        <f>I48+S48+AC48</f>
        <v>3008515</v>
      </c>
      <c r="AK48" s="651"/>
    </row>
    <row r="49" spans="1:37" ht="15.75" x14ac:dyDescent="0.25">
      <c r="A49" s="299" t="s">
        <v>8</v>
      </c>
      <c r="B49" s="218"/>
      <c r="C49" s="220"/>
      <c r="D49" s="10"/>
      <c r="E49" s="10"/>
      <c r="F49" s="10"/>
      <c r="G49" s="10"/>
      <c r="H49" s="137" t="s">
        <v>552</v>
      </c>
      <c r="I49" s="652">
        <f>I45</f>
        <v>3441884.8067899998</v>
      </c>
      <c r="J49" s="108"/>
      <c r="K49" s="108"/>
      <c r="L49" s="108"/>
      <c r="M49" s="109"/>
      <c r="N49" s="649"/>
      <c r="O49" s="650"/>
      <c r="P49" s="92"/>
      <c r="Q49" s="37"/>
      <c r="R49" s="137" t="s">
        <v>552</v>
      </c>
      <c r="S49" s="652">
        <f>S45</f>
        <v>393339.83981499996</v>
      </c>
      <c r="T49" s="108"/>
      <c r="U49" s="108"/>
      <c r="V49" s="108"/>
      <c r="W49" s="109"/>
      <c r="X49" s="651"/>
      <c r="Y49" s="650"/>
      <c r="Z49" s="92"/>
      <c r="AA49" s="37"/>
      <c r="AB49" s="137" t="s">
        <v>552</v>
      </c>
      <c r="AC49" s="652">
        <f>AC45</f>
        <v>11977.528000000002</v>
      </c>
      <c r="AD49" s="108"/>
      <c r="AE49" s="108"/>
      <c r="AF49" s="108"/>
      <c r="AG49" s="109"/>
      <c r="AH49" s="649"/>
      <c r="AI49" s="137"/>
      <c r="AJ49" s="709">
        <f>I49+S49+AC49</f>
        <v>3847202.1746049998</v>
      </c>
      <c r="AK49" s="651"/>
    </row>
    <row r="50" spans="1:37" ht="173.25" x14ac:dyDescent="0.25">
      <c r="A50" s="299" t="s">
        <v>4</v>
      </c>
      <c r="B50" s="218" t="str">
        <f t="shared" si="0"/>
        <v>Contact CenterLABOR: NON-SUPERVISORY</v>
      </c>
      <c r="C50" s="12" t="s">
        <v>4</v>
      </c>
      <c r="D50" s="10" t="str">
        <f>'2015Summary METER to CASH (Base'!G12</f>
        <v xml:space="preserve">* Respond to customer billing questions
* Request for rebill to accounting
* Work non-delivered e-bills
* Work non-deliverable mailed bills
* Review daily temperature values
</v>
      </c>
      <c r="E50" s="133">
        <f>N93</f>
        <v>2733598.0414367509</v>
      </c>
      <c r="F50" s="133">
        <f>X93</f>
        <v>267529.47740719659</v>
      </c>
      <c r="G50" s="133">
        <f>AC93</f>
        <v>8799.4661572527966</v>
      </c>
      <c r="H50" s="182" t="s">
        <v>31</v>
      </c>
      <c r="I50" s="157"/>
      <c r="J50" s="302">
        <v>1800</v>
      </c>
      <c r="K50" s="302" t="s">
        <v>295</v>
      </c>
      <c r="L50" s="118"/>
      <c r="M50" s="119"/>
      <c r="N50" s="121"/>
      <c r="O50" s="136"/>
      <c r="P50" s="456"/>
      <c r="Q50" s="248"/>
      <c r="R50" s="183" t="s">
        <v>31</v>
      </c>
      <c r="S50" s="157"/>
      <c r="T50" s="302">
        <v>1800</v>
      </c>
      <c r="U50" s="302" t="s">
        <v>295</v>
      </c>
      <c r="V50" s="118"/>
      <c r="W50" s="119"/>
      <c r="X50" s="120"/>
      <c r="Y50" s="136"/>
      <c r="Z50" s="456"/>
      <c r="AA50" s="248"/>
      <c r="AB50" s="183" t="s">
        <v>31</v>
      </c>
      <c r="AC50" s="157"/>
      <c r="AD50" s="302">
        <v>1800</v>
      </c>
      <c r="AE50" s="302" t="s">
        <v>295</v>
      </c>
      <c r="AF50" s="118"/>
      <c r="AG50" s="119"/>
      <c r="AH50" s="121"/>
      <c r="AI50" s="136"/>
      <c r="AJ50" s="705"/>
      <c r="AK50" s="120"/>
    </row>
    <row r="51" spans="1:37" ht="22.5" x14ac:dyDescent="0.35">
      <c r="A51" s="299" t="s">
        <v>4</v>
      </c>
      <c r="B51" s="218" t="str">
        <f t="shared" si="0"/>
        <v>Contact CenterCust Svc 3/Operat Sppt 2  (4)</v>
      </c>
      <c r="C51" s="5" t="s">
        <v>48</v>
      </c>
      <c r="D51" s="10"/>
      <c r="E51" s="10"/>
      <c r="F51" s="10"/>
      <c r="G51" s="10"/>
      <c r="H51" s="38" t="s">
        <v>290</v>
      </c>
      <c r="I51" s="163">
        <f>J51*K51</f>
        <v>58737.201534607913</v>
      </c>
      <c r="J51" s="42">
        <f>((J50)*4*L51)*(I$6/($I$6+$S$6+$AC$6))</f>
        <v>2157.8692701913269</v>
      </c>
      <c r="K51" s="39">
        <v>27.22</v>
      </c>
      <c r="L51" s="304">
        <f>$S$1</f>
        <v>0.33</v>
      </c>
      <c r="M51" s="40" t="str">
        <f>ROUND(J51,0)&amp;" hrs @ "&amp;K51</f>
        <v>2158 hrs @ 27.22</v>
      </c>
      <c r="N51" s="35"/>
      <c r="O51" s="136"/>
      <c r="P51" s="457"/>
      <c r="Q51" s="249"/>
      <c r="R51" s="184" t="s">
        <v>290</v>
      </c>
      <c r="S51" s="163">
        <f>T51*U51</f>
        <v>5748.4431115028747</v>
      </c>
      <c r="T51" s="42">
        <f>((T50)*4*V51)*(S$6/($I$6+$S$6+$AC$6))</f>
        <v>211.18453752765888</v>
      </c>
      <c r="U51" s="39">
        <v>27.22</v>
      </c>
      <c r="V51" s="304">
        <f>$S$1</f>
        <v>0.33</v>
      </c>
      <c r="W51" s="40" t="str">
        <f>ROUND(T51,0)&amp;" hrs @ "&amp;U51</f>
        <v>211 hrs @ 27.22</v>
      </c>
      <c r="X51" s="34"/>
      <c r="Y51" s="136"/>
      <c r="Z51" s="457"/>
      <c r="AA51" s="249"/>
      <c r="AB51" s="184" t="s">
        <v>290</v>
      </c>
      <c r="AC51" s="163">
        <f>AD51*AE51</f>
        <v>189.07535388921525</v>
      </c>
      <c r="AD51" s="42">
        <f>((AD50)*4*AF51)*(AC$6/($I$6+$S$6+$AC$6))</f>
        <v>6.9461922810145209</v>
      </c>
      <c r="AE51" s="39">
        <v>27.22</v>
      </c>
      <c r="AF51" s="304">
        <f>$S$1</f>
        <v>0.33</v>
      </c>
      <c r="AG51" s="40" t="str">
        <f>ROUND(AD51,0)&amp;" hrs @ "&amp;AE51</f>
        <v>7 hrs @ 27.22</v>
      </c>
      <c r="AH51" s="35"/>
      <c r="AI51" s="136"/>
      <c r="AJ51" s="706">
        <f t="shared" ref="AJ51:AJ58" si="31">I51+S51+AC51</f>
        <v>64674.720000000001</v>
      </c>
      <c r="AK51" s="34"/>
    </row>
    <row r="52" spans="1:37" ht="22.5" x14ac:dyDescent="0.35">
      <c r="A52" s="299" t="s">
        <v>4</v>
      </c>
      <c r="B52" s="218" t="str">
        <f t="shared" si="0"/>
        <v>Contact CenterCustomer Service 2  (34)</v>
      </c>
      <c r="C52" s="5" t="s">
        <v>48</v>
      </c>
      <c r="D52" s="10"/>
      <c r="E52" s="10"/>
      <c r="F52" s="10"/>
      <c r="G52" s="10"/>
      <c r="H52" s="38" t="s">
        <v>291</v>
      </c>
      <c r="I52" s="163">
        <f>J52*K52</f>
        <v>426815.75229749345</v>
      </c>
      <c r="J52" s="42">
        <f>((J50)*34*L52)*(I$6/($I$6+$S$6+$AC$6))</f>
        <v>18341.888796626277</v>
      </c>
      <c r="K52" s="39">
        <v>23.27</v>
      </c>
      <c r="L52" s="304">
        <f>$S$1</f>
        <v>0.33</v>
      </c>
      <c r="M52" s="40" t="str">
        <f t="shared" ref="M52:M55" si="32">ROUND(J52,0)&amp;" hrs @ "&amp;K52</f>
        <v>18342 hrs @ 23.27</v>
      </c>
      <c r="N52" s="35"/>
      <c r="O52" s="136"/>
      <c r="P52" s="457"/>
      <c r="Q52" s="250"/>
      <c r="R52" s="184" t="s">
        <v>291</v>
      </c>
      <c r="S52" s="163">
        <f>T52*U52</f>
        <v>41771.245600283284</v>
      </c>
      <c r="T52" s="42">
        <f>((T50)*34*V52)*(S$6/($I$6+$S$6+$AC$6))</f>
        <v>1795.0685689851002</v>
      </c>
      <c r="U52" s="39">
        <v>23.27</v>
      </c>
      <c r="V52" s="304">
        <f>$S$1</f>
        <v>0.33</v>
      </c>
      <c r="W52" s="40" t="str">
        <f t="shared" ref="W52:W55" si="33">ROUND(T52,0)&amp;" hrs @ "&amp;U52</f>
        <v>1795 hrs @ 23.27</v>
      </c>
      <c r="X52" s="34"/>
      <c r="Y52" s="136"/>
      <c r="Z52" s="457"/>
      <c r="AA52" s="250"/>
      <c r="AB52" s="184" t="s">
        <v>291</v>
      </c>
      <c r="AC52" s="163">
        <f>AD52*AE52</f>
        <v>1373.9221022232671</v>
      </c>
      <c r="AD52" s="42">
        <f>((AD50)*34*AF52)*(AC$6/($I$6+$S$6+$AC$6))</f>
        <v>59.042634388623426</v>
      </c>
      <c r="AE52" s="39">
        <v>23.27</v>
      </c>
      <c r="AF52" s="304">
        <f>$S$1</f>
        <v>0.33</v>
      </c>
      <c r="AG52" s="40" t="str">
        <f t="shared" ref="AG52:AG55" si="34">ROUND(AD52,0)&amp;" hrs @ "&amp;AE52</f>
        <v>59 hrs @ 23.27</v>
      </c>
      <c r="AH52" s="35"/>
      <c r="AI52" s="136"/>
      <c r="AJ52" s="706">
        <f t="shared" si="31"/>
        <v>469960.92</v>
      </c>
      <c r="AK52" s="34"/>
    </row>
    <row r="53" spans="1:37" ht="22.5" x14ac:dyDescent="0.35">
      <c r="A53" s="299" t="s">
        <v>4</v>
      </c>
      <c r="B53" s="218" t="str">
        <f t="shared" si="0"/>
        <v>Contact CenterCustomer Service 3  (35)</v>
      </c>
      <c r="C53" s="5" t="s">
        <v>48</v>
      </c>
      <c r="D53" s="10"/>
      <c r="E53" s="10"/>
      <c r="F53" s="10"/>
      <c r="G53" s="10"/>
      <c r="H53" s="38" t="s">
        <v>292</v>
      </c>
      <c r="I53" s="163">
        <f>J53*K53*L53</f>
        <v>167734.41517587713</v>
      </c>
      <c r="J53" s="42">
        <f>((J50)*35*L53)*(I$6/($I$6+$S$6+$AC$6))</f>
        <v>18881.356114174108</v>
      </c>
      <c r="K53" s="39">
        <v>26.92</v>
      </c>
      <c r="L53" s="304">
        <f>$S$1</f>
        <v>0.33</v>
      </c>
      <c r="M53" s="40" t="str">
        <f t="shared" si="32"/>
        <v>18881 hrs @ 26.92</v>
      </c>
      <c r="N53" s="35"/>
      <c r="O53" s="136"/>
      <c r="P53" s="457"/>
      <c r="Q53" s="250"/>
      <c r="R53" s="184" t="s">
        <v>292</v>
      </c>
      <c r="S53" s="163">
        <f>T53*U53*V53</f>
        <v>16415.690878831214</v>
      </c>
      <c r="T53" s="42">
        <f>((T50)*35*V53)*(S$6/($I$6+$S$6+$AC$6))</f>
        <v>1847.864703367015</v>
      </c>
      <c r="U53" s="39">
        <v>26.92</v>
      </c>
      <c r="V53" s="304">
        <f>$S$1</f>
        <v>0.33</v>
      </c>
      <c r="W53" s="40" t="str">
        <f t="shared" si="33"/>
        <v>1848 hrs @ 26.92</v>
      </c>
      <c r="X53" s="34"/>
      <c r="Y53" s="136"/>
      <c r="Z53" s="457"/>
      <c r="AA53" s="250"/>
      <c r="AB53" s="184" t="s">
        <v>292</v>
      </c>
      <c r="AC53" s="163">
        <f>AD53*AE53*AF53</f>
        <v>539.93794529168031</v>
      </c>
      <c r="AD53" s="42">
        <f>((AD50)*35*AF53)*(AC$6/($I$6+$S$6+$AC$6))</f>
        <v>60.779182458877052</v>
      </c>
      <c r="AE53" s="39">
        <v>26.92</v>
      </c>
      <c r="AF53" s="304">
        <f>$S$1</f>
        <v>0.33</v>
      </c>
      <c r="AG53" s="40" t="str">
        <f t="shared" si="34"/>
        <v>61 hrs @ 26.92</v>
      </c>
      <c r="AH53" s="35"/>
      <c r="AI53" s="136"/>
      <c r="AJ53" s="706">
        <f t="shared" si="31"/>
        <v>184690.04400000005</v>
      </c>
      <c r="AK53" s="34"/>
    </row>
    <row r="54" spans="1:37" ht="22.5" x14ac:dyDescent="0.35">
      <c r="A54" s="299" t="s">
        <v>4</v>
      </c>
      <c r="B54" s="218" t="str">
        <f t="shared" si="0"/>
        <v>Contact CenterCustomer Service 4  (18)</v>
      </c>
      <c r="C54" s="5" t="s">
        <v>48</v>
      </c>
      <c r="D54" s="10"/>
      <c r="E54" s="10"/>
      <c r="F54" s="10"/>
      <c r="G54" s="10"/>
      <c r="H54" s="38" t="s">
        <v>293</v>
      </c>
      <c r="I54" s="163">
        <f>J54*K54</f>
        <v>297721.22320829734</v>
      </c>
      <c r="J54" s="42">
        <f>((J50)*18*L54)*(I$6/($I$6+$S$6+$AC$6))</f>
        <v>9710.4117158609697</v>
      </c>
      <c r="K54" s="39">
        <v>30.66</v>
      </c>
      <c r="L54" s="304">
        <f>$S$1</f>
        <v>0.33</v>
      </c>
      <c r="M54" s="40" t="str">
        <f t="shared" si="32"/>
        <v>9710 hrs @ 30.66</v>
      </c>
      <c r="N54" s="35"/>
      <c r="O54" s="136"/>
      <c r="P54" s="457"/>
      <c r="Q54" s="249"/>
      <c r="R54" s="184" t="s">
        <v>293</v>
      </c>
      <c r="S54" s="163">
        <f>T54*U54</f>
        <v>29137.130642691092</v>
      </c>
      <c r="T54" s="42">
        <f>((T50)*18*V54)*(S$6/($I$6+$S$6+$AC$6))</f>
        <v>950.33041887446484</v>
      </c>
      <c r="U54" s="39">
        <v>30.66</v>
      </c>
      <c r="V54" s="304">
        <f>$S$1</f>
        <v>0.33</v>
      </c>
      <c r="W54" s="40" t="str">
        <f t="shared" si="33"/>
        <v>950 hrs @ 30.66</v>
      </c>
      <c r="X54" s="34"/>
      <c r="Y54" s="136"/>
      <c r="Z54" s="457"/>
      <c r="AA54" s="249"/>
      <c r="AB54" s="184" t="s">
        <v>293</v>
      </c>
      <c r="AC54" s="163">
        <f>AD54*AE54</f>
        <v>958.36614901157338</v>
      </c>
      <c r="AD54" s="42">
        <f>((AD50)*18*AF54)*(AC$6/($I$6+$S$6+$AC$6))</f>
        <v>31.257865264565343</v>
      </c>
      <c r="AE54" s="39">
        <v>30.66</v>
      </c>
      <c r="AF54" s="304">
        <f>$S$1</f>
        <v>0.33</v>
      </c>
      <c r="AG54" s="40" t="str">
        <f t="shared" si="34"/>
        <v>31 hrs @ 30.66</v>
      </c>
      <c r="AH54" s="35"/>
      <c r="AI54" s="136"/>
      <c r="AJ54" s="706">
        <f t="shared" si="31"/>
        <v>327816.72000000003</v>
      </c>
      <c r="AK54" s="34"/>
    </row>
    <row r="55" spans="1:37" ht="21" x14ac:dyDescent="0.35">
      <c r="A55" s="299" t="s">
        <v>4</v>
      </c>
      <c r="B55" s="218" t="str">
        <f t="shared" si="0"/>
        <v>Contact CenterOperational Support 1</v>
      </c>
      <c r="C55" s="5" t="s">
        <v>48</v>
      </c>
      <c r="D55" s="10"/>
      <c r="E55" s="10"/>
      <c r="F55" s="10"/>
      <c r="G55" s="10"/>
      <c r="H55" s="179" t="s">
        <v>294</v>
      </c>
      <c r="I55" s="161">
        <f>J55*K55</f>
        <v>10471.060633603414</v>
      </c>
      <c r="J55" s="174">
        <f>((J50)*1*L55)*(I$6/($I$6+$S$6+$AC$6))</f>
        <v>539.46731754783173</v>
      </c>
      <c r="K55" s="175">
        <v>19.41</v>
      </c>
      <c r="L55" s="305">
        <f>$S$1</f>
        <v>0.33</v>
      </c>
      <c r="M55" s="176" t="str">
        <f t="shared" si="32"/>
        <v>539 hrs @ 19.41</v>
      </c>
      <c r="N55" s="35"/>
      <c r="O55" s="136"/>
      <c r="P55" s="457"/>
      <c r="Q55" s="251"/>
      <c r="R55" s="179" t="s">
        <v>294</v>
      </c>
      <c r="S55" s="161">
        <f>T55*U55</f>
        <v>1024.7729683529647</v>
      </c>
      <c r="T55" s="174">
        <f>((T50)*1*V55)*(S$6/($I$6+$S$6+$AC$6))</f>
        <v>52.796134381914719</v>
      </c>
      <c r="U55" s="175">
        <v>19.41</v>
      </c>
      <c r="V55" s="305">
        <f>$S$1</f>
        <v>0.33</v>
      </c>
      <c r="W55" s="176" t="str">
        <f t="shared" si="33"/>
        <v>53 hrs @ 19.41</v>
      </c>
      <c r="X55" s="34"/>
      <c r="Y55" s="136"/>
      <c r="Z55" s="457"/>
      <c r="AA55" s="251"/>
      <c r="AB55" s="179" t="s">
        <v>294</v>
      </c>
      <c r="AC55" s="161">
        <f>AD55*AE55</f>
        <v>33.706398043622961</v>
      </c>
      <c r="AD55" s="174">
        <f>((AD50)*1*AF55)*(AC$6/($I$6+$S$6+$AC$6))</f>
        <v>1.7365480702536302</v>
      </c>
      <c r="AE55" s="175">
        <v>19.41</v>
      </c>
      <c r="AF55" s="305">
        <f>$S$1</f>
        <v>0.33</v>
      </c>
      <c r="AG55" s="176" t="str">
        <f t="shared" si="34"/>
        <v>2 hrs @ 19.41</v>
      </c>
      <c r="AH55" s="35"/>
      <c r="AI55" s="136"/>
      <c r="AJ55" s="706">
        <f t="shared" si="31"/>
        <v>11529.540000000003</v>
      </c>
      <c r="AK55" s="34"/>
    </row>
    <row r="56" spans="1:37" ht="21" x14ac:dyDescent="0.35">
      <c r="A56" s="299" t="s">
        <v>4</v>
      </c>
      <c r="B56" s="218" t="str">
        <f t="shared" si="0"/>
        <v>Contact CenterTotal Wages</v>
      </c>
      <c r="C56" s="5" t="s">
        <v>48</v>
      </c>
      <c r="D56" s="10"/>
      <c r="E56" s="10"/>
      <c r="F56" s="10"/>
      <c r="G56" s="10"/>
      <c r="H56" s="38" t="s">
        <v>32</v>
      </c>
      <c r="I56" s="158">
        <f>SUM(I51:I55)</f>
        <v>961479.65284987923</v>
      </c>
      <c r="J56" s="42"/>
      <c r="K56" s="39"/>
      <c r="L56" s="39"/>
      <c r="M56" s="40"/>
      <c r="N56" s="35"/>
      <c r="O56" s="136"/>
      <c r="P56" s="457"/>
      <c r="Q56" s="249"/>
      <c r="R56" s="184" t="s">
        <v>32</v>
      </c>
      <c r="S56" s="158">
        <f>SUM(S51:S55)</f>
        <v>94097.283201661427</v>
      </c>
      <c r="T56" s="42"/>
      <c r="U56" s="39"/>
      <c r="V56" s="39"/>
      <c r="W56" s="40"/>
      <c r="X56" s="34"/>
      <c r="Y56" s="136"/>
      <c r="Z56" s="457"/>
      <c r="AA56" s="249"/>
      <c r="AB56" s="184" t="s">
        <v>32</v>
      </c>
      <c r="AC56" s="158">
        <f>SUM(AC51:AC55)</f>
        <v>3095.0079484593589</v>
      </c>
      <c r="AD56" s="42"/>
      <c r="AE56" s="39"/>
      <c r="AF56" s="39"/>
      <c r="AG56" s="40"/>
      <c r="AH56" s="35"/>
      <c r="AI56" s="136"/>
      <c r="AJ56" s="706">
        <f t="shared" si="31"/>
        <v>1058671.9439999999</v>
      </c>
      <c r="AK56" s="34"/>
    </row>
    <row r="57" spans="1:37" ht="21" x14ac:dyDescent="0.35">
      <c r="A57" s="299" t="s">
        <v>4</v>
      </c>
      <c r="B57" s="218" t="str">
        <f t="shared" si="0"/>
        <v>Contact CenterBenefits</v>
      </c>
      <c r="C57" s="5" t="s">
        <v>48</v>
      </c>
      <c r="D57" s="10"/>
      <c r="E57" s="10"/>
      <c r="F57" s="10"/>
      <c r="G57" s="10"/>
      <c r="H57" s="38" t="s">
        <v>33</v>
      </c>
      <c r="I57" s="159">
        <f>I56*$O$2</f>
        <v>947922.78974469588</v>
      </c>
      <c r="J57" s="42"/>
      <c r="K57" s="39"/>
      <c r="M57" s="45" t="str">
        <f>"@ "&amp;$O$2*100&amp;" %"</f>
        <v>@ 98.59 %</v>
      </c>
      <c r="N57" s="47"/>
      <c r="O57" s="432"/>
      <c r="P57" s="460"/>
      <c r="Q57" s="249"/>
      <c r="R57" s="184" t="s">
        <v>33</v>
      </c>
      <c r="S57" s="159">
        <f>S56*$O$2</f>
        <v>92770.511508518</v>
      </c>
      <c r="T57" s="42"/>
      <c r="U57" s="39"/>
      <c r="W57" s="45" t="str">
        <f>"@ "&amp;$O$2*100&amp;" %"</f>
        <v>@ 98.59 %</v>
      </c>
      <c r="X57" s="46"/>
      <c r="Y57" s="432"/>
      <c r="Z57" s="460"/>
      <c r="AA57" s="249"/>
      <c r="AB57" s="184" t="s">
        <v>33</v>
      </c>
      <c r="AC57" s="159">
        <f>AC56*$O$2</f>
        <v>3051.3683363860819</v>
      </c>
      <c r="AD57" s="42"/>
      <c r="AE57" s="39"/>
      <c r="AG57" s="45" t="str">
        <f>"@ "&amp;$O$2*100&amp;" %"</f>
        <v>@ 98.59 %</v>
      </c>
      <c r="AH57" s="47"/>
      <c r="AI57" s="432"/>
      <c r="AJ57" s="708">
        <f t="shared" si="31"/>
        <v>1043744.6695895999</v>
      </c>
      <c r="AK57" s="46"/>
    </row>
    <row r="58" spans="1:37" ht="21" x14ac:dyDescent="0.35">
      <c r="A58" s="299" t="s">
        <v>4</v>
      </c>
      <c r="B58" s="218" t="str">
        <f t="shared" si="0"/>
        <v>Contact CenterTotal</v>
      </c>
      <c r="C58" s="5" t="s">
        <v>48</v>
      </c>
      <c r="D58" s="10"/>
      <c r="E58" s="10"/>
      <c r="F58" s="10"/>
      <c r="G58" s="10"/>
      <c r="H58" s="49" t="s">
        <v>34</v>
      </c>
      <c r="I58" s="160">
        <f>I56+I57</f>
        <v>1909402.4425945752</v>
      </c>
      <c r="J58" s="42"/>
      <c r="K58" s="39"/>
      <c r="L58" s="50"/>
      <c r="M58" s="51"/>
      <c r="N58" s="420">
        <f>I58</f>
        <v>1909402.4425945752</v>
      </c>
      <c r="O58" s="233">
        <f>N58/N93</f>
        <v>0.69849422396828065</v>
      </c>
      <c r="P58" s="461"/>
      <c r="Q58" s="252"/>
      <c r="R58" s="185" t="s">
        <v>34</v>
      </c>
      <c r="S58" s="160">
        <f>S56+S57</f>
        <v>186867.79471017944</v>
      </c>
      <c r="T58" s="42"/>
      <c r="U58" s="39"/>
      <c r="V58" s="50"/>
      <c r="W58" s="51"/>
      <c r="X58" s="52">
        <f>S58</f>
        <v>186867.79471017944</v>
      </c>
      <c r="Y58" s="233">
        <f>X58/X93</f>
        <v>0.69849422396828065</v>
      </c>
      <c r="Z58" s="461"/>
      <c r="AA58" s="252"/>
      <c r="AB58" s="185" t="s">
        <v>34</v>
      </c>
      <c r="AC58" s="160">
        <f>AC56+AC57</f>
        <v>6146.3762848454408</v>
      </c>
      <c r="AD58" s="42"/>
      <c r="AE58" s="39"/>
      <c r="AF58" s="50"/>
      <c r="AG58" s="51"/>
      <c r="AH58" s="420">
        <f>AC58</f>
        <v>6146.3762848454408</v>
      </c>
      <c r="AI58" s="233">
        <f>AH58/AH93</f>
        <v>0.69849422396828065</v>
      </c>
      <c r="AJ58" s="221">
        <f t="shared" si="31"/>
        <v>2102416.6135896002</v>
      </c>
      <c r="AK58" s="52"/>
    </row>
    <row r="59" spans="1:37" ht="21" x14ac:dyDescent="0.35">
      <c r="A59" s="299" t="s">
        <v>4</v>
      </c>
      <c r="B59" s="218" t="str">
        <f t="shared" si="0"/>
        <v>Contact Center</v>
      </c>
      <c r="C59" s="5" t="s">
        <v>48</v>
      </c>
      <c r="D59" s="10"/>
      <c r="E59" s="10"/>
      <c r="F59" s="10"/>
      <c r="G59" s="10"/>
      <c r="H59" s="54"/>
      <c r="I59" s="166"/>
      <c r="J59" s="69"/>
      <c r="K59" s="69"/>
      <c r="L59" s="69"/>
      <c r="M59" s="70"/>
      <c r="N59" s="58"/>
      <c r="O59" s="231"/>
      <c r="P59" s="458"/>
      <c r="Q59" s="253"/>
      <c r="R59" s="179"/>
      <c r="S59" s="166"/>
      <c r="T59" s="69"/>
      <c r="U59" s="69"/>
      <c r="V59" s="69"/>
      <c r="W59" s="70"/>
      <c r="X59" s="57"/>
      <c r="Y59" s="231"/>
      <c r="Z59" s="458"/>
      <c r="AA59" s="253"/>
      <c r="AB59" s="179"/>
      <c r="AC59" s="166"/>
      <c r="AD59" s="69"/>
      <c r="AE59" s="69"/>
      <c r="AF59" s="69"/>
      <c r="AG59" s="70"/>
      <c r="AH59" s="58"/>
      <c r="AI59" s="231"/>
      <c r="AJ59" s="707"/>
      <c r="AK59" s="57"/>
    </row>
    <row r="60" spans="1:37" ht="21" x14ac:dyDescent="0.35">
      <c r="A60" s="299" t="s">
        <v>4</v>
      </c>
      <c r="B60" s="218" t="str">
        <f t="shared" si="0"/>
        <v>Contact CenterLABOR: SUPERVISORY</v>
      </c>
      <c r="C60" s="5" t="s">
        <v>48</v>
      </c>
      <c r="D60" s="10"/>
      <c r="E60" s="10"/>
      <c r="F60" s="10"/>
      <c r="G60" s="10"/>
      <c r="H60" s="61" t="s">
        <v>35</v>
      </c>
      <c r="I60" s="167"/>
      <c r="J60" s="302">
        <v>1800</v>
      </c>
      <c r="K60" s="302" t="s">
        <v>295</v>
      </c>
      <c r="L60" s="74"/>
      <c r="M60" s="66"/>
      <c r="N60" s="26"/>
      <c r="O60" s="234"/>
      <c r="P60" s="462"/>
      <c r="Q60" s="252"/>
      <c r="R60" s="186" t="s">
        <v>35</v>
      </c>
      <c r="S60" s="167"/>
      <c r="T60" s="302">
        <v>1800</v>
      </c>
      <c r="U60" s="302" t="s">
        <v>295</v>
      </c>
      <c r="V60" s="74"/>
      <c r="W60" s="66"/>
      <c r="X60" s="64"/>
      <c r="Y60" s="234"/>
      <c r="Z60" s="462"/>
      <c r="AA60" s="252"/>
      <c r="AB60" s="186" t="s">
        <v>35</v>
      </c>
      <c r="AC60" s="167"/>
      <c r="AD60" s="302">
        <v>1800</v>
      </c>
      <c r="AE60" s="302" t="s">
        <v>295</v>
      </c>
      <c r="AF60" s="74"/>
      <c r="AG60" s="66"/>
      <c r="AH60" s="26"/>
      <c r="AI60" s="234"/>
      <c r="AJ60" s="706"/>
      <c r="AK60" s="64"/>
    </row>
    <row r="61" spans="1:37" ht="21" x14ac:dyDescent="0.35">
      <c r="A61" s="299" t="s">
        <v>4</v>
      </c>
      <c r="B61" s="218" t="str">
        <f t="shared" si="0"/>
        <v>Contact CenterCustomer Contact Ctr Sr Manager</v>
      </c>
      <c r="C61" s="5" t="s">
        <v>48</v>
      </c>
      <c r="D61" s="10"/>
      <c r="E61" s="10"/>
      <c r="F61" s="10"/>
      <c r="G61" s="10"/>
      <c r="H61" s="38" t="s">
        <v>296</v>
      </c>
      <c r="I61" s="163">
        <f>J61*K61</f>
        <v>30091.486972818053</v>
      </c>
      <c r="J61" s="42">
        <f>((J60)*1*L61)*(I$6/($I$6+$S$6+$AC$6))</f>
        <v>539.46731754783173</v>
      </c>
      <c r="K61" s="39">
        <v>55.78</v>
      </c>
      <c r="L61" s="304">
        <f>$S$1</f>
        <v>0.33</v>
      </c>
      <c r="M61" s="40" t="str">
        <f>ROUND(J61,0)&amp;" hrs @ "&amp;K61</f>
        <v>539 hrs @ 55.78</v>
      </c>
      <c r="N61" s="26"/>
      <c r="O61" s="234"/>
      <c r="P61" s="462"/>
      <c r="Q61" s="252"/>
      <c r="R61" s="184" t="s">
        <v>296</v>
      </c>
      <c r="S61" s="163">
        <f>T61*U61</f>
        <v>2944.9683758232031</v>
      </c>
      <c r="T61" s="42">
        <f>((T60)*1*V61)*(S$6/($I$6+$S$6+$AC$6))</f>
        <v>52.796134381914719</v>
      </c>
      <c r="U61" s="39">
        <v>55.78</v>
      </c>
      <c r="V61" s="304">
        <f>$S$1</f>
        <v>0.33</v>
      </c>
      <c r="W61" s="40" t="str">
        <f>ROUND(T61,0)&amp;" hrs @ "&amp;U61</f>
        <v>53 hrs @ 55.78</v>
      </c>
      <c r="X61" s="64"/>
      <c r="Y61" s="234"/>
      <c r="Z61" s="462"/>
      <c r="AA61" s="252"/>
      <c r="AB61" s="184" t="s">
        <v>296</v>
      </c>
      <c r="AC61" s="163">
        <f>AD61*AE61</f>
        <v>96.864651358747494</v>
      </c>
      <c r="AD61" s="42">
        <f>((AD60)*1*AF61)*(AC$6/($I$6+$S$6+$AC$6))</f>
        <v>1.7365480702536302</v>
      </c>
      <c r="AE61" s="39">
        <v>55.78</v>
      </c>
      <c r="AF61" s="304">
        <f>$S$1</f>
        <v>0.33</v>
      </c>
      <c r="AG61" s="40" t="str">
        <f>ROUND(AD61,0)&amp;" hrs @ "&amp;AE61</f>
        <v>2 hrs @ 55.78</v>
      </c>
      <c r="AH61" s="26"/>
      <c r="AI61" s="234"/>
      <c r="AJ61" s="706">
        <f t="shared" ref="AJ61:AJ69" si="35">I61+S61+AC61</f>
        <v>33133.32</v>
      </c>
      <c r="AK61" s="64"/>
    </row>
    <row r="62" spans="1:37" ht="21" x14ac:dyDescent="0.35">
      <c r="A62" s="299" t="s">
        <v>4</v>
      </c>
      <c r="B62" s="218" t="str">
        <f t="shared" si="0"/>
        <v>Contact CenterAccounting Supervisor</v>
      </c>
      <c r="C62" s="5" t="s">
        <v>48</v>
      </c>
      <c r="D62" s="10"/>
      <c r="E62" s="10"/>
      <c r="F62" s="10"/>
      <c r="G62" s="10"/>
      <c r="H62" s="38" t="s">
        <v>297</v>
      </c>
      <c r="I62" s="163">
        <f>J62*K62</f>
        <v>25419.700002853828</v>
      </c>
      <c r="J62" s="42">
        <f>((J60)*1*L62)*(I$6/($I$6+$S$6+$AC$6))</f>
        <v>539.46731754783173</v>
      </c>
      <c r="K62" s="39">
        <v>47.12</v>
      </c>
      <c r="L62" s="304">
        <f>$S$1</f>
        <v>0.33</v>
      </c>
      <c r="M62" s="40" t="str">
        <f t="shared" ref="M62:M64" si="36">ROUND(J62,0)&amp;" hrs @ "&amp;K62</f>
        <v>539 hrs @ 47.12</v>
      </c>
      <c r="N62" s="26"/>
      <c r="O62" s="234"/>
      <c r="P62" s="462"/>
      <c r="Q62" s="252"/>
      <c r="R62" s="184" t="s">
        <v>297</v>
      </c>
      <c r="S62" s="163">
        <f>T62*U62</f>
        <v>2487.7538520758212</v>
      </c>
      <c r="T62" s="42">
        <f>((T60)*1*V62)*(S$6/($I$6+$S$6+$AC$6))</f>
        <v>52.796134381914719</v>
      </c>
      <c r="U62" s="39">
        <v>47.12</v>
      </c>
      <c r="V62" s="304">
        <f>$S$1</f>
        <v>0.33</v>
      </c>
      <c r="W62" s="40" t="str">
        <f t="shared" ref="W62:W64" si="37">ROUND(T62,0)&amp;" hrs @ "&amp;U62</f>
        <v>53 hrs @ 47.12</v>
      </c>
      <c r="X62" s="64"/>
      <c r="Y62" s="234"/>
      <c r="Z62" s="462"/>
      <c r="AA62" s="252"/>
      <c r="AB62" s="184" t="s">
        <v>297</v>
      </c>
      <c r="AC62" s="163">
        <f>AD62*AE62</f>
        <v>81.826145070351046</v>
      </c>
      <c r="AD62" s="42">
        <f>((AD60)*1*AF62)*(AC$6/($I$6+$S$6+$AC$6))</f>
        <v>1.7365480702536302</v>
      </c>
      <c r="AE62" s="39">
        <v>47.12</v>
      </c>
      <c r="AF62" s="304">
        <f>$S$1</f>
        <v>0.33</v>
      </c>
      <c r="AG62" s="40" t="str">
        <f t="shared" ref="AG62:AG64" si="38">ROUND(AD62,0)&amp;" hrs @ "&amp;AE62</f>
        <v>2 hrs @ 47.12</v>
      </c>
      <c r="AH62" s="26"/>
      <c r="AI62" s="234"/>
      <c r="AJ62" s="706">
        <f t="shared" si="35"/>
        <v>27989.279999999999</v>
      </c>
      <c r="AK62" s="64"/>
    </row>
    <row r="63" spans="1:37" ht="21" x14ac:dyDescent="0.35">
      <c r="A63" s="299" t="s">
        <v>4</v>
      </c>
      <c r="B63" s="218" t="str">
        <f t="shared" si="0"/>
        <v>Contact CenterCustomer Contact Ctr Supervisor (7)</v>
      </c>
      <c r="C63" s="5" t="s">
        <v>48</v>
      </c>
      <c r="D63" s="10"/>
      <c r="E63" s="10"/>
      <c r="F63" s="10"/>
      <c r="G63" s="10"/>
      <c r="H63" s="38" t="s">
        <v>298</v>
      </c>
      <c r="I63" s="163">
        <f>J63*K63*L63</f>
        <v>46855.973332934474</v>
      </c>
      <c r="J63" s="42">
        <f>((J60)*7*L63)*(I$6/($I$6+$S$6+$AC$6))</f>
        <v>3776.2712228348219</v>
      </c>
      <c r="K63" s="39">
        <v>37.6</v>
      </c>
      <c r="L63" s="304">
        <f>$S$1</f>
        <v>0.33</v>
      </c>
      <c r="M63" s="40" t="str">
        <f t="shared" si="36"/>
        <v>3776 hrs @ 37.6</v>
      </c>
      <c r="N63" s="26"/>
      <c r="O63" s="234"/>
      <c r="P63" s="462"/>
      <c r="Q63" s="252"/>
      <c r="R63" s="184" t="s">
        <v>298</v>
      </c>
      <c r="S63" s="163">
        <f>T63*U63*V63</f>
        <v>4585.6610478755847</v>
      </c>
      <c r="T63" s="42">
        <f>((T60)*7*V63)*(S$6/($I$6+$S$6+$AC$6))</f>
        <v>369.57294067340302</v>
      </c>
      <c r="U63" s="39">
        <v>37.6</v>
      </c>
      <c r="V63" s="304">
        <f>$S$1</f>
        <v>0.33</v>
      </c>
      <c r="W63" s="40" t="str">
        <f t="shared" si="37"/>
        <v>370 hrs @ 37.6</v>
      </c>
      <c r="X63" s="64"/>
      <c r="Y63" s="234"/>
      <c r="Z63" s="462"/>
      <c r="AA63" s="252"/>
      <c r="AB63" s="184" t="s">
        <v>298</v>
      </c>
      <c r="AC63" s="163">
        <f>AD63*AE63*AF63</f>
        <v>150.82961918994931</v>
      </c>
      <c r="AD63" s="42">
        <f>((AD60)*7*AF63)*(AC$6/($I$6+$S$6+$AC$6))</f>
        <v>12.15583649177541</v>
      </c>
      <c r="AE63" s="39">
        <v>37.6</v>
      </c>
      <c r="AF63" s="304">
        <f>$S$1</f>
        <v>0.33</v>
      </c>
      <c r="AG63" s="40" t="str">
        <f t="shared" si="38"/>
        <v>12 hrs @ 37.6</v>
      </c>
      <c r="AH63" s="26"/>
      <c r="AI63" s="234"/>
      <c r="AJ63" s="706">
        <f t="shared" si="35"/>
        <v>51592.464000000007</v>
      </c>
      <c r="AK63" s="64"/>
    </row>
    <row r="64" spans="1:37" ht="21" x14ac:dyDescent="0.35">
      <c r="A64" s="299" t="s">
        <v>4</v>
      </c>
      <c r="B64" s="218" t="str">
        <f t="shared" si="0"/>
        <v>Contact CenterCustomer Contact Ctr Analyst 2 (1) @ 33%</v>
      </c>
      <c r="C64" s="5" t="s">
        <v>48</v>
      </c>
      <c r="D64" s="10"/>
      <c r="E64" s="10"/>
      <c r="F64" s="10"/>
      <c r="G64" s="10"/>
      <c r="H64" s="38" t="s">
        <v>299</v>
      </c>
      <c r="I64" s="163">
        <f>J64*K64</f>
        <v>17408.610337268532</v>
      </c>
      <c r="J64" s="42">
        <f>((J60)*1*L64)*(I$6/($I$6+$S$6+$AC$6))</f>
        <v>539.46731754783173</v>
      </c>
      <c r="K64" s="39">
        <v>32.270000000000003</v>
      </c>
      <c r="L64" s="304">
        <f>$S$1</f>
        <v>0.33</v>
      </c>
      <c r="M64" s="40" t="str">
        <f t="shared" si="36"/>
        <v>539 hrs @ 32.27</v>
      </c>
      <c r="N64" s="26"/>
      <c r="O64" s="234"/>
      <c r="P64" s="462"/>
      <c r="Q64" s="252"/>
      <c r="R64" s="184" t="s">
        <v>299</v>
      </c>
      <c r="S64" s="163">
        <f>T64*U64</f>
        <v>1703.7312565043881</v>
      </c>
      <c r="T64" s="42">
        <f>((T60)*1*V64)*(S$6/($I$6+$S$6+$AC$6))</f>
        <v>52.796134381914719</v>
      </c>
      <c r="U64" s="39">
        <v>32.270000000000003</v>
      </c>
      <c r="V64" s="304">
        <f>$S$1</f>
        <v>0.33</v>
      </c>
      <c r="W64" s="40" t="str">
        <f t="shared" si="37"/>
        <v>53 hrs @ 32.27</v>
      </c>
      <c r="X64" s="64"/>
      <c r="Y64" s="234"/>
      <c r="Z64" s="462"/>
      <c r="AA64" s="252"/>
      <c r="AB64" s="184" t="s">
        <v>299</v>
      </c>
      <c r="AC64" s="163">
        <f>AD64*AE64</f>
        <v>56.03840622708465</v>
      </c>
      <c r="AD64" s="42">
        <f>((AD60)*1*AF64)*(AC$6/($I$6+$S$6+$AC$6))</f>
        <v>1.7365480702536302</v>
      </c>
      <c r="AE64" s="39">
        <v>32.270000000000003</v>
      </c>
      <c r="AF64" s="304">
        <f>$S$1</f>
        <v>0.33</v>
      </c>
      <c r="AG64" s="40" t="str">
        <f t="shared" si="38"/>
        <v>2 hrs @ 32.27</v>
      </c>
      <c r="AH64" s="26"/>
      <c r="AI64" s="234"/>
      <c r="AJ64" s="706">
        <f t="shared" si="35"/>
        <v>19168.380000000005</v>
      </c>
      <c r="AK64" s="64"/>
    </row>
    <row r="65" spans="1:37" ht="21" x14ac:dyDescent="0.35">
      <c r="A65" s="299" t="s">
        <v>4</v>
      </c>
      <c r="B65" s="218" t="str">
        <f t="shared" si="0"/>
        <v>Contact Center</v>
      </c>
      <c r="C65" s="5" t="s">
        <v>48</v>
      </c>
      <c r="D65" s="10"/>
      <c r="E65" s="10"/>
      <c r="F65" s="10"/>
      <c r="G65" s="10"/>
      <c r="H65" s="179"/>
      <c r="I65" s="173"/>
      <c r="J65" s="174"/>
      <c r="K65" s="175"/>
      <c r="L65" s="181"/>
      <c r="M65" s="176"/>
      <c r="N65" s="26"/>
      <c r="O65" s="234"/>
      <c r="P65" s="462"/>
      <c r="Q65" s="252"/>
      <c r="R65" s="179"/>
      <c r="S65" s="173"/>
      <c r="T65" s="174"/>
      <c r="U65" s="175"/>
      <c r="V65" s="181"/>
      <c r="W65" s="176"/>
      <c r="X65" s="64"/>
      <c r="Y65" s="234"/>
      <c r="Z65" s="462"/>
      <c r="AA65" s="252"/>
      <c r="AB65" s="179"/>
      <c r="AC65" s="173"/>
      <c r="AD65" s="174"/>
      <c r="AE65" s="175"/>
      <c r="AF65" s="181"/>
      <c r="AG65" s="176"/>
      <c r="AH65" s="26"/>
      <c r="AI65" s="234"/>
      <c r="AJ65" s="706">
        <f t="shared" si="35"/>
        <v>0</v>
      </c>
      <c r="AK65" s="64"/>
    </row>
    <row r="66" spans="1:37" ht="21" x14ac:dyDescent="0.35">
      <c r="A66" s="299" t="s">
        <v>4</v>
      </c>
      <c r="B66" s="218" t="str">
        <f t="shared" si="0"/>
        <v>Contact CenterTotal Wages</v>
      </c>
      <c r="C66" s="5" t="s">
        <v>48</v>
      </c>
      <c r="D66" s="10"/>
      <c r="E66" s="10"/>
      <c r="F66" s="10"/>
      <c r="G66" s="10"/>
      <c r="H66" s="38" t="s">
        <v>32</v>
      </c>
      <c r="I66" s="158">
        <f>SUM(I61:I65)</f>
        <v>119775.77064587489</v>
      </c>
      <c r="J66" s="42"/>
      <c r="K66" s="39"/>
      <c r="L66" s="39"/>
      <c r="M66" s="40"/>
      <c r="N66" s="26"/>
      <c r="O66" s="234"/>
      <c r="P66" s="462"/>
      <c r="Q66" s="249"/>
      <c r="R66" s="184" t="s">
        <v>32</v>
      </c>
      <c r="S66" s="158">
        <f>SUM(S61:S65)</f>
        <v>11722.114532278998</v>
      </c>
      <c r="T66" s="42"/>
      <c r="U66" s="39"/>
      <c r="V66" s="39"/>
      <c r="W66" s="40"/>
      <c r="X66" s="64"/>
      <c r="Y66" s="234"/>
      <c r="Z66" s="462"/>
      <c r="AA66" s="249"/>
      <c r="AB66" s="184" t="s">
        <v>32</v>
      </c>
      <c r="AC66" s="158">
        <f>SUM(AC61:AC65)</f>
        <v>385.5588218461325</v>
      </c>
      <c r="AD66" s="42"/>
      <c r="AE66" s="39"/>
      <c r="AF66" s="39"/>
      <c r="AG66" s="40"/>
      <c r="AH66" s="26"/>
      <c r="AI66" s="234"/>
      <c r="AJ66" s="706">
        <f t="shared" si="35"/>
        <v>131883.44400000002</v>
      </c>
      <c r="AK66" s="64"/>
    </row>
    <row r="67" spans="1:37" ht="21" x14ac:dyDescent="0.35">
      <c r="A67" s="299"/>
      <c r="B67" s="218" t="str">
        <f t="shared" si="0"/>
        <v/>
      </c>
      <c r="C67" s="5"/>
      <c r="D67" s="10"/>
      <c r="E67" s="10"/>
      <c r="F67" s="10"/>
      <c r="G67" s="10"/>
      <c r="H67" s="38"/>
      <c r="I67" s="159"/>
      <c r="J67" s="42"/>
      <c r="K67" s="39"/>
      <c r="M67" s="45"/>
      <c r="N67" s="26"/>
      <c r="O67" s="234"/>
      <c r="P67" s="462"/>
      <c r="Q67" s="249"/>
      <c r="R67" s="201" t="s">
        <v>222</v>
      </c>
      <c r="S67" s="159"/>
      <c r="T67" s="42"/>
      <c r="U67" s="39"/>
      <c r="V67" s="43"/>
      <c r="W67" s="40"/>
      <c r="X67" s="64"/>
      <c r="Y67" s="234"/>
      <c r="Z67" s="462"/>
      <c r="AA67" s="249"/>
      <c r="AB67" s="201" t="s">
        <v>222</v>
      </c>
      <c r="AC67" s="159"/>
      <c r="AD67" s="42"/>
      <c r="AE67" s="39"/>
      <c r="AF67" s="43"/>
      <c r="AG67" s="40"/>
      <c r="AH67" s="26"/>
      <c r="AI67" s="234"/>
      <c r="AJ67" s="706">
        <f t="shared" si="35"/>
        <v>0</v>
      </c>
      <c r="AK67" s="64"/>
    </row>
    <row r="68" spans="1:37" ht="21" x14ac:dyDescent="0.35">
      <c r="A68" s="299" t="s">
        <v>4</v>
      </c>
      <c r="B68" s="218" t="str">
        <f t="shared" si="0"/>
        <v>Contact CenterBenefits</v>
      </c>
      <c r="C68" s="5" t="s">
        <v>48</v>
      </c>
      <c r="D68" s="10"/>
      <c r="E68" s="10"/>
      <c r="F68" s="10"/>
      <c r="G68" s="10"/>
      <c r="H68" s="38" t="s">
        <v>33</v>
      </c>
      <c r="I68" s="159">
        <f>I66*$O$2</f>
        <v>118086.93227976805</v>
      </c>
      <c r="J68" s="42"/>
      <c r="K68" s="39"/>
      <c r="M68" s="45" t="str">
        <f>"@ "&amp;$O$2*100&amp;" %"</f>
        <v>@ 98.59 %</v>
      </c>
      <c r="N68" s="26"/>
      <c r="O68" s="234"/>
      <c r="P68" s="462"/>
      <c r="Q68" s="249"/>
      <c r="R68" s="184" t="s">
        <v>33</v>
      </c>
      <c r="S68" s="159">
        <f>S66*$O$2</f>
        <v>11556.832717373863</v>
      </c>
      <c r="T68" s="42"/>
      <c r="U68" s="39"/>
      <c r="W68" s="45" t="str">
        <f>"@ "&amp;$O$2*100&amp;" %"</f>
        <v>@ 98.59 %</v>
      </c>
      <c r="X68" s="64"/>
      <c r="Y68" s="234"/>
      <c r="Z68" s="462"/>
      <c r="AA68" s="249"/>
      <c r="AB68" s="184" t="s">
        <v>33</v>
      </c>
      <c r="AC68" s="159">
        <f>AC66*$O$2</f>
        <v>380.12244245810206</v>
      </c>
      <c r="AD68" s="42"/>
      <c r="AE68" s="39"/>
      <c r="AG68" s="45" t="str">
        <f>"@ "&amp;$O$2*100&amp;" %"</f>
        <v>@ 98.59 %</v>
      </c>
      <c r="AH68" s="26"/>
      <c r="AI68" s="234"/>
      <c r="AJ68" s="706">
        <f t="shared" si="35"/>
        <v>130023.88743960002</v>
      </c>
      <c r="AK68" s="64"/>
    </row>
    <row r="69" spans="1:37" ht="21" x14ac:dyDescent="0.35">
      <c r="A69" s="299" t="s">
        <v>4</v>
      </c>
      <c r="B69" s="218" t="str">
        <f t="shared" si="0"/>
        <v>Contact CenterTotal</v>
      </c>
      <c r="C69" s="124" t="s">
        <v>50</v>
      </c>
      <c r="D69" s="10"/>
      <c r="E69" s="10"/>
      <c r="F69" s="10"/>
      <c r="G69" s="10"/>
      <c r="H69" s="49" t="s">
        <v>34</v>
      </c>
      <c r="I69" s="160">
        <f>I66+I68</f>
        <v>237862.70292564295</v>
      </c>
      <c r="J69" s="42"/>
      <c r="K69" s="39"/>
      <c r="L69" s="50"/>
      <c r="M69" s="51"/>
      <c r="N69" s="420">
        <f>I69</f>
        <v>237862.70292564295</v>
      </c>
      <c r="O69" s="233">
        <f>N69/N93</f>
        <v>8.7014513223979614E-2</v>
      </c>
      <c r="P69" s="462"/>
      <c r="Q69" s="249"/>
      <c r="R69" s="185" t="s">
        <v>34</v>
      </c>
      <c r="S69" s="160">
        <f>S66+S68</f>
        <v>23278.947249652862</v>
      </c>
      <c r="T69" s="42"/>
      <c r="U69" s="39"/>
      <c r="V69" s="50"/>
      <c r="W69" s="51"/>
      <c r="X69" s="52">
        <f>S69</f>
        <v>23278.947249652862</v>
      </c>
      <c r="Y69" s="233">
        <f>X69/X93</f>
        <v>8.70145132239796E-2</v>
      </c>
      <c r="Z69" s="462"/>
      <c r="AA69" s="249"/>
      <c r="AB69" s="185" t="s">
        <v>34</v>
      </c>
      <c r="AC69" s="160">
        <f>AC66+AC68</f>
        <v>765.68126430423456</v>
      </c>
      <c r="AD69" s="42"/>
      <c r="AE69" s="39"/>
      <c r="AF69" s="50"/>
      <c r="AG69" s="51"/>
      <c r="AH69" s="420">
        <f>AC69</f>
        <v>765.68126430423456</v>
      </c>
      <c r="AI69" s="233">
        <f>AH69/AH93</f>
        <v>8.7014513223979614E-2</v>
      </c>
      <c r="AJ69" s="221">
        <f t="shared" si="35"/>
        <v>261907.33143960006</v>
      </c>
      <c r="AK69" s="52"/>
    </row>
    <row r="70" spans="1:37" ht="21" x14ac:dyDescent="0.35">
      <c r="A70" s="299" t="s">
        <v>4</v>
      </c>
      <c r="B70" s="218" t="str">
        <f t="shared" si="0"/>
        <v>Contact Center</v>
      </c>
      <c r="C70" s="5" t="s">
        <v>48</v>
      </c>
      <c r="D70" s="10"/>
      <c r="E70" s="10"/>
      <c r="F70" s="10"/>
      <c r="G70" s="10"/>
      <c r="H70" s="54"/>
      <c r="I70" s="166"/>
      <c r="J70" s="69"/>
      <c r="K70" s="69"/>
      <c r="L70" s="69"/>
      <c r="M70" s="70"/>
      <c r="N70" s="72"/>
      <c r="O70" s="235"/>
      <c r="P70" s="463"/>
      <c r="Q70" s="253"/>
      <c r="R70" s="179"/>
      <c r="S70" s="166"/>
      <c r="T70" s="69"/>
      <c r="U70" s="69"/>
      <c r="V70" s="69"/>
      <c r="W70" s="70"/>
      <c r="X70" s="71"/>
      <c r="Y70" s="235"/>
      <c r="Z70" s="463"/>
      <c r="AA70" s="253"/>
      <c r="AB70" s="179"/>
      <c r="AC70" s="166"/>
      <c r="AD70" s="69"/>
      <c r="AE70" s="69"/>
      <c r="AF70" s="69"/>
      <c r="AG70" s="70"/>
      <c r="AH70" s="72"/>
      <c r="AI70" s="235"/>
      <c r="AJ70" s="707"/>
      <c r="AK70" s="71"/>
    </row>
    <row r="71" spans="1:37" ht="21" x14ac:dyDescent="0.35">
      <c r="A71" s="299" t="s">
        <v>4</v>
      </c>
      <c r="B71" s="218" t="str">
        <f t="shared" si="0"/>
        <v>Contact CenterEQUIPMENT</v>
      </c>
      <c r="C71" s="124" t="s">
        <v>50</v>
      </c>
      <c r="D71" s="10"/>
      <c r="E71" s="10"/>
      <c r="F71" s="10"/>
      <c r="G71" s="10"/>
      <c r="H71" s="61" t="s">
        <v>36</v>
      </c>
      <c r="I71" s="167"/>
      <c r="J71" s="74"/>
      <c r="K71" s="74"/>
      <c r="L71" s="74"/>
      <c r="M71" s="66"/>
      <c r="N71" s="76"/>
      <c r="O71" s="237"/>
      <c r="P71" s="462"/>
      <c r="Q71" s="252"/>
      <c r="R71" s="186" t="s">
        <v>36</v>
      </c>
      <c r="S71" s="167"/>
      <c r="T71" s="74"/>
      <c r="U71" s="74"/>
      <c r="V71" s="74"/>
      <c r="W71" s="66"/>
      <c r="X71" s="75"/>
      <c r="Y71" s="237"/>
      <c r="Z71" s="462"/>
      <c r="AA71" s="252"/>
      <c r="AB71" s="186" t="s">
        <v>36</v>
      </c>
      <c r="AC71" s="167"/>
      <c r="AD71" s="74"/>
      <c r="AE71" s="74"/>
      <c r="AF71" s="74"/>
      <c r="AG71" s="66"/>
      <c r="AH71" s="76"/>
      <c r="AI71" s="237"/>
      <c r="AJ71" s="221"/>
      <c r="AK71" s="75"/>
    </row>
    <row r="72" spans="1:37" ht="21" x14ac:dyDescent="0.35">
      <c r="A72" s="299" t="s">
        <v>4</v>
      </c>
      <c r="B72" s="218" t="str">
        <f t="shared" si="0"/>
        <v>Contact CenterTelephone, Office Supplies, Printing, &amp; Other</v>
      </c>
      <c r="C72" s="5" t="s">
        <v>48</v>
      </c>
      <c r="D72" s="10"/>
      <c r="E72" s="10"/>
      <c r="F72" s="10"/>
      <c r="G72" s="10"/>
      <c r="H72" s="38" t="s">
        <v>300</v>
      </c>
      <c r="I72" s="163">
        <f>J72*K72*L72</f>
        <v>158125.69304937395</v>
      </c>
      <c r="J72" s="306">
        <f>1*(I$6/($I$6+$S$6+$AC$6))</f>
        <v>0.90819413728591192</v>
      </c>
      <c r="K72" s="39">
        <v>527606.10000000009</v>
      </c>
      <c r="L72" s="304">
        <f>$S$1</f>
        <v>0.33</v>
      </c>
      <c r="M72" s="66"/>
      <c r="N72" s="76"/>
      <c r="O72" s="237"/>
      <c r="P72" s="462"/>
      <c r="Q72" s="252"/>
      <c r="R72" s="184" t="s">
        <v>300</v>
      </c>
      <c r="S72" s="163">
        <f>T72*U72*V72</f>
        <v>15475.312531287744</v>
      </c>
      <c r="T72" s="306">
        <f>1*(S$6/($I$6+$S$6+$AC$6))</f>
        <v>8.8882381114334538E-2</v>
      </c>
      <c r="U72" s="39">
        <v>527606.10000000009</v>
      </c>
      <c r="V72" s="304">
        <f>$S$1</f>
        <v>0.33</v>
      </c>
      <c r="W72" s="66"/>
      <c r="X72" s="75"/>
      <c r="Y72" s="237"/>
      <c r="Z72" s="462"/>
      <c r="AA72" s="252"/>
      <c r="AB72" s="184" t="s">
        <v>300</v>
      </c>
      <c r="AC72" s="163">
        <f>AD72*AE72*AF72</f>
        <v>509.00741933835775</v>
      </c>
      <c r="AD72" s="306">
        <f>1*(AC$6/($I$6+$S$6+$AC$6))</f>
        <v>2.9234815997535861E-3</v>
      </c>
      <c r="AE72" s="39">
        <v>527606.10000000009</v>
      </c>
      <c r="AF72" s="304">
        <f>$S$1</f>
        <v>0.33</v>
      </c>
      <c r="AG72" s="40"/>
      <c r="AH72" s="76"/>
      <c r="AI72" s="237"/>
      <c r="AJ72" s="221">
        <f>I72+S72+AC72</f>
        <v>174110.01300000006</v>
      </c>
      <c r="AK72" s="75"/>
    </row>
    <row r="73" spans="1:37" ht="21" x14ac:dyDescent="0.35">
      <c r="A73" s="299" t="s">
        <v>4</v>
      </c>
      <c r="B73" s="218" t="str">
        <f t="shared" si="0"/>
        <v>Contact Center</v>
      </c>
      <c r="C73" s="5" t="s">
        <v>48</v>
      </c>
      <c r="D73" s="10"/>
      <c r="E73" s="10"/>
      <c r="F73" s="10"/>
      <c r="G73" s="10"/>
      <c r="H73" s="77"/>
      <c r="I73" s="163"/>
      <c r="J73" s="42"/>
      <c r="K73" s="39"/>
      <c r="L73" s="39"/>
      <c r="M73" s="66"/>
      <c r="N73" s="79"/>
      <c r="O73" s="238"/>
      <c r="P73" s="464"/>
      <c r="Q73" s="254"/>
      <c r="R73" s="187"/>
      <c r="S73" s="163"/>
      <c r="T73" s="42"/>
      <c r="U73" s="39"/>
      <c r="V73" s="39"/>
      <c r="W73" s="66"/>
      <c r="X73" s="78"/>
      <c r="Y73" s="238"/>
      <c r="Z73" s="464"/>
      <c r="AA73" s="254"/>
      <c r="AB73" s="187"/>
      <c r="AC73" s="163"/>
      <c r="AD73" s="42"/>
      <c r="AE73" s="39"/>
      <c r="AF73" s="39"/>
      <c r="AG73" s="40"/>
      <c r="AH73" s="79"/>
      <c r="AI73" s="238"/>
      <c r="AJ73" s="709"/>
      <c r="AK73" s="78"/>
    </row>
    <row r="74" spans="1:37" ht="21" x14ac:dyDescent="0.35">
      <c r="A74" s="299" t="s">
        <v>4</v>
      </c>
      <c r="B74" s="218" t="str">
        <f t="shared" si="0"/>
        <v>Contact Center</v>
      </c>
      <c r="C74" s="5" t="s">
        <v>48</v>
      </c>
      <c r="D74" s="10"/>
      <c r="E74" s="10"/>
      <c r="F74" s="10"/>
      <c r="G74" s="10"/>
      <c r="H74" s="77"/>
      <c r="I74" s="168"/>
      <c r="J74" s="42"/>
      <c r="K74" s="39"/>
      <c r="L74" s="42"/>
      <c r="M74" s="66"/>
      <c r="N74" s="79"/>
      <c r="O74" s="238"/>
      <c r="P74" s="464"/>
      <c r="Q74" s="254"/>
      <c r="R74" s="187"/>
      <c r="S74" s="168"/>
      <c r="T74" s="42"/>
      <c r="U74" s="39"/>
      <c r="V74" s="42"/>
      <c r="W74" s="66"/>
      <c r="X74" s="78"/>
      <c r="Y74" s="238"/>
      <c r="Z74" s="464"/>
      <c r="AA74" s="254"/>
      <c r="AB74" s="187"/>
      <c r="AC74" s="168"/>
      <c r="AD74" s="42"/>
      <c r="AE74" s="39"/>
      <c r="AF74" s="42"/>
      <c r="AG74" s="40"/>
      <c r="AH74" s="79"/>
      <c r="AI74" s="238"/>
      <c r="AJ74" s="709"/>
      <c r="AK74" s="78"/>
    </row>
    <row r="75" spans="1:37" ht="21" x14ac:dyDescent="0.35">
      <c r="A75" s="299" t="s">
        <v>4</v>
      </c>
      <c r="B75" s="218" t="str">
        <f t="shared" si="0"/>
        <v>Contact Center</v>
      </c>
      <c r="C75" s="5" t="s">
        <v>48</v>
      </c>
      <c r="D75" s="10"/>
      <c r="E75" s="10"/>
      <c r="F75" s="10"/>
      <c r="G75" s="10"/>
      <c r="H75" s="77"/>
      <c r="I75" s="164"/>
      <c r="J75" s="42"/>
      <c r="K75" s="39"/>
      <c r="L75" s="43"/>
      <c r="M75" s="66"/>
      <c r="N75" s="79"/>
      <c r="O75" s="238"/>
      <c r="P75" s="464"/>
      <c r="Q75" s="254"/>
      <c r="R75" s="187"/>
      <c r="S75" s="164"/>
      <c r="T75" s="42"/>
      <c r="U75" s="39"/>
      <c r="V75" s="43"/>
      <c r="W75" s="40" t="str">
        <f t="shared" ref="W75" si="39">T75&amp;" hrs @ "&amp;U75</f>
        <v xml:space="preserve"> hrs @ </v>
      </c>
      <c r="X75" s="78"/>
      <c r="Y75" s="238"/>
      <c r="Z75" s="464"/>
      <c r="AA75" s="254"/>
      <c r="AB75" s="187"/>
      <c r="AC75" s="164"/>
      <c r="AD75" s="42"/>
      <c r="AE75" s="39"/>
      <c r="AF75" s="43"/>
      <c r="AG75" s="40"/>
      <c r="AH75" s="79"/>
      <c r="AI75" s="238"/>
      <c r="AJ75" s="709"/>
      <c r="AK75" s="78"/>
    </row>
    <row r="76" spans="1:37" ht="21" x14ac:dyDescent="0.35">
      <c r="A76" s="299" t="s">
        <v>4</v>
      </c>
      <c r="B76" s="218" t="str">
        <f t="shared" ref="B76:B138" si="40">A76&amp;H76</f>
        <v>Contact CenterTotal Equipment</v>
      </c>
      <c r="C76" s="124" t="s">
        <v>50</v>
      </c>
      <c r="D76" s="10"/>
      <c r="E76" s="116">
        <f>I76</f>
        <v>158125.69304937395</v>
      </c>
      <c r="F76" s="116">
        <f>S76</f>
        <v>15475.312531287744</v>
      </c>
      <c r="G76" s="116">
        <f>AC76</f>
        <v>509.00741933835775</v>
      </c>
      <c r="H76" s="83" t="s">
        <v>37</v>
      </c>
      <c r="I76" s="165">
        <f>SUM(I72:I75)</f>
        <v>158125.69304937395</v>
      </c>
      <c r="J76" s="68"/>
      <c r="K76" s="68"/>
      <c r="L76" s="68"/>
      <c r="M76" s="66"/>
      <c r="N76" s="420">
        <f>I76</f>
        <v>158125.69304937395</v>
      </c>
      <c r="O76" s="233">
        <f>N76/N93</f>
        <v>5.7845261319496966E-2</v>
      </c>
      <c r="P76" s="464"/>
      <c r="Q76" s="254"/>
      <c r="R76" s="188" t="s">
        <v>37</v>
      </c>
      <c r="S76" s="165">
        <f>SUM(S72:S75)</f>
        <v>15475.312531287744</v>
      </c>
      <c r="T76" s="68"/>
      <c r="U76" s="68"/>
      <c r="V76" s="68"/>
      <c r="W76" s="66"/>
      <c r="X76" s="52">
        <f>S76</f>
        <v>15475.312531287744</v>
      </c>
      <c r="Y76" s="233">
        <f>X76/X93</f>
        <v>5.7845261319496952E-2</v>
      </c>
      <c r="Z76" s="464"/>
      <c r="AA76" s="254"/>
      <c r="AB76" s="188" t="s">
        <v>37</v>
      </c>
      <c r="AC76" s="165">
        <f>SUM(AC72:AC75)</f>
        <v>509.00741933835775</v>
      </c>
      <c r="AD76" s="68"/>
      <c r="AE76" s="68"/>
      <c r="AF76" s="68"/>
      <c r="AG76" s="66"/>
      <c r="AH76" s="420">
        <f>AC76</f>
        <v>509.00741933835775</v>
      </c>
      <c r="AI76" s="233">
        <f>AH76/AH93</f>
        <v>5.7845261319496959E-2</v>
      </c>
      <c r="AJ76" s="221">
        <f>I76+S76+AC76</f>
        <v>174110.01300000006</v>
      </c>
      <c r="AK76" s="52"/>
    </row>
    <row r="77" spans="1:37" ht="21" x14ac:dyDescent="0.35">
      <c r="A77" s="299" t="s">
        <v>4</v>
      </c>
      <c r="B77" s="218" t="str">
        <f t="shared" si="40"/>
        <v>Contact Center</v>
      </c>
      <c r="C77" s="5" t="s">
        <v>48</v>
      </c>
      <c r="D77" s="10"/>
      <c r="E77" s="10"/>
      <c r="F77" s="10"/>
      <c r="G77" s="10"/>
      <c r="H77" s="84"/>
      <c r="I77" s="166"/>
      <c r="J77" s="69"/>
      <c r="K77" s="69"/>
      <c r="L77" s="69"/>
      <c r="M77" s="70"/>
      <c r="N77" s="88"/>
      <c r="O77" s="241"/>
      <c r="P77" s="465"/>
      <c r="Q77" s="253"/>
      <c r="R77" s="189"/>
      <c r="S77" s="166"/>
      <c r="T77" s="69"/>
      <c r="U77" s="69"/>
      <c r="V77" s="69"/>
      <c r="W77" s="70"/>
      <c r="X77" s="87"/>
      <c r="Y77" s="241"/>
      <c r="Z77" s="465"/>
      <c r="AA77" s="253"/>
      <c r="AB77" s="189"/>
      <c r="AC77" s="166"/>
      <c r="AD77" s="69"/>
      <c r="AE77" s="69"/>
      <c r="AF77" s="69"/>
      <c r="AG77" s="70"/>
      <c r="AH77" s="88"/>
      <c r="AI77" s="241"/>
      <c r="AJ77" s="710"/>
      <c r="AK77" s="87"/>
    </row>
    <row r="78" spans="1:37" ht="21" x14ac:dyDescent="0.35">
      <c r="A78" s="299" t="s">
        <v>4</v>
      </c>
      <c r="B78" s="218" t="str">
        <f t="shared" si="40"/>
        <v>Contact CenterIS SUPPORT</v>
      </c>
      <c r="C78" s="124" t="s">
        <v>50</v>
      </c>
      <c r="D78" s="10"/>
      <c r="E78" s="10"/>
      <c r="F78" s="10"/>
      <c r="G78" s="10"/>
      <c r="H78" s="61" t="s">
        <v>38</v>
      </c>
      <c r="I78" s="167"/>
      <c r="J78" s="302">
        <v>1800</v>
      </c>
      <c r="K78" s="302" t="s">
        <v>295</v>
      </c>
      <c r="L78" s="74"/>
      <c r="M78" s="66"/>
      <c r="N78" s="91"/>
      <c r="O78" s="227"/>
      <c r="P78" s="466"/>
      <c r="Q78" s="252"/>
      <c r="R78" s="186" t="s">
        <v>38</v>
      </c>
      <c r="S78" s="167"/>
      <c r="T78" s="302">
        <v>1800</v>
      </c>
      <c r="U78" s="302" t="s">
        <v>295</v>
      </c>
      <c r="V78" s="74"/>
      <c r="W78" s="66"/>
      <c r="X78" s="90"/>
      <c r="Y78" s="227"/>
      <c r="Z78" s="466"/>
      <c r="AA78" s="252"/>
      <c r="AB78" s="186" t="s">
        <v>38</v>
      </c>
      <c r="AC78" s="167"/>
      <c r="AD78" s="302">
        <v>1800</v>
      </c>
      <c r="AE78" s="302" t="s">
        <v>295</v>
      </c>
      <c r="AF78" s="74"/>
      <c r="AG78" s="66"/>
      <c r="AH78" s="91"/>
      <c r="AI78" s="227"/>
      <c r="AJ78" s="711"/>
      <c r="AK78" s="90"/>
    </row>
    <row r="79" spans="1:37" ht="21" x14ac:dyDescent="0.35">
      <c r="A79" s="299" t="s">
        <v>4</v>
      </c>
      <c r="B79" s="218" t="str">
        <f t="shared" si="40"/>
        <v>Contact CenterBusiness Syst Info Svc Spec 3</v>
      </c>
      <c r="C79" s="5" t="s">
        <v>48</v>
      </c>
      <c r="D79" s="10"/>
      <c r="E79" s="10"/>
      <c r="F79" s="10"/>
      <c r="G79" s="10"/>
      <c r="H79" s="38" t="s">
        <v>302</v>
      </c>
      <c r="I79" s="163">
        <f>J79*K79</f>
        <v>20942.121267206829</v>
      </c>
      <c r="J79" s="42">
        <f>((J78)*1*L79)*(I$6/($I$6+$S$6+$AC$6))</f>
        <v>539.46731754783173</v>
      </c>
      <c r="K79" s="39">
        <v>38.82</v>
      </c>
      <c r="L79" s="304">
        <f>$S$1</f>
        <v>0.33</v>
      </c>
      <c r="M79" s="40" t="str">
        <f>ROUND(J79,0)&amp;" hrs @ "&amp;K79</f>
        <v>539 hrs @ 38.82</v>
      </c>
      <c r="N79" s="94"/>
      <c r="O79" s="242"/>
      <c r="P79" s="466"/>
      <c r="Q79" s="252"/>
      <c r="R79" s="184" t="s">
        <v>302</v>
      </c>
      <c r="S79" s="163">
        <f>T79*U79</f>
        <v>2049.5459367059293</v>
      </c>
      <c r="T79" s="42">
        <f>((T78)*1*V79)*(S$6/($I$6+$S$6+$AC$6))</f>
        <v>52.796134381914719</v>
      </c>
      <c r="U79" s="39">
        <v>38.82</v>
      </c>
      <c r="V79" s="304">
        <f>$S$1</f>
        <v>0.33</v>
      </c>
      <c r="W79" s="40" t="str">
        <f>ROUND(T79,0)&amp;" hrs @ "&amp;U79</f>
        <v>53 hrs @ 38.82</v>
      </c>
      <c r="X79" s="93"/>
      <c r="Y79" s="242"/>
      <c r="Z79" s="466"/>
      <c r="AA79" s="252"/>
      <c r="AB79" s="184" t="s">
        <v>302</v>
      </c>
      <c r="AC79" s="163">
        <f>AD79*AE79</f>
        <v>67.412796087245923</v>
      </c>
      <c r="AD79" s="42">
        <f>((AD78)*1*AF79)*(AC$6/($I$6+$S$6+$AC$6))</f>
        <v>1.7365480702536302</v>
      </c>
      <c r="AE79" s="39">
        <v>38.82</v>
      </c>
      <c r="AF79" s="304">
        <f>$S$1</f>
        <v>0.33</v>
      </c>
      <c r="AG79" s="40" t="str">
        <f>ROUND(AD79,0)&amp;" hrs @ "&amp;AE79</f>
        <v>2 hrs @ 38.82</v>
      </c>
      <c r="AH79" s="94"/>
      <c r="AI79" s="242"/>
      <c r="AJ79" s="712">
        <f t="shared" ref="AJ79:AJ80" si="41">I79+S79+AC79</f>
        <v>23059.080000000005</v>
      </c>
      <c r="AK79" s="93"/>
    </row>
    <row r="80" spans="1:37" ht="21" x14ac:dyDescent="0.35">
      <c r="A80" s="299" t="s">
        <v>4</v>
      </c>
      <c r="B80" s="218" t="str">
        <f t="shared" si="40"/>
        <v>Contact CenterBenefits</v>
      </c>
      <c r="C80" s="5" t="s">
        <v>48</v>
      </c>
      <c r="D80" s="10"/>
      <c r="E80" s="10"/>
      <c r="F80" s="10"/>
      <c r="G80" s="10"/>
      <c r="H80" s="38" t="s">
        <v>33</v>
      </c>
      <c r="I80" s="159">
        <f>I79*$O$2</f>
        <v>20646.837357339213</v>
      </c>
      <c r="J80" s="42"/>
      <c r="K80" s="39"/>
      <c r="L80" s="156"/>
      <c r="M80" s="45" t="str">
        <f>"@ "&amp;$O$2*100&amp;" %"</f>
        <v>@ 98.59 %</v>
      </c>
      <c r="N80" s="94"/>
      <c r="O80" s="242"/>
      <c r="P80" s="466"/>
      <c r="Q80" s="252"/>
      <c r="R80" s="184" t="s">
        <v>33</v>
      </c>
      <c r="S80" s="159">
        <f>S79*$O$2</f>
        <v>2020.6473389983757</v>
      </c>
      <c r="T80" s="42"/>
      <c r="U80" s="39"/>
      <c r="V80" s="156"/>
      <c r="W80" s="45" t="str">
        <f>"@ "&amp;$O$2*100&amp;" %"</f>
        <v>@ 98.59 %</v>
      </c>
      <c r="X80" s="93"/>
      <c r="Y80" s="242"/>
      <c r="Z80" s="466"/>
      <c r="AA80" s="252"/>
      <c r="AB80" s="184" t="s">
        <v>33</v>
      </c>
      <c r="AC80" s="159">
        <f>AC79*$O$2</f>
        <v>66.462275662415749</v>
      </c>
      <c r="AD80" s="42"/>
      <c r="AE80" s="39"/>
      <c r="AF80" s="156"/>
      <c r="AG80" s="45" t="str">
        <f>"@ "&amp;$O$2*100&amp;" %"</f>
        <v>@ 98.59 %</v>
      </c>
      <c r="AH80" s="94"/>
      <c r="AI80" s="242"/>
      <c r="AJ80" s="712">
        <f t="shared" si="41"/>
        <v>22733.946972000005</v>
      </c>
      <c r="AK80" s="93"/>
    </row>
    <row r="81" spans="1:37" ht="21" x14ac:dyDescent="0.35">
      <c r="A81" s="299" t="s">
        <v>4</v>
      </c>
      <c r="B81" s="218" t="str">
        <f t="shared" si="40"/>
        <v>Contact CenterTotal IS</v>
      </c>
      <c r="C81" s="124" t="s">
        <v>50</v>
      </c>
      <c r="D81" s="10"/>
      <c r="E81" s="10"/>
      <c r="F81" s="10"/>
      <c r="G81" s="10"/>
      <c r="H81" s="49" t="s">
        <v>41</v>
      </c>
      <c r="I81" s="165">
        <f>I79+I80</f>
        <v>41588.958624546038</v>
      </c>
      <c r="J81" s="68"/>
      <c r="K81" s="68"/>
      <c r="L81" s="68"/>
      <c r="M81" s="66"/>
      <c r="N81" s="420">
        <f>I81</f>
        <v>41588.958624546038</v>
      </c>
      <c r="O81" s="233">
        <f>N81/N93</f>
        <v>1.521399927645811E-2</v>
      </c>
      <c r="P81" s="466"/>
      <c r="Q81" s="252"/>
      <c r="R81" s="185" t="s">
        <v>41</v>
      </c>
      <c r="S81" s="165">
        <f>S79+S80</f>
        <v>4070.1932757043051</v>
      </c>
      <c r="T81" s="68"/>
      <c r="U81" s="68"/>
      <c r="V81" s="68"/>
      <c r="W81" s="66"/>
      <c r="X81" s="52">
        <f>S81</f>
        <v>4070.1932757043051</v>
      </c>
      <c r="Y81" s="233">
        <f>X81/X93</f>
        <v>1.5213999276458109E-2</v>
      </c>
      <c r="Z81" s="466"/>
      <c r="AA81" s="252"/>
      <c r="AB81" s="185" t="s">
        <v>41</v>
      </c>
      <c r="AC81" s="165">
        <f>AC79+AC80</f>
        <v>133.87507174966169</v>
      </c>
      <c r="AD81" s="68"/>
      <c r="AE81" s="68"/>
      <c r="AF81" s="68"/>
      <c r="AG81" s="66"/>
      <c r="AH81" s="420">
        <f>AC81</f>
        <v>133.87507174966169</v>
      </c>
      <c r="AI81" s="233">
        <f>AH81/AH93</f>
        <v>1.5213999276458112E-2</v>
      </c>
      <c r="AJ81" s="221">
        <f>I81+S81+AC81</f>
        <v>45793.026972</v>
      </c>
      <c r="AK81" s="52"/>
    </row>
    <row r="82" spans="1:37" ht="21" x14ac:dyDescent="0.35">
      <c r="A82" s="299" t="s">
        <v>4</v>
      </c>
      <c r="B82" s="218" t="str">
        <f t="shared" si="40"/>
        <v>Contact Center</v>
      </c>
      <c r="C82" s="5" t="s">
        <v>48</v>
      </c>
      <c r="D82" s="10"/>
      <c r="E82" s="10"/>
      <c r="F82" s="10"/>
      <c r="G82" s="10"/>
      <c r="H82" s="54"/>
      <c r="I82" s="166"/>
      <c r="J82" s="69"/>
      <c r="K82" s="69"/>
      <c r="L82" s="69"/>
      <c r="M82" s="70"/>
      <c r="N82" s="98"/>
      <c r="O82" s="243"/>
      <c r="P82" s="467"/>
      <c r="Q82" s="253"/>
      <c r="R82" s="179"/>
      <c r="S82" s="166"/>
      <c r="T82" s="69"/>
      <c r="U82" s="69"/>
      <c r="V82" s="69"/>
      <c r="W82" s="70"/>
      <c r="X82" s="97"/>
      <c r="Y82" s="243"/>
      <c r="Z82" s="467"/>
      <c r="AA82" s="253"/>
      <c r="AB82" s="179"/>
      <c r="AC82" s="166"/>
      <c r="AD82" s="69"/>
      <c r="AE82" s="69"/>
      <c r="AF82" s="69"/>
      <c r="AG82" s="70"/>
      <c r="AH82" s="98"/>
      <c r="AI82" s="243"/>
      <c r="AJ82" s="713"/>
      <c r="AK82" s="97"/>
    </row>
    <row r="83" spans="1:37" ht="21" x14ac:dyDescent="0.35">
      <c r="A83" s="299" t="s">
        <v>4</v>
      </c>
      <c r="B83" s="218" t="str">
        <f t="shared" si="40"/>
        <v>Contact CenterOTHER</v>
      </c>
      <c r="C83" s="124" t="s">
        <v>50</v>
      </c>
      <c r="D83" s="10"/>
      <c r="E83" s="10"/>
      <c r="F83" s="10"/>
      <c r="G83" s="10"/>
      <c r="H83" s="61" t="s">
        <v>42</v>
      </c>
      <c r="I83" s="167"/>
      <c r="J83" s="74"/>
      <c r="K83" s="74"/>
      <c r="L83" s="74"/>
      <c r="M83" s="66"/>
      <c r="N83" s="91"/>
      <c r="O83" s="227"/>
      <c r="P83" s="466"/>
      <c r="Q83" s="252"/>
      <c r="R83" s="186" t="s">
        <v>42</v>
      </c>
      <c r="S83" s="167"/>
      <c r="T83" s="74"/>
      <c r="U83" s="74"/>
      <c r="V83" s="74"/>
      <c r="W83" s="66"/>
      <c r="X83" s="90"/>
      <c r="Y83" s="227"/>
      <c r="Z83" s="466"/>
      <c r="AA83" s="252"/>
      <c r="AB83" s="186" t="s">
        <v>42</v>
      </c>
      <c r="AC83" s="167"/>
      <c r="AD83" s="74"/>
      <c r="AE83" s="74"/>
      <c r="AF83" s="74"/>
      <c r="AG83" s="66"/>
      <c r="AH83" s="91"/>
      <c r="AI83" s="227"/>
      <c r="AJ83" s="711"/>
      <c r="AK83" s="90"/>
    </row>
    <row r="84" spans="1:37" ht="21" x14ac:dyDescent="0.35">
      <c r="A84" s="299" t="s">
        <v>4</v>
      </c>
      <c r="B84" s="218" t="str">
        <f t="shared" si="40"/>
        <v>Contact CenterContract Labor- Telesource  (33%)</v>
      </c>
      <c r="C84" s="5" t="s">
        <v>48</v>
      </c>
      <c r="D84" s="10"/>
      <c r="E84" s="10"/>
      <c r="F84" s="10"/>
      <c r="G84" s="10"/>
      <c r="H84" s="38" t="s">
        <v>301</v>
      </c>
      <c r="I84" s="163">
        <f>J84*K84*L84</f>
        <v>386618.24424261268</v>
      </c>
      <c r="J84" s="306">
        <f>1*(I$6/($I$6+$S$6+$AC$6))</f>
        <v>0.90819413728591192</v>
      </c>
      <c r="K84" s="39">
        <v>1290000</v>
      </c>
      <c r="L84" s="304">
        <f>$S$1</f>
        <v>0.33</v>
      </c>
      <c r="M84" s="66"/>
      <c r="N84" s="76"/>
      <c r="O84" s="237"/>
      <c r="P84" s="462"/>
      <c r="Q84" s="252"/>
      <c r="R84" s="184" t="s">
        <v>301</v>
      </c>
      <c r="S84" s="163">
        <f>T84*U84*V84</f>
        <v>37837.229640372214</v>
      </c>
      <c r="T84" s="306">
        <f>1*(S$6/($I$6+$S$6+$AC$6))</f>
        <v>8.8882381114334538E-2</v>
      </c>
      <c r="U84" s="39">
        <v>1290000</v>
      </c>
      <c r="V84" s="304">
        <f>$S$1</f>
        <v>0.33</v>
      </c>
      <c r="W84" s="66"/>
      <c r="X84" s="75"/>
      <c r="Y84" s="237"/>
      <c r="Z84" s="462"/>
      <c r="AA84" s="252"/>
      <c r="AB84" s="184" t="s">
        <v>301</v>
      </c>
      <c r="AC84" s="163">
        <f>AD84*AE84*AF84</f>
        <v>1244.5261170151016</v>
      </c>
      <c r="AD84" s="306">
        <f>1*(AC$6/($I$6+$S$6+$AC$6))</f>
        <v>2.9234815997535861E-3</v>
      </c>
      <c r="AE84" s="39">
        <v>1290000</v>
      </c>
      <c r="AF84" s="304">
        <f>$S$1</f>
        <v>0.33</v>
      </c>
      <c r="AG84" s="40"/>
      <c r="AH84" s="91"/>
      <c r="AI84" s="227"/>
      <c r="AJ84" s="221">
        <f>I84+S84+AC84</f>
        <v>425700</v>
      </c>
      <c r="AK84" s="75"/>
    </row>
    <row r="85" spans="1:37" ht="21" x14ac:dyDescent="0.35">
      <c r="A85" s="299" t="s">
        <v>4</v>
      </c>
      <c r="B85" s="218" t="str">
        <f t="shared" si="40"/>
        <v>Contact Center</v>
      </c>
      <c r="C85" s="5" t="s">
        <v>48</v>
      </c>
      <c r="D85" s="10"/>
      <c r="E85" s="10"/>
      <c r="F85" s="10"/>
      <c r="G85" s="10"/>
      <c r="H85" s="38"/>
      <c r="I85" s="168"/>
      <c r="J85" s="42"/>
      <c r="K85" s="39"/>
      <c r="L85" s="42"/>
      <c r="M85" s="66"/>
      <c r="N85" s="91"/>
      <c r="O85" s="227"/>
      <c r="P85" s="466"/>
      <c r="Q85" s="252"/>
      <c r="R85" s="184"/>
      <c r="S85" s="168"/>
      <c r="T85" s="42"/>
      <c r="U85" s="39"/>
      <c r="V85" s="42"/>
      <c r="W85" s="66"/>
      <c r="X85" s="90"/>
      <c r="Y85" s="227"/>
      <c r="Z85" s="466"/>
      <c r="AA85" s="252"/>
      <c r="AB85" s="184"/>
      <c r="AC85" s="168"/>
      <c r="AD85" s="42"/>
      <c r="AE85" s="39"/>
      <c r="AF85" s="42"/>
      <c r="AG85" s="66"/>
      <c r="AH85" s="91"/>
      <c r="AI85" s="227"/>
      <c r="AJ85" s="711"/>
      <c r="AK85" s="90"/>
    </row>
    <row r="86" spans="1:37" ht="21" x14ac:dyDescent="0.35">
      <c r="A86" s="299" t="s">
        <v>4</v>
      </c>
      <c r="B86" s="218" t="str">
        <f t="shared" si="40"/>
        <v>Contact Center</v>
      </c>
      <c r="C86" s="5" t="s">
        <v>48</v>
      </c>
      <c r="D86" s="10"/>
      <c r="E86" s="117"/>
      <c r="F86" s="117"/>
      <c r="G86" s="117"/>
      <c r="H86" s="38"/>
      <c r="I86" s="168"/>
      <c r="J86" s="42"/>
      <c r="K86" s="39"/>
      <c r="L86" s="42"/>
      <c r="M86" s="66"/>
      <c r="N86" s="91"/>
      <c r="O86" s="227"/>
      <c r="P86" s="466"/>
      <c r="Q86" s="252"/>
      <c r="R86" s="184"/>
      <c r="S86" s="168"/>
      <c r="T86" s="42"/>
      <c r="U86" s="39"/>
      <c r="V86" s="42"/>
      <c r="W86" s="66"/>
      <c r="X86" s="90"/>
      <c r="Y86" s="227"/>
      <c r="Z86" s="466"/>
      <c r="AA86" s="252"/>
      <c r="AB86" s="184"/>
      <c r="AC86" s="168"/>
      <c r="AD86" s="42"/>
      <c r="AE86" s="39"/>
      <c r="AF86" s="42"/>
      <c r="AG86" s="66"/>
      <c r="AH86" s="91"/>
      <c r="AI86" s="227"/>
      <c r="AJ86" s="711"/>
      <c r="AK86" s="90"/>
    </row>
    <row r="87" spans="1:37" ht="21" x14ac:dyDescent="0.35">
      <c r="A87" s="299" t="s">
        <v>4</v>
      </c>
      <c r="B87" s="218" t="str">
        <f t="shared" si="40"/>
        <v>Contact Center</v>
      </c>
      <c r="C87" s="5" t="s">
        <v>48</v>
      </c>
      <c r="D87" s="10"/>
      <c r="E87" s="117"/>
      <c r="F87" s="117"/>
      <c r="G87" s="117"/>
      <c r="H87" s="38"/>
      <c r="I87" s="168"/>
      <c r="J87" s="42"/>
      <c r="K87" s="39"/>
      <c r="L87" s="42"/>
      <c r="M87" s="66"/>
      <c r="N87" s="91"/>
      <c r="O87" s="227"/>
      <c r="P87" s="466"/>
      <c r="Q87" s="252"/>
      <c r="R87" s="184"/>
      <c r="S87" s="168"/>
      <c r="T87" s="42"/>
      <c r="U87" s="39"/>
      <c r="V87" s="42"/>
      <c r="W87" s="66"/>
      <c r="X87" s="90"/>
      <c r="Y87" s="227"/>
      <c r="Z87" s="466"/>
      <c r="AA87" s="252"/>
      <c r="AB87" s="184"/>
      <c r="AC87" s="168"/>
      <c r="AD87" s="42"/>
      <c r="AE87" s="39"/>
      <c r="AF87" s="42"/>
      <c r="AG87" s="66"/>
      <c r="AH87" s="91"/>
      <c r="AI87" s="227"/>
      <c r="AJ87" s="711"/>
      <c r="AK87" s="90"/>
    </row>
    <row r="88" spans="1:37" ht="21" x14ac:dyDescent="0.35">
      <c r="A88" s="299" t="s">
        <v>4</v>
      </c>
      <c r="B88" s="218" t="str">
        <f t="shared" si="40"/>
        <v>Contact Center</v>
      </c>
      <c r="C88" s="5" t="s">
        <v>48</v>
      </c>
      <c r="D88" s="10"/>
      <c r="E88" s="117"/>
      <c r="F88" s="117"/>
      <c r="G88" s="117"/>
      <c r="H88" s="38"/>
      <c r="I88" s="168"/>
      <c r="J88" s="42"/>
      <c r="K88" s="39"/>
      <c r="L88" s="42"/>
      <c r="M88" s="66"/>
      <c r="N88" s="91"/>
      <c r="O88" s="227"/>
      <c r="P88" s="466"/>
      <c r="Q88" s="252"/>
      <c r="R88" s="184"/>
      <c r="S88" s="168"/>
      <c r="T88" s="42"/>
      <c r="U88" s="39"/>
      <c r="V88" s="42"/>
      <c r="W88" s="66"/>
      <c r="X88" s="90"/>
      <c r="Y88" s="227"/>
      <c r="Z88" s="466"/>
      <c r="AA88" s="252"/>
      <c r="AB88" s="184"/>
      <c r="AC88" s="168"/>
      <c r="AD88" s="42"/>
      <c r="AE88" s="39"/>
      <c r="AF88" s="42"/>
      <c r="AG88" s="66"/>
      <c r="AH88" s="91"/>
      <c r="AI88" s="227"/>
      <c r="AJ88" s="711"/>
      <c r="AK88" s="90"/>
    </row>
    <row r="89" spans="1:37" ht="21" x14ac:dyDescent="0.35">
      <c r="A89" s="299" t="s">
        <v>4</v>
      </c>
      <c r="B89" s="218" t="str">
        <f t="shared" si="40"/>
        <v>Contact Center</v>
      </c>
      <c r="C89" s="5" t="s">
        <v>48</v>
      </c>
      <c r="D89" s="10"/>
      <c r="E89" s="117"/>
      <c r="F89" s="117"/>
      <c r="G89" s="117"/>
      <c r="H89" s="38"/>
      <c r="I89" s="164"/>
      <c r="J89" s="67"/>
      <c r="K89" s="67"/>
      <c r="L89" s="67"/>
      <c r="M89" s="40" t="str">
        <f>J89&amp;" days @ "&amp;K89</f>
        <v xml:space="preserve"> days @ </v>
      </c>
      <c r="N89" s="94"/>
      <c r="O89" s="242"/>
      <c r="P89" s="466"/>
      <c r="Q89" s="252"/>
      <c r="R89" s="184"/>
      <c r="S89" s="164"/>
      <c r="T89" s="67"/>
      <c r="U89" s="67"/>
      <c r="V89" s="67"/>
      <c r="W89" s="40" t="str">
        <f>T89&amp;" days @ "&amp;U89</f>
        <v xml:space="preserve"> days @ </v>
      </c>
      <c r="X89" s="93"/>
      <c r="Y89" s="242"/>
      <c r="Z89" s="466"/>
      <c r="AA89" s="252"/>
      <c r="AB89" s="184"/>
      <c r="AC89" s="164"/>
      <c r="AD89" s="67"/>
      <c r="AE89" s="67"/>
      <c r="AF89" s="67"/>
      <c r="AG89" s="40" t="str">
        <f>AD89&amp;" days @ "&amp;AE89</f>
        <v xml:space="preserve"> days @ </v>
      </c>
      <c r="AH89" s="94"/>
      <c r="AI89" s="242"/>
      <c r="AJ89" s="712"/>
      <c r="AK89" s="93"/>
    </row>
    <row r="90" spans="1:37" ht="21" x14ac:dyDescent="0.35">
      <c r="A90" s="299" t="s">
        <v>4</v>
      </c>
      <c r="B90" s="218" t="str">
        <f t="shared" si="40"/>
        <v>Contact CenterTotal Other</v>
      </c>
      <c r="C90" s="124" t="s">
        <v>50</v>
      </c>
      <c r="D90" s="10"/>
      <c r="E90" s="116">
        <f>I90</f>
        <v>386618.24424261268</v>
      </c>
      <c r="F90" s="116">
        <f>S90</f>
        <v>37837.229640372214</v>
      </c>
      <c r="G90" s="116">
        <f>AC90</f>
        <v>1244.5261170151016</v>
      </c>
      <c r="H90" s="49" t="s">
        <v>45</v>
      </c>
      <c r="I90" s="165">
        <f>SUM(I84:I89)</f>
        <v>386618.24424261268</v>
      </c>
      <c r="J90" s="68"/>
      <c r="K90" s="68"/>
      <c r="L90" s="68"/>
      <c r="M90" s="66"/>
      <c r="N90" s="414">
        <f>I90</f>
        <v>386618.24424261268</v>
      </c>
      <c r="O90" s="233">
        <f>N90/N93</f>
        <v>0.14143200221178462</v>
      </c>
      <c r="P90" s="466"/>
      <c r="Q90" s="165"/>
      <c r="R90" s="185" t="s">
        <v>45</v>
      </c>
      <c r="S90" s="165">
        <f>SUM(S84:S89)</f>
        <v>37837.229640372214</v>
      </c>
      <c r="T90" s="68"/>
      <c r="U90" s="68"/>
      <c r="V90" s="68"/>
      <c r="W90" s="66"/>
      <c r="X90" s="165">
        <f>S90</f>
        <v>37837.229640372214</v>
      </c>
      <c r="Y90" s="233">
        <f>X90/X93</f>
        <v>0.14143200221178462</v>
      </c>
      <c r="Z90" s="466"/>
      <c r="AA90" s="165"/>
      <c r="AB90" s="185" t="s">
        <v>45</v>
      </c>
      <c r="AC90" s="165">
        <f>SUM(AC84:AC89)</f>
        <v>1244.5261170151016</v>
      </c>
      <c r="AD90" s="68"/>
      <c r="AE90" s="68"/>
      <c r="AF90" s="68"/>
      <c r="AG90" s="66"/>
      <c r="AH90" s="414">
        <f>AC90</f>
        <v>1244.5261170151016</v>
      </c>
      <c r="AI90" s="233">
        <f>AH90/AH93</f>
        <v>0.14143200221178465</v>
      </c>
      <c r="AJ90" s="714">
        <f>I90+S90+AC90</f>
        <v>425700</v>
      </c>
      <c r="AK90" s="165"/>
    </row>
    <row r="91" spans="1:37" ht="21.75" thickBot="1" x14ac:dyDescent="0.4">
      <c r="A91" s="299" t="s">
        <v>4</v>
      </c>
      <c r="B91" s="218" t="str">
        <f t="shared" si="40"/>
        <v>Contact Center</v>
      </c>
      <c r="C91" s="5" t="s">
        <v>48</v>
      </c>
      <c r="D91" s="10"/>
      <c r="E91" s="117"/>
      <c r="F91" s="117"/>
      <c r="G91" s="117"/>
      <c r="H91" s="100"/>
      <c r="I91" s="178"/>
      <c r="J91" s="101"/>
      <c r="K91" s="101"/>
      <c r="L91" s="101"/>
      <c r="M91" s="102"/>
      <c r="N91" s="415"/>
      <c r="O91" s="178"/>
      <c r="P91" s="178"/>
      <c r="Q91" s="178"/>
      <c r="R91" s="178"/>
      <c r="S91" s="178"/>
      <c r="T91" s="101"/>
      <c r="U91" s="101"/>
      <c r="V91" s="101"/>
      <c r="W91" s="102"/>
      <c r="X91" s="178"/>
      <c r="Y91" s="178"/>
      <c r="Z91" s="178"/>
      <c r="AA91" s="178"/>
      <c r="AB91" s="178"/>
      <c r="AC91" s="178"/>
      <c r="AD91" s="101"/>
      <c r="AE91" s="101"/>
      <c r="AF91" s="101"/>
      <c r="AG91" s="102"/>
      <c r="AH91" s="415"/>
      <c r="AI91" s="178"/>
      <c r="AJ91" s="715"/>
      <c r="AK91" s="178"/>
    </row>
    <row r="92" spans="1:37" ht="21.75" thickTop="1" x14ac:dyDescent="0.35">
      <c r="A92" s="299" t="s">
        <v>4</v>
      </c>
      <c r="B92" s="218" t="str">
        <f t="shared" si="40"/>
        <v>Contact CenterTOTALS</v>
      </c>
      <c r="C92" s="5" t="s">
        <v>48</v>
      </c>
      <c r="D92" s="10"/>
      <c r="E92" s="117"/>
      <c r="F92" s="117"/>
      <c r="G92" s="117"/>
      <c r="H92" s="61" t="s">
        <v>28</v>
      </c>
      <c r="I92" s="103"/>
      <c r="J92" s="103"/>
      <c r="K92" s="103"/>
      <c r="L92" s="103"/>
      <c r="M92" s="104"/>
      <c r="N92" s="91"/>
      <c r="O92" s="136"/>
      <c r="P92" s="466"/>
      <c r="Q92" s="252"/>
      <c r="R92" s="186" t="s">
        <v>28</v>
      </c>
      <c r="S92" s="103"/>
      <c r="T92" s="103"/>
      <c r="U92" s="103"/>
      <c r="V92" s="103"/>
      <c r="W92" s="104"/>
      <c r="X92" s="90"/>
      <c r="Y92" s="136"/>
      <c r="Z92" s="466"/>
      <c r="AA92" s="252"/>
      <c r="AB92" s="186" t="s">
        <v>28</v>
      </c>
      <c r="AC92" s="103"/>
      <c r="AD92" s="103"/>
      <c r="AE92" s="103"/>
      <c r="AF92" s="103"/>
      <c r="AG92" s="104"/>
      <c r="AH92" s="91"/>
      <c r="AI92" s="136"/>
      <c r="AJ92" s="711"/>
      <c r="AK92" s="90"/>
    </row>
    <row r="93" spans="1:37" ht="21" x14ac:dyDescent="0.35">
      <c r="A93" s="299" t="s">
        <v>4</v>
      </c>
      <c r="B93" s="218" t="str">
        <f t="shared" si="40"/>
        <v>Contact CenterPER YEAR</v>
      </c>
      <c r="C93" s="124" t="s">
        <v>50</v>
      </c>
      <c r="D93" s="10"/>
      <c r="E93" s="117"/>
      <c r="F93" s="117"/>
      <c r="G93" s="117"/>
      <c r="H93" s="105" t="s">
        <v>46</v>
      </c>
      <c r="I93" s="106">
        <f>I58+I69+I76+I81+I90</f>
        <v>2733598.0414367509</v>
      </c>
      <c r="J93" s="106"/>
      <c r="K93" s="106"/>
      <c r="L93" s="106"/>
      <c r="M93" s="107"/>
      <c r="N93" s="420">
        <f>SUM(N58:N91)</f>
        <v>2733598.0414367509</v>
      </c>
      <c r="O93" s="233">
        <f>SUM(O58:O91)</f>
        <v>0.99999999999999989</v>
      </c>
      <c r="P93" s="466"/>
      <c r="Q93" s="252"/>
      <c r="R93" s="190" t="s">
        <v>46</v>
      </c>
      <c r="S93" s="106">
        <f>S58+S69+S76+S81+S90</f>
        <v>267529.47740719659</v>
      </c>
      <c r="T93" s="106"/>
      <c r="U93" s="106"/>
      <c r="V93" s="106"/>
      <c r="W93" s="107"/>
      <c r="X93" s="52">
        <f>SUM(X58:X91)</f>
        <v>267529.47740719659</v>
      </c>
      <c r="Y93" s="233">
        <f>SUM(Y58:Y91)</f>
        <v>0.99999999999999989</v>
      </c>
      <c r="Z93" s="466"/>
      <c r="AA93" s="252"/>
      <c r="AB93" s="190" t="s">
        <v>46</v>
      </c>
      <c r="AC93" s="106">
        <f>AC58+AC69+AC76+AC81+AC90</f>
        <v>8799.4661572527966</v>
      </c>
      <c r="AD93" s="106"/>
      <c r="AE93" s="106"/>
      <c r="AF93" s="106"/>
      <c r="AG93" s="107"/>
      <c r="AH93" s="420">
        <f>SUM(AH58:AH91)</f>
        <v>8799.4661572527966</v>
      </c>
      <c r="AI93" s="233">
        <f>SUM(AI58:AI91)</f>
        <v>0.99999999999999989</v>
      </c>
      <c r="AJ93" s="221">
        <f>I93+S93+AC93</f>
        <v>3009926.9850012003</v>
      </c>
      <c r="AK93" s="52"/>
    </row>
    <row r="94" spans="1:37" ht="21" x14ac:dyDescent="0.35">
      <c r="A94" s="299" t="s">
        <v>4</v>
      </c>
      <c r="B94" s="218" t="str">
        <f t="shared" si="40"/>
        <v>Contact CenterPER PAYMENT</v>
      </c>
      <c r="C94" s="124" t="s">
        <v>50</v>
      </c>
      <c r="D94" s="10"/>
      <c r="E94" s="117"/>
      <c r="F94" s="117"/>
      <c r="G94" s="117"/>
      <c r="H94" s="49" t="s">
        <v>47</v>
      </c>
      <c r="I94" s="108">
        <f>I93/I$6</f>
        <v>0.35117796054008049</v>
      </c>
      <c r="J94" s="108"/>
      <c r="K94" s="108"/>
      <c r="L94" s="108"/>
      <c r="M94" s="109"/>
      <c r="N94" s="98"/>
      <c r="O94" s="246"/>
      <c r="P94" s="467"/>
      <c r="Q94" s="253"/>
      <c r="R94" s="185" t="s">
        <v>47</v>
      </c>
      <c r="S94" s="108">
        <f>S93/S$6</f>
        <v>0.35117796054008055</v>
      </c>
      <c r="T94" s="108"/>
      <c r="U94" s="108"/>
      <c r="V94" s="108"/>
      <c r="W94" s="109"/>
      <c r="X94" s="97"/>
      <c r="Y94" s="246"/>
      <c r="Z94" s="467"/>
      <c r="AA94" s="253"/>
      <c r="AB94" s="185" t="s">
        <v>47</v>
      </c>
      <c r="AC94" s="108">
        <f>AC93/AC$6</f>
        <v>0.35117796054008049</v>
      </c>
      <c r="AD94" s="108"/>
      <c r="AE94" s="108"/>
      <c r="AF94" s="108"/>
      <c r="AG94" s="109"/>
      <c r="AH94" s="98"/>
      <c r="AI94" s="246"/>
      <c r="AJ94" s="713">
        <f>I94+S94+AC94</f>
        <v>1.0535338816202415</v>
      </c>
      <c r="AK94" s="97"/>
    </row>
    <row r="95" spans="1:37" ht="15.75" x14ac:dyDescent="0.25">
      <c r="A95" s="299" t="s">
        <v>4</v>
      </c>
      <c r="B95" s="218"/>
      <c r="C95" s="220"/>
      <c r="D95" s="10"/>
      <c r="E95" s="10"/>
      <c r="F95" s="10"/>
      <c r="G95" s="10"/>
      <c r="H95" s="137" t="s">
        <v>553</v>
      </c>
      <c r="I95" s="652">
        <f>I58+I69+I81</f>
        <v>2188854.1041447641</v>
      </c>
      <c r="J95" s="108"/>
      <c r="K95" s="108"/>
      <c r="L95" s="108"/>
      <c r="M95" s="109"/>
      <c r="N95" s="649"/>
      <c r="O95" s="650"/>
      <c r="P95" s="92"/>
      <c r="Q95" s="37"/>
      <c r="R95" s="137" t="s">
        <v>553</v>
      </c>
      <c r="S95" s="652">
        <f>S58+S69+S81</f>
        <v>214216.93523553663</v>
      </c>
      <c r="T95" s="108"/>
      <c r="U95" s="108"/>
      <c r="V95" s="108"/>
      <c r="W95" s="109"/>
      <c r="X95" s="651"/>
      <c r="Y95" s="650"/>
      <c r="Z95" s="92"/>
      <c r="AA95" s="37"/>
      <c r="AB95" s="137" t="s">
        <v>553</v>
      </c>
      <c r="AC95" s="652">
        <f>AC58+AC69+AC81</f>
        <v>7045.9326208993371</v>
      </c>
      <c r="AD95" s="108"/>
      <c r="AE95" s="108"/>
      <c r="AF95" s="108"/>
      <c r="AG95" s="109"/>
      <c r="AH95" s="649"/>
      <c r="AI95" s="137"/>
      <c r="AJ95" s="709">
        <f>I95+S95+AC95</f>
        <v>2410116.9720012001</v>
      </c>
      <c r="AK95" s="651"/>
    </row>
    <row r="96" spans="1:37" ht="15.75" x14ac:dyDescent="0.25">
      <c r="A96" s="299" t="s">
        <v>4</v>
      </c>
      <c r="B96" s="218"/>
      <c r="C96" s="220"/>
      <c r="D96" s="10"/>
      <c r="E96" s="10"/>
      <c r="F96" s="10"/>
      <c r="G96" s="10"/>
      <c r="H96" s="137" t="s">
        <v>554</v>
      </c>
      <c r="I96" s="652">
        <f>I90+I76</f>
        <v>544743.93729198666</v>
      </c>
      <c r="J96" s="108"/>
      <c r="K96" s="652"/>
      <c r="L96" s="108"/>
      <c r="M96" s="109"/>
      <c r="N96" s="649"/>
      <c r="O96" s="650"/>
      <c r="P96" s="92"/>
      <c r="Q96" s="37"/>
      <c r="R96" s="137" t="s">
        <v>554</v>
      </c>
      <c r="S96" s="652">
        <f>S90+S76</f>
        <v>53312.542171659959</v>
      </c>
      <c r="T96" s="108"/>
      <c r="U96" s="652"/>
      <c r="V96" s="108"/>
      <c r="W96" s="109"/>
      <c r="X96" s="651"/>
      <c r="Y96" s="650"/>
      <c r="Z96" s="92"/>
      <c r="AA96" s="37"/>
      <c r="AB96" s="137" t="s">
        <v>554</v>
      </c>
      <c r="AC96" s="652">
        <f>AC90+AC76</f>
        <v>1753.5335363534593</v>
      </c>
      <c r="AD96" s="108"/>
      <c r="AE96" s="652"/>
      <c r="AF96" s="108"/>
      <c r="AG96" s="109"/>
      <c r="AH96" s="649"/>
      <c r="AI96" s="137"/>
      <c r="AJ96" s="709">
        <f>I96+S96+AC96</f>
        <v>599810.01300000015</v>
      </c>
      <c r="AK96" s="651"/>
    </row>
    <row r="97" spans="1:37" ht="15.75" x14ac:dyDescent="0.25">
      <c r="A97" s="299" t="s">
        <v>4</v>
      </c>
      <c r="B97" s="218"/>
      <c r="C97" s="220"/>
      <c r="D97" s="10"/>
      <c r="E97" s="10"/>
      <c r="F97" s="10"/>
      <c r="G97" s="10"/>
      <c r="H97" s="137" t="s">
        <v>552</v>
      </c>
      <c r="I97" s="652">
        <f>I93</f>
        <v>2733598.0414367509</v>
      </c>
      <c r="J97" s="108"/>
      <c r="K97" s="108"/>
      <c r="L97" s="108"/>
      <c r="M97" s="109"/>
      <c r="N97" s="649"/>
      <c r="O97" s="650"/>
      <c r="P97" s="92"/>
      <c r="Q97" s="37"/>
      <c r="R97" s="137" t="s">
        <v>552</v>
      </c>
      <c r="S97" s="652">
        <f>S93</f>
        <v>267529.47740719659</v>
      </c>
      <c r="T97" s="108"/>
      <c r="U97" s="108"/>
      <c r="V97" s="108"/>
      <c r="W97" s="109"/>
      <c r="X97" s="651"/>
      <c r="Y97" s="650"/>
      <c r="Z97" s="92"/>
      <c r="AA97" s="37"/>
      <c r="AB97" s="137" t="s">
        <v>552</v>
      </c>
      <c r="AC97" s="652">
        <f>AC93</f>
        <v>8799.4661572527966</v>
      </c>
      <c r="AD97" s="108"/>
      <c r="AE97" s="108"/>
      <c r="AF97" s="108"/>
      <c r="AG97" s="109"/>
      <c r="AH97" s="649"/>
      <c r="AI97" s="137"/>
      <c r="AJ97" s="709">
        <f>I97+S97+AC97</f>
        <v>3009926.9850012003</v>
      </c>
      <c r="AK97" s="651"/>
    </row>
    <row r="98" spans="1:37" ht="66.599999999999994" customHeight="1" x14ac:dyDescent="0.25">
      <c r="A98" s="299" t="s">
        <v>5</v>
      </c>
      <c r="B98" s="218" t="str">
        <f t="shared" si="40"/>
        <v>MASTLABOR: NON-SUPERVISORY</v>
      </c>
      <c r="C98" s="218" t="s">
        <v>5</v>
      </c>
      <c r="D98" s="10" t="str">
        <f>'2015Summary METER to CASH (Base'!G15</f>
        <v>* Bill exception work
* Rebills
* Bill controls</v>
      </c>
      <c r="E98" s="117">
        <f>N137</f>
        <v>0</v>
      </c>
      <c r="F98" s="117">
        <f>X137</f>
        <v>101167.92131299998</v>
      </c>
      <c r="G98" s="117">
        <f>AC137</f>
        <v>281372.08834833326</v>
      </c>
      <c r="H98" s="182" t="s">
        <v>31</v>
      </c>
      <c r="I98" s="157"/>
      <c r="J98" s="118"/>
      <c r="K98" s="118"/>
      <c r="L98" s="118"/>
      <c r="M98" s="119"/>
      <c r="N98" s="121"/>
      <c r="O98" s="135"/>
      <c r="P98" s="456"/>
      <c r="Q98" s="248"/>
      <c r="R98" s="183" t="s">
        <v>31</v>
      </c>
      <c r="S98" s="157"/>
      <c r="T98" s="118"/>
      <c r="U98" s="118"/>
      <c r="V98" s="118"/>
      <c r="W98" s="119"/>
      <c r="X98" s="120"/>
      <c r="Y98" s="135"/>
      <c r="Z98" s="456"/>
      <c r="AA98" s="248"/>
      <c r="AB98" s="183" t="s">
        <v>31</v>
      </c>
      <c r="AC98" s="157"/>
      <c r="AD98" s="118"/>
      <c r="AE98" s="118"/>
      <c r="AF98" s="118"/>
      <c r="AG98" s="119"/>
      <c r="AH98" s="121"/>
      <c r="AI98" s="135"/>
      <c r="AJ98" s="705"/>
      <c r="AK98" s="120"/>
    </row>
    <row r="99" spans="1:37" ht="22.5" x14ac:dyDescent="0.25">
      <c r="A99" s="299" t="s">
        <v>5</v>
      </c>
      <c r="B99" s="218" t="str">
        <f t="shared" si="40"/>
        <v>MASTMAST Rep (Grade 145)</v>
      </c>
      <c r="C99" s="217" t="s">
        <v>48</v>
      </c>
      <c r="D99" s="10"/>
      <c r="E99" s="126"/>
      <c r="F99" s="126"/>
      <c r="G99" s="126"/>
      <c r="H99" s="184" t="s">
        <v>243</v>
      </c>
      <c r="I99" s="158">
        <f>J99*K99</f>
        <v>0</v>
      </c>
      <c r="J99" s="289">
        <f>+ROUND('FTE Alloc OR &amp; WA'!G39*2080,0)</f>
        <v>0</v>
      </c>
      <c r="K99" s="259">
        <v>29.13</v>
      </c>
      <c r="L99" s="39"/>
      <c r="M99" s="40" t="str">
        <f>J99&amp;" hrs @ "&amp;K99</f>
        <v>0 hrs @ 29.13</v>
      </c>
      <c r="N99" s="35"/>
      <c r="O99" s="136"/>
      <c r="P99" s="457"/>
      <c r="Q99" s="249"/>
      <c r="R99" s="184" t="s">
        <v>243</v>
      </c>
      <c r="S99" s="158">
        <f>T99*U99</f>
        <v>27090.899999999998</v>
      </c>
      <c r="T99" s="289">
        <f>+ROUND('FTE Alloc OR &amp; WA'!H40*2080,0)</f>
        <v>930</v>
      </c>
      <c r="U99" s="259">
        <v>29.13</v>
      </c>
      <c r="V99" s="39"/>
      <c r="W99" s="40" t="str">
        <f>T99&amp;" hrs @ "&amp;U99</f>
        <v>930 hrs @ 29.13</v>
      </c>
      <c r="X99" s="34"/>
      <c r="Y99" s="136"/>
      <c r="Z99" s="457"/>
      <c r="AA99" s="249"/>
      <c r="AB99" s="184" t="s">
        <v>243</v>
      </c>
      <c r="AC99" s="158">
        <f>AD99*AE99</f>
        <v>80864.87999999999</v>
      </c>
      <c r="AD99" s="289">
        <f>+ROUND('FTE Alloc OR &amp; WA'!I40*2080,0)</f>
        <v>2776</v>
      </c>
      <c r="AE99" s="259">
        <v>29.13</v>
      </c>
      <c r="AF99" s="39"/>
      <c r="AG99" s="40" t="str">
        <f>AD99&amp;" hrs @ "&amp;AE99</f>
        <v>2776 hrs @ 29.13</v>
      </c>
      <c r="AH99" s="35"/>
      <c r="AI99" s="136"/>
      <c r="AJ99" s="706">
        <f t="shared" ref="AJ99:AJ104" si="42">I99+S99+AC99</f>
        <v>107955.77999999998</v>
      </c>
      <c r="AK99" s="34"/>
    </row>
    <row r="100" spans="1:37" ht="22.5" x14ac:dyDescent="0.25">
      <c r="A100" s="299" t="s">
        <v>5</v>
      </c>
      <c r="B100" s="218" t="str">
        <f t="shared" si="40"/>
        <v>MASTOp Supp 2 (Grade 125)</v>
      </c>
      <c r="C100" s="217" t="s">
        <v>48</v>
      </c>
      <c r="D100" s="10"/>
      <c r="E100" s="126"/>
      <c r="F100" s="126"/>
      <c r="G100" s="126"/>
      <c r="H100" s="184" t="s">
        <v>244</v>
      </c>
      <c r="I100" s="158">
        <f t="shared" ref="I100:I101" si="43">J100*K100</f>
        <v>0</v>
      </c>
      <c r="J100" s="289">
        <f>+ROUND('FTE Alloc OR &amp; WA'!G40*2080,0)</f>
        <v>0</v>
      </c>
      <c r="K100" s="259">
        <v>22.01</v>
      </c>
      <c r="L100" s="42"/>
      <c r="M100" s="40" t="str">
        <f t="shared" ref="M100:M102" si="44">J100&amp;" hrs @ "&amp;K100</f>
        <v>0 hrs @ 22.01</v>
      </c>
      <c r="N100" s="35"/>
      <c r="O100" s="136"/>
      <c r="P100" s="457"/>
      <c r="Q100" s="250"/>
      <c r="R100" s="184" t="s">
        <v>244</v>
      </c>
      <c r="S100" s="158">
        <f t="shared" ref="S100:S101" si="45">T100*U100</f>
        <v>2002.91</v>
      </c>
      <c r="T100" s="289">
        <f>+ROUND('FTE Alloc OR &amp; WA'!H41*2080,0)</f>
        <v>91</v>
      </c>
      <c r="U100" s="259">
        <v>22.01</v>
      </c>
      <c r="V100" s="42"/>
      <c r="W100" s="40" t="str">
        <f t="shared" ref="W100:W102" si="46">T100&amp;" hrs @ "&amp;U100</f>
        <v>91 hrs @ 22.01</v>
      </c>
      <c r="X100" s="34"/>
      <c r="Y100" s="136"/>
      <c r="Z100" s="457"/>
      <c r="AA100" s="250"/>
      <c r="AB100" s="184" t="s">
        <v>244</v>
      </c>
      <c r="AC100" s="158">
        <f t="shared" ref="AC100:AC102" si="47">AD100*AE100</f>
        <v>6889.13</v>
      </c>
      <c r="AD100" s="289">
        <f>+ROUND('FTE Alloc OR &amp; WA'!I41*2080,0)</f>
        <v>313</v>
      </c>
      <c r="AE100" s="259">
        <v>22.01</v>
      </c>
      <c r="AF100" s="42"/>
      <c r="AG100" s="40" t="str">
        <f t="shared" ref="AG100:AG102" si="48">AD100&amp;" hrs @ "&amp;AE100</f>
        <v>313 hrs @ 22.01</v>
      </c>
      <c r="AH100" s="35"/>
      <c r="AI100" s="136"/>
      <c r="AJ100" s="706">
        <f t="shared" si="42"/>
        <v>8892.0400000000009</v>
      </c>
      <c r="AK100" s="34"/>
    </row>
    <row r="101" spans="1:37" ht="22.5" x14ac:dyDescent="0.25">
      <c r="A101" s="299" t="s">
        <v>5</v>
      </c>
      <c r="B101" s="218" t="str">
        <f t="shared" si="40"/>
        <v>MASTCustomer Field Service 4</v>
      </c>
      <c r="C101" s="217" t="s">
        <v>48</v>
      </c>
      <c r="D101" s="10"/>
      <c r="E101" s="126"/>
      <c r="F101" s="126"/>
      <c r="G101" s="126"/>
      <c r="H101" s="184" t="s">
        <v>343</v>
      </c>
      <c r="I101" s="158">
        <f t="shared" si="43"/>
        <v>0</v>
      </c>
      <c r="J101" s="42"/>
      <c r="K101" s="39">
        <v>36.78</v>
      </c>
      <c r="L101" s="42"/>
      <c r="M101" s="40" t="str">
        <f t="shared" si="44"/>
        <v xml:space="preserve"> hrs @ 36.78</v>
      </c>
      <c r="N101" s="35"/>
      <c r="O101" s="136"/>
      <c r="P101" s="457"/>
      <c r="Q101" s="249"/>
      <c r="R101" s="184" t="s">
        <v>343</v>
      </c>
      <c r="S101" s="158">
        <f t="shared" si="45"/>
        <v>10739.76</v>
      </c>
      <c r="T101" s="42">
        <v>292</v>
      </c>
      <c r="U101" s="39">
        <v>36.78</v>
      </c>
      <c r="V101" s="42"/>
      <c r="W101" s="40" t="str">
        <f t="shared" si="46"/>
        <v>292 hrs @ 36.78</v>
      </c>
      <c r="X101" s="34"/>
      <c r="Y101" s="136"/>
      <c r="Z101" s="457"/>
      <c r="AA101" s="249"/>
      <c r="AB101" s="184" t="s">
        <v>343</v>
      </c>
      <c r="AC101" s="158">
        <f t="shared" si="47"/>
        <v>23097.84</v>
      </c>
      <c r="AD101" s="42">
        <v>628</v>
      </c>
      <c r="AE101" s="39">
        <v>36.78</v>
      </c>
      <c r="AF101" s="42"/>
      <c r="AG101" s="40" t="str">
        <f t="shared" si="48"/>
        <v>628 hrs @ 36.78</v>
      </c>
      <c r="AH101" s="35"/>
      <c r="AI101" s="136"/>
      <c r="AJ101" s="706">
        <f t="shared" si="42"/>
        <v>33837.599999999999</v>
      </c>
      <c r="AK101" s="34"/>
    </row>
    <row r="102" spans="1:37" ht="15.75" x14ac:dyDescent="0.25">
      <c r="A102" s="299" t="s">
        <v>5</v>
      </c>
      <c r="B102" s="218" t="str">
        <f t="shared" si="40"/>
        <v>MAST</v>
      </c>
      <c r="C102" s="217" t="s">
        <v>48</v>
      </c>
      <c r="D102" s="10"/>
      <c r="E102" s="126"/>
      <c r="F102" s="126"/>
      <c r="G102" s="126"/>
      <c r="H102" s="179"/>
      <c r="I102" s="173">
        <f>J102*K102*L102</f>
        <v>0</v>
      </c>
      <c r="J102" s="174"/>
      <c r="K102" s="175"/>
      <c r="L102" s="181">
        <v>7.0000000000000007E-2</v>
      </c>
      <c r="M102" s="176" t="str">
        <f t="shared" si="44"/>
        <v xml:space="preserve"> hrs @ </v>
      </c>
      <c r="N102" s="35"/>
      <c r="O102" s="136"/>
      <c r="P102" s="457"/>
      <c r="Q102" s="251"/>
      <c r="R102" s="179"/>
      <c r="S102" s="173">
        <f>T102*U102*V102</f>
        <v>0</v>
      </c>
      <c r="T102" s="174"/>
      <c r="U102" s="175"/>
      <c r="V102" s="181">
        <v>7.0000000000000007E-2</v>
      </c>
      <c r="W102" s="176" t="str">
        <f t="shared" si="46"/>
        <v xml:space="preserve"> hrs @ </v>
      </c>
      <c r="X102" s="34"/>
      <c r="Y102" s="136"/>
      <c r="Z102" s="457"/>
      <c r="AA102" s="251"/>
      <c r="AB102" s="179"/>
      <c r="AC102" s="173">
        <f t="shared" si="47"/>
        <v>0</v>
      </c>
      <c r="AD102" s="174"/>
      <c r="AE102" s="175"/>
      <c r="AF102" s="181"/>
      <c r="AG102" s="176" t="str">
        <f t="shared" si="48"/>
        <v xml:space="preserve"> hrs @ </v>
      </c>
      <c r="AH102" s="35"/>
      <c r="AI102" s="136"/>
      <c r="AJ102" s="706">
        <f t="shared" si="42"/>
        <v>0</v>
      </c>
      <c r="AK102" s="34"/>
    </row>
    <row r="103" spans="1:37" ht="15.75" x14ac:dyDescent="0.25">
      <c r="A103" s="299" t="s">
        <v>5</v>
      </c>
      <c r="B103" s="218" t="str">
        <f t="shared" si="40"/>
        <v>MASTTotal Wages</v>
      </c>
      <c r="C103" s="217" t="s">
        <v>48</v>
      </c>
      <c r="D103" s="10"/>
      <c r="E103" s="126"/>
      <c r="F103" s="126"/>
      <c r="G103" s="126"/>
      <c r="H103" s="38" t="s">
        <v>32</v>
      </c>
      <c r="I103" s="158">
        <f>SUM(I99:I102)</f>
        <v>0</v>
      </c>
      <c r="J103" s="42"/>
      <c r="K103" s="39"/>
      <c r="L103" s="39"/>
      <c r="M103" s="40"/>
      <c r="N103" s="35"/>
      <c r="O103" s="231"/>
      <c r="P103" s="457"/>
      <c r="Q103" s="249"/>
      <c r="R103" s="184" t="s">
        <v>32</v>
      </c>
      <c r="S103" s="158">
        <f>SUM(S99:S102)</f>
        <v>39833.57</v>
      </c>
      <c r="T103" s="42"/>
      <c r="U103" s="39"/>
      <c r="V103" s="39"/>
      <c r="W103" s="40"/>
      <c r="X103" s="34"/>
      <c r="Y103" s="231"/>
      <c r="Z103" s="457"/>
      <c r="AA103" s="249"/>
      <c r="AB103" s="184" t="s">
        <v>32</v>
      </c>
      <c r="AC103" s="158">
        <f>SUM(AC99:AC102)</f>
        <v>110851.84999999999</v>
      </c>
      <c r="AD103" s="42"/>
      <c r="AE103" s="39"/>
      <c r="AF103" s="39"/>
      <c r="AG103" s="40"/>
      <c r="AH103" s="35"/>
      <c r="AI103" s="231"/>
      <c r="AJ103" s="706">
        <f t="shared" si="42"/>
        <v>150685.41999999998</v>
      </c>
      <c r="AK103" s="34"/>
    </row>
    <row r="104" spans="1:37" ht="15.75" x14ac:dyDescent="0.25">
      <c r="A104" s="299" t="s">
        <v>5</v>
      </c>
      <c r="B104" s="218" t="str">
        <f t="shared" si="40"/>
        <v>MASTBenefits</v>
      </c>
      <c r="C104" s="217" t="s">
        <v>48</v>
      </c>
      <c r="D104" s="10"/>
      <c r="E104" s="126"/>
      <c r="F104" s="126"/>
      <c r="G104" s="126"/>
      <c r="H104" s="38" t="s">
        <v>33</v>
      </c>
      <c r="I104" s="159">
        <f>I103*$O$2</f>
        <v>0</v>
      </c>
      <c r="J104" s="42"/>
      <c r="K104" s="39"/>
      <c r="M104" s="45" t="str">
        <f>"@ "&amp;$O$2*100&amp;" %"</f>
        <v>@ 98.59 %</v>
      </c>
      <c r="N104" s="47"/>
      <c r="O104" s="232"/>
      <c r="P104" s="460"/>
      <c r="Q104" s="249"/>
      <c r="R104" s="184" t="s">
        <v>33</v>
      </c>
      <c r="S104" s="159">
        <f>S103*$O$2</f>
        <v>39271.916662999996</v>
      </c>
      <c r="T104" s="42"/>
      <c r="U104" s="39"/>
      <c r="W104" s="45" t="str">
        <f>"@ "&amp;$O$2*100&amp;" %"</f>
        <v>@ 98.59 %</v>
      </c>
      <c r="X104" s="46"/>
      <c r="Y104" s="232"/>
      <c r="Z104" s="460"/>
      <c r="AA104" s="249"/>
      <c r="AB104" s="184" t="s">
        <v>33</v>
      </c>
      <c r="AC104" s="159">
        <f>AC103*$O$2</f>
        <v>109288.83891499999</v>
      </c>
      <c r="AD104" s="42"/>
      <c r="AE104" s="39"/>
      <c r="AG104" s="45" t="str">
        <f>"@ "&amp;$O$2*100&amp;" %"</f>
        <v>@ 98.59 %</v>
      </c>
      <c r="AH104" s="47"/>
      <c r="AI104" s="232"/>
      <c r="AJ104" s="708">
        <f t="shared" si="42"/>
        <v>148560.75557799998</v>
      </c>
      <c r="AK104" s="46"/>
    </row>
    <row r="105" spans="1:37" ht="15.75" x14ac:dyDescent="0.25">
      <c r="A105" s="299" t="s">
        <v>5</v>
      </c>
      <c r="B105" s="218" t="str">
        <f t="shared" si="40"/>
        <v>MASTTotal</v>
      </c>
      <c r="C105" s="219" t="s">
        <v>50</v>
      </c>
      <c r="D105" s="10"/>
      <c r="E105" s="126"/>
      <c r="F105" s="126"/>
      <c r="G105" s="126"/>
      <c r="H105" s="49" t="s">
        <v>34</v>
      </c>
      <c r="I105" s="160">
        <f>I103+I104</f>
        <v>0</v>
      </c>
      <c r="J105" s="42"/>
      <c r="K105" s="39"/>
      <c r="L105" s="50"/>
      <c r="M105" s="51"/>
      <c r="N105" s="420">
        <f>I105</f>
        <v>0</v>
      </c>
      <c r="O105" s="233" t="e">
        <f>N105/N137</f>
        <v>#DIV/0!</v>
      </c>
      <c r="P105" s="461"/>
      <c r="Q105" s="252"/>
      <c r="R105" s="185" t="s">
        <v>34</v>
      </c>
      <c r="S105" s="160">
        <f>S103+S104</f>
        <v>79105.486662999989</v>
      </c>
      <c r="T105" s="42"/>
      <c r="U105" s="39"/>
      <c r="V105" s="50"/>
      <c r="W105" s="51"/>
      <c r="X105" s="52">
        <f>S105</f>
        <v>79105.486662999989</v>
      </c>
      <c r="Y105" s="233">
        <f>X105/X137</f>
        <v>0.78192262563405068</v>
      </c>
      <c r="Z105" s="461"/>
      <c r="AA105" s="252"/>
      <c r="AB105" s="185" t="s">
        <v>34</v>
      </c>
      <c r="AC105" s="160">
        <f>AC103+AC104</f>
        <v>220140.68891499998</v>
      </c>
      <c r="AD105" s="42"/>
      <c r="AE105" s="39"/>
      <c r="AF105" s="50"/>
      <c r="AG105" s="51"/>
      <c r="AH105" s="420">
        <f>AC105</f>
        <v>220140.68891499998</v>
      </c>
      <c r="AI105" s="233">
        <f>AH105/AH137</f>
        <v>0.78238282342515086</v>
      </c>
      <c r="AJ105" s="221">
        <f>I105+S105+AC105</f>
        <v>299246.17557799997</v>
      </c>
      <c r="AK105" s="52"/>
    </row>
    <row r="106" spans="1:37" ht="15.75" x14ac:dyDescent="0.25">
      <c r="A106" s="299" t="s">
        <v>5</v>
      </c>
      <c r="B106" s="218" t="str">
        <f t="shared" si="40"/>
        <v>MAST</v>
      </c>
      <c r="C106" s="217" t="s">
        <v>48</v>
      </c>
      <c r="D106" s="10"/>
      <c r="E106" s="126"/>
      <c r="F106" s="126"/>
      <c r="G106" s="126"/>
      <c r="H106" s="54"/>
      <c r="I106" s="166"/>
      <c r="J106" s="69"/>
      <c r="K106" s="69"/>
      <c r="L106" s="69"/>
      <c r="M106" s="70"/>
      <c r="N106" s="58"/>
      <c r="O106" s="231"/>
      <c r="P106" s="458"/>
      <c r="Q106" s="253"/>
      <c r="R106" s="179"/>
      <c r="S106" s="166"/>
      <c r="T106" s="69"/>
      <c r="U106" s="69"/>
      <c r="V106" s="69"/>
      <c r="W106" s="70"/>
      <c r="X106" s="57"/>
      <c r="Y106" s="231"/>
      <c r="Z106" s="458"/>
      <c r="AA106" s="253"/>
      <c r="AB106" s="179"/>
      <c r="AC106" s="166"/>
      <c r="AD106" s="69"/>
      <c r="AE106" s="69"/>
      <c r="AF106" s="69"/>
      <c r="AG106" s="70"/>
      <c r="AH106" s="58"/>
      <c r="AI106" s="231"/>
      <c r="AJ106" s="707"/>
      <c r="AK106" s="57"/>
    </row>
    <row r="107" spans="1:37" ht="14.45" customHeight="1" x14ac:dyDescent="0.25">
      <c r="A107" s="299" t="s">
        <v>5</v>
      </c>
      <c r="B107" s="218" t="str">
        <f t="shared" si="40"/>
        <v>MASTLABOR: SUPERVISORY</v>
      </c>
      <c r="C107" s="220" t="s">
        <v>50</v>
      </c>
      <c r="D107" s="10"/>
      <c r="E107" s="126"/>
      <c r="F107" s="126"/>
      <c r="G107" s="126"/>
      <c r="H107" s="61" t="s">
        <v>35</v>
      </c>
      <c r="I107" s="167"/>
      <c r="J107" s="74"/>
      <c r="K107" s="74"/>
      <c r="L107" s="74"/>
      <c r="M107" s="66"/>
      <c r="N107" s="26"/>
      <c r="O107" s="234"/>
      <c r="P107" s="462"/>
      <c r="Q107" s="252"/>
      <c r="R107" s="186" t="s">
        <v>35</v>
      </c>
      <c r="S107" s="167"/>
      <c r="T107" s="74"/>
      <c r="U107" s="74"/>
      <c r="V107" s="74"/>
      <c r="W107" s="66"/>
      <c r="X107" s="64"/>
      <c r="Y107" s="234"/>
      <c r="Z107" s="462"/>
      <c r="AA107" s="252"/>
      <c r="AB107" s="186" t="s">
        <v>35</v>
      </c>
      <c r="AC107" s="167"/>
      <c r="AD107" s="74"/>
      <c r="AE107" s="74"/>
      <c r="AF107" s="74"/>
      <c r="AG107" s="66"/>
      <c r="AH107" s="26"/>
      <c r="AI107" s="234"/>
      <c r="AJ107" s="706"/>
      <c r="AK107" s="64"/>
    </row>
    <row r="108" spans="1:37" ht="15.75" x14ac:dyDescent="0.25">
      <c r="A108" s="299" t="s">
        <v>5</v>
      </c>
      <c r="B108" s="218" t="str">
        <f t="shared" ref="B108:B109" si="49">A108&amp;H108</f>
        <v>MASTManager (Grade 23)</v>
      </c>
      <c r="C108" s="220"/>
      <c r="D108" s="10"/>
      <c r="E108" s="126"/>
      <c r="F108" s="126"/>
      <c r="G108" s="126"/>
      <c r="H108" s="184" t="s">
        <v>346</v>
      </c>
      <c r="I108" s="158">
        <f t="shared" ref="I108:I109" si="50">J108*K108</f>
        <v>0</v>
      </c>
      <c r="J108" s="289">
        <f>(1/6)*J110</f>
        <v>0</v>
      </c>
      <c r="K108" s="259">
        <v>55.78</v>
      </c>
      <c r="L108" s="43"/>
      <c r="M108" s="40" t="str">
        <f t="shared" ref="M108" si="51">J108&amp;" hrs @ "&amp;K108</f>
        <v>0 hrs @ 55.78</v>
      </c>
      <c r="N108" s="26"/>
      <c r="O108" s="234"/>
      <c r="P108" s="462"/>
      <c r="Q108" s="252"/>
      <c r="R108" s="184" t="s">
        <v>346</v>
      </c>
      <c r="S108" s="158">
        <f t="shared" ref="S108:S109" si="52">T108*U108</f>
        <v>557.79999999999995</v>
      </c>
      <c r="T108" s="289">
        <v>10</v>
      </c>
      <c r="U108" s="259">
        <v>55.78</v>
      </c>
      <c r="V108" s="43"/>
      <c r="W108" s="40" t="str">
        <f>ROUND(T108,0)&amp;" hrs @ "&amp;U108</f>
        <v>10 hrs @ 55.78</v>
      </c>
      <c r="X108" s="64"/>
      <c r="Y108" s="234"/>
      <c r="Z108" s="462"/>
      <c r="AA108" s="252"/>
      <c r="AB108" s="184" t="s">
        <v>346</v>
      </c>
      <c r="AC108" s="158">
        <f t="shared" ref="AC108:AC109" si="53">AD108*AE108</f>
        <v>4369.4333333333334</v>
      </c>
      <c r="AD108" s="289">
        <f>(1/6)*AD110</f>
        <v>78.333333333333329</v>
      </c>
      <c r="AE108" s="259">
        <v>55.78</v>
      </c>
      <c r="AF108" s="43"/>
      <c r="AG108" s="40" t="str">
        <f>ROUND(AD108,0)&amp;" hrs @ "&amp;AE108</f>
        <v>78 hrs @ 55.78</v>
      </c>
      <c r="AH108" s="26"/>
      <c r="AI108" s="234"/>
      <c r="AJ108" s="706">
        <f t="shared" ref="AJ108:AJ112" si="54">I108+S108+AC108</f>
        <v>4927.2333333333336</v>
      </c>
      <c r="AK108" s="64"/>
    </row>
    <row r="109" spans="1:37" ht="15.75" x14ac:dyDescent="0.25">
      <c r="A109" s="299" t="s">
        <v>5</v>
      </c>
      <c r="B109" s="218" t="str">
        <f t="shared" si="49"/>
        <v>MASTMAS Supervisor(Grade 21)</v>
      </c>
      <c r="C109" s="220"/>
      <c r="D109" s="10"/>
      <c r="E109" s="126"/>
      <c r="F109" s="126"/>
      <c r="G109" s="126"/>
      <c r="H109" s="184" t="s">
        <v>344</v>
      </c>
      <c r="I109" s="158">
        <f t="shared" si="50"/>
        <v>0</v>
      </c>
      <c r="J109" s="289">
        <f>J101/(4*1800)</f>
        <v>0</v>
      </c>
      <c r="K109" s="259">
        <v>45.18</v>
      </c>
      <c r="L109" s="43"/>
      <c r="M109" s="40" t="str">
        <f>ROUND(J109,0)&amp;" hrs @ "&amp;K109</f>
        <v>0 hrs @ 45.18</v>
      </c>
      <c r="N109" s="26"/>
      <c r="O109" s="234"/>
      <c r="P109" s="462"/>
      <c r="Q109" s="252"/>
      <c r="R109" s="184" t="s">
        <v>344</v>
      </c>
      <c r="S109" s="158">
        <f t="shared" si="52"/>
        <v>535.03159999999991</v>
      </c>
      <c r="T109" s="289">
        <f>T101*(T101/(4*1800))</f>
        <v>11.842222222222221</v>
      </c>
      <c r="U109" s="259">
        <v>45.18</v>
      </c>
      <c r="V109" s="43"/>
      <c r="W109" s="40" t="str">
        <f>ROUND(T109,0)&amp;" hrs @ "&amp;U109</f>
        <v>12 hrs @ 45.18</v>
      </c>
      <c r="X109" s="64"/>
      <c r="Y109" s="234"/>
      <c r="Z109" s="462"/>
      <c r="AA109" s="252"/>
      <c r="AB109" s="184" t="s">
        <v>344</v>
      </c>
      <c r="AC109" s="158">
        <f t="shared" si="53"/>
        <v>2474.7596000000003</v>
      </c>
      <c r="AD109" s="289">
        <f>AD101*(AD101/(4*1800))</f>
        <v>54.775555555555563</v>
      </c>
      <c r="AE109" s="259">
        <v>45.18</v>
      </c>
      <c r="AF109" s="43"/>
      <c r="AG109" s="40" t="str">
        <f>ROUND(AD109,0)&amp;" hrs @ "&amp;AE109</f>
        <v>55 hrs @ 45.18</v>
      </c>
      <c r="AH109" s="26"/>
      <c r="AI109" s="234"/>
      <c r="AJ109" s="706">
        <f t="shared" si="54"/>
        <v>3009.7912000000001</v>
      </c>
      <c r="AK109" s="64"/>
    </row>
    <row r="110" spans="1:37" ht="15.75" x14ac:dyDescent="0.25">
      <c r="A110" s="299" t="s">
        <v>5</v>
      </c>
      <c r="B110" s="218" t="str">
        <f t="shared" si="40"/>
        <v>MASTSupervisor MAST (Grade 20)</v>
      </c>
      <c r="C110" s="217" t="s">
        <v>48</v>
      </c>
      <c r="D110" s="10"/>
      <c r="E110" s="126"/>
      <c r="F110" s="126"/>
      <c r="G110" s="126"/>
      <c r="H110" s="179" t="s">
        <v>345</v>
      </c>
      <c r="I110" s="173">
        <f t="shared" ref="I110" si="55">J110*K110</f>
        <v>0</v>
      </c>
      <c r="J110" s="174">
        <v>0</v>
      </c>
      <c r="K110" s="175">
        <v>40.5</v>
      </c>
      <c r="L110" s="181"/>
      <c r="M110" s="176" t="str">
        <f t="shared" ref="M110" si="56">J110&amp;" hrs @ "&amp;K110</f>
        <v>0 hrs @ 40.5</v>
      </c>
      <c r="N110" s="26"/>
      <c r="O110" s="235"/>
      <c r="P110" s="462"/>
      <c r="Q110" s="249"/>
      <c r="R110" s="179" t="s">
        <v>345</v>
      </c>
      <c r="S110" s="173">
        <f t="shared" ref="S110" si="57">T110*U110</f>
        <v>6439.5</v>
      </c>
      <c r="T110" s="174">
        <f>+ROUND(('FTE Alloc OR &amp; WA'!H45+'FTE Alloc OR &amp; WA'!H47)*2080,0)</f>
        <v>159</v>
      </c>
      <c r="U110" s="175">
        <v>40.5</v>
      </c>
      <c r="V110" s="181"/>
      <c r="W110" s="176" t="str">
        <f t="shared" ref="W110" si="58">T110&amp;" hrs @ "&amp;U110</f>
        <v>159 hrs @ 40.5</v>
      </c>
      <c r="X110" s="64"/>
      <c r="Y110" s="235"/>
      <c r="Z110" s="462"/>
      <c r="AA110" s="249"/>
      <c r="AB110" s="179" t="s">
        <v>345</v>
      </c>
      <c r="AC110" s="173">
        <f t="shared" ref="AC110" si="59">AD110*AE110</f>
        <v>19035</v>
      </c>
      <c r="AD110" s="174">
        <f>+ROUND(('FTE Alloc OR &amp; WA'!I45+'FTE Alloc OR &amp; WA'!I47)*2080,0)</f>
        <v>470</v>
      </c>
      <c r="AE110" s="175">
        <v>40.5</v>
      </c>
      <c r="AF110" s="181"/>
      <c r="AG110" s="176" t="str">
        <f t="shared" ref="AG110" si="60">AD110&amp;" hrs @ "&amp;AE110</f>
        <v>470 hrs @ 40.5</v>
      </c>
      <c r="AH110" s="26"/>
      <c r="AI110" s="235"/>
      <c r="AJ110" s="706">
        <f t="shared" si="54"/>
        <v>25474.5</v>
      </c>
      <c r="AK110" s="64"/>
    </row>
    <row r="111" spans="1:37" ht="15.75" x14ac:dyDescent="0.25">
      <c r="A111" s="299" t="s">
        <v>5</v>
      </c>
      <c r="B111" s="218"/>
      <c r="C111" s="217"/>
      <c r="D111" s="10"/>
      <c r="E111" s="126"/>
      <c r="F111" s="126"/>
      <c r="G111" s="126"/>
      <c r="H111" s="184" t="s">
        <v>32</v>
      </c>
      <c r="I111" s="158">
        <f>SUM(I107:I110)</f>
        <v>0</v>
      </c>
      <c r="J111" s="42"/>
      <c r="K111" s="39"/>
      <c r="L111" s="39"/>
      <c r="M111" s="40"/>
      <c r="N111" s="26"/>
      <c r="O111" s="234"/>
      <c r="P111" s="462"/>
      <c r="Q111" s="249"/>
      <c r="R111" s="184" t="s">
        <v>32</v>
      </c>
      <c r="S111" s="158">
        <f>SUM(S107:S110)</f>
        <v>7532.3315999999995</v>
      </c>
      <c r="T111" s="42"/>
      <c r="U111" s="39"/>
      <c r="V111" s="39"/>
      <c r="W111" s="40"/>
      <c r="X111" s="64"/>
      <c r="Y111" s="234"/>
      <c r="Z111" s="462"/>
      <c r="AA111" s="249"/>
      <c r="AB111" s="184" t="s">
        <v>32</v>
      </c>
      <c r="AC111" s="158">
        <f>SUM(AC107:AC110)</f>
        <v>25879.192933333332</v>
      </c>
      <c r="AD111" s="42"/>
      <c r="AE111" s="39"/>
      <c r="AF111" s="39"/>
      <c r="AG111" s="40"/>
      <c r="AH111" s="26"/>
      <c r="AI111" s="234"/>
      <c r="AJ111" s="706">
        <f t="shared" si="54"/>
        <v>33411.52453333333</v>
      </c>
      <c r="AK111" s="64"/>
    </row>
    <row r="112" spans="1:37" ht="15.75" x14ac:dyDescent="0.25">
      <c r="A112" s="299" t="s">
        <v>5</v>
      </c>
      <c r="B112" s="218" t="str">
        <f t="shared" si="40"/>
        <v>MASTBenefits</v>
      </c>
      <c r="C112" s="217" t="s">
        <v>48</v>
      </c>
      <c r="D112" s="10"/>
      <c r="E112" s="126"/>
      <c r="F112" s="126"/>
      <c r="G112" s="126"/>
      <c r="H112" s="38" t="s">
        <v>33</v>
      </c>
      <c r="I112" s="159">
        <f>I110*$O$2</f>
        <v>0</v>
      </c>
      <c r="J112" s="42"/>
      <c r="K112" s="39"/>
      <c r="L112" s="156"/>
      <c r="M112" s="45" t="str">
        <f>"@ "&amp;$O$2*100&amp;" %"</f>
        <v>@ 98.59 %</v>
      </c>
      <c r="N112" s="26"/>
      <c r="O112" s="236"/>
      <c r="P112" s="462"/>
      <c r="Q112" s="249"/>
      <c r="R112" s="184" t="s">
        <v>33</v>
      </c>
      <c r="S112" s="159">
        <f>S110*$O$2</f>
        <v>6348.7030500000001</v>
      </c>
      <c r="T112" s="42"/>
      <c r="U112" s="39"/>
      <c r="V112" s="156"/>
      <c r="W112" s="45" t="str">
        <f>"@ "&amp;$O$2*100&amp;" %"</f>
        <v>@ 98.59 %</v>
      </c>
      <c r="X112" s="64"/>
      <c r="Y112" s="236"/>
      <c r="Z112" s="462"/>
      <c r="AA112" s="249"/>
      <c r="AB112" s="184" t="s">
        <v>33</v>
      </c>
      <c r="AC112" s="159">
        <f>AC110*$O$2</f>
        <v>18766.606500000002</v>
      </c>
      <c r="AD112" s="42"/>
      <c r="AE112" s="39"/>
      <c r="AF112" s="156"/>
      <c r="AG112" s="45" t="str">
        <f>"@ "&amp;$O$2*100&amp;" %"</f>
        <v>@ 98.59 %</v>
      </c>
      <c r="AH112" s="26"/>
      <c r="AI112" s="236"/>
      <c r="AJ112" s="706">
        <f t="shared" si="54"/>
        <v>25115.309550000002</v>
      </c>
      <c r="AK112" s="64"/>
    </row>
    <row r="113" spans="1:42" ht="15.75" x14ac:dyDescent="0.25">
      <c r="A113" s="299" t="s">
        <v>5</v>
      </c>
      <c r="B113" s="218" t="str">
        <f t="shared" si="40"/>
        <v>MASTTotal</v>
      </c>
      <c r="C113" s="220" t="s">
        <v>50</v>
      </c>
      <c r="D113" s="10"/>
      <c r="E113" s="126"/>
      <c r="F113" s="126"/>
      <c r="G113" s="126"/>
      <c r="H113" s="49" t="s">
        <v>34</v>
      </c>
      <c r="I113" s="165">
        <f>I112+I111</f>
        <v>0</v>
      </c>
      <c r="J113" s="68"/>
      <c r="K113" s="68"/>
      <c r="L113" s="68"/>
      <c r="M113" s="63"/>
      <c r="N113" s="420">
        <f>I113</f>
        <v>0</v>
      </c>
      <c r="O113" s="233" t="e">
        <f>N113/N137</f>
        <v>#DIV/0!</v>
      </c>
      <c r="P113" s="462"/>
      <c r="Q113" s="249"/>
      <c r="R113" s="185" t="s">
        <v>34</v>
      </c>
      <c r="S113" s="397">
        <f>S112+S111</f>
        <v>13881.03465</v>
      </c>
      <c r="T113" s="68"/>
      <c r="U113" s="68"/>
      <c r="V113" s="68"/>
      <c r="W113" s="63"/>
      <c r="X113" s="52">
        <f>S113</f>
        <v>13881.03465</v>
      </c>
      <c r="Y113" s="233">
        <f>X113/X137</f>
        <v>0.1372078665830638</v>
      </c>
      <c r="Z113" s="462"/>
      <c r="AA113" s="249"/>
      <c r="AB113" s="185" t="s">
        <v>34</v>
      </c>
      <c r="AC113" s="397">
        <f>AC112+AC111</f>
        <v>44645.799433333334</v>
      </c>
      <c r="AD113" s="68"/>
      <c r="AE113" s="68"/>
      <c r="AF113" s="68"/>
      <c r="AG113" s="63"/>
      <c r="AH113" s="420">
        <f>AC113</f>
        <v>44645.799433333334</v>
      </c>
      <c r="AI113" s="233">
        <f>AH113/AH137</f>
        <v>0.15867174208858517</v>
      </c>
      <c r="AJ113" s="221">
        <f>I113+S113+AC113</f>
        <v>58526.834083333335</v>
      </c>
      <c r="AK113" s="52"/>
    </row>
    <row r="114" spans="1:42" ht="15.75" x14ac:dyDescent="0.25">
      <c r="A114" s="299" t="s">
        <v>5</v>
      </c>
      <c r="B114" s="218" t="str">
        <f t="shared" si="40"/>
        <v>MAST</v>
      </c>
      <c r="C114" s="217" t="s">
        <v>48</v>
      </c>
      <c r="D114" s="10"/>
      <c r="E114" s="126"/>
      <c r="F114" s="126"/>
      <c r="G114" s="126"/>
      <c r="H114" s="54"/>
      <c r="I114" s="166"/>
      <c r="J114" s="69"/>
      <c r="K114" s="69"/>
      <c r="L114" s="69"/>
      <c r="M114" s="70"/>
      <c r="N114" s="72"/>
      <c r="O114" s="235"/>
      <c r="P114" s="463"/>
      <c r="Q114" s="253"/>
      <c r="R114" s="179"/>
      <c r="S114" s="166"/>
      <c r="T114" s="69"/>
      <c r="U114" s="69"/>
      <c r="V114" s="69"/>
      <c r="W114" s="70"/>
      <c r="X114" s="71"/>
      <c r="Y114" s="235"/>
      <c r="Z114" s="463"/>
      <c r="AA114" s="253"/>
      <c r="AB114" s="179"/>
      <c r="AC114" s="166"/>
      <c r="AD114" s="69"/>
      <c r="AE114" s="69"/>
      <c r="AF114" s="69"/>
      <c r="AG114" s="70"/>
      <c r="AH114" s="72"/>
      <c r="AI114" s="235"/>
      <c r="AJ114" s="707"/>
      <c r="AK114" s="71"/>
    </row>
    <row r="115" spans="1:42" ht="15.75" x14ac:dyDescent="0.25">
      <c r="A115" s="299" t="s">
        <v>5</v>
      </c>
      <c r="B115" s="218" t="str">
        <f t="shared" si="40"/>
        <v>MASTEQUIPMENT</v>
      </c>
      <c r="C115" s="220" t="s">
        <v>50</v>
      </c>
      <c r="D115" s="10"/>
      <c r="E115" s="126"/>
      <c r="F115" s="126"/>
      <c r="G115" s="126"/>
      <c r="H115" s="61" t="s">
        <v>36</v>
      </c>
      <c r="I115" s="167"/>
      <c r="J115" s="74"/>
      <c r="K115" s="74"/>
      <c r="L115" s="74"/>
      <c r="M115" s="66"/>
      <c r="N115" s="76"/>
      <c r="O115" s="237"/>
      <c r="P115" s="462"/>
      <c r="Q115" s="252"/>
      <c r="R115" s="186" t="s">
        <v>36</v>
      </c>
      <c r="S115" s="167"/>
      <c r="T115" s="74"/>
      <c r="U115" s="74"/>
      <c r="V115" s="74"/>
      <c r="W115" s="66"/>
      <c r="X115" s="75"/>
      <c r="Y115" s="237"/>
      <c r="Z115" s="462"/>
      <c r="AA115" s="252"/>
      <c r="AB115" s="186" t="s">
        <v>36</v>
      </c>
      <c r="AC115" s="167"/>
      <c r="AD115" s="74"/>
      <c r="AE115" s="74"/>
      <c r="AF115" s="74"/>
      <c r="AG115" s="66"/>
      <c r="AH115" s="76"/>
      <c r="AI115" s="237"/>
      <c r="AJ115" s="221"/>
      <c r="AK115" s="75"/>
    </row>
    <row r="116" spans="1:42" ht="15.75" x14ac:dyDescent="0.25">
      <c r="A116" s="299" t="s">
        <v>5</v>
      </c>
      <c r="B116" s="218" t="str">
        <f t="shared" si="40"/>
        <v>MAST</v>
      </c>
      <c r="C116" s="217" t="s">
        <v>48</v>
      </c>
      <c r="D116" s="10"/>
      <c r="E116" s="126"/>
      <c r="F116" s="126"/>
      <c r="G116" s="126"/>
      <c r="H116" s="77"/>
      <c r="I116" s="158">
        <f t="shared" ref="I116:I119" si="61">J116*K116</f>
        <v>0</v>
      </c>
      <c r="J116" s="42"/>
      <c r="K116" s="39"/>
      <c r="L116" s="39"/>
      <c r="M116" s="40" t="str">
        <f>J116&amp;" hrs @ "&amp;K116</f>
        <v xml:space="preserve"> hrs @ </v>
      </c>
      <c r="N116" s="76"/>
      <c r="O116" s="237"/>
      <c r="P116" s="462"/>
      <c r="Q116" s="252"/>
      <c r="R116" s="187"/>
      <c r="S116" s="158">
        <f t="shared" ref="S116:S119" si="62">T116*U116</f>
        <v>0</v>
      </c>
      <c r="T116" s="42"/>
      <c r="U116" s="39"/>
      <c r="V116" s="39"/>
      <c r="W116" s="40" t="str">
        <f>T116&amp;" hrs @ "&amp;U116</f>
        <v xml:space="preserve"> hrs @ </v>
      </c>
      <c r="X116" s="75"/>
      <c r="Y116" s="237"/>
      <c r="Z116" s="462"/>
      <c r="AA116" s="252"/>
      <c r="AB116" s="187"/>
      <c r="AC116" s="158">
        <f t="shared" ref="AC116:AC119" si="63">AD116*AE116</f>
        <v>0</v>
      </c>
      <c r="AD116" s="42"/>
      <c r="AE116" s="39"/>
      <c r="AF116" s="39"/>
      <c r="AG116" s="40" t="str">
        <f>AD116&amp;" hrs @ "&amp;AE116</f>
        <v xml:space="preserve"> hrs @ </v>
      </c>
      <c r="AH116" s="76"/>
      <c r="AI116" s="237"/>
      <c r="AJ116" s="221">
        <f t="shared" ref="AJ116:AJ120" si="64">I116+S116+AC116</f>
        <v>0</v>
      </c>
      <c r="AK116" s="75"/>
    </row>
    <row r="117" spans="1:42" ht="15.75" x14ac:dyDescent="0.25">
      <c r="A117" s="299" t="s">
        <v>5</v>
      </c>
      <c r="B117" s="218" t="str">
        <f t="shared" si="40"/>
        <v>MAST</v>
      </c>
      <c r="C117" s="217" t="s">
        <v>48</v>
      </c>
      <c r="D117" s="10"/>
      <c r="E117" s="126"/>
      <c r="F117" s="126"/>
      <c r="G117" s="126"/>
      <c r="H117" s="77"/>
      <c r="I117" s="158">
        <f t="shared" si="61"/>
        <v>0</v>
      </c>
      <c r="J117" s="42"/>
      <c r="K117" s="39"/>
      <c r="L117" s="39"/>
      <c r="M117" s="40" t="str">
        <f t="shared" ref="M117:M119" si="65">J117&amp;" hrs @ "&amp;K117</f>
        <v xml:space="preserve"> hrs @ </v>
      </c>
      <c r="N117" s="79"/>
      <c r="O117" s="238"/>
      <c r="P117" s="464"/>
      <c r="Q117" s="254"/>
      <c r="R117" s="187"/>
      <c r="S117" s="158">
        <f t="shared" si="62"/>
        <v>0</v>
      </c>
      <c r="T117" s="42"/>
      <c r="U117" s="39"/>
      <c r="V117" s="39"/>
      <c r="W117" s="40" t="str">
        <f t="shared" ref="W117:W119" si="66">T117&amp;" hrs @ "&amp;U117</f>
        <v xml:space="preserve"> hrs @ </v>
      </c>
      <c r="X117" s="78"/>
      <c r="Y117" s="238"/>
      <c r="Z117" s="464"/>
      <c r="AA117" s="254"/>
      <c r="AB117" s="187"/>
      <c r="AC117" s="158">
        <f t="shared" si="63"/>
        <v>0</v>
      </c>
      <c r="AD117" s="42"/>
      <c r="AE117" s="39"/>
      <c r="AF117" s="39"/>
      <c r="AG117" s="40" t="str">
        <f t="shared" ref="AG117:AG119" si="67">AD117&amp;" hrs @ "&amp;AE117</f>
        <v xml:space="preserve"> hrs @ </v>
      </c>
      <c r="AH117" s="79"/>
      <c r="AI117" s="238"/>
      <c r="AJ117" s="709">
        <f t="shared" si="64"/>
        <v>0</v>
      </c>
      <c r="AK117" s="78"/>
    </row>
    <row r="118" spans="1:42" ht="15.75" x14ac:dyDescent="0.25">
      <c r="A118" s="299" t="s">
        <v>5</v>
      </c>
      <c r="B118" s="218" t="str">
        <f t="shared" si="40"/>
        <v>MAST</v>
      </c>
      <c r="C118" s="217" t="s">
        <v>48</v>
      </c>
      <c r="D118" s="10"/>
      <c r="E118" s="126"/>
      <c r="F118" s="126"/>
      <c r="G118" s="126"/>
      <c r="H118" s="77"/>
      <c r="I118" s="158">
        <f t="shared" si="61"/>
        <v>0</v>
      </c>
      <c r="J118" s="42"/>
      <c r="K118" s="39"/>
      <c r="L118" s="42"/>
      <c r="M118" s="40" t="str">
        <f t="shared" si="65"/>
        <v xml:space="preserve"> hrs @ </v>
      </c>
      <c r="N118" s="79"/>
      <c r="O118" s="238"/>
      <c r="P118" s="464"/>
      <c r="Q118" s="254"/>
      <c r="R118" s="187"/>
      <c r="S118" s="158">
        <f t="shared" si="62"/>
        <v>0</v>
      </c>
      <c r="T118" s="42"/>
      <c r="U118" s="39"/>
      <c r="V118" s="42"/>
      <c r="W118" s="40" t="str">
        <f t="shared" si="66"/>
        <v xml:space="preserve"> hrs @ </v>
      </c>
      <c r="X118" s="78"/>
      <c r="Y118" s="238"/>
      <c r="Z118" s="464"/>
      <c r="AA118" s="254"/>
      <c r="AB118" s="187"/>
      <c r="AC118" s="158">
        <f t="shared" si="63"/>
        <v>0</v>
      </c>
      <c r="AD118" s="42"/>
      <c r="AE118" s="39"/>
      <c r="AF118" s="42"/>
      <c r="AG118" s="40" t="str">
        <f t="shared" si="67"/>
        <v xml:space="preserve"> hrs @ </v>
      </c>
      <c r="AH118" s="79"/>
      <c r="AI118" s="238"/>
      <c r="AJ118" s="709">
        <f t="shared" si="64"/>
        <v>0</v>
      </c>
      <c r="AK118" s="78"/>
    </row>
    <row r="119" spans="1:42" ht="15.75" x14ac:dyDescent="0.25">
      <c r="A119" s="299" t="s">
        <v>5</v>
      </c>
      <c r="B119" s="218" t="str">
        <f t="shared" si="40"/>
        <v>MAST</v>
      </c>
      <c r="C119" s="217" t="s">
        <v>48</v>
      </c>
      <c r="D119" s="10"/>
      <c r="E119" s="126"/>
      <c r="F119" s="126"/>
      <c r="G119" s="126"/>
      <c r="H119" s="77"/>
      <c r="I119" s="158">
        <f t="shared" si="61"/>
        <v>0</v>
      </c>
      <c r="J119" s="42"/>
      <c r="K119" s="39"/>
      <c r="L119" s="43"/>
      <c r="M119" s="40" t="str">
        <f t="shared" si="65"/>
        <v xml:space="preserve"> hrs @ </v>
      </c>
      <c r="N119" s="79"/>
      <c r="O119" s="239"/>
      <c r="P119" s="464"/>
      <c r="Q119" s="254"/>
      <c r="R119" s="187"/>
      <c r="S119" s="158">
        <f t="shared" si="62"/>
        <v>0</v>
      </c>
      <c r="T119" s="42"/>
      <c r="U119" s="39"/>
      <c r="V119" s="43"/>
      <c r="W119" s="40" t="str">
        <f t="shared" si="66"/>
        <v xml:space="preserve"> hrs @ </v>
      </c>
      <c r="X119" s="78"/>
      <c r="Y119" s="239"/>
      <c r="Z119" s="464"/>
      <c r="AA119" s="254"/>
      <c r="AB119" s="187"/>
      <c r="AC119" s="158">
        <f t="shared" si="63"/>
        <v>0</v>
      </c>
      <c r="AD119" s="42"/>
      <c r="AE119" s="39"/>
      <c r="AF119" s="43"/>
      <c r="AG119" s="40" t="str">
        <f t="shared" si="67"/>
        <v xml:space="preserve"> hrs @ </v>
      </c>
      <c r="AH119" s="79"/>
      <c r="AI119" s="239"/>
      <c r="AJ119" s="709">
        <f t="shared" si="64"/>
        <v>0</v>
      </c>
      <c r="AK119" s="78"/>
    </row>
    <row r="120" spans="1:42" ht="15.75" x14ac:dyDescent="0.25">
      <c r="A120" s="299" t="s">
        <v>5</v>
      </c>
      <c r="B120" s="218" t="str">
        <f t="shared" si="40"/>
        <v>MASTTotal Equipment</v>
      </c>
      <c r="C120" s="220" t="s">
        <v>50</v>
      </c>
      <c r="D120" s="10"/>
      <c r="E120" s="116">
        <f>I120</f>
        <v>0</v>
      </c>
      <c r="F120" s="116">
        <f>S120</f>
        <v>0</v>
      </c>
      <c r="G120" s="116">
        <f>AC120</f>
        <v>0</v>
      </c>
      <c r="H120" s="83" t="s">
        <v>37</v>
      </c>
      <c r="I120" s="165">
        <f>SUM(I116:I119)</f>
        <v>0</v>
      </c>
      <c r="J120" s="68"/>
      <c r="K120" s="68"/>
      <c r="L120" s="68"/>
      <c r="M120" s="66"/>
      <c r="N120" s="420">
        <f>I120</f>
        <v>0</v>
      </c>
      <c r="O120" s="240" t="e">
        <f>N120/N137</f>
        <v>#DIV/0!</v>
      </c>
      <c r="P120" s="464"/>
      <c r="Q120" s="254"/>
      <c r="R120" s="188" t="s">
        <v>37</v>
      </c>
      <c r="S120" s="165">
        <f>SUM(S116:S119)</f>
        <v>0</v>
      </c>
      <c r="T120" s="68"/>
      <c r="U120" s="68"/>
      <c r="V120" s="68"/>
      <c r="W120" s="66"/>
      <c r="X120" s="52">
        <f>S120</f>
        <v>0</v>
      </c>
      <c r="Y120" s="240">
        <f>X120/X137</f>
        <v>0</v>
      </c>
      <c r="Z120" s="464"/>
      <c r="AA120" s="254"/>
      <c r="AB120" s="188" t="s">
        <v>37</v>
      </c>
      <c r="AC120" s="165">
        <f>SUM(AC116:AC119)</f>
        <v>0</v>
      </c>
      <c r="AD120" s="68"/>
      <c r="AE120" s="68"/>
      <c r="AF120" s="68"/>
      <c r="AG120" s="66"/>
      <c r="AH120" s="420">
        <f>AC120</f>
        <v>0</v>
      </c>
      <c r="AI120" s="240">
        <f>AH120/AH137</f>
        <v>0</v>
      </c>
      <c r="AJ120" s="221">
        <f t="shared" si="64"/>
        <v>0</v>
      </c>
      <c r="AK120" s="52"/>
    </row>
    <row r="121" spans="1:42" ht="15.75" x14ac:dyDescent="0.25">
      <c r="A121" s="299" t="s">
        <v>5</v>
      </c>
      <c r="B121" s="218" t="str">
        <f t="shared" si="40"/>
        <v>MAST</v>
      </c>
      <c r="C121" s="217" t="s">
        <v>48</v>
      </c>
      <c r="D121" s="10"/>
      <c r="E121" s="126"/>
      <c r="F121" s="126"/>
      <c r="G121" s="126"/>
      <c r="H121" s="84"/>
      <c r="I121" s="166"/>
      <c r="J121" s="69"/>
      <c r="K121" s="69"/>
      <c r="L121" s="69"/>
      <c r="M121" s="70"/>
      <c r="N121" s="88"/>
      <c r="O121" s="241"/>
      <c r="P121" s="465"/>
      <c r="Q121" s="253"/>
      <c r="R121" s="189"/>
      <c r="S121" s="166"/>
      <c r="T121" s="69"/>
      <c r="U121" s="69"/>
      <c r="V121" s="69"/>
      <c r="W121" s="70"/>
      <c r="X121" s="87"/>
      <c r="Y121" s="241"/>
      <c r="Z121" s="465"/>
      <c r="AA121" s="253"/>
      <c r="AB121" s="189"/>
      <c r="AC121" s="166"/>
      <c r="AD121" s="69"/>
      <c r="AE121" s="69"/>
      <c r="AF121" s="69"/>
      <c r="AG121" s="70"/>
      <c r="AH121" s="88"/>
      <c r="AI121" s="241"/>
      <c r="AJ121" s="710"/>
      <c r="AK121" s="87"/>
    </row>
    <row r="122" spans="1:42" ht="15.75" x14ac:dyDescent="0.25">
      <c r="A122" s="299" t="s">
        <v>5</v>
      </c>
      <c r="B122" s="218" t="str">
        <f t="shared" si="40"/>
        <v>MASTIS SUPPORT</v>
      </c>
      <c r="C122" s="220" t="s">
        <v>50</v>
      </c>
      <c r="D122" s="10"/>
      <c r="E122" s="126"/>
      <c r="F122" s="126"/>
      <c r="G122" s="126"/>
      <c r="H122" s="61" t="s">
        <v>38</v>
      </c>
      <c r="I122" s="167"/>
      <c r="J122" s="74"/>
      <c r="K122" s="74"/>
      <c r="L122" s="74"/>
      <c r="M122" s="66"/>
      <c r="N122" s="91"/>
      <c r="O122" s="227"/>
      <c r="P122" s="466"/>
      <c r="Q122" s="252"/>
      <c r="R122" s="186" t="s">
        <v>38</v>
      </c>
      <c r="S122" s="167"/>
      <c r="T122" s="74"/>
      <c r="U122" s="74"/>
      <c r="V122" s="74"/>
      <c r="W122" s="66"/>
      <c r="X122" s="90"/>
      <c r="Y122" s="227"/>
      <c r="Z122" s="466"/>
      <c r="AA122" s="252"/>
      <c r="AB122" s="186" t="s">
        <v>38</v>
      </c>
      <c r="AC122" s="167"/>
      <c r="AD122" s="74"/>
      <c r="AE122" s="74"/>
      <c r="AF122" s="74"/>
      <c r="AG122" s="66"/>
      <c r="AH122" s="91"/>
      <c r="AI122" s="227"/>
      <c r="AJ122" s="711"/>
      <c r="AK122" s="90"/>
    </row>
    <row r="123" spans="1:42" ht="15.75" x14ac:dyDescent="0.25">
      <c r="A123" s="299" t="s">
        <v>5</v>
      </c>
      <c r="B123" s="218" t="str">
        <f t="shared" si="40"/>
        <v>MASTAnalyst Labor</v>
      </c>
      <c r="C123" s="217" t="s">
        <v>48</v>
      </c>
      <c r="D123" s="10"/>
      <c r="E123" s="126"/>
      <c r="F123" s="126"/>
      <c r="G123" s="126"/>
      <c r="H123" s="38" t="s">
        <v>39</v>
      </c>
      <c r="I123" s="162"/>
      <c r="J123" s="42"/>
      <c r="K123" s="39">
        <v>22.94</v>
      </c>
      <c r="L123" s="39"/>
      <c r="M123" s="40" t="str">
        <f>J123&amp;" hrs @ "&amp;K123</f>
        <v xml:space="preserve"> hrs @ 22.94</v>
      </c>
      <c r="N123" s="94"/>
      <c r="O123" s="242"/>
      <c r="P123" s="466"/>
      <c r="Q123" s="252"/>
      <c r="R123" s="184" t="s">
        <v>39</v>
      </c>
      <c r="S123" s="162">
        <f>T123*U123</f>
        <v>0</v>
      </c>
      <c r="T123" s="42"/>
      <c r="U123" s="39"/>
      <c r="V123" s="39"/>
      <c r="W123" s="40" t="str">
        <f>T123&amp;" hrs @ "&amp;U123</f>
        <v xml:space="preserve"> hrs @ </v>
      </c>
      <c r="X123" s="93"/>
      <c r="Y123" s="242"/>
      <c r="Z123" s="466"/>
      <c r="AA123" s="252"/>
      <c r="AB123" s="184" t="s">
        <v>39</v>
      </c>
      <c r="AC123" s="162">
        <f>AD123*AE123</f>
        <v>0</v>
      </c>
      <c r="AD123" s="42"/>
      <c r="AE123" s="39"/>
      <c r="AF123" s="39"/>
      <c r="AG123" s="40" t="str">
        <f>AD123&amp;" hrs @ "&amp;AE123</f>
        <v xml:space="preserve"> hrs @ </v>
      </c>
      <c r="AH123" s="94"/>
      <c r="AI123" s="242"/>
      <c r="AJ123" s="712">
        <f t="shared" ref="AJ123:AJ125" si="68">I123+S123+AC123</f>
        <v>0</v>
      </c>
      <c r="AK123" s="93"/>
    </row>
    <row r="124" spans="1:42" ht="15.75" x14ac:dyDescent="0.25">
      <c r="A124" s="299" t="s">
        <v>5</v>
      </c>
      <c r="B124" s="218" t="str">
        <f t="shared" si="40"/>
        <v>MASTAnalyst Benefits</v>
      </c>
      <c r="C124" s="217" t="s">
        <v>48</v>
      </c>
      <c r="D124" s="10"/>
      <c r="E124" s="126"/>
      <c r="F124" s="126"/>
      <c r="G124" s="126"/>
      <c r="H124" s="38" t="s">
        <v>40</v>
      </c>
      <c r="I124" s="159">
        <f>I123*$O$2</f>
        <v>0</v>
      </c>
      <c r="J124" s="42"/>
      <c r="K124" s="39"/>
      <c r="L124" s="156"/>
      <c r="M124" s="45" t="str">
        <f>"@ "&amp;$O$2*100&amp;" %"</f>
        <v>@ 98.59 %</v>
      </c>
      <c r="N124" s="94"/>
      <c r="O124" s="228"/>
      <c r="P124" s="466"/>
      <c r="Q124" s="252"/>
      <c r="R124" s="184" t="s">
        <v>40</v>
      </c>
      <c r="S124" s="159">
        <f>S123*$O$2</f>
        <v>0</v>
      </c>
      <c r="T124" s="42"/>
      <c r="U124" s="39"/>
      <c r="V124" s="156"/>
      <c r="W124" s="45" t="str">
        <f>"@ "&amp;$O$2*100&amp;" %"</f>
        <v>@ 98.59 %</v>
      </c>
      <c r="X124" s="93"/>
      <c r="Y124" s="228"/>
      <c r="Z124" s="466"/>
      <c r="AA124" s="252"/>
      <c r="AB124" s="184" t="s">
        <v>40</v>
      </c>
      <c r="AC124" s="159">
        <f>AC123*$O$2</f>
        <v>0</v>
      </c>
      <c r="AD124" s="42"/>
      <c r="AE124" s="39"/>
      <c r="AF124" s="156"/>
      <c r="AG124" s="45" t="str">
        <f>"@ "&amp;$O$2*100&amp;" %"</f>
        <v>@ 98.59 %</v>
      </c>
      <c r="AH124" s="94"/>
      <c r="AI124" s="228"/>
      <c r="AJ124" s="712">
        <f t="shared" si="68"/>
        <v>0</v>
      </c>
      <c r="AK124" s="93"/>
    </row>
    <row r="125" spans="1:42" ht="15.75" x14ac:dyDescent="0.25">
      <c r="A125" s="299" t="s">
        <v>5</v>
      </c>
      <c r="B125" s="218" t="str">
        <f t="shared" si="40"/>
        <v>MASTTotal IS</v>
      </c>
      <c r="C125" s="220" t="s">
        <v>50</v>
      </c>
      <c r="D125" s="10"/>
      <c r="E125" s="126"/>
      <c r="F125" s="126"/>
      <c r="G125" s="126"/>
      <c r="H125" s="49" t="s">
        <v>41</v>
      </c>
      <c r="I125" s="165">
        <f>I123+I124</f>
        <v>0</v>
      </c>
      <c r="J125" s="68"/>
      <c r="K125" s="68"/>
      <c r="L125" s="68"/>
      <c r="M125" s="66"/>
      <c r="N125" s="420">
        <f>I125</f>
        <v>0</v>
      </c>
      <c r="O125" s="240" t="e">
        <f>N125/N137</f>
        <v>#DIV/0!</v>
      </c>
      <c r="P125" s="466"/>
      <c r="Q125" s="252"/>
      <c r="R125" s="185" t="s">
        <v>41</v>
      </c>
      <c r="S125" s="165">
        <f>S123+S124</f>
        <v>0</v>
      </c>
      <c r="T125" s="68"/>
      <c r="U125" s="68"/>
      <c r="V125" s="68"/>
      <c r="W125" s="66"/>
      <c r="X125" s="52">
        <f>S125</f>
        <v>0</v>
      </c>
      <c r="Y125" s="240">
        <f>X125/X137</f>
        <v>0</v>
      </c>
      <c r="Z125" s="466"/>
      <c r="AA125" s="252"/>
      <c r="AB125" s="185" t="s">
        <v>41</v>
      </c>
      <c r="AC125" s="165">
        <f>AC123+AC124</f>
        <v>0</v>
      </c>
      <c r="AD125" s="68"/>
      <c r="AE125" s="68"/>
      <c r="AF125" s="68"/>
      <c r="AG125" s="66"/>
      <c r="AH125" s="420">
        <f>AC125</f>
        <v>0</v>
      </c>
      <c r="AI125" s="240">
        <f>AH125/AH137</f>
        <v>0</v>
      </c>
      <c r="AJ125" s="221">
        <f t="shared" si="68"/>
        <v>0</v>
      </c>
      <c r="AK125" s="52"/>
    </row>
    <row r="126" spans="1:42" ht="15.75" x14ac:dyDescent="0.25">
      <c r="A126" s="299" t="s">
        <v>5</v>
      </c>
      <c r="B126" s="218" t="str">
        <f t="shared" si="40"/>
        <v>MAST</v>
      </c>
      <c r="C126" s="217" t="s">
        <v>48</v>
      </c>
      <c r="D126" s="10"/>
      <c r="E126" s="126"/>
      <c r="F126" s="126"/>
      <c r="G126" s="126"/>
      <c r="H126" s="54"/>
      <c r="I126" s="166"/>
      <c r="J126" s="69"/>
      <c r="K126" s="69"/>
      <c r="L126" s="69"/>
      <c r="M126" s="70"/>
      <c r="N126" s="98"/>
      <c r="O126" s="243"/>
      <c r="P126" s="467"/>
      <c r="Q126" s="253"/>
      <c r="R126" s="179"/>
      <c r="S126" s="166"/>
      <c r="T126" s="69"/>
      <c r="U126" s="69"/>
      <c r="V126" s="69"/>
      <c r="W126" s="70"/>
      <c r="X126" s="97"/>
      <c r="Y126" s="243"/>
      <c r="Z126" s="467"/>
      <c r="AA126" s="253"/>
      <c r="AB126" s="179"/>
      <c r="AC126" s="166"/>
      <c r="AD126" s="69"/>
      <c r="AE126" s="69"/>
      <c r="AF126" s="69"/>
      <c r="AG126" s="70"/>
      <c r="AH126" s="98"/>
      <c r="AI126" s="243"/>
      <c r="AJ126" s="713"/>
      <c r="AK126" s="97"/>
    </row>
    <row r="127" spans="1:42" ht="15.75" x14ac:dyDescent="0.25">
      <c r="A127" s="299" t="s">
        <v>5</v>
      </c>
      <c r="B127" s="218" t="str">
        <f t="shared" si="40"/>
        <v>MASTOTHER</v>
      </c>
      <c r="C127" s="220" t="s">
        <v>50</v>
      </c>
      <c r="D127" s="10"/>
      <c r="E127" s="126"/>
      <c r="F127" s="126"/>
      <c r="G127" s="126"/>
      <c r="H127" s="61" t="s">
        <v>42</v>
      </c>
      <c r="I127" s="167"/>
      <c r="J127" s="74"/>
      <c r="K127" s="74"/>
      <c r="L127" s="74"/>
      <c r="M127" s="66"/>
      <c r="N127" s="91"/>
      <c r="O127" s="227"/>
      <c r="P127" s="466"/>
      <c r="Q127" s="252"/>
      <c r="R127" s="186" t="s">
        <v>42</v>
      </c>
      <c r="S127" s="167"/>
      <c r="T127" s="74"/>
      <c r="U127" s="74"/>
      <c r="V127" s="74"/>
      <c r="W127" s="66"/>
      <c r="X127" s="90"/>
      <c r="Y127" s="227"/>
      <c r="Z127" s="466"/>
      <c r="AA127" s="252"/>
      <c r="AB127" s="186" t="s">
        <v>42</v>
      </c>
      <c r="AC127" s="167"/>
      <c r="AD127" s="74"/>
      <c r="AE127" s="74"/>
      <c r="AF127" s="74"/>
      <c r="AG127" s="66"/>
      <c r="AH127" s="91"/>
      <c r="AI127" s="227"/>
      <c r="AJ127" s="711"/>
      <c r="AK127" s="90"/>
    </row>
    <row r="128" spans="1:42" ht="15.6" customHeight="1" x14ac:dyDescent="0.25">
      <c r="A128" s="299" t="s">
        <v>5</v>
      </c>
      <c r="B128" s="218" t="str">
        <f t="shared" si="40"/>
        <v>MASTManager Non Payroll</v>
      </c>
      <c r="C128" s="217" t="s">
        <v>48</v>
      </c>
      <c r="D128" s="10"/>
      <c r="E128" s="126"/>
      <c r="F128" s="126"/>
      <c r="G128" s="126"/>
      <c r="H128" s="42" t="s">
        <v>546</v>
      </c>
      <c r="I128" s="163">
        <f>ROUND((((I99+I108)*(1+$O$2))/VLOOKUP("MAJ ACCT SERV TEAMPayroll",'Base 2015 actual for Cost Cente'!$A:$F,6,FALSE))*VLOOKUP("MAJ ACCT SERV TEAMNon-Payroll",'Base 2015 actual for Cost Cente'!$A:$F,6,FALSE),0)</f>
        <v>0</v>
      </c>
      <c r="J128" s="74"/>
      <c r="K128" s="74"/>
      <c r="L128" s="74" t="s">
        <v>544</v>
      </c>
      <c r="M128" s="773" t="s">
        <v>369</v>
      </c>
      <c r="N128" s="91"/>
      <c r="O128" s="227"/>
      <c r="P128" s="466"/>
      <c r="Q128" s="252"/>
      <c r="R128" s="42" t="s">
        <v>546</v>
      </c>
      <c r="S128" s="163">
        <f>ROUND((((S99+S108)*(1+$O$2))/VLOOKUP("MAJ ACCT SERV TEAMPayroll",'Base 2015 actual for Cost Cente'!$A:$F,6,FALSE))*VLOOKUP("MAJ ACCT SERV TEAMNon-Payroll",'Base 2015 actual for Cost Cente'!$A:$F,6,FALSE),0)</f>
        <v>1655</v>
      </c>
      <c r="T128" s="74"/>
      <c r="U128" s="74"/>
      <c r="V128" s="74" t="s">
        <v>544</v>
      </c>
      <c r="W128" s="773" t="s">
        <v>369</v>
      </c>
      <c r="X128" s="90"/>
      <c r="Y128" s="227"/>
      <c r="Z128" s="466"/>
      <c r="AA128" s="252"/>
      <c r="AB128" s="42" t="s">
        <v>546</v>
      </c>
      <c r="AC128" s="163">
        <f>ROUND((((AC99+AC108)*(1+$O$2))/VLOOKUP("MAJ ACCT SERV TEAMPayroll",'Base 2015 actual for Cost Cente'!$A:$F,6,FALSE))*VLOOKUP("MAJ ACCT SERV TEAMNon-Payroll",'Base 2015 actual for Cost Cente'!$A:$F,6,FALSE),0)</f>
        <v>5103</v>
      </c>
      <c r="AD128" s="74"/>
      <c r="AE128" s="74"/>
      <c r="AF128" s="74" t="s">
        <v>544</v>
      </c>
      <c r="AG128" s="773" t="s">
        <v>369</v>
      </c>
      <c r="AH128" s="91"/>
      <c r="AI128" s="227"/>
      <c r="AJ128" s="711">
        <f t="shared" ref="AJ128:AJ134" si="69">I128+S128+AC128</f>
        <v>6758</v>
      </c>
      <c r="AK128" s="90"/>
      <c r="AP128" s="90" t="s">
        <v>279</v>
      </c>
    </row>
    <row r="129" spans="1:42" ht="15.75" x14ac:dyDescent="0.25">
      <c r="A129" s="299" t="s">
        <v>5</v>
      </c>
      <c r="B129" s="218" t="str">
        <f t="shared" si="40"/>
        <v>MASTMAS NonPayroll</v>
      </c>
      <c r="C129" s="217" t="s">
        <v>48</v>
      </c>
      <c r="D129" s="10"/>
      <c r="E129" s="126"/>
      <c r="F129" s="126"/>
      <c r="G129" s="126"/>
      <c r="H129" s="42" t="s">
        <v>547</v>
      </c>
      <c r="I129" s="163">
        <f>ROUND((((I101+I109)*(1+$O$2))/VLOOKUP("FIELD SERVICESPayroll",'Base 2015 actual for Cost Cente'!$A:$F,6,FALSE))*VLOOKUP("FIELD SERVICESNon-Payroll",'Base 2015 actual for Cost Cente'!$A:$F,6,FALSE),0)</f>
        <v>0</v>
      </c>
      <c r="J129" s="42"/>
      <c r="K129" s="39"/>
      <c r="L129" s="42" t="s">
        <v>545</v>
      </c>
      <c r="M129" s="774"/>
      <c r="N129" s="91"/>
      <c r="O129" s="227"/>
      <c r="P129" s="466"/>
      <c r="Q129" s="252"/>
      <c r="R129" s="42" t="s">
        <v>547</v>
      </c>
      <c r="S129" s="163">
        <f>ROUND((((S101+S109)*(1+$O$2))/VLOOKUP("FIELD SERVICESPayroll",'Base 2015 actual for Cost Cente'!$A:$F,6,FALSE))*VLOOKUP("FIELD SERVICESNon-Payroll",'Base 2015 actual for Cost Cente'!$A:$F,6,FALSE),0)</f>
        <v>834</v>
      </c>
      <c r="T129" s="42"/>
      <c r="U129" s="39"/>
      <c r="V129" s="42" t="s">
        <v>545</v>
      </c>
      <c r="W129" s="774"/>
      <c r="X129" s="90"/>
      <c r="Y129" s="227"/>
      <c r="Z129" s="466"/>
      <c r="AA129" s="252"/>
      <c r="AB129" s="42" t="s">
        <v>547</v>
      </c>
      <c r="AC129" s="163">
        <f>ROUND((((AC101+AC109)*(1+$O$2))/VLOOKUP("FIELD SERVICESPayroll",'Base 2015 actual for Cost Cente'!$A:$F,6,FALSE))*VLOOKUP("FIELD SERVICESNon-Payroll",'Base 2015 actual for Cost Cente'!$A:$F,6,FALSE),0)</f>
        <v>1893</v>
      </c>
      <c r="AD129" s="42"/>
      <c r="AE129" s="39"/>
      <c r="AF129" s="42" t="s">
        <v>545</v>
      </c>
      <c r="AG129" s="774"/>
      <c r="AH129" s="91"/>
      <c r="AI129" s="227"/>
      <c r="AJ129" s="711">
        <f t="shared" si="69"/>
        <v>2727</v>
      </c>
      <c r="AK129" s="90"/>
      <c r="AP129" s="90" t="s">
        <v>288</v>
      </c>
    </row>
    <row r="130" spans="1:42" ht="15.75" x14ac:dyDescent="0.25">
      <c r="A130" s="299" t="s">
        <v>5</v>
      </c>
      <c r="B130" s="218" t="str">
        <f t="shared" si="40"/>
        <v>MASTMAST Payroll</v>
      </c>
      <c r="C130" s="217" t="s">
        <v>48</v>
      </c>
      <c r="D130" s="10"/>
      <c r="E130" s="126"/>
      <c r="F130" s="126"/>
      <c r="G130" s="126"/>
      <c r="H130" s="42" t="s">
        <v>548</v>
      </c>
      <c r="I130" s="163">
        <f>ROUND((((I100+I110)*(1+$O$2))/VLOOKUP("CUST SEG SRVCPayroll",'Base 2015 actual for Cost Cente'!$A:$F,6,FALSE))*VLOOKUP("CUST SEG SRVCNon-Payroll",'Base 2015 actual for Cost Cente'!$A:$F,6,FALSE),0)</f>
        <v>0</v>
      </c>
      <c r="J130" s="42"/>
      <c r="K130" s="39"/>
      <c r="L130" s="42" t="s">
        <v>5</v>
      </c>
      <c r="M130" s="66" t="s">
        <v>542</v>
      </c>
      <c r="N130" s="91"/>
      <c r="O130" s="227"/>
      <c r="P130" s="466"/>
      <c r="Q130" s="252"/>
      <c r="R130" s="42" t="s">
        <v>548</v>
      </c>
      <c r="S130" s="163">
        <f>ROUND((((S100+S110)*(1+$O$2))/VLOOKUP("CUST SEG SRVCPayroll",'Base 2015 actual for Cost Cente'!$A:$F,6,FALSE))*VLOOKUP("CUST SEG SRVCNon-Payroll",'Base 2015 actual for Cost Cente'!$A:$F,6,FALSE),0)</f>
        <v>1169</v>
      </c>
      <c r="T130" s="42"/>
      <c r="U130" s="39"/>
      <c r="V130" s="42" t="s">
        <v>5</v>
      </c>
      <c r="W130" s="66" t="s">
        <v>542</v>
      </c>
      <c r="X130" s="90"/>
      <c r="Y130" s="227"/>
      <c r="Z130" s="466"/>
      <c r="AA130" s="252"/>
      <c r="AB130" s="42" t="s">
        <v>548</v>
      </c>
      <c r="AC130" s="163">
        <f>ROUND((((AC100+AC110)*(1+$O$2))/VLOOKUP("CUST SEG SRVCPayroll",'Base 2015 actual for Cost Cente'!$A:$F,6,FALSE))*VLOOKUP("CUST SEG SRVCNon-Payroll",'Base 2015 actual for Cost Cente'!$A:$F,6,FALSE),0)</f>
        <v>3591</v>
      </c>
      <c r="AD130" s="42"/>
      <c r="AE130" s="39"/>
      <c r="AF130" s="42" t="s">
        <v>5</v>
      </c>
      <c r="AG130" s="66" t="s">
        <v>542</v>
      </c>
      <c r="AH130" s="91"/>
      <c r="AI130" s="227"/>
      <c r="AJ130" s="711">
        <f t="shared" si="69"/>
        <v>4760</v>
      </c>
      <c r="AK130" s="90"/>
      <c r="AP130" s="90" t="s">
        <v>286</v>
      </c>
    </row>
    <row r="131" spans="1:42" ht="15.75" x14ac:dyDescent="0.25">
      <c r="A131" s="299" t="s">
        <v>5</v>
      </c>
      <c r="B131" s="218" t="str">
        <f t="shared" si="40"/>
        <v>MASTMisc</v>
      </c>
      <c r="C131" s="217" t="s">
        <v>48</v>
      </c>
      <c r="D131" s="10"/>
      <c r="E131" s="126"/>
      <c r="F131" s="126"/>
      <c r="G131" s="126"/>
      <c r="H131" s="38" t="s">
        <v>238</v>
      </c>
      <c r="I131" s="158">
        <f t="shared" ref="I131" si="70">J131*K131</f>
        <v>0</v>
      </c>
      <c r="J131" s="293"/>
      <c r="K131" s="39"/>
      <c r="L131" s="42"/>
      <c r="M131" s="66"/>
      <c r="N131" s="91"/>
      <c r="O131" s="227"/>
      <c r="P131" s="466"/>
      <c r="Q131" s="252"/>
      <c r="R131" s="184" t="s">
        <v>238</v>
      </c>
      <c r="S131" s="158">
        <f t="shared" ref="S131" si="71">T131*U131</f>
        <v>4523.3999999999996</v>
      </c>
      <c r="T131" s="293">
        <v>0.7</v>
      </c>
      <c r="U131" s="39">
        <v>6462</v>
      </c>
      <c r="V131" s="42"/>
      <c r="W131" s="66" t="s">
        <v>543</v>
      </c>
      <c r="X131" s="90"/>
      <c r="Y131" s="227"/>
      <c r="Z131" s="466"/>
      <c r="AA131" s="252"/>
      <c r="AB131" s="184" t="s">
        <v>229</v>
      </c>
      <c r="AC131" s="158">
        <f t="shared" ref="AC131:AC133" si="72">AD131*AE131</f>
        <v>2580</v>
      </c>
      <c r="AD131" s="42">
        <f>500*12</f>
        <v>6000</v>
      </c>
      <c r="AE131" s="259">
        <v>0.43</v>
      </c>
      <c r="AF131" s="42"/>
      <c r="AG131" s="66"/>
      <c r="AH131" s="91"/>
      <c r="AI131" s="227"/>
      <c r="AJ131" s="711">
        <f t="shared" si="69"/>
        <v>7103.4</v>
      </c>
      <c r="AK131" s="90"/>
      <c r="AP131" s="90" t="s">
        <v>287</v>
      </c>
    </row>
    <row r="132" spans="1:42" ht="15.75" x14ac:dyDescent="0.25">
      <c r="A132" s="299" t="s">
        <v>5</v>
      </c>
      <c r="B132" s="218" t="str">
        <f t="shared" si="40"/>
        <v xml:space="preserve">MASTNon-Payroll </v>
      </c>
      <c r="C132" s="217" t="s">
        <v>48</v>
      </c>
      <c r="D132" s="10"/>
      <c r="E132" s="126"/>
      <c r="F132" s="126"/>
      <c r="G132" s="126"/>
      <c r="H132" s="38" t="s">
        <v>334</v>
      </c>
      <c r="I132" s="163">
        <f>SUM(I128:I131)</f>
        <v>0</v>
      </c>
      <c r="J132" s="74"/>
      <c r="K132" s="74"/>
      <c r="L132" s="74"/>
      <c r="M132" s="773"/>
      <c r="N132" s="91"/>
      <c r="O132" s="227"/>
      <c r="P132" s="466"/>
      <c r="Q132" s="252"/>
      <c r="R132" s="38"/>
      <c r="S132" s="163"/>
      <c r="T132" s="74"/>
      <c r="U132" s="74"/>
      <c r="V132" s="74"/>
      <c r="W132" s="773"/>
      <c r="X132" s="90"/>
      <c r="Y132" s="227"/>
      <c r="Z132" s="466"/>
      <c r="AA132" s="252"/>
      <c r="AB132" s="184" t="s">
        <v>231</v>
      </c>
      <c r="AC132" s="158">
        <f t="shared" si="72"/>
        <v>1480</v>
      </c>
      <c r="AD132" s="293">
        <v>1</v>
      </c>
      <c r="AE132" s="39">
        <v>1480</v>
      </c>
      <c r="AF132" s="39"/>
      <c r="AG132" s="40"/>
      <c r="AH132" s="91"/>
      <c r="AI132" s="227"/>
      <c r="AJ132" s="711">
        <f t="shared" si="69"/>
        <v>1480</v>
      </c>
      <c r="AK132" s="90"/>
    </row>
    <row r="133" spans="1:42" ht="15.75" x14ac:dyDescent="0.25">
      <c r="A133" s="299" t="s">
        <v>5</v>
      </c>
      <c r="B133" s="218" t="str">
        <f t="shared" si="40"/>
        <v>MAST</v>
      </c>
      <c r="C133" s="217" t="s">
        <v>48</v>
      </c>
      <c r="D133" s="10"/>
      <c r="E133" s="126"/>
      <c r="F133" s="126"/>
      <c r="G133" s="126"/>
      <c r="H133" s="38"/>
      <c r="I133" s="168"/>
      <c r="J133" s="42"/>
      <c r="K133" s="39"/>
      <c r="L133" s="42"/>
      <c r="M133" s="774"/>
      <c r="N133" s="94"/>
      <c r="O133" s="228"/>
      <c r="P133" s="466"/>
      <c r="Q133" s="252"/>
      <c r="R133" s="38"/>
      <c r="S133" s="168"/>
      <c r="T133" s="42"/>
      <c r="U133" s="39"/>
      <c r="V133" s="42"/>
      <c r="W133" s="774"/>
      <c r="X133" s="93"/>
      <c r="Y133" s="228"/>
      <c r="Z133" s="466"/>
      <c r="AA133" s="252"/>
      <c r="AB133" s="184" t="s">
        <v>238</v>
      </c>
      <c r="AC133" s="158">
        <f t="shared" si="72"/>
        <v>1938.6</v>
      </c>
      <c r="AD133" s="293">
        <v>0.3</v>
      </c>
      <c r="AE133" s="39">
        <v>6462</v>
      </c>
      <c r="AF133" s="156"/>
      <c r="AG133" s="66" t="s">
        <v>543</v>
      </c>
      <c r="AH133" s="94"/>
      <c r="AI133" s="228"/>
      <c r="AJ133" s="712">
        <f t="shared" si="69"/>
        <v>1938.6</v>
      </c>
      <c r="AK133" s="93"/>
    </row>
    <row r="134" spans="1:42" ht="15.75" x14ac:dyDescent="0.25">
      <c r="A134" s="299" t="s">
        <v>5</v>
      </c>
      <c r="B134" s="218" t="str">
        <f t="shared" si="40"/>
        <v>MASTTotal Other</v>
      </c>
      <c r="C134" s="220" t="s">
        <v>50</v>
      </c>
      <c r="D134" s="10"/>
      <c r="E134" s="116">
        <f>I134</f>
        <v>0</v>
      </c>
      <c r="F134" s="116">
        <f>S134</f>
        <v>8181.4</v>
      </c>
      <c r="G134" s="116">
        <f>AC134</f>
        <v>16585.599999999999</v>
      </c>
      <c r="H134" s="49" t="s">
        <v>45</v>
      </c>
      <c r="I134" s="165">
        <f>SUM(I128:I133)</f>
        <v>0</v>
      </c>
      <c r="J134" s="68"/>
      <c r="K134" s="68"/>
      <c r="L134" s="68"/>
      <c r="M134" s="66"/>
      <c r="N134" s="414">
        <f>I134</f>
        <v>0</v>
      </c>
      <c r="O134" s="240" t="e">
        <f>N134/N137</f>
        <v>#DIV/0!</v>
      </c>
      <c r="P134" s="466"/>
      <c r="Q134" s="165"/>
      <c r="R134" s="185" t="s">
        <v>45</v>
      </c>
      <c r="S134" s="165">
        <f>SUM(S128:S133)</f>
        <v>8181.4</v>
      </c>
      <c r="T134" s="68"/>
      <c r="U134" s="68"/>
      <c r="V134" s="68"/>
      <c r="W134" s="66"/>
      <c r="X134" s="165">
        <f>S134</f>
        <v>8181.4</v>
      </c>
      <c r="Y134" s="240">
        <f>X134/X137</f>
        <v>8.08695077828855E-2</v>
      </c>
      <c r="Z134" s="466"/>
      <c r="AA134" s="165"/>
      <c r="AB134" s="185" t="s">
        <v>45</v>
      </c>
      <c r="AC134" s="165">
        <f>SUM(AC128:AC133)</f>
        <v>16585.599999999999</v>
      </c>
      <c r="AD134" s="68"/>
      <c r="AE134" s="68"/>
      <c r="AF134" s="68"/>
      <c r="AG134" s="66"/>
      <c r="AH134" s="414">
        <f>AC134</f>
        <v>16585.599999999999</v>
      </c>
      <c r="AI134" s="240">
        <f>AH134/AH137</f>
        <v>5.8945434486264124E-2</v>
      </c>
      <c r="AJ134" s="714">
        <f t="shared" si="69"/>
        <v>24767</v>
      </c>
      <c r="AK134" s="165"/>
    </row>
    <row r="135" spans="1:42" ht="16.5" thickBot="1" x14ac:dyDescent="0.3">
      <c r="A135" s="299" t="s">
        <v>5</v>
      </c>
      <c r="B135" s="218" t="str">
        <f t="shared" si="40"/>
        <v>MAST</v>
      </c>
      <c r="C135" s="217" t="s">
        <v>48</v>
      </c>
      <c r="D135" s="10"/>
      <c r="E135" s="126"/>
      <c r="F135" s="126"/>
      <c r="G135" s="126"/>
      <c r="H135" s="100"/>
      <c r="I135" s="178"/>
      <c r="J135" s="101"/>
      <c r="K135" s="101"/>
      <c r="L135" s="101"/>
      <c r="M135" s="102"/>
      <c r="N135" s="415"/>
      <c r="O135" s="178"/>
      <c r="P135" s="178"/>
      <c r="Q135" s="178"/>
      <c r="R135" s="178"/>
      <c r="S135" s="178"/>
      <c r="T135" s="101"/>
      <c r="U135" s="101"/>
      <c r="V135" s="101"/>
      <c r="W135" s="102"/>
      <c r="X135" s="178"/>
      <c r="Y135" s="178"/>
      <c r="Z135" s="178"/>
      <c r="AA135" s="178"/>
      <c r="AB135" s="178"/>
      <c r="AC135" s="178"/>
      <c r="AD135" s="101"/>
      <c r="AE135" s="101"/>
      <c r="AF135" s="101"/>
      <c r="AG135" s="102"/>
      <c r="AH135" s="415"/>
      <c r="AI135" s="178"/>
      <c r="AJ135" s="715"/>
      <c r="AK135" s="178"/>
    </row>
    <row r="136" spans="1:42" ht="16.5" thickTop="1" x14ac:dyDescent="0.25">
      <c r="A136" s="299" t="s">
        <v>5</v>
      </c>
      <c r="B136" s="218" t="str">
        <f t="shared" si="40"/>
        <v>MASTTOTALS</v>
      </c>
      <c r="C136" s="217" t="s">
        <v>48</v>
      </c>
      <c r="D136" s="10"/>
      <c r="E136" s="126"/>
      <c r="F136" s="126"/>
      <c r="G136" s="126"/>
      <c r="H136" s="61" t="s">
        <v>28</v>
      </c>
      <c r="I136" s="103"/>
      <c r="J136" s="103"/>
      <c r="K136" s="103"/>
      <c r="L136" s="103"/>
      <c r="M136" s="104"/>
      <c r="N136" s="91"/>
      <c r="O136" s="136"/>
      <c r="P136" s="466"/>
      <c r="Q136" s="252"/>
      <c r="R136" s="186" t="s">
        <v>28</v>
      </c>
      <c r="S136" s="103"/>
      <c r="T136" s="103"/>
      <c r="U136" s="103"/>
      <c r="V136" s="103"/>
      <c r="W136" s="104"/>
      <c r="X136" s="90"/>
      <c r="Y136" s="136"/>
      <c r="Z136" s="466"/>
      <c r="AA136" s="252"/>
      <c r="AB136" s="186" t="s">
        <v>28</v>
      </c>
      <c r="AC136" s="103"/>
      <c r="AD136" s="103"/>
      <c r="AE136" s="103"/>
      <c r="AF136" s="103"/>
      <c r="AG136" s="104"/>
      <c r="AH136" s="91"/>
      <c r="AI136" s="136"/>
      <c r="AJ136" s="711"/>
      <c r="AK136" s="90"/>
    </row>
    <row r="137" spans="1:42" ht="15.75" x14ac:dyDescent="0.25">
      <c r="A137" s="299" t="s">
        <v>5</v>
      </c>
      <c r="B137" s="218" t="str">
        <f t="shared" si="40"/>
        <v>MASTPER YEAR</v>
      </c>
      <c r="C137" s="220" t="s">
        <v>50</v>
      </c>
      <c r="D137" s="10"/>
      <c r="E137" s="116">
        <f>I137</f>
        <v>0</v>
      </c>
      <c r="F137" s="116">
        <f>S137</f>
        <v>101167.92131299998</v>
      </c>
      <c r="G137" s="116">
        <f>S137</f>
        <v>101167.92131299998</v>
      </c>
      <c r="H137" s="105" t="s">
        <v>46</v>
      </c>
      <c r="I137" s="106">
        <f>I105+I113+I120+I125+I134</f>
        <v>0</v>
      </c>
      <c r="J137" s="106"/>
      <c r="K137" s="106"/>
      <c r="L137" s="106"/>
      <c r="M137" s="107"/>
      <c r="N137" s="420">
        <f>SUM(N105:N135)</f>
        <v>0</v>
      </c>
      <c r="O137" s="233" t="e">
        <f>SUM(O105:O135)</f>
        <v>#DIV/0!</v>
      </c>
      <c r="P137" s="466"/>
      <c r="Q137" s="252"/>
      <c r="R137" s="190" t="s">
        <v>46</v>
      </c>
      <c r="S137" s="106">
        <f>S105+S113+S120+S125+S134</f>
        <v>101167.92131299998</v>
      </c>
      <c r="T137" s="106"/>
      <c r="U137" s="106"/>
      <c r="V137" s="106"/>
      <c r="W137" s="107"/>
      <c r="X137" s="52">
        <f>SUM(X105:X135)</f>
        <v>101167.92131299998</v>
      </c>
      <c r="Y137" s="233">
        <f>SUM(Y105:Y135)</f>
        <v>1</v>
      </c>
      <c r="Z137" s="466"/>
      <c r="AA137" s="252"/>
      <c r="AB137" s="190" t="s">
        <v>46</v>
      </c>
      <c r="AC137" s="106">
        <f>AC105+AC113+AC120+AC125+AC134</f>
        <v>281372.08834833326</v>
      </c>
      <c r="AD137" s="106"/>
      <c r="AE137" s="106"/>
      <c r="AF137" s="106"/>
      <c r="AG137" s="107"/>
      <c r="AH137" s="420">
        <f>SUM(AH105:AH135)</f>
        <v>281372.08834833326</v>
      </c>
      <c r="AI137" s="233">
        <f>SUM(AI105:AI135)</f>
        <v>1.0000000000000002</v>
      </c>
      <c r="AJ137" s="221">
        <f t="shared" ref="AJ137:AJ141" si="73">I137+S137+AC137</f>
        <v>382540.00966133323</v>
      </c>
      <c r="AK137" s="52"/>
    </row>
    <row r="138" spans="1:42" ht="15.75" x14ac:dyDescent="0.25">
      <c r="A138" s="299" t="s">
        <v>5</v>
      </c>
      <c r="B138" s="218" t="str">
        <f t="shared" si="40"/>
        <v>MASTPER BILL</v>
      </c>
      <c r="C138" s="220" t="s">
        <v>50</v>
      </c>
      <c r="D138" s="10"/>
      <c r="E138" s="126"/>
      <c r="F138" s="126"/>
      <c r="G138" s="126"/>
      <c r="H138" s="49" t="s">
        <v>283</v>
      </c>
      <c r="I138" s="108">
        <f>I137/I$6</f>
        <v>0</v>
      </c>
      <c r="J138" s="108"/>
      <c r="K138" s="108"/>
      <c r="L138" s="108"/>
      <c r="M138" s="109"/>
      <c r="N138" s="98"/>
      <c r="O138" s="243"/>
      <c r="P138" s="467"/>
      <c r="Q138" s="253"/>
      <c r="R138" s="185" t="s">
        <v>283</v>
      </c>
      <c r="S138" s="108">
        <f>S137/S$6</f>
        <v>0.13280011093769278</v>
      </c>
      <c r="T138" s="108"/>
      <c r="U138" s="108"/>
      <c r="V138" s="108"/>
      <c r="W138" s="109"/>
      <c r="X138" s="97"/>
      <c r="Y138" s="243"/>
      <c r="Z138" s="467"/>
      <c r="AA138" s="253"/>
      <c r="AB138" s="185" t="s">
        <v>283</v>
      </c>
      <c r="AC138" s="108">
        <f>AC137/AC$6</f>
        <v>11.229280773769137</v>
      </c>
      <c r="AD138" s="108"/>
      <c r="AE138" s="108"/>
      <c r="AF138" s="108"/>
      <c r="AG138" s="109"/>
      <c r="AH138" s="98"/>
      <c r="AI138" s="243"/>
      <c r="AJ138" s="713">
        <f t="shared" si="73"/>
        <v>11.362080884706829</v>
      </c>
      <c r="AK138" s="97"/>
    </row>
    <row r="139" spans="1:42" ht="15.75" x14ac:dyDescent="0.25">
      <c r="A139" s="299" t="s">
        <v>5</v>
      </c>
      <c r="B139" s="218"/>
      <c r="C139" s="220"/>
      <c r="D139" s="10"/>
      <c r="E139" s="10"/>
      <c r="F139" s="10"/>
      <c r="G139" s="10"/>
      <c r="H139" s="137" t="s">
        <v>553</v>
      </c>
      <c r="I139" s="652">
        <f>I105+I113</f>
        <v>0</v>
      </c>
      <c r="J139" s="108"/>
      <c r="K139" s="108"/>
      <c r="L139" s="108"/>
      <c r="M139" s="109"/>
      <c r="N139" s="649"/>
      <c r="O139" s="650"/>
      <c r="P139" s="92"/>
      <c r="Q139" s="37"/>
      <c r="R139" s="137" t="s">
        <v>553</v>
      </c>
      <c r="S139" s="652">
        <f>S105+S113</f>
        <v>92986.52131299999</v>
      </c>
      <c r="T139" s="108"/>
      <c r="U139" s="108"/>
      <c r="V139" s="108"/>
      <c r="W139" s="109"/>
      <c r="X139" s="651"/>
      <c r="Y139" s="650"/>
      <c r="Z139" s="92"/>
      <c r="AA139" s="37"/>
      <c r="AB139" s="137" t="s">
        <v>553</v>
      </c>
      <c r="AC139" s="652">
        <f>AC105+AC113</f>
        <v>264786.48834833328</v>
      </c>
      <c r="AD139" s="108"/>
      <c r="AE139" s="108"/>
      <c r="AF139" s="108"/>
      <c r="AG139" s="109"/>
      <c r="AH139" s="649"/>
      <c r="AI139" s="137"/>
      <c r="AJ139" s="709">
        <f t="shared" si="73"/>
        <v>357773.00966133329</v>
      </c>
      <c r="AK139" s="651"/>
    </row>
    <row r="140" spans="1:42" ht="15.75" x14ac:dyDescent="0.25">
      <c r="A140" s="299" t="s">
        <v>5</v>
      </c>
      <c r="B140" s="218"/>
      <c r="C140" s="220"/>
      <c r="D140" s="10"/>
      <c r="E140" s="10"/>
      <c r="F140" s="10"/>
      <c r="G140" s="10"/>
      <c r="H140" s="137" t="s">
        <v>554</v>
      </c>
      <c r="I140" s="652">
        <f>I134+I125+I120</f>
        <v>0</v>
      </c>
      <c r="J140" s="108"/>
      <c r="K140" s="652"/>
      <c r="L140" s="108"/>
      <c r="M140" s="109"/>
      <c r="N140" s="649"/>
      <c r="O140" s="650"/>
      <c r="P140" s="92"/>
      <c r="Q140" s="37"/>
      <c r="R140" s="137" t="s">
        <v>554</v>
      </c>
      <c r="S140" s="652">
        <f>S134+S125+S120</f>
        <v>8181.4</v>
      </c>
      <c r="T140" s="108"/>
      <c r="U140" s="652"/>
      <c r="V140" s="108"/>
      <c r="W140" s="109"/>
      <c r="X140" s="651"/>
      <c r="Y140" s="650"/>
      <c r="Z140" s="92"/>
      <c r="AA140" s="37"/>
      <c r="AB140" s="137" t="s">
        <v>554</v>
      </c>
      <c r="AC140" s="652">
        <f>AC134+AC125+AC120</f>
        <v>16585.599999999999</v>
      </c>
      <c r="AD140" s="108"/>
      <c r="AE140" s="652"/>
      <c r="AF140" s="108"/>
      <c r="AG140" s="109"/>
      <c r="AH140" s="649"/>
      <c r="AI140" s="137"/>
      <c r="AJ140" s="709">
        <f t="shared" si="73"/>
        <v>24767</v>
      </c>
      <c r="AK140" s="651"/>
    </row>
    <row r="141" spans="1:42" ht="15.75" x14ac:dyDescent="0.25">
      <c r="A141" s="299" t="s">
        <v>5</v>
      </c>
      <c r="B141" s="218"/>
      <c r="C141" s="220"/>
      <c r="D141" s="10"/>
      <c r="E141" s="10"/>
      <c r="F141" s="10"/>
      <c r="G141" s="10"/>
      <c r="H141" s="137" t="s">
        <v>552</v>
      </c>
      <c r="I141" s="652">
        <f>I137</f>
        <v>0</v>
      </c>
      <c r="J141" s="108"/>
      <c r="K141" s="108"/>
      <c r="L141" s="108"/>
      <c r="M141" s="109"/>
      <c r="N141" s="649"/>
      <c r="O141" s="650"/>
      <c r="P141" s="92"/>
      <c r="Q141" s="37"/>
      <c r="R141" s="137" t="s">
        <v>552</v>
      </c>
      <c r="S141" s="652">
        <f>S137</f>
        <v>101167.92131299998</v>
      </c>
      <c r="T141" s="108"/>
      <c r="U141" s="108"/>
      <c r="V141" s="108"/>
      <c r="W141" s="109"/>
      <c r="X141" s="651"/>
      <c r="Y141" s="650"/>
      <c r="Z141" s="92"/>
      <c r="AA141" s="37"/>
      <c r="AB141" s="137" t="s">
        <v>552</v>
      </c>
      <c r="AC141" s="652">
        <f>AC137</f>
        <v>281372.08834833326</v>
      </c>
      <c r="AD141" s="108"/>
      <c r="AE141" s="108"/>
      <c r="AF141" s="108"/>
      <c r="AG141" s="109"/>
      <c r="AH141" s="649"/>
      <c r="AI141" s="137"/>
      <c r="AJ141" s="709">
        <f t="shared" si="73"/>
        <v>382540.00966133323</v>
      </c>
      <c r="AK141" s="651"/>
    </row>
    <row r="142" spans="1:42" ht="63" x14ac:dyDescent="0.25">
      <c r="A142" s="299" t="s">
        <v>6</v>
      </c>
      <c r="B142" s="218" t="str">
        <f t="shared" ref="B142:B203" si="74">A142&amp;H142</f>
        <v>RMCLABOR: NON-SUPERVISORY</v>
      </c>
      <c r="C142" s="12" t="s">
        <v>6</v>
      </c>
      <c r="D142" s="10" t="str">
        <f>'2015Summary METER to CASH (Base'!G18</f>
        <v>* Plan &amp; assign all routes to field personnel (i.e., Turnons, turnoffs, inspections)</v>
      </c>
      <c r="E142" s="117">
        <f>N178</f>
        <v>326669.03263999999</v>
      </c>
      <c r="F142" s="117">
        <f>X178</f>
        <v>31973.400560000002</v>
      </c>
      <c r="G142" s="117">
        <f>AC178</f>
        <v>0</v>
      </c>
      <c r="H142" s="182" t="s">
        <v>31</v>
      </c>
      <c r="I142" s="157"/>
      <c r="J142" s="118"/>
      <c r="K142" s="118"/>
      <c r="L142" s="118"/>
      <c r="M142" s="119"/>
      <c r="N142" s="121"/>
      <c r="O142" s="136"/>
      <c r="P142" s="456"/>
      <c r="Q142" s="248"/>
      <c r="R142" s="183" t="s">
        <v>31</v>
      </c>
      <c r="S142" s="157"/>
      <c r="T142" s="118"/>
      <c r="U142" s="118"/>
      <c r="V142" s="118"/>
      <c r="W142" s="119"/>
      <c r="X142" s="120"/>
      <c r="Y142" s="136"/>
      <c r="Z142" s="456"/>
      <c r="AA142" s="248"/>
      <c r="AB142" s="183" t="s">
        <v>31</v>
      </c>
      <c r="AC142" s="157"/>
      <c r="AD142" s="118"/>
      <c r="AE142" s="118"/>
      <c r="AF142" s="118"/>
      <c r="AG142" s="119"/>
      <c r="AH142" s="121"/>
      <c r="AI142" s="136"/>
      <c r="AJ142" s="705"/>
      <c r="AK142" s="120"/>
    </row>
    <row r="143" spans="1:42" ht="21" x14ac:dyDescent="0.35">
      <c r="A143" s="299" t="s">
        <v>6</v>
      </c>
      <c r="B143" s="218" t="str">
        <f t="shared" si="74"/>
        <v>RMCReso Mgmt Spec (Grade 18)</v>
      </c>
      <c r="C143" s="5" t="s">
        <v>48</v>
      </c>
      <c r="D143" s="10"/>
      <c r="E143" s="116"/>
      <c r="F143" s="116"/>
      <c r="G143" s="116"/>
      <c r="H143" s="184" t="s">
        <v>312</v>
      </c>
      <c r="I143" s="163">
        <f>J143*K143</f>
        <v>145008</v>
      </c>
      <c r="J143" s="42">
        <f>ROUND(4190*(I$6/($I$6+$S$6)),0)</f>
        <v>3816</v>
      </c>
      <c r="K143" s="39">
        <v>38</v>
      </c>
      <c r="L143" s="39"/>
      <c r="M143" s="40" t="str">
        <f>J143&amp;" hrs @ "&amp;K143</f>
        <v>3816 hrs @ 38</v>
      </c>
      <c r="N143" s="35"/>
      <c r="O143" s="136"/>
      <c r="P143" s="457"/>
      <c r="Q143" s="249"/>
      <c r="R143" s="184" t="s">
        <v>312</v>
      </c>
      <c r="S143" s="163">
        <f>T143*U143</f>
        <v>14212</v>
      </c>
      <c r="T143" s="42">
        <f>ROUND(4190*(S$6/($I$6+$S$6)),AD133)</f>
        <v>374</v>
      </c>
      <c r="U143" s="39">
        <v>38</v>
      </c>
      <c r="V143" s="39"/>
      <c r="W143" s="40" t="str">
        <f>T143&amp;" hrs @ "&amp;U143</f>
        <v>374 hrs @ 38</v>
      </c>
      <c r="X143" s="34"/>
      <c r="Y143" s="136"/>
      <c r="Z143" s="457"/>
      <c r="AA143" s="249"/>
      <c r="AB143" s="184" t="s">
        <v>312</v>
      </c>
      <c r="AC143" s="163">
        <f>AD143*AE143</f>
        <v>0</v>
      </c>
      <c r="AD143" s="42"/>
      <c r="AE143" s="39">
        <v>38</v>
      </c>
      <c r="AF143" s="39"/>
      <c r="AG143" s="40" t="str">
        <f>AD143&amp;" hrs @ "&amp;AE143</f>
        <v xml:space="preserve"> hrs @ 38</v>
      </c>
      <c r="AH143" s="35"/>
      <c r="AI143" s="136"/>
      <c r="AJ143" s="706">
        <f t="shared" ref="AJ143:AJ149" si="75">I143+S143+AC143</f>
        <v>159220</v>
      </c>
      <c r="AK143" s="34"/>
    </row>
    <row r="144" spans="1:42" ht="21" x14ac:dyDescent="0.35">
      <c r="A144" s="299" t="s">
        <v>6</v>
      </c>
      <c r="B144" s="218" t="str">
        <f t="shared" si="74"/>
        <v>RMC</v>
      </c>
      <c r="C144" s="5" t="s">
        <v>48</v>
      </c>
      <c r="D144" s="10"/>
      <c r="E144" s="116"/>
      <c r="F144" s="116"/>
      <c r="G144" s="116"/>
      <c r="H144" s="38"/>
      <c r="I144" s="158"/>
      <c r="J144" s="42"/>
      <c r="K144" s="39"/>
      <c r="L144" s="42"/>
      <c r="M144" s="40" t="str">
        <f t="shared" ref="M144:M146" si="76">J144&amp;" hrs @ "&amp;K144</f>
        <v xml:space="preserve"> hrs @ </v>
      </c>
      <c r="N144" s="35"/>
      <c r="O144" s="136"/>
      <c r="P144" s="457"/>
      <c r="Q144" s="250"/>
      <c r="R144" s="184"/>
      <c r="S144" s="158"/>
      <c r="T144" s="42"/>
      <c r="U144" s="39"/>
      <c r="V144" s="42"/>
      <c r="W144" s="40" t="str">
        <f t="shared" ref="W144:W146" si="77">T144&amp;" hrs @ "&amp;U144</f>
        <v xml:space="preserve"> hrs @ </v>
      </c>
      <c r="X144" s="34"/>
      <c r="Y144" s="136"/>
      <c r="Z144" s="457"/>
      <c r="AA144" s="250"/>
      <c r="AB144" s="184"/>
      <c r="AC144" s="158"/>
      <c r="AD144" s="42"/>
      <c r="AE144" s="39"/>
      <c r="AF144" s="42"/>
      <c r="AG144" s="40" t="str">
        <f t="shared" ref="AG144:AG146" si="78">AD144&amp;" hrs @ "&amp;AE144</f>
        <v xml:space="preserve"> hrs @ </v>
      </c>
      <c r="AH144" s="35"/>
      <c r="AI144" s="136"/>
      <c r="AJ144" s="706">
        <f t="shared" si="75"/>
        <v>0</v>
      </c>
      <c r="AK144" s="34"/>
    </row>
    <row r="145" spans="1:37" ht="21" x14ac:dyDescent="0.35">
      <c r="A145" s="299" t="s">
        <v>6</v>
      </c>
      <c r="B145" s="218" t="str">
        <f t="shared" si="74"/>
        <v>RMC</v>
      </c>
      <c r="C145" s="5" t="s">
        <v>48</v>
      </c>
      <c r="D145" s="10"/>
      <c r="E145" s="116"/>
      <c r="F145" s="116"/>
      <c r="G145" s="116"/>
      <c r="H145" s="38"/>
      <c r="I145" s="158"/>
      <c r="J145" s="42"/>
      <c r="K145" s="39"/>
      <c r="L145" s="42"/>
      <c r="M145" s="40" t="str">
        <f t="shared" si="76"/>
        <v xml:space="preserve"> hrs @ </v>
      </c>
      <c r="N145" s="35"/>
      <c r="O145" s="136"/>
      <c r="P145" s="457"/>
      <c r="Q145" s="249"/>
      <c r="R145" s="184"/>
      <c r="S145" s="158"/>
      <c r="T145" s="42"/>
      <c r="U145" s="39"/>
      <c r="V145" s="42"/>
      <c r="W145" s="40" t="str">
        <f t="shared" si="77"/>
        <v xml:space="preserve"> hrs @ </v>
      </c>
      <c r="X145" s="34"/>
      <c r="Y145" s="136"/>
      <c r="Z145" s="457"/>
      <c r="AA145" s="249"/>
      <c r="AB145" s="184"/>
      <c r="AC145" s="158"/>
      <c r="AD145" s="42"/>
      <c r="AE145" s="39"/>
      <c r="AF145" s="42"/>
      <c r="AG145" s="40" t="str">
        <f t="shared" si="78"/>
        <v xml:space="preserve"> hrs @ </v>
      </c>
      <c r="AH145" s="35"/>
      <c r="AI145" s="136"/>
      <c r="AJ145" s="706">
        <f t="shared" si="75"/>
        <v>0</v>
      </c>
      <c r="AK145" s="34"/>
    </row>
    <row r="146" spans="1:37" ht="21" x14ac:dyDescent="0.35">
      <c r="A146" s="299" t="s">
        <v>6</v>
      </c>
      <c r="B146" s="218" t="str">
        <f t="shared" si="74"/>
        <v>RMC</v>
      </c>
      <c r="C146" s="5" t="s">
        <v>48</v>
      </c>
      <c r="D146" s="10"/>
      <c r="E146" s="116"/>
      <c r="F146" s="116"/>
      <c r="G146" s="116"/>
      <c r="H146" s="179"/>
      <c r="I146" s="173"/>
      <c r="J146" s="174"/>
      <c r="K146" s="175"/>
      <c r="L146" s="181">
        <v>7.0000000000000007E-2</v>
      </c>
      <c r="M146" s="176" t="str">
        <f t="shared" si="76"/>
        <v xml:space="preserve"> hrs @ </v>
      </c>
      <c r="N146" s="35"/>
      <c r="O146" s="136">
        <v>0</v>
      </c>
      <c r="P146" s="457"/>
      <c r="Q146" s="251"/>
      <c r="R146" s="179"/>
      <c r="S146" s="173"/>
      <c r="T146" s="174"/>
      <c r="U146" s="175"/>
      <c r="V146" s="181">
        <v>7.0000000000000007E-2</v>
      </c>
      <c r="W146" s="176" t="str">
        <f t="shared" si="77"/>
        <v xml:space="preserve"> hrs @ </v>
      </c>
      <c r="X146" s="34"/>
      <c r="Y146" s="136"/>
      <c r="Z146" s="457"/>
      <c r="AA146" s="251"/>
      <c r="AB146" s="179"/>
      <c r="AC146" s="173"/>
      <c r="AD146" s="174"/>
      <c r="AE146" s="175"/>
      <c r="AF146" s="181"/>
      <c r="AG146" s="176" t="str">
        <f t="shared" si="78"/>
        <v xml:space="preserve"> hrs @ </v>
      </c>
      <c r="AH146" s="35"/>
      <c r="AI146" s="136"/>
      <c r="AJ146" s="706">
        <f t="shared" si="75"/>
        <v>0</v>
      </c>
      <c r="AK146" s="34"/>
    </row>
    <row r="147" spans="1:37" ht="21" x14ac:dyDescent="0.35">
      <c r="A147" s="299" t="s">
        <v>6</v>
      </c>
      <c r="B147" s="218" t="str">
        <f t="shared" si="74"/>
        <v>RMCTotal Wages</v>
      </c>
      <c r="C147" s="5" t="s">
        <v>48</v>
      </c>
      <c r="D147" s="10"/>
      <c r="E147" s="116"/>
      <c r="F147" s="116"/>
      <c r="G147" s="116"/>
      <c r="H147" s="38" t="s">
        <v>32</v>
      </c>
      <c r="I147" s="158">
        <f>SUM(I143:I146)</f>
        <v>145008</v>
      </c>
      <c r="J147" s="42"/>
      <c r="K147" s="39"/>
      <c r="L147" s="39"/>
      <c r="M147" s="40"/>
      <c r="N147" s="35"/>
      <c r="O147" s="136"/>
      <c r="P147" s="457"/>
      <c r="Q147" s="249"/>
      <c r="R147" s="184" t="s">
        <v>32</v>
      </c>
      <c r="S147" s="158">
        <f>SUM(S143:S146)</f>
        <v>14212</v>
      </c>
      <c r="T147" s="42"/>
      <c r="U147" s="39"/>
      <c r="V147" s="39"/>
      <c r="W147" s="40"/>
      <c r="X147" s="34"/>
      <c r="Y147" s="136"/>
      <c r="Z147" s="457"/>
      <c r="AA147" s="249"/>
      <c r="AB147" s="184" t="s">
        <v>32</v>
      </c>
      <c r="AC147" s="158">
        <f>SUM(AC143:AC146)</f>
        <v>0</v>
      </c>
      <c r="AD147" s="42"/>
      <c r="AE147" s="39"/>
      <c r="AF147" s="39"/>
      <c r="AG147" s="40"/>
      <c r="AH147" s="35"/>
      <c r="AI147" s="136"/>
      <c r="AJ147" s="706">
        <f t="shared" si="75"/>
        <v>159220</v>
      </c>
      <c r="AK147" s="34"/>
    </row>
    <row r="148" spans="1:37" ht="21" x14ac:dyDescent="0.35">
      <c r="A148" s="299" t="s">
        <v>6</v>
      </c>
      <c r="B148" s="218" t="str">
        <f t="shared" si="74"/>
        <v>RMCBenefits</v>
      </c>
      <c r="C148" s="5" t="s">
        <v>48</v>
      </c>
      <c r="D148" s="10"/>
      <c r="E148" s="116"/>
      <c r="F148" s="116"/>
      <c r="G148" s="116"/>
      <c r="H148" s="38" t="s">
        <v>33</v>
      </c>
      <c r="I148" s="159">
        <f>I147*$O$2</f>
        <v>142963.3872</v>
      </c>
      <c r="J148" s="42"/>
      <c r="K148" s="39"/>
      <c r="M148" s="45" t="str">
        <f>"@ "&amp;$O$2*100&amp;" %"</f>
        <v>@ 98.59 %</v>
      </c>
      <c r="N148" s="47"/>
      <c r="O148" s="432"/>
      <c r="P148" s="460"/>
      <c r="Q148" s="249"/>
      <c r="R148" s="184" t="s">
        <v>33</v>
      </c>
      <c r="S148" s="159">
        <f>S147*$O$2</f>
        <v>14011.6108</v>
      </c>
      <c r="T148" s="42"/>
      <c r="U148" s="39"/>
      <c r="W148" s="45" t="str">
        <f>"@ "&amp;$O$2*100&amp;" %"</f>
        <v>@ 98.59 %</v>
      </c>
      <c r="X148" s="46"/>
      <c r="Y148" s="432"/>
      <c r="Z148" s="460"/>
      <c r="AA148" s="249"/>
      <c r="AB148" s="184" t="s">
        <v>33</v>
      </c>
      <c r="AC148" s="159">
        <f>AC147*$O$2</f>
        <v>0</v>
      </c>
      <c r="AD148" s="42"/>
      <c r="AE148" s="39"/>
      <c r="AG148" s="45" t="str">
        <f>"@ "&amp;$O$2*100&amp;" %"</f>
        <v>@ 98.59 %</v>
      </c>
      <c r="AH148" s="47"/>
      <c r="AI148" s="432"/>
      <c r="AJ148" s="708">
        <f t="shared" si="75"/>
        <v>156974.99799999999</v>
      </c>
      <c r="AK148" s="46"/>
    </row>
    <row r="149" spans="1:37" ht="21" x14ac:dyDescent="0.25">
      <c r="A149" s="299" t="s">
        <v>6</v>
      </c>
      <c r="B149" s="218" t="str">
        <f t="shared" si="74"/>
        <v>RMCTotal</v>
      </c>
      <c r="C149" s="125" t="s">
        <v>50</v>
      </c>
      <c r="D149" s="10"/>
      <c r="E149" s="116"/>
      <c r="F149" s="116"/>
      <c r="G149" s="116"/>
      <c r="H149" s="49" t="s">
        <v>34</v>
      </c>
      <c r="I149" s="160">
        <f>I147+I148</f>
        <v>287971.3872</v>
      </c>
      <c r="J149" s="42"/>
      <c r="K149" s="39"/>
      <c r="L149" s="50"/>
      <c r="M149" s="51"/>
      <c r="N149" s="420">
        <f>I149</f>
        <v>287971.3872</v>
      </c>
      <c r="O149" s="233">
        <f>N149/N178</f>
        <v>0.8815386780703941</v>
      </c>
      <c r="P149" s="461"/>
      <c r="Q149" s="252"/>
      <c r="R149" s="185" t="s">
        <v>34</v>
      </c>
      <c r="S149" s="160">
        <f>S147+S148</f>
        <v>28223.610800000002</v>
      </c>
      <c r="T149" s="42"/>
      <c r="U149" s="39"/>
      <c r="V149" s="50"/>
      <c r="W149" s="51"/>
      <c r="X149" s="52">
        <f>S149</f>
        <v>28223.610800000002</v>
      </c>
      <c r="Y149" s="233">
        <f>X149/X178</f>
        <v>0.88272158436937931</v>
      </c>
      <c r="Z149" s="461"/>
      <c r="AA149" s="252"/>
      <c r="AB149" s="185" t="s">
        <v>34</v>
      </c>
      <c r="AC149" s="160">
        <f>AC147+AC148</f>
        <v>0</v>
      </c>
      <c r="AD149" s="42"/>
      <c r="AE149" s="39"/>
      <c r="AF149" s="50"/>
      <c r="AG149" s="51"/>
      <c r="AH149" s="420">
        <f>AC149</f>
        <v>0</v>
      </c>
      <c r="AI149" s="233" t="e">
        <f>AH149/AH178</f>
        <v>#DIV/0!</v>
      </c>
      <c r="AJ149" s="221">
        <f t="shared" si="75"/>
        <v>316194.99800000002</v>
      </c>
      <c r="AK149" s="52"/>
    </row>
    <row r="150" spans="1:37" ht="21" x14ac:dyDescent="0.35">
      <c r="A150" s="299" t="s">
        <v>6</v>
      </c>
      <c r="B150" s="218" t="str">
        <f t="shared" si="74"/>
        <v>RMC</v>
      </c>
      <c r="C150" s="5" t="s">
        <v>48</v>
      </c>
      <c r="D150" s="10"/>
      <c r="E150" s="116"/>
      <c r="F150" s="116"/>
      <c r="G150" s="116"/>
      <c r="H150" s="54"/>
      <c r="I150" s="166"/>
      <c r="J150" s="69"/>
      <c r="K150" s="69"/>
      <c r="L150" s="69"/>
      <c r="M150" s="70"/>
      <c r="N150" s="58"/>
      <c r="O150" s="231"/>
      <c r="P150" s="458"/>
      <c r="Q150" s="253"/>
      <c r="R150" s="179"/>
      <c r="S150" s="166"/>
      <c r="T150" s="69"/>
      <c r="U150" s="69"/>
      <c r="V150" s="69"/>
      <c r="W150" s="70"/>
      <c r="X150" s="57"/>
      <c r="Y150" s="231"/>
      <c r="Z150" s="458"/>
      <c r="AA150" s="253"/>
      <c r="AB150" s="179"/>
      <c r="AC150" s="166"/>
      <c r="AD150" s="69"/>
      <c r="AE150" s="69"/>
      <c r="AF150" s="69"/>
      <c r="AG150" s="70"/>
      <c r="AH150" s="58"/>
      <c r="AI150" s="231"/>
      <c r="AJ150" s="707"/>
      <c r="AK150" s="57"/>
    </row>
    <row r="151" spans="1:37" ht="21" x14ac:dyDescent="0.35">
      <c r="A151" s="299" t="s">
        <v>6</v>
      </c>
      <c r="B151" s="218" t="str">
        <f t="shared" si="74"/>
        <v>RMCLABOR: SUPERVISORY</v>
      </c>
      <c r="C151" s="124" t="s">
        <v>50</v>
      </c>
      <c r="D151" s="10"/>
      <c r="E151" s="116"/>
      <c r="F151" s="116"/>
      <c r="G151" s="116"/>
      <c r="H151" s="61" t="s">
        <v>35</v>
      </c>
      <c r="I151" s="167"/>
      <c r="J151" s="74"/>
      <c r="K151" s="74"/>
      <c r="L151" s="74"/>
      <c r="M151" s="66"/>
      <c r="N151" s="26"/>
      <c r="O151" s="234"/>
      <c r="P151" s="462"/>
      <c r="Q151" s="252"/>
      <c r="R151" s="186" t="s">
        <v>35</v>
      </c>
      <c r="S151" s="167"/>
      <c r="T151" s="74"/>
      <c r="U151" s="74"/>
      <c r="V151" s="74"/>
      <c r="W151" s="66"/>
      <c r="X151" s="64"/>
      <c r="Y151" s="234"/>
      <c r="Z151" s="462"/>
      <c r="AA151" s="252"/>
      <c r="AB151" s="186" t="s">
        <v>35</v>
      </c>
      <c r="AC151" s="167"/>
      <c r="AD151" s="74"/>
      <c r="AE151" s="74"/>
      <c r="AF151" s="74"/>
      <c r="AG151" s="66"/>
      <c r="AH151" s="26"/>
      <c r="AI151" s="234"/>
      <c r="AJ151" s="706"/>
      <c r="AK151" s="64"/>
    </row>
    <row r="152" spans="1:37" ht="21" x14ac:dyDescent="0.35">
      <c r="A152" s="299" t="s">
        <v>6</v>
      </c>
      <c r="B152" s="218" t="str">
        <f t="shared" si="74"/>
        <v>RMCResource Mgmt Supv</v>
      </c>
      <c r="C152" s="5" t="s">
        <v>48</v>
      </c>
      <c r="D152" s="10"/>
      <c r="E152" s="116"/>
      <c r="F152" s="116"/>
      <c r="G152" s="116"/>
      <c r="H152" s="184" t="s">
        <v>311</v>
      </c>
      <c r="I152" s="163">
        <f>J152*K152</f>
        <v>12521.6</v>
      </c>
      <c r="J152" s="42">
        <f>ROUND(330*(I$6/($I$6+$S$6)),0)</f>
        <v>301</v>
      </c>
      <c r="K152" s="39">
        <v>41.6</v>
      </c>
      <c r="L152" s="43"/>
      <c r="M152" s="40" t="str">
        <f t="shared" ref="M152" si="79">J152&amp;" hrs @ "&amp;K152</f>
        <v>301 hrs @ 41.6</v>
      </c>
      <c r="N152" s="26"/>
      <c r="O152" s="234"/>
      <c r="P152" s="462"/>
      <c r="Q152" s="249"/>
      <c r="R152" s="184" t="s">
        <v>311</v>
      </c>
      <c r="S152" s="163">
        <f>T152*U152</f>
        <v>1206.4000000000001</v>
      </c>
      <c r="T152" s="42">
        <f>ROUND(330*(S$6/($I$6+$S$6)),0)</f>
        <v>29</v>
      </c>
      <c r="U152" s="39">
        <v>41.6</v>
      </c>
      <c r="V152" s="43"/>
      <c r="W152" s="40" t="str">
        <f t="shared" ref="W152" si="80">T152&amp;" hrs @ "&amp;U152</f>
        <v>29 hrs @ 41.6</v>
      </c>
      <c r="X152" s="64"/>
      <c r="Y152" s="234"/>
      <c r="Z152" s="462"/>
      <c r="AA152" s="249"/>
      <c r="AB152" s="184" t="s">
        <v>311</v>
      </c>
      <c r="AC152" s="163">
        <f>AD152*AE152</f>
        <v>0</v>
      </c>
      <c r="AD152" s="42"/>
      <c r="AE152" s="39">
        <v>41.6</v>
      </c>
      <c r="AF152" s="43"/>
      <c r="AG152" s="40" t="str">
        <f t="shared" ref="AG152" si="81">AD152&amp;" hrs @ "&amp;AE152</f>
        <v xml:space="preserve"> hrs @ 41.6</v>
      </c>
      <c r="AH152" s="26"/>
      <c r="AI152" s="234"/>
      <c r="AJ152" s="706">
        <f t="shared" ref="AJ152:AJ154" si="82">I152+S152+AC152</f>
        <v>13728</v>
      </c>
      <c r="AK152" s="64"/>
    </row>
    <row r="153" spans="1:37" ht="21" x14ac:dyDescent="0.35">
      <c r="A153" s="299" t="s">
        <v>6</v>
      </c>
      <c r="B153" s="218" t="str">
        <f t="shared" si="74"/>
        <v>RMCBenefits</v>
      </c>
      <c r="C153" s="5" t="s">
        <v>48</v>
      </c>
      <c r="D153" s="10"/>
      <c r="E153" s="116"/>
      <c r="F153" s="116"/>
      <c r="G153" s="116"/>
      <c r="H153" s="38" t="s">
        <v>33</v>
      </c>
      <c r="I153" s="159">
        <f>I152*$O$2</f>
        <v>12345.04544</v>
      </c>
      <c r="J153" s="42"/>
      <c r="K153" s="39"/>
      <c r="L153" s="156"/>
      <c r="M153" s="45" t="str">
        <f>"@ "&amp;$O$2*100&amp;" %"</f>
        <v>@ 98.59 %</v>
      </c>
      <c r="N153" s="26"/>
      <c r="O153" s="234"/>
      <c r="P153" s="462"/>
      <c r="Q153" s="249"/>
      <c r="R153" s="184" t="s">
        <v>33</v>
      </c>
      <c r="S153" s="159">
        <f>S152*$O$2</f>
        <v>1189.38976</v>
      </c>
      <c r="T153" s="42"/>
      <c r="U153" s="39"/>
      <c r="V153" s="156"/>
      <c r="W153" s="45" t="str">
        <f>"@ "&amp;$O$2*100&amp;" %"</f>
        <v>@ 98.59 %</v>
      </c>
      <c r="X153" s="64"/>
      <c r="Y153" s="234"/>
      <c r="Z153" s="462"/>
      <c r="AA153" s="249"/>
      <c r="AB153" s="184" t="s">
        <v>33</v>
      </c>
      <c r="AC153" s="159">
        <f>AC152*$O$2</f>
        <v>0</v>
      </c>
      <c r="AD153" s="42"/>
      <c r="AE153" s="39"/>
      <c r="AF153" s="156"/>
      <c r="AG153" s="45" t="str">
        <f>"@ "&amp;$O$2*100&amp;" %"</f>
        <v>@ 98.59 %</v>
      </c>
      <c r="AH153" s="26"/>
      <c r="AI153" s="234"/>
      <c r="AJ153" s="706">
        <f t="shared" si="82"/>
        <v>13534.4352</v>
      </c>
      <c r="AK153" s="64"/>
    </row>
    <row r="154" spans="1:37" ht="21" x14ac:dyDescent="0.35">
      <c r="A154" s="299" t="s">
        <v>6</v>
      </c>
      <c r="B154" s="218" t="str">
        <f t="shared" si="74"/>
        <v>RMCTotal</v>
      </c>
      <c r="C154" s="124" t="s">
        <v>50</v>
      </c>
      <c r="D154" s="10"/>
      <c r="E154" s="116"/>
      <c r="F154" s="116"/>
      <c r="G154" s="116"/>
      <c r="H154" s="49" t="s">
        <v>34</v>
      </c>
      <c r="I154" s="165">
        <f>I153+I152</f>
        <v>24866.64544</v>
      </c>
      <c r="J154" s="68"/>
      <c r="K154" s="68"/>
      <c r="L154" s="68"/>
      <c r="M154" s="63"/>
      <c r="N154" s="420">
        <f>I154</f>
        <v>24866.64544</v>
      </c>
      <c r="O154" s="233">
        <f>N154/N178</f>
        <v>7.6121832666654579E-2</v>
      </c>
      <c r="P154" s="462"/>
      <c r="Q154" s="249"/>
      <c r="R154" s="185" t="s">
        <v>34</v>
      </c>
      <c r="S154" s="165">
        <f>S153+S152</f>
        <v>2395.7897600000001</v>
      </c>
      <c r="T154" s="68"/>
      <c r="U154" s="68"/>
      <c r="V154" s="68"/>
      <c r="W154" s="63"/>
      <c r="X154" s="52">
        <f>S154</f>
        <v>2395.7897600000001</v>
      </c>
      <c r="Y154" s="233">
        <f>X154/X178</f>
        <v>7.4930714845427751E-2</v>
      </c>
      <c r="Z154" s="462"/>
      <c r="AA154" s="249"/>
      <c r="AB154" s="185" t="s">
        <v>34</v>
      </c>
      <c r="AC154" s="165">
        <f>AC153+AC152</f>
        <v>0</v>
      </c>
      <c r="AD154" s="68"/>
      <c r="AE154" s="68"/>
      <c r="AF154" s="68"/>
      <c r="AG154" s="63"/>
      <c r="AH154" s="420">
        <f>AC154</f>
        <v>0</v>
      </c>
      <c r="AI154" s="233" t="e">
        <f>AH154/AH178</f>
        <v>#DIV/0!</v>
      </c>
      <c r="AJ154" s="221">
        <f t="shared" si="82"/>
        <v>27262.4352</v>
      </c>
      <c r="AK154" s="52"/>
    </row>
    <row r="155" spans="1:37" ht="21" x14ac:dyDescent="0.35">
      <c r="A155" s="299" t="s">
        <v>6</v>
      </c>
      <c r="B155" s="218" t="str">
        <f t="shared" si="74"/>
        <v>RMC</v>
      </c>
      <c r="C155" s="5" t="s">
        <v>48</v>
      </c>
      <c r="D155" s="10"/>
      <c r="E155" s="116"/>
      <c r="F155" s="116"/>
      <c r="G155" s="116"/>
      <c r="H155" s="54"/>
      <c r="I155" s="166"/>
      <c r="J155" s="69"/>
      <c r="K155" s="69"/>
      <c r="L155" s="69"/>
      <c r="M155" s="70"/>
      <c r="N155" s="72"/>
      <c r="O155" s="235"/>
      <c r="P155" s="463"/>
      <c r="Q155" s="253"/>
      <c r="R155" s="179"/>
      <c r="S155" s="166"/>
      <c r="T155" s="69"/>
      <c r="U155" s="69"/>
      <c r="V155" s="69"/>
      <c r="W155" s="70"/>
      <c r="X155" s="71"/>
      <c r="Y155" s="235"/>
      <c r="Z155" s="463"/>
      <c r="AA155" s="253"/>
      <c r="AB155" s="179"/>
      <c r="AC155" s="166"/>
      <c r="AD155" s="69"/>
      <c r="AE155" s="69"/>
      <c r="AF155" s="69"/>
      <c r="AG155" s="70"/>
      <c r="AH155" s="72"/>
      <c r="AI155" s="235"/>
      <c r="AJ155" s="707"/>
      <c r="AK155" s="71"/>
    </row>
    <row r="156" spans="1:37" ht="21" x14ac:dyDescent="0.35">
      <c r="A156" s="299" t="s">
        <v>6</v>
      </c>
      <c r="B156" s="218" t="str">
        <f t="shared" si="74"/>
        <v>RMCEQUIPMENT</v>
      </c>
      <c r="C156" s="124" t="s">
        <v>50</v>
      </c>
      <c r="D156" s="10"/>
      <c r="E156" s="116"/>
      <c r="F156" s="116"/>
      <c r="G156" s="116"/>
      <c r="H156" s="61" t="s">
        <v>36</v>
      </c>
      <c r="I156" s="167"/>
      <c r="J156" s="74"/>
      <c r="K156" s="74"/>
      <c r="L156" s="74"/>
      <c r="M156" s="66"/>
      <c r="N156" s="76"/>
      <c r="O156" s="237"/>
      <c r="P156" s="462"/>
      <c r="Q156" s="252"/>
      <c r="R156" s="186" t="s">
        <v>36</v>
      </c>
      <c r="S156" s="167"/>
      <c r="T156" s="74"/>
      <c r="U156" s="74"/>
      <c r="V156" s="74"/>
      <c r="W156" s="66"/>
      <c r="X156" s="75"/>
      <c r="Y156" s="237"/>
      <c r="Z156" s="462"/>
      <c r="AA156" s="252"/>
      <c r="AB156" s="186" t="s">
        <v>36</v>
      </c>
      <c r="AC156" s="167"/>
      <c r="AD156" s="74"/>
      <c r="AE156" s="74"/>
      <c r="AF156" s="74"/>
      <c r="AG156" s="66"/>
      <c r="AH156" s="76"/>
      <c r="AI156" s="237"/>
      <c r="AJ156" s="221"/>
      <c r="AK156" s="75"/>
    </row>
    <row r="157" spans="1:37" ht="21" x14ac:dyDescent="0.35">
      <c r="A157" s="299" t="s">
        <v>6</v>
      </c>
      <c r="B157" s="218" t="str">
        <f t="shared" si="74"/>
        <v>RMC</v>
      </c>
      <c r="C157" s="5" t="s">
        <v>48</v>
      </c>
      <c r="D157" s="10"/>
      <c r="E157" s="116"/>
      <c r="F157" s="116"/>
      <c r="G157" s="116"/>
      <c r="H157" s="77"/>
      <c r="I157" s="163"/>
      <c r="J157" s="42"/>
      <c r="K157" s="39"/>
      <c r="L157" s="39"/>
      <c r="M157" s="40" t="str">
        <f>J157&amp;" hrs @ "&amp;K157</f>
        <v xml:space="preserve"> hrs @ </v>
      </c>
      <c r="N157" s="76"/>
      <c r="O157" s="237"/>
      <c r="P157" s="462"/>
      <c r="Q157" s="252"/>
      <c r="R157" s="187"/>
      <c r="S157" s="163"/>
      <c r="T157" s="42"/>
      <c r="U157" s="39"/>
      <c r="V157" s="39"/>
      <c r="W157" s="40" t="str">
        <f>T157&amp;" hrs @ "&amp;U157</f>
        <v xml:space="preserve"> hrs @ </v>
      </c>
      <c r="X157" s="75"/>
      <c r="Y157" s="237"/>
      <c r="Z157" s="462"/>
      <c r="AA157" s="252"/>
      <c r="AB157" s="187"/>
      <c r="AC157" s="163"/>
      <c r="AD157" s="42"/>
      <c r="AE157" s="39"/>
      <c r="AF157" s="39"/>
      <c r="AG157" s="40" t="str">
        <f>AD157&amp;" hrs @ "&amp;AE157</f>
        <v xml:space="preserve"> hrs @ </v>
      </c>
      <c r="AH157" s="76"/>
      <c r="AI157" s="237"/>
      <c r="AJ157" s="221">
        <f t="shared" ref="AJ157:AJ161" si="83">I157+S157+AC157</f>
        <v>0</v>
      </c>
      <c r="AK157" s="75"/>
    </row>
    <row r="158" spans="1:37" ht="21" x14ac:dyDescent="0.35">
      <c r="A158" s="299" t="s">
        <v>6</v>
      </c>
      <c r="B158" s="218" t="str">
        <f t="shared" si="74"/>
        <v>RMC</v>
      </c>
      <c r="C158" s="5" t="s">
        <v>48</v>
      </c>
      <c r="D158" s="10"/>
      <c r="E158" s="116"/>
      <c r="F158" s="116"/>
      <c r="G158" s="116"/>
      <c r="H158" s="77"/>
      <c r="I158" s="163"/>
      <c r="J158" s="42"/>
      <c r="K158" s="39"/>
      <c r="L158" s="39"/>
      <c r="M158" s="40" t="str">
        <f t="shared" ref="M158:M160" si="84">J158&amp;" hrs @ "&amp;K158</f>
        <v xml:space="preserve"> hrs @ </v>
      </c>
      <c r="N158" s="79"/>
      <c r="O158" s="238"/>
      <c r="P158" s="464"/>
      <c r="Q158" s="254"/>
      <c r="R158" s="187"/>
      <c r="S158" s="163"/>
      <c r="T158" s="42"/>
      <c r="U158" s="39"/>
      <c r="V158" s="39"/>
      <c r="W158" s="40" t="str">
        <f t="shared" ref="W158:W160" si="85">T158&amp;" hrs @ "&amp;U158</f>
        <v xml:space="preserve"> hrs @ </v>
      </c>
      <c r="X158" s="78"/>
      <c r="Y158" s="238"/>
      <c r="Z158" s="464"/>
      <c r="AA158" s="254"/>
      <c r="AB158" s="187"/>
      <c r="AC158" s="163"/>
      <c r="AD158" s="42"/>
      <c r="AE158" s="39"/>
      <c r="AF158" s="39"/>
      <c r="AG158" s="40" t="str">
        <f t="shared" ref="AG158:AG160" si="86">AD158&amp;" hrs @ "&amp;AE158</f>
        <v xml:space="preserve"> hrs @ </v>
      </c>
      <c r="AH158" s="79"/>
      <c r="AI158" s="238"/>
      <c r="AJ158" s="709">
        <f t="shared" si="83"/>
        <v>0</v>
      </c>
      <c r="AK158" s="78"/>
    </row>
    <row r="159" spans="1:37" ht="21" x14ac:dyDescent="0.35">
      <c r="A159" s="299" t="s">
        <v>6</v>
      </c>
      <c r="B159" s="218" t="str">
        <f t="shared" si="74"/>
        <v>RMC</v>
      </c>
      <c r="C159" s="5" t="s">
        <v>48</v>
      </c>
      <c r="D159" s="10"/>
      <c r="E159" s="116"/>
      <c r="F159" s="116"/>
      <c r="G159" s="116"/>
      <c r="H159" s="77"/>
      <c r="I159" s="168"/>
      <c r="J159" s="42"/>
      <c r="K159" s="39"/>
      <c r="L159" s="42"/>
      <c r="M159" s="40" t="str">
        <f t="shared" si="84"/>
        <v xml:space="preserve"> hrs @ </v>
      </c>
      <c r="N159" s="79"/>
      <c r="O159" s="238"/>
      <c r="P159" s="464"/>
      <c r="Q159" s="254"/>
      <c r="R159" s="187"/>
      <c r="S159" s="168"/>
      <c r="T159" s="42"/>
      <c r="U159" s="39"/>
      <c r="V159" s="42"/>
      <c r="W159" s="40" t="str">
        <f t="shared" si="85"/>
        <v xml:space="preserve"> hrs @ </v>
      </c>
      <c r="X159" s="78"/>
      <c r="Y159" s="238"/>
      <c r="Z159" s="464"/>
      <c r="AA159" s="254"/>
      <c r="AB159" s="187"/>
      <c r="AC159" s="168"/>
      <c r="AD159" s="42"/>
      <c r="AE159" s="39"/>
      <c r="AF159" s="42"/>
      <c r="AG159" s="40" t="str">
        <f t="shared" si="86"/>
        <v xml:space="preserve"> hrs @ </v>
      </c>
      <c r="AH159" s="79"/>
      <c r="AI159" s="238"/>
      <c r="AJ159" s="709">
        <f t="shared" si="83"/>
        <v>0</v>
      </c>
      <c r="AK159" s="78"/>
    </row>
    <row r="160" spans="1:37" ht="21" x14ac:dyDescent="0.35">
      <c r="A160" s="299" t="s">
        <v>6</v>
      </c>
      <c r="B160" s="218" t="str">
        <f t="shared" si="74"/>
        <v>RMC</v>
      </c>
      <c r="C160" s="5" t="s">
        <v>48</v>
      </c>
      <c r="D160" s="10"/>
      <c r="E160" s="116"/>
      <c r="F160" s="116"/>
      <c r="G160" s="116"/>
      <c r="H160" s="77"/>
      <c r="I160" s="164"/>
      <c r="J160" s="42"/>
      <c r="K160" s="39"/>
      <c r="L160" s="43"/>
      <c r="M160" s="40" t="str">
        <f t="shared" si="84"/>
        <v xml:space="preserve"> hrs @ </v>
      </c>
      <c r="N160" s="79"/>
      <c r="O160" s="238"/>
      <c r="P160" s="464"/>
      <c r="Q160" s="254"/>
      <c r="R160" s="187"/>
      <c r="S160" s="164"/>
      <c r="T160" s="42"/>
      <c r="U160" s="39"/>
      <c r="V160" s="43"/>
      <c r="W160" s="40" t="str">
        <f t="shared" si="85"/>
        <v xml:space="preserve"> hrs @ </v>
      </c>
      <c r="X160" s="78"/>
      <c r="Y160" s="238"/>
      <c r="Z160" s="464"/>
      <c r="AA160" s="254"/>
      <c r="AB160" s="187"/>
      <c r="AC160" s="164"/>
      <c r="AD160" s="42"/>
      <c r="AE160" s="39"/>
      <c r="AF160" s="43"/>
      <c r="AG160" s="40" t="str">
        <f t="shared" si="86"/>
        <v xml:space="preserve"> hrs @ </v>
      </c>
      <c r="AH160" s="79"/>
      <c r="AI160" s="238"/>
      <c r="AJ160" s="709">
        <f t="shared" si="83"/>
        <v>0</v>
      </c>
      <c r="AK160" s="78"/>
    </row>
    <row r="161" spans="1:37" ht="21" x14ac:dyDescent="0.35">
      <c r="A161" s="299" t="s">
        <v>6</v>
      </c>
      <c r="B161" s="218" t="str">
        <f t="shared" si="74"/>
        <v>RMCTotal Equipment</v>
      </c>
      <c r="C161" s="124" t="s">
        <v>50</v>
      </c>
      <c r="D161" s="10"/>
      <c r="E161" s="116">
        <f>I161</f>
        <v>0</v>
      </c>
      <c r="F161" s="116">
        <f>S161</f>
        <v>0</v>
      </c>
      <c r="G161" s="116">
        <f>AC161</f>
        <v>0</v>
      </c>
      <c r="H161" s="83" t="s">
        <v>37</v>
      </c>
      <c r="I161" s="165">
        <f>SUM(I157:I160)</f>
        <v>0</v>
      </c>
      <c r="J161" s="68"/>
      <c r="K161" s="68"/>
      <c r="L161" s="68"/>
      <c r="M161" s="66"/>
      <c r="N161" s="420">
        <f>I161</f>
        <v>0</v>
      </c>
      <c r="O161" s="233">
        <f>N161/N178</f>
        <v>0</v>
      </c>
      <c r="P161" s="464"/>
      <c r="Q161" s="254"/>
      <c r="R161" s="188" t="s">
        <v>37</v>
      </c>
      <c r="S161" s="165">
        <f>SUM(S157:S160)</f>
        <v>0</v>
      </c>
      <c r="T161" s="68"/>
      <c r="U161" s="68"/>
      <c r="V161" s="68"/>
      <c r="W161" s="66"/>
      <c r="X161" s="52">
        <f>S161</f>
        <v>0</v>
      </c>
      <c r="Y161" s="233">
        <f>X161/X178</f>
        <v>0</v>
      </c>
      <c r="Z161" s="464"/>
      <c r="AA161" s="254"/>
      <c r="AB161" s="188" t="s">
        <v>37</v>
      </c>
      <c r="AC161" s="165">
        <f>SUM(AC157:AC160)</f>
        <v>0</v>
      </c>
      <c r="AD161" s="68"/>
      <c r="AE161" s="68"/>
      <c r="AF161" s="68"/>
      <c r="AG161" s="66"/>
      <c r="AH161" s="420">
        <f>AC161</f>
        <v>0</v>
      </c>
      <c r="AI161" s="233" t="e">
        <f>AH161/AH178</f>
        <v>#DIV/0!</v>
      </c>
      <c r="AJ161" s="221">
        <f t="shared" si="83"/>
        <v>0</v>
      </c>
      <c r="AK161" s="52"/>
    </row>
    <row r="162" spans="1:37" ht="21" x14ac:dyDescent="0.35">
      <c r="A162" s="299" t="s">
        <v>6</v>
      </c>
      <c r="B162" s="218" t="str">
        <f t="shared" si="74"/>
        <v>RMC</v>
      </c>
      <c r="C162" s="5" t="s">
        <v>48</v>
      </c>
      <c r="D162" s="10"/>
      <c r="E162" s="116"/>
      <c r="F162" s="116"/>
      <c r="G162" s="116"/>
      <c r="H162" s="84"/>
      <c r="I162" s="166"/>
      <c r="J162" s="69"/>
      <c r="K162" s="69"/>
      <c r="L162" s="69"/>
      <c r="M162" s="70"/>
      <c r="N162" s="88"/>
      <c r="O162" s="241"/>
      <c r="P162" s="465"/>
      <c r="Q162" s="253"/>
      <c r="R162" s="189"/>
      <c r="S162" s="166"/>
      <c r="T162" s="69"/>
      <c r="U162" s="69"/>
      <c r="V162" s="69"/>
      <c r="W162" s="70"/>
      <c r="X162" s="87"/>
      <c r="Y162" s="241"/>
      <c r="Z162" s="465"/>
      <c r="AA162" s="253"/>
      <c r="AB162" s="189"/>
      <c r="AC162" s="166"/>
      <c r="AD162" s="69"/>
      <c r="AE162" s="69"/>
      <c r="AF162" s="69"/>
      <c r="AG162" s="70"/>
      <c r="AH162" s="88"/>
      <c r="AI162" s="241"/>
      <c r="AJ162" s="710"/>
      <c r="AK162" s="87"/>
    </row>
    <row r="163" spans="1:37" ht="21" x14ac:dyDescent="0.35">
      <c r="A163" s="299" t="s">
        <v>6</v>
      </c>
      <c r="B163" s="218" t="str">
        <f t="shared" si="74"/>
        <v>RMCIS SUPPORT</v>
      </c>
      <c r="C163" s="124" t="s">
        <v>50</v>
      </c>
      <c r="D163" s="10"/>
      <c r="E163" s="116"/>
      <c r="F163" s="116"/>
      <c r="G163" s="116"/>
      <c r="H163" s="61" t="s">
        <v>38</v>
      </c>
      <c r="I163" s="167"/>
      <c r="J163" s="74"/>
      <c r="K163" s="74"/>
      <c r="L163" s="74"/>
      <c r="M163" s="66"/>
      <c r="N163" s="91"/>
      <c r="O163" s="227"/>
      <c r="P163" s="466"/>
      <c r="Q163" s="252"/>
      <c r="R163" s="186" t="s">
        <v>38</v>
      </c>
      <c r="S163" s="167"/>
      <c r="T163" s="74"/>
      <c r="U163" s="74"/>
      <c r="V163" s="74"/>
      <c r="W163" s="66"/>
      <c r="X163" s="90"/>
      <c r="Y163" s="227"/>
      <c r="Z163" s="466"/>
      <c r="AA163" s="252"/>
      <c r="AB163" s="186" t="s">
        <v>38</v>
      </c>
      <c r="AC163" s="167"/>
      <c r="AD163" s="74"/>
      <c r="AE163" s="74"/>
      <c r="AF163" s="74"/>
      <c r="AG163" s="66"/>
      <c r="AH163" s="91"/>
      <c r="AI163" s="227"/>
      <c r="AJ163" s="711"/>
      <c r="AK163" s="90"/>
    </row>
    <row r="164" spans="1:37" ht="21" x14ac:dyDescent="0.35">
      <c r="A164" s="299" t="s">
        <v>6</v>
      </c>
      <c r="B164" s="218" t="str">
        <f t="shared" si="74"/>
        <v>RMC</v>
      </c>
      <c r="C164" s="5" t="s">
        <v>48</v>
      </c>
      <c r="D164" s="10"/>
      <c r="E164" s="116"/>
      <c r="F164" s="116"/>
      <c r="G164" s="116"/>
      <c r="H164" s="38"/>
      <c r="I164" s="162"/>
      <c r="J164" s="42"/>
      <c r="K164" s="39"/>
      <c r="L164" s="39"/>
      <c r="M164" s="40" t="str">
        <f>J164&amp;" hrs @ "&amp;K164</f>
        <v xml:space="preserve"> hrs @ </v>
      </c>
      <c r="N164" s="94"/>
      <c r="O164" s="242"/>
      <c r="P164" s="466"/>
      <c r="Q164" s="252"/>
      <c r="R164" s="184"/>
      <c r="S164" s="162"/>
      <c r="T164" s="42"/>
      <c r="U164" s="39"/>
      <c r="V164" s="39"/>
      <c r="W164" s="40" t="str">
        <f>T164&amp;" hrs @ "&amp;U164</f>
        <v xml:space="preserve"> hrs @ </v>
      </c>
      <c r="X164" s="93"/>
      <c r="Y164" s="242"/>
      <c r="Z164" s="466"/>
      <c r="AA164" s="252"/>
      <c r="AB164" s="184"/>
      <c r="AC164" s="162"/>
      <c r="AD164" s="42"/>
      <c r="AE164" s="39"/>
      <c r="AF164" s="39"/>
      <c r="AG164" s="40" t="str">
        <f>AD164&amp;" hrs @ "&amp;AE164</f>
        <v xml:space="preserve"> hrs @ </v>
      </c>
      <c r="AH164" s="94"/>
      <c r="AI164" s="242"/>
      <c r="AJ164" s="712">
        <f t="shared" ref="AJ164:AJ166" si="87">I164+S164+AC164</f>
        <v>0</v>
      </c>
      <c r="AK164" s="93"/>
    </row>
    <row r="165" spans="1:37" ht="21" x14ac:dyDescent="0.35">
      <c r="A165" s="299" t="s">
        <v>6</v>
      </c>
      <c r="B165" s="218" t="str">
        <f t="shared" si="74"/>
        <v>RMCAnalyst Benefits</v>
      </c>
      <c r="C165" s="5" t="s">
        <v>48</v>
      </c>
      <c r="D165" s="10"/>
      <c r="E165" s="116"/>
      <c r="F165" s="116"/>
      <c r="G165" s="116"/>
      <c r="H165" s="38" t="s">
        <v>40</v>
      </c>
      <c r="I165" s="159">
        <f>I164*$O$2</f>
        <v>0</v>
      </c>
      <c r="J165" s="42"/>
      <c r="K165" s="39"/>
      <c r="L165" s="156"/>
      <c r="M165" s="45" t="str">
        <f>"@ "&amp;$O$2*100&amp;" %"</f>
        <v>@ 98.59 %</v>
      </c>
      <c r="N165" s="94"/>
      <c r="O165" s="242"/>
      <c r="P165" s="466"/>
      <c r="Q165" s="252"/>
      <c r="R165" s="184" t="s">
        <v>40</v>
      </c>
      <c r="S165" s="159">
        <f>S164*$O$2</f>
        <v>0</v>
      </c>
      <c r="T165" s="42"/>
      <c r="U165" s="39"/>
      <c r="V165" s="156"/>
      <c r="W165" s="45" t="str">
        <f>"@ "&amp;$O$2*100&amp;" %"</f>
        <v>@ 98.59 %</v>
      </c>
      <c r="X165" s="93"/>
      <c r="Y165" s="242"/>
      <c r="Z165" s="466"/>
      <c r="AA165" s="252"/>
      <c r="AB165" s="184" t="s">
        <v>40</v>
      </c>
      <c r="AC165" s="159">
        <f>AC164*$O$2</f>
        <v>0</v>
      </c>
      <c r="AD165" s="42"/>
      <c r="AE165" s="39"/>
      <c r="AF165" s="156"/>
      <c r="AG165" s="45" t="str">
        <f>"@ "&amp;$O$2*100&amp;" %"</f>
        <v>@ 98.59 %</v>
      </c>
      <c r="AH165" s="94"/>
      <c r="AI165" s="242"/>
      <c r="AJ165" s="712">
        <f t="shared" si="87"/>
        <v>0</v>
      </c>
      <c r="AK165" s="93"/>
    </row>
    <row r="166" spans="1:37" ht="21" x14ac:dyDescent="0.35">
      <c r="A166" s="299" t="s">
        <v>6</v>
      </c>
      <c r="B166" s="218" t="str">
        <f t="shared" si="74"/>
        <v>RMCTotal IS</v>
      </c>
      <c r="C166" s="124" t="s">
        <v>50</v>
      </c>
      <c r="D166" s="10"/>
      <c r="E166" s="116">
        <f>I166</f>
        <v>0</v>
      </c>
      <c r="F166" s="116">
        <f>S166</f>
        <v>0</v>
      </c>
      <c r="G166" s="116">
        <f>AC166</f>
        <v>0</v>
      </c>
      <c r="H166" s="49" t="s">
        <v>41</v>
      </c>
      <c r="I166" s="165">
        <f>I164+I165</f>
        <v>0</v>
      </c>
      <c r="J166" s="68"/>
      <c r="K166" s="68"/>
      <c r="L166" s="68"/>
      <c r="M166" s="66"/>
      <c r="N166" s="420">
        <f>I166</f>
        <v>0</v>
      </c>
      <c r="O166" s="233">
        <f>N166/N178</f>
        <v>0</v>
      </c>
      <c r="P166" s="466"/>
      <c r="Q166" s="252"/>
      <c r="R166" s="185" t="s">
        <v>41</v>
      </c>
      <c r="S166" s="165">
        <f>S164+S165</f>
        <v>0</v>
      </c>
      <c r="T166" s="68"/>
      <c r="U166" s="68"/>
      <c r="V166" s="68"/>
      <c r="W166" s="66"/>
      <c r="X166" s="52">
        <f>S166</f>
        <v>0</v>
      </c>
      <c r="Y166" s="233">
        <f>X166/X178</f>
        <v>0</v>
      </c>
      <c r="Z166" s="466"/>
      <c r="AA166" s="252"/>
      <c r="AB166" s="185" t="s">
        <v>41</v>
      </c>
      <c r="AC166" s="165">
        <f>AC164+AC165</f>
        <v>0</v>
      </c>
      <c r="AD166" s="68"/>
      <c r="AE166" s="68"/>
      <c r="AF166" s="68"/>
      <c r="AG166" s="66"/>
      <c r="AH166" s="420">
        <f>AC166</f>
        <v>0</v>
      </c>
      <c r="AI166" s="233" t="e">
        <f>AH166/AH178</f>
        <v>#DIV/0!</v>
      </c>
      <c r="AJ166" s="221">
        <f t="shared" si="87"/>
        <v>0</v>
      </c>
      <c r="AK166" s="52"/>
    </row>
    <row r="167" spans="1:37" ht="21" x14ac:dyDescent="0.35">
      <c r="A167" s="299" t="s">
        <v>6</v>
      </c>
      <c r="B167" s="218" t="str">
        <f t="shared" si="74"/>
        <v>RMC</v>
      </c>
      <c r="C167" s="5" t="s">
        <v>48</v>
      </c>
      <c r="D167" s="10"/>
      <c r="E167" s="116"/>
      <c r="F167" s="116"/>
      <c r="G167" s="116"/>
      <c r="H167" s="54"/>
      <c r="I167" s="166"/>
      <c r="J167" s="69"/>
      <c r="K167" s="69"/>
      <c r="L167" s="69"/>
      <c r="M167" s="70"/>
      <c r="N167" s="98"/>
      <c r="O167" s="243"/>
      <c r="P167" s="467"/>
      <c r="Q167" s="253"/>
      <c r="R167" s="179"/>
      <c r="S167" s="166"/>
      <c r="T167" s="69"/>
      <c r="U167" s="69"/>
      <c r="V167" s="69"/>
      <c r="W167" s="70"/>
      <c r="X167" s="97"/>
      <c r="Y167" s="243"/>
      <c r="Z167" s="467"/>
      <c r="AA167" s="253"/>
      <c r="AB167" s="179"/>
      <c r="AC167" s="166"/>
      <c r="AD167" s="69"/>
      <c r="AE167" s="69"/>
      <c r="AF167" s="69"/>
      <c r="AG167" s="70"/>
      <c r="AH167" s="98"/>
      <c r="AI167" s="243"/>
      <c r="AJ167" s="713"/>
      <c r="AK167" s="97"/>
    </row>
    <row r="168" spans="1:37" ht="21" x14ac:dyDescent="0.35">
      <c r="A168" s="299" t="s">
        <v>6</v>
      </c>
      <c r="B168" s="218" t="str">
        <f t="shared" si="74"/>
        <v>RMCOTHER</v>
      </c>
      <c r="C168" s="124" t="s">
        <v>50</v>
      </c>
      <c r="D168" s="10"/>
      <c r="E168" s="116"/>
      <c r="F168" s="116"/>
      <c r="G168" s="116"/>
      <c r="H168" s="61" t="s">
        <v>42</v>
      </c>
      <c r="I168" s="167"/>
      <c r="J168" s="74"/>
      <c r="K168" s="74"/>
      <c r="L168" s="74"/>
      <c r="M168" s="66"/>
      <c r="N168" s="91"/>
      <c r="O168" s="227"/>
      <c r="P168" s="466"/>
      <c r="Q168" s="252"/>
      <c r="R168" s="186" t="s">
        <v>42</v>
      </c>
      <c r="S168" s="167"/>
      <c r="T168" s="74"/>
      <c r="U168" s="74"/>
      <c r="V168" s="74"/>
      <c r="W168" s="66"/>
      <c r="X168" s="90"/>
      <c r="Y168" s="227"/>
      <c r="Z168" s="466"/>
      <c r="AA168" s="252"/>
      <c r="AB168" s="186" t="s">
        <v>42</v>
      </c>
      <c r="AC168" s="167"/>
      <c r="AD168" s="74"/>
      <c r="AE168" s="74"/>
      <c r="AF168" s="74"/>
      <c r="AG168" s="66" t="s">
        <v>321</v>
      </c>
      <c r="AH168" s="91"/>
      <c r="AI168" s="227"/>
      <c r="AJ168" s="711"/>
      <c r="AK168" s="90"/>
    </row>
    <row r="169" spans="1:37" ht="21" x14ac:dyDescent="0.35">
      <c r="A169" s="299" t="s">
        <v>6</v>
      </c>
      <c r="B169" s="218" t="str">
        <f t="shared" si="74"/>
        <v xml:space="preserve">RMCNon-Payroll </v>
      </c>
      <c r="C169" s="5" t="s">
        <v>48</v>
      </c>
      <c r="D169" s="10"/>
      <c r="E169" s="116"/>
      <c r="F169" s="116"/>
      <c r="G169" s="116"/>
      <c r="H169" s="38" t="s">
        <v>334</v>
      </c>
      <c r="I169" s="158">
        <f>ROUND(((I149+I154+I166)/VLOOKUP("RESOURCE MGMT CTRPayroll",'Base 2015 actual for Cost Cente'!$A:$F,6,FALSE))*VLOOKUP("RESOURCE MGMT CTRNon-Payroll",'Base 2015 actual for Cost Cente'!$A:$F,6,FALSE),0)</f>
        <v>13831</v>
      </c>
      <c r="J169" s="74"/>
      <c r="K169" s="74"/>
      <c r="L169" s="74"/>
      <c r="M169" s="773" t="s">
        <v>321</v>
      </c>
      <c r="N169" s="91"/>
      <c r="O169" s="227"/>
      <c r="P169" s="466"/>
      <c r="Q169" s="252"/>
      <c r="R169" s="38" t="s">
        <v>334</v>
      </c>
      <c r="S169" s="158">
        <f>ROUND(((S149+S154+S166)/VLOOKUP("RESOURCE MGMT CTRPayroll",'Base 2015 actual for Cost Cente'!$A:$F,6,FALSE))*VLOOKUP("RESOURCE MGMT CTRNon-Payroll",'Base 2015 actual for Cost Cente'!$A:$F,6,FALSE),0)</f>
        <v>1354</v>
      </c>
      <c r="T169" s="74"/>
      <c r="U169" s="74"/>
      <c r="V169" s="74"/>
      <c r="W169" s="773" t="s">
        <v>321</v>
      </c>
      <c r="X169" s="90"/>
      <c r="Y169" s="227"/>
      <c r="Z169" s="466"/>
      <c r="AA169" s="252"/>
      <c r="AB169" s="38" t="s">
        <v>334</v>
      </c>
      <c r="AC169" s="158">
        <f>ROUND(((AC149+AC154+AC166)/VLOOKUP("RESOURCE MGMT CTRPayroll",'Base 2015 actual for Cost Cente'!$A:$F,6,FALSE))*VLOOKUP("RESOURCE MGMT CTRNon-Payroll",'Base 2015 actual for Cost Cente'!$A:$F,6,FALSE),0)</f>
        <v>0</v>
      </c>
      <c r="AD169" s="74"/>
      <c r="AE169" s="74"/>
      <c r="AF169" s="74"/>
      <c r="AG169" s="773" t="s">
        <v>321</v>
      </c>
      <c r="AH169" s="91"/>
      <c r="AI169" s="227"/>
      <c r="AJ169" s="711">
        <f>I169+S169+AC169</f>
        <v>15185</v>
      </c>
      <c r="AK169" s="90"/>
    </row>
    <row r="170" spans="1:37" ht="21" x14ac:dyDescent="0.35">
      <c r="A170" s="299" t="s">
        <v>6</v>
      </c>
      <c r="B170" s="218" t="str">
        <f t="shared" si="74"/>
        <v>RMC</v>
      </c>
      <c r="C170" s="5" t="s">
        <v>48</v>
      </c>
      <c r="D170" s="10"/>
      <c r="E170" s="116"/>
      <c r="F170" s="116"/>
      <c r="G170" s="116"/>
      <c r="H170" s="38"/>
      <c r="I170" s="168"/>
      <c r="J170" s="42"/>
      <c r="K170" s="39"/>
      <c r="L170" s="42"/>
      <c r="M170" s="774"/>
      <c r="N170" s="91"/>
      <c r="O170" s="227"/>
      <c r="P170" s="466"/>
      <c r="Q170" s="252"/>
      <c r="R170" s="38"/>
      <c r="S170" s="168"/>
      <c r="T170" s="42"/>
      <c r="U170" s="39"/>
      <c r="V170" s="42"/>
      <c r="W170" s="774"/>
      <c r="X170" s="90"/>
      <c r="Y170" s="227"/>
      <c r="Z170" s="466"/>
      <c r="AA170" s="252"/>
      <c r="AB170" s="38"/>
      <c r="AC170" s="168"/>
      <c r="AD170" s="42"/>
      <c r="AE170" s="39"/>
      <c r="AF170" s="42"/>
      <c r="AG170" s="774"/>
      <c r="AH170" s="91"/>
      <c r="AI170" s="227"/>
      <c r="AJ170" s="711"/>
      <c r="AK170" s="90"/>
    </row>
    <row r="171" spans="1:37" ht="21" x14ac:dyDescent="0.35">
      <c r="A171" s="299" t="s">
        <v>6</v>
      </c>
      <c r="B171" s="218" t="str">
        <f t="shared" si="74"/>
        <v>RMC</v>
      </c>
      <c r="C171" s="5" t="s">
        <v>48</v>
      </c>
      <c r="D171" s="10"/>
      <c r="E171" s="116"/>
      <c r="F171" s="116"/>
      <c r="G171" s="116"/>
      <c r="H171" s="38"/>
      <c r="I171" s="168"/>
      <c r="J171" s="42"/>
      <c r="K171" s="39"/>
      <c r="L171" s="42"/>
      <c r="M171" s="66"/>
      <c r="N171" s="91"/>
      <c r="O171" s="227"/>
      <c r="P171" s="466"/>
      <c r="Q171" s="252"/>
      <c r="R171" s="184"/>
      <c r="S171" s="168"/>
      <c r="T171" s="42"/>
      <c r="U171" s="39"/>
      <c r="V171" s="42"/>
      <c r="W171" s="66"/>
      <c r="X171" s="90"/>
      <c r="Y171" s="227"/>
      <c r="Z171" s="466"/>
      <c r="AA171" s="252"/>
      <c r="AB171" s="184"/>
      <c r="AC171" s="168"/>
      <c r="AD171" s="42"/>
      <c r="AE171" s="39"/>
      <c r="AF171" s="42"/>
      <c r="AG171" s="66"/>
      <c r="AH171" s="91"/>
      <c r="AI171" s="227"/>
      <c r="AJ171" s="711"/>
      <c r="AK171" s="90"/>
    </row>
    <row r="172" spans="1:37" ht="21" x14ac:dyDescent="0.35">
      <c r="A172" s="299" t="s">
        <v>6</v>
      </c>
      <c r="B172" s="218" t="str">
        <f t="shared" si="74"/>
        <v>RMC</v>
      </c>
      <c r="C172" s="5" t="s">
        <v>48</v>
      </c>
      <c r="D172" s="10"/>
      <c r="E172" s="116"/>
      <c r="F172" s="116"/>
      <c r="G172" s="116"/>
      <c r="H172" s="38"/>
      <c r="I172" s="168"/>
      <c r="J172" s="42"/>
      <c r="K172" s="39"/>
      <c r="L172" s="42"/>
      <c r="M172" s="66"/>
      <c r="N172" s="91"/>
      <c r="O172" s="227"/>
      <c r="P172" s="466"/>
      <c r="Q172" s="252"/>
      <c r="R172" s="184"/>
      <c r="S172" s="168"/>
      <c r="T172" s="42"/>
      <c r="U172" s="39"/>
      <c r="V172" s="42"/>
      <c r="W172" s="66"/>
      <c r="X172" s="90"/>
      <c r="Y172" s="227"/>
      <c r="Z172" s="466"/>
      <c r="AA172" s="252"/>
      <c r="AB172" s="184"/>
      <c r="AC172" s="168"/>
      <c r="AD172" s="42"/>
      <c r="AE172" s="39"/>
      <c r="AF172" s="42"/>
      <c r="AG172" s="66"/>
      <c r="AH172" s="91"/>
      <c r="AI172" s="227"/>
      <c r="AJ172" s="711"/>
      <c r="AK172" s="90"/>
    </row>
    <row r="173" spans="1:37" ht="21" x14ac:dyDescent="0.35">
      <c r="A173" s="299" t="s">
        <v>6</v>
      </c>
      <c r="B173" s="218" t="str">
        <f t="shared" si="74"/>
        <v>RMC</v>
      </c>
      <c r="C173" s="5" t="s">
        <v>48</v>
      </c>
      <c r="D173" s="10"/>
      <c r="E173" s="116"/>
      <c r="F173" s="116"/>
      <c r="G173" s="116"/>
      <c r="H173" s="38"/>
      <c r="I173" s="168"/>
      <c r="J173" s="42"/>
      <c r="K173" s="39"/>
      <c r="L173" s="42"/>
      <c r="M173" s="66"/>
      <c r="N173" s="91"/>
      <c r="O173" s="227"/>
      <c r="P173" s="466"/>
      <c r="Q173" s="252"/>
      <c r="R173" s="184"/>
      <c r="S173" s="168"/>
      <c r="T173" s="42"/>
      <c r="U173" s="39"/>
      <c r="V173" s="42"/>
      <c r="W173" s="66"/>
      <c r="X173" s="90"/>
      <c r="Y173" s="227"/>
      <c r="Z173" s="466"/>
      <c r="AA173" s="252"/>
      <c r="AB173" s="184"/>
      <c r="AC173" s="168"/>
      <c r="AD173" s="42"/>
      <c r="AE173" s="39"/>
      <c r="AF173" s="42"/>
      <c r="AG173" s="66"/>
      <c r="AH173" s="91"/>
      <c r="AI173" s="227"/>
      <c r="AJ173" s="711"/>
      <c r="AK173" s="90"/>
    </row>
    <row r="174" spans="1:37" ht="21" x14ac:dyDescent="0.35">
      <c r="A174" s="299" t="s">
        <v>6</v>
      </c>
      <c r="B174" s="218" t="str">
        <f t="shared" si="74"/>
        <v>RMC</v>
      </c>
      <c r="C174" s="5" t="s">
        <v>48</v>
      </c>
      <c r="D174" s="10"/>
      <c r="E174" s="116"/>
      <c r="F174" s="116"/>
      <c r="G174" s="116"/>
      <c r="H174" s="38"/>
      <c r="I174" s="164"/>
      <c r="J174" s="67"/>
      <c r="K174" s="67"/>
      <c r="L174" s="67"/>
      <c r="M174" s="40" t="str">
        <f>J174&amp;" days @ "&amp;K174</f>
        <v xml:space="preserve"> days @ </v>
      </c>
      <c r="N174" s="94"/>
      <c r="O174" s="242"/>
      <c r="P174" s="466"/>
      <c r="Q174" s="252"/>
      <c r="R174" s="184"/>
      <c r="S174" s="164"/>
      <c r="T174" s="67"/>
      <c r="U174" s="67"/>
      <c r="V174" s="67"/>
      <c r="W174" s="40" t="str">
        <f>T174&amp;" days @ "&amp;U174</f>
        <v xml:space="preserve"> days @ </v>
      </c>
      <c r="X174" s="93"/>
      <c r="Y174" s="242"/>
      <c r="Z174" s="466"/>
      <c r="AA174" s="252"/>
      <c r="AB174" s="184"/>
      <c r="AC174" s="164"/>
      <c r="AD174" s="67"/>
      <c r="AE174" s="67"/>
      <c r="AF174" s="67"/>
      <c r="AG174" s="40" t="str">
        <f>AD174&amp;" days @ "&amp;AE174</f>
        <v xml:space="preserve"> days @ </v>
      </c>
      <c r="AH174" s="94"/>
      <c r="AI174" s="242"/>
      <c r="AJ174" s="712"/>
      <c r="AK174" s="93"/>
    </row>
    <row r="175" spans="1:37" ht="21" x14ac:dyDescent="0.35">
      <c r="A175" s="299" t="s">
        <v>6</v>
      </c>
      <c r="B175" s="218" t="str">
        <f t="shared" si="74"/>
        <v>RMCTotal Other</v>
      </c>
      <c r="C175" s="124" t="s">
        <v>50</v>
      </c>
      <c r="D175" s="10"/>
      <c r="E175" s="116">
        <f>I175</f>
        <v>13831</v>
      </c>
      <c r="F175" s="116">
        <f>S175</f>
        <v>1354</v>
      </c>
      <c r="G175" s="116">
        <f>AC175</f>
        <v>0</v>
      </c>
      <c r="H175" s="49" t="s">
        <v>45</v>
      </c>
      <c r="I175" s="165">
        <f>SUM(I169:I174)</f>
        <v>13831</v>
      </c>
      <c r="J175" s="68"/>
      <c r="K175" s="68"/>
      <c r="L175" s="68"/>
      <c r="M175" s="66"/>
      <c r="N175" s="414">
        <f>I175</f>
        <v>13831</v>
      </c>
      <c r="O175" s="233">
        <f>N175/N178</f>
        <v>4.2339489262951398E-2</v>
      </c>
      <c r="P175" s="466"/>
      <c r="Q175" s="165"/>
      <c r="R175" s="185" t="s">
        <v>45</v>
      </c>
      <c r="S175" s="165">
        <f>SUM(S169:S174)</f>
        <v>1354</v>
      </c>
      <c r="T175" s="68"/>
      <c r="U175" s="68"/>
      <c r="V175" s="68"/>
      <c r="W175" s="66"/>
      <c r="X175" s="165">
        <f>S175</f>
        <v>1354</v>
      </c>
      <c r="Y175" s="233">
        <f>X175/X178</f>
        <v>4.2347700785192927E-2</v>
      </c>
      <c r="Z175" s="466"/>
      <c r="AA175" s="165"/>
      <c r="AB175" s="185" t="s">
        <v>45</v>
      </c>
      <c r="AC175" s="165">
        <f>SUM(AC169:AC174)</f>
        <v>0</v>
      </c>
      <c r="AD175" s="68"/>
      <c r="AE175" s="68"/>
      <c r="AF175" s="68"/>
      <c r="AG175" s="66"/>
      <c r="AH175" s="414">
        <f>AC175</f>
        <v>0</v>
      </c>
      <c r="AI175" s="233" t="e">
        <f>AH175/AH178</f>
        <v>#DIV/0!</v>
      </c>
      <c r="AJ175" s="714">
        <f>I175+S175+AC175</f>
        <v>15185</v>
      </c>
      <c r="AK175" s="165"/>
    </row>
    <row r="176" spans="1:37" ht="21.75" thickBot="1" x14ac:dyDescent="0.4">
      <c r="A176" s="299" t="s">
        <v>6</v>
      </c>
      <c r="B176" s="218" t="str">
        <f t="shared" si="74"/>
        <v>RMC</v>
      </c>
      <c r="C176" s="5" t="s">
        <v>48</v>
      </c>
      <c r="D176" s="10"/>
      <c r="E176" s="116"/>
      <c r="F176" s="116"/>
      <c r="G176" s="116"/>
      <c r="H176" s="100"/>
      <c r="I176" s="178"/>
      <c r="J176" s="101"/>
      <c r="K176" s="101"/>
      <c r="L176" s="101"/>
      <c r="M176" s="102"/>
      <c r="N176" s="415"/>
      <c r="O176" s="178"/>
      <c r="P176" s="178"/>
      <c r="Q176" s="178"/>
      <c r="R176" s="178"/>
      <c r="S176" s="178"/>
      <c r="T176" s="101"/>
      <c r="U176" s="101"/>
      <c r="V176" s="101"/>
      <c r="W176" s="102"/>
      <c r="X176" s="178"/>
      <c r="Y176" s="178"/>
      <c r="Z176" s="178"/>
      <c r="AA176" s="178"/>
      <c r="AB176" s="178"/>
      <c r="AC176" s="178"/>
      <c r="AD176" s="101"/>
      <c r="AE176" s="101"/>
      <c r="AF176" s="101"/>
      <c r="AG176" s="102"/>
      <c r="AH176" s="415"/>
      <c r="AI176" s="178"/>
      <c r="AJ176" s="715"/>
      <c r="AK176" s="178"/>
    </row>
    <row r="177" spans="1:45" ht="21.75" thickTop="1" x14ac:dyDescent="0.35">
      <c r="A177" s="299" t="s">
        <v>6</v>
      </c>
      <c r="B177" s="218" t="str">
        <f t="shared" si="74"/>
        <v>RMCTOTALS</v>
      </c>
      <c r="C177" s="5" t="s">
        <v>48</v>
      </c>
      <c r="D177" s="10"/>
      <c r="E177" s="116"/>
      <c r="F177" s="116"/>
      <c r="G177" s="116"/>
      <c r="H177" s="61" t="s">
        <v>28</v>
      </c>
      <c r="I177" s="103"/>
      <c r="J177" s="103"/>
      <c r="K177" s="103"/>
      <c r="L177" s="103"/>
      <c r="M177" s="104"/>
      <c r="N177" s="91"/>
      <c r="O177" s="136"/>
      <c r="P177" s="466"/>
      <c r="Q177" s="252"/>
      <c r="R177" s="186" t="s">
        <v>28</v>
      </c>
      <c r="S177" s="103"/>
      <c r="T177" s="103"/>
      <c r="U177" s="103"/>
      <c r="V177" s="103"/>
      <c r="W177" s="104"/>
      <c r="X177" s="90"/>
      <c r="Y177" s="136"/>
      <c r="Z177" s="466"/>
      <c r="AA177" s="252"/>
      <c r="AB177" s="186" t="s">
        <v>28</v>
      </c>
      <c r="AC177" s="103"/>
      <c r="AD177" s="103"/>
      <c r="AE177" s="103"/>
      <c r="AF177" s="103"/>
      <c r="AG177" s="104"/>
      <c r="AH177" s="91"/>
      <c r="AI177" s="136"/>
      <c r="AJ177" s="711"/>
      <c r="AK177" s="90"/>
    </row>
    <row r="178" spans="1:45" ht="21" x14ac:dyDescent="0.35">
      <c r="A178" s="299" t="s">
        <v>6</v>
      </c>
      <c r="B178" s="218" t="str">
        <f t="shared" si="74"/>
        <v>RMCPER YEAR</v>
      </c>
      <c r="C178" s="124" t="s">
        <v>50</v>
      </c>
      <c r="D178" s="10"/>
      <c r="E178" s="116">
        <f>I178</f>
        <v>326669.03263999999</v>
      </c>
      <c r="F178" s="116">
        <f>S178</f>
        <v>31973.400560000002</v>
      </c>
      <c r="G178" s="116">
        <f>S178</f>
        <v>31973.400560000002</v>
      </c>
      <c r="H178" s="105" t="s">
        <v>46</v>
      </c>
      <c r="I178" s="106">
        <f>I149+I154+I161+I166+I175</f>
        <v>326669.03263999999</v>
      </c>
      <c r="J178" s="106"/>
      <c r="K178" s="106"/>
      <c r="L178" s="106"/>
      <c r="M178" s="107"/>
      <c r="N178" s="420">
        <f>SUM(N149:N176)</f>
        <v>326669.03263999999</v>
      </c>
      <c r="O178" s="233">
        <v>0</v>
      </c>
      <c r="P178" s="466"/>
      <c r="Q178" s="252"/>
      <c r="R178" s="190" t="s">
        <v>46</v>
      </c>
      <c r="S178" s="106">
        <f>S149+S154+S161+S166+S175</f>
        <v>31973.400560000002</v>
      </c>
      <c r="T178" s="106"/>
      <c r="U178" s="106"/>
      <c r="V178" s="106"/>
      <c r="W178" s="107"/>
      <c r="X178" s="52">
        <f>SUM(X149:X176)</f>
        <v>31973.400560000002</v>
      </c>
      <c r="Y178" s="233">
        <v>0</v>
      </c>
      <c r="Z178" s="466"/>
      <c r="AA178" s="252"/>
      <c r="AB178" s="190" t="s">
        <v>46</v>
      </c>
      <c r="AC178" s="106">
        <f>AC149+AC154+AC161+AC166+AC175</f>
        <v>0</v>
      </c>
      <c r="AD178" s="106"/>
      <c r="AE178" s="106"/>
      <c r="AF178" s="106"/>
      <c r="AG178" s="107"/>
      <c r="AH178" s="420">
        <f>SUM(AH149:AH176)</f>
        <v>0</v>
      </c>
      <c r="AI178" s="233" t="e">
        <f>SUM(AI149:AI176)</f>
        <v>#DIV/0!</v>
      </c>
      <c r="AJ178" s="221">
        <f t="shared" ref="AJ178:AJ182" si="88">I178+S178+AC178</f>
        <v>358642.43319999997</v>
      </c>
      <c r="AK178" s="52"/>
    </row>
    <row r="179" spans="1:45" ht="21" x14ac:dyDescent="0.35">
      <c r="A179" s="299" t="s">
        <v>6</v>
      </c>
      <c r="B179" s="218" t="str">
        <f t="shared" si="74"/>
        <v>RMCPER PAYMENT</v>
      </c>
      <c r="C179" s="124" t="s">
        <v>50</v>
      </c>
      <c r="D179" s="10"/>
      <c r="E179" s="116"/>
      <c r="F179" s="116"/>
      <c r="G179" s="116"/>
      <c r="H179" s="49" t="s">
        <v>47</v>
      </c>
      <c r="I179" s="108">
        <f>I178/I$6</f>
        <v>4.196628872100782E-2</v>
      </c>
      <c r="J179" s="108"/>
      <c r="K179" s="108"/>
      <c r="L179" s="108"/>
      <c r="M179" s="109"/>
      <c r="N179" s="98"/>
      <c r="O179" s="243"/>
      <c r="P179" s="467"/>
      <c r="Q179" s="253"/>
      <c r="R179" s="185" t="s">
        <v>47</v>
      </c>
      <c r="S179" s="108">
        <f>S178/S$6</f>
        <v>4.1970528664778177E-2</v>
      </c>
      <c r="T179" s="108"/>
      <c r="U179" s="108"/>
      <c r="V179" s="108"/>
      <c r="W179" s="109"/>
      <c r="X179" s="97"/>
      <c r="Y179" s="243"/>
      <c r="Z179" s="467"/>
      <c r="AA179" s="253"/>
      <c r="AB179" s="185" t="s">
        <v>47</v>
      </c>
      <c r="AC179" s="108">
        <f>AC178/AC$6</f>
        <v>0</v>
      </c>
      <c r="AD179" s="108"/>
      <c r="AE179" s="108"/>
      <c r="AF179" s="108"/>
      <c r="AG179" s="109"/>
      <c r="AH179" s="98"/>
      <c r="AI179" s="243"/>
      <c r="AJ179" s="713">
        <f t="shared" si="88"/>
        <v>8.3936817385785997E-2</v>
      </c>
      <c r="AK179" s="97"/>
    </row>
    <row r="180" spans="1:45" ht="15.75" x14ac:dyDescent="0.25">
      <c r="A180" s="299" t="s">
        <v>6</v>
      </c>
      <c r="B180" s="218"/>
      <c r="C180" s="220"/>
      <c r="D180" s="10"/>
      <c r="E180" s="10"/>
      <c r="F180" s="10"/>
      <c r="G180" s="10"/>
      <c r="H180" s="137" t="s">
        <v>553</v>
      </c>
      <c r="I180" s="652">
        <f>I149+I154</f>
        <v>312838.03263999999</v>
      </c>
      <c r="J180" s="108"/>
      <c r="K180" s="108"/>
      <c r="L180" s="108"/>
      <c r="M180" s="109"/>
      <c r="N180" s="649"/>
      <c r="O180" s="650"/>
      <c r="P180" s="92"/>
      <c r="Q180" s="37"/>
      <c r="R180" s="137" t="s">
        <v>553</v>
      </c>
      <c r="S180" s="652">
        <f>S149+S154</f>
        <v>30619.400560000002</v>
      </c>
      <c r="T180" s="108"/>
      <c r="U180" s="108"/>
      <c r="V180" s="108"/>
      <c r="W180" s="109"/>
      <c r="X180" s="651"/>
      <c r="Y180" s="650"/>
      <c r="Z180" s="92"/>
      <c r="AA180" s="37"/>
      <c r="AB180" s="137" t="s">
        <v>553</v>
      </c>
      <c r="AC180" s="652">
        <f>AC149+AC154</f>
        <v>0</v>
      </c>
      <c r="AD180" s="108"/>
      <c r="AE180" s="108"/>
      <c r="AF180" s="108"/>
      <c r="AG180" s="109"/>
      <c r="AH180" s="649"/>
      <c r="AI180" s="137"/>
      <c r="AJ180" s="709">
        <f t="shared" si="88"/>
        <v>343457.43319999997</v>
      </c>
      <c r="AK180" s="651"/>
    </row>
    <row r="181" spans="1:45" ht="15.75" x14ac:dyDescent="0.25">
      <c r="A181" s="299" t="s">
        <v>6</v>
      </c>
      <c r="B181" s="218"/>
      <c r="C181" s="220"/>
      <c r="D181" s="10"/>
      <c r="E181" s="10"/>
      <c r="F181" s="10"/>
      <c r="G181" s="10"/>
      <c r="H181" s="137" t="s">
        <v>554</v>
      </c>
      <c r="I181" s="652">
        <f>I175+I166+I161</f>
        <v>13831</v>
      </c>
      <c r="J181" s="108"/>
      <c r="K181" s="652"/>
      <c r="L181" s="108"/>
      <c r="M181" s="109"/>
      <c r="N181" s="649"/>
      <c r="O181" s="650"/>
      <c r="P181" s="92"/>
      <c r="Q181" s="37"/>
      <c r="R181" s="137" t="s">
        <v>554</v>
      </c>
      <c r="S181" s="652">
        <f>S175+S166+S161</f>
        <v>1354</v>
      </c>
      <c r="T181" s="108"/>
      <c r="U181" s="652"/>
      <c r="V181" s="108"/>
      <c r="W181" s="109"/>
      <c r="X181" s="651"/>
      <c r="Y181" s="650"/>
      <c r="Z181" s="92"/>
      <c r="AA181" s="37"/>
      <c r="AB181" s="137" t="s">
        <v>554</v>
      </c>
      <c r="AC181" s="652">
        <f>AC175+AC166+AC161</f>
        <v>0</v>
      </c>
      <c r="AD181" s="108"/>
      <c r="AE181" s="652"/>
      <c r="AF181" s="108"/>
      <c r="AG181" s="109"/>
      <c r="AH181" s="649"/>
      <c r="AI181" s="137"/>
      <c r="AJ181" s="709">
        <f t="shared" si="88"/>
        <v>15185</v>
      </c>
      <c r="AK181" s="651"/>
    </row>
    <row r="182" spans="1:45" ht="15.75" x14ac:dyDescent="0.25">
      <c r="A182" s="299" t="s">
        <v>6</v>
      </c>
      <c r="B182" s="218"/>
      <c r="C182" s="220"/>
      <c r="D182" s="10"/>
      <c r="E182" s="10"/>
      <c r="F182" s="10"/>
      <c r="G182" s="10"/>
      <c r="H182" s="137" t="s">
        <v>552</v>
      </c>
      <c r="I182" s="652">
        <f>I178</f>
        <v>326669.03263999999</v>
      </c>
      <c r="J182" s="108"/>
      <c r="K182" s="108"/>
      <c r="L182" s="108"/>
      <c r="M182" s="109"/>
      <c r="N182" s="649"/>
      <c r="O182" s="650"/>
      <c r="P182" s="92"/>
      <c r="Q182" s="37"/>
      <c r="R182" s="137" t="s">
        <v>552</v>
      </c>
      <c r="S182" s="652">
        <f>S178</f>
        <v>31973.400560000002</v>
      </c>
      <c r="T182" s="108"/>
      <c r="U182" s="108"/>
      <c r="V182" s="108"/>
      <c r="W182" s="109"/>
      <c r="X182" s="651"/>
      <c r="Y182" s="650"/>
      <c r="Z182" s="92"/>
      <c r="AA182" s="37"/>
      <c r="AB182" s="137" t="s">
        <v>552</v>
      </c>
      <c r="AC182" s="652">
        <f>AC178</f>
        <v>0</v>
      </c>
      <c r="AD182" s="108"/>
      <c r="AE182" s="108"/>
      <c r="AF182" s="108"/>
      <c r="AG182" s="109"/>
      <c r="AH182" s="649"/>
      <c r="AI182" s="137"/>
      <c r="AJ182" s="709">
        <f t="shared" si="88"/>
        <v>358642.43319999997</v>
      </c>
      <c r="AK182" s="651"/>
    </row>
    <row r="183" spans="1:45" ht="47.25" x14ac:dyDescent="0.25">
      <c r="A183" s="299" t="s">
        <v>52</v>
      </c>
      <c r="B183" s="218" t="str">
        <f t="shared" si="74"/>
        <v>CFSLABOR: NON-SUPERVISORY</v>
      </c>
      <c r="C183" s="12" t="s">
        <v>52</v>
      </c>
      <c r="D183" s="10" t="str">
        <f>'2015Summary METER to CASH (Base'!G21</f>
        <v>* field orders” (i.e., Turnons, turnoffs, DR inspections)</v>
      </c>
      <c r="E183" s="117">
        <f>N221</f>
        <v>5278553.4671258768</v>
      </c>
      <c r="F183" s="117">
        <f>X221</f>
        <v>516616.45907612337</v>
      </c>
      <c r="G183" s="117">
        <f>AC221</f>
        <v>0</v>
      </c>
      <c r="H183" s="182" t="s">
        <v>31</v>
      </c>
      <c r="I183" s="157"/>
      <c r="J183" s="118"/>
      <c r="K183" s="118"/>
      <c r="L183" s="118"/>
      <c r="M183" s="119"/>
      <c r="N183" s="121"/>
      <c r="O183" s="135"/>
      <c r="P183" s="456"/>
      <c r="Q183" s="248"/>
      <c r="R183" s="183" t="s">
        <v>31</v>
      </c>
      <c r="S183" s="157"/>
      <c r="T183" s="118"/>
      <c r="U183" s="118"/>
      <c r="V183" s="118"/>
      <c r="W183" s="119"/>
      <c r="X183" s="120"/>
      <c r="Y183" s="135"/>
      <c r="Z183" s="456"/>
      <c r="AA183" s="248"/>
      <c r="AB183" s="183" t="s">
        <v>31</v>
      </c>
      <c r="AC183" s="157"/>
      <c r="AD183" s="118"/>
      <c r="AE183" s="118"/>
      <c r="AF183" s="118"/>
      <c r="AG183" s="119"/>
      <c r="AH183" s="121"/>
      <c r="AI183" s="135"/>
      <c r="AJ183" s="705"/>
      <c r="AK183" s="120"/>
    </row>
    <row r="184" spans="1:45" ht="22.5" x14ac:dyDescent="0.35">
      <c r="A184" s="299" t="s">
        <v>52</v>
      </c>
      <c r="B184" s="218" t="str">
        <f t="shared" si="74"/>
        <v>CFSCustomer Field Services 2 &amp; 3</v>
      </c>
      <c r="C184" s="5" t="s">
        <v>48</v>
      </c>
      <c r="D184" s="10"/>
      <c r="E184" s="116"/>
      <c r="F184" s="116"/>
      <c r="G184" s="116"/>
      <c r="H184" s="184" t="s">
        <v>341</v>
      </c>
      <c r="I184" s="158">
        <f>J184*K184</f>
        <v>2091276.8714292066</v>
      </c>
      <c r="J184" s="42">
        <f>70972*(I6/($I$6+$S$6))</f>
        <v>64645.343784519522</v>
      </c>
      <c r="K184" s="39">
        <v>32.35</v>
      </c>
      <c r="L184" s="39"/>
      <c r="M184" s="40" t="str">
        <f>ROUND(J184,0)&amp;" hrs @ "&amp;K184</f>
        <v>64645 hrs @ 32.35</v>
      </c>
      <c r="N184" s="35"/>
      <c r="O184" s="136"/>
      <c r="P184" s="457"/>
      <c r="Q184" s="249"/>
      <c r="R184" s="184" t="s">
        <v>341</v>
      </c>
      <c r="S184" s="158">
        <f>T184*U184</f>
        <v>204667.32857079335</v>
      </c>
      <c r="T184" s="42">
        <f>70972*(S6/($I$6+$S$6))</f>
        <v>6326.6562154804742</v>
      </c>
      <c r="U184" s="39">
        <v>32.35</v>
      </c>
      <c r="V184" s="39"/>
      <c r="W184" s="40" t="str">
        <f>ROUND(T184,0)&amp;" hrs @ "&amp;U184</f>
        <v>6327 hrs @ 32.35</v>
      </c>
      <c r="X184" s="34"/>
      <c r="Y184" s="136"/>
      <c r="Z184" s="457"/>
      <c r="AA184" s="249"/>
      <c r="AB184" s="184" t="s">
        <v>341</v>
      </c>
      <c r="AC184" s="158">
        <f>AD184*AE184</f>
        <v>0</v>
      </c>
      <c r="AD184" s="42"/>
      <c r="AE184" s="39"/>
      <c r="AF184" s="39"/>
      <c r="AG184" s="40" t="str">
        <f>ROUND(AD184,0)&amp;" hrs @ "&amp;AE184</f>
        <v xml:space="preserve">0 hrs @ </v>
      </c>
      <c r="AH184" s="35"/>
      <c r="AI184" s="136"/>
      <c r="AJ184" s="706">
        <f t="shared" ref="AJ184:AJ190" si="89">I184+S184+AC184</f>
        <v>2295944.1999999997</v>
      </c>
      <c r="AK184" s="34"/>
    </row>
    <row r="185" spans="1:45" ht="21" x14ac:dyDescent="0.35">
      <c r="A185" s="299" t="s">
        <v>52</v>
      </c>
      <c r="B185" s="218" t="str">
        <f t="shared" si="74"/>
        <v>CFS</v>
      </c>
      <c r="C185" s="5" t="s">
        <v>48</v>
      </c>
      <c r="D185" s="10"/>
      <c r="E185" s="116"/>
      <c r="F185" s="116"/>
      <c r="G185" s="116"/>
      <c r="H185" s="38"/>
      <c r="I185" s="158">
        <f t="shared" ref="I185:I186" si="90">J185*K185</f>
        <v>0</v>
      </c>
      <c r="J185" s="42"/>
      <c r="K185" s="39"/>
      <c r="L185" s="42"/>
      <c r="M185" s="40" t="str">
        <f t="shared" ref="M185:M187" si="91">J185&amp;" hrs @ "&amp;K185</f>
        <v xml:space="preserve"> hrs @ </v>
      </c>
      <c r="N185" s="35"/>
      <c r="O185" s="136"/>
      <c r="P185" s="457"/>
      <c r="Q185" s="250"/>
      <c r="R185" s="184"/>
      <c r="S185" s="158">
        <f t="shared" ref="S185:S186" si="92">T185*U185</f>
        <v>0</v>
      </c>
      <c r="T185" s="42"/>
      <c r="U185" s="39"/>
      <c r="V185" s="42"/>
      <c r="W185" s="40" t="str">
        <f t="shared" ref="W185:W187" si="93">T185&amp;" hrs @ "&amp;U185</f>
        <v xml:space="preserve"> hrs @ </v>
      </c>
      <c r="X185" s="34"/>
      <c r="Y185" s="136"/>
      <c r="Z185" s="457"/>
      <c r="AA185" s="250"/>
      <c r="AB185" s="184"/>
      <c r="AC185" s="158">
        <f t="shared" ref="AC185:AC187" si="94">AD185*AE185</f>
        <v>0</v>
      </c>
      <c r="AD185" s="42"/>
      <c r="AE185" s="39"/>
      <c r="AF185" s="42"/>
      <c r="AG185" s="40" t="str">
        <f t="shared" ref="AG185:AG187" si="95">AD185&amp;" hrs @ "&amp;AE185</f>
        <v xml:space="preserve"> hrs @ </v>
      </c>
      <c r="AH185" s="35"/>
      <c r="AI185" s="136"/>
      <c r="AJ185" s="706">
        <f t="shared" si="89"/>
        <v>0</v>
      </c>
      <c r="AK185" s="34"/>
    </row>
    <row r="186" spans="1:45" ht="21" x14ac:dyDescent="0.35">
      <c r="A186" s="299" t="s">
        <v>52</v>
      </c>
      <c r="B186" s="218" t="str">
        <f t="shared" si="74"/>
        <v>CFS</v>
      </c>
      <c r="C186" s="5" t="s">
        <v>48</v>
      </c>
      <c r="D186" s="10"/>
      <c r="E186" s="116"/>
      <c r="F186" s="116"/>
      <c r="G186" s="116"/>
      <c r="H186" s="38"/>
      <c r="I186" s="158">
        <f t="shared" si="90"/>
        <v>0</v>
      </c>
      <c r="J186" s="42"/>
      <c r="K186" s="39"/>
      <c r="L186" s="42"/>
      <c r="M186" s="40" t="str">
        <f t="shared" si="91"/>
        <v xml:space="preserve"> hrs @ </v>
      </c>
      <c r="N186" s="35"/>
      <c r="O186" s="136"/>
      <c r="P186" s="457"/>
      <c r="Q186" s="249"/>
      <c r="R186" s="184"/>
      <c r="S186" s="158">
        <f t="shared" si="92"/>
        <v>0</v>
      </c>
      <c r="T186" s="42"/>
      <c r="U186" s="39"/>
      <c r="V186" s="42"/>
      <c r="W186" s="40" t="str">
        <f t="shared" si="93"/>
        <v xml:space="preserve"> hrs @ </v>
      </c>
      <c r="X186" s="34"/>
      <c r="Y186" s="136"/>
      <c r="Z186" s="457"/>
      <c r="AA186" s="249"/>
      <c r="AB186" s="184"/>
      <c r="AC186" s="158">
        <f t="shared" si="94"/>
        <v>0</v>
      </c>
      <c r="AD186" s="42"/>
      <c r="AE186" s="39"/>
      <c r="AF186" s="42"/>
      <c r="AG186" s="40" t="str">
        <f t="shared" si="95"/>
        <v xml:space="preserve"> hrs @ </v>
      </c>
      <c r="AH186" s="35"/>
      <c r="AI186" s="136"/>
      <c r="AJ186" s="706">
        <f t="shared" si="89"/>
        <v>0</v>
      </c>
      <c r="AK186" s="34"/>
    </row>
    <row r="187" spans="1:45" ht="21" x14ac:dyDescent="0.35">
      <c r="A187" s="299" t="s">
        <v>52</v>
      </c>
      <c r="B187" s="218" t="str">
        <f t="shared" si="74"/>
        <v>CFS</v>
      </c>
      <c r="C187" s="5" t="s">
        <v>48</v>
      </c>
      <c r="D187" s="10"/>
      <c r="E187" s="116"/>
      <c r="F187" s="116"/>
      <c r="G187" s="116"/>
      <c r="H187" s="179"/>
      <c r="I187" s="173">
        <f>J187*K187*L187</f>
        <v>0</v>
      </c>
      <c r="J187" s="174"/>
      <c r="K187" s="175"/>
      <c r="L187" s="181"/>
      <c r="M187" s="176" t="str">
        <f t="shared" si="91"/>
        <v xml:space="preserve"> hrs @ </v>
      </c>
      <c r="N187" s="35"/>
      <c r="O187" s="136"/>
      <c r="P187" s="457"/>
      <c r="Q187" s="251"/>
      <c r="R187" s="179"/>
      <c r="S187" s="173">
        <f>T187*U187*V187</f>
        <v>0</v>
      </c>
      <c r="T187" s="174"/>
      <c r="U187" s="175"/>
      <c r="V187" s="181"/>
      <c r="W187" s="176" t="str">
        <f t="shared" si="93"/>
        <v xml:space="preserve"> hrs @ </v>
      </c>
      <c r="X187" s="34"/>
      <c r="Y187" s="136"/>
      <c r="Z187" s="457"/>
      <c r="AA187" s="251"/>
      <c r="AB187" s="179"/>
      <c r="AC187" s="173">
        <f t="shared" si="94"/>
        <v>0</v>
      </c>
      <c r="AD187" s="174"/>
      <c r="AE187" s="175"/>
      <c r="AF187" s="181"/>
      <c r="AG187" s="176" t="str">
        <f t="shared" si="95"/>
        <v xml:space="preserve"> hrs @ </v>
      </c>
      <c r="AH187" s="35"/>
      <c r="AI187" s="136"/>
      <c r="AJ187" s="706">
        <f t="shared" si="89"/>
        <v>0</v>
      </c>
      <c r="AK187" s="34"/>
    </row>
    <row r="188" spans="1:45" ht="21" x14ac:dyDescent="0.35">
      <c r="A188" s="299" t="s">
        <v>52</v>
      </c>
      <c r="B188" s="218" t="str">
        <f t="shared" si="74"/>
        <v>CFSTotal Wages</v>
      </c>
      <c r="C188" s="5" t="s">
        <v>48</v>
      </c>
      <c r="D188" s="10"/>
      <c r="E188" s="116"/>
      <c r="F188" s="116"/>
      <c r="G188" s="116"/>
      <c r="H188" s="38" t="s">
        <v>32</v>
      </c>
      <c r="I188" s="158">
        <f>SUM(I184:I187)</f>
        <v>2091276.8714292066</v>
      </c>
      <c r="J188" s="42"/>
      <c r="K188" s="39"/>
      <c r="L188" s="39"/>
      <c r="M188" s="40"/>
      <c r="N188" s="35"/>
      <c r="O188" s="136"/>
      <c r="P188" s="457"/>
      <c r="Q188" s="249"/>
      <c r="R188" s="184" t="s">
        <v>32</v>
      </c>
      <c r="S188" s="158">
        <f>SUM(S184:S187)</f>
        <v>204667.32857079335</v>
      </c>
      <c r="T188" s="42"/>
      <c r="U188" s="39"/>
      <c r="V188" s="39"/>
      <c r="W188" s="40"/>
      <c r="X188" s="34"/>
      <c r="Y188" s="136"/>
      <c r="Z188" s="457"/>
      <c r="AA188" s="249"/>
      <c r="AB188" s="184" t="s">
        <v>32</v>
      </c>
      <c r="AC188" s="158">
        <f>SUM(AC184:AC187)</f>
        <v>0</v>
      </c>
      <c r="AD188" s="42"/>
      <c r="AE188" s="39"/>
      <c r="AF188" s="39"/>
      <c r="AG188" s="40"/>
      <c r="AH188" s="35"/>
      <c r="AI188" s="136"/>
      <c r="AJ188" s="706">
        <f t="shared" si="89"/>
        <v>2295944.1999999997</v>
      </c>
      <c r="AK188" s="34"/>
    </row>
    <row r="189" spans="1:45" ht="21" x14ac:dyDescent="0.35">
      <c r="A189" s="299" t="s">
        <v>52</v>
      </c>
      <c r="B189" s="218" t="str">
        <f t="shared" si="74"/>
        <v>CFSBenefits</v>
      </c>
      <c r="C189" s="5" t="s">
        <v>48</v>
      </c>
      <c r="D189" s="10"/>
      <c r="E189" s="116"/>
      <c r="F189" s="116"/>
      <c r="G189" s="116"/>
      <c r="H189" s="38" t="s">
        <v>33</v>
      </c>
      <c r="I189" s="159">
        <f>I188*$O$2</f>
        <v>2061789.8675420547</v>
      </c>
      <c r="J189" s="42"/>
      <c r="K189" s="39"/>
      <c r="M189" s="45" t="str">
        <f>"@ "&amp;$O$2*100&amp;" %"</f>
        <v>@ 98.59 %</v>
      </c>
      <c r="N189" s="47"/>
      <c r="O189" s="432"/>
      <c r="P189" s="460"/>
      <c r="Q189" s="249"/>
      <c r="R189" s="184" t="s">
        <v>33</v>
      </c>
      <c r="S189" s="159">
        <f>S188*$O$2</f>
        <v>201781.51923794518</v>
      </c>
      <c r="T189" s="42"/>
      <c r="U189" s="39"/>
      <c r="W189" s="45" t="str">
        <f>"@ "&amp;$O$2*100&amp;" %"</f>
        <v>@ 98.59 %</v>
      </c>
      <c r="X189" s="46"/>
      <c r="Y189" s="432"/>
      <c r="Z189" s="460"/>
      <c r="AA189" s="249"/>
      <c r="AB189" s="184" t="s">
        <v>33</v>
      </c>
      <c r="AC189" s="159">
        <f>AC188*$O$2</f>
        <v>0</v>
      </c>
      <c r="AD189" s="42"/>
      <c r="AE189" s="39"/>
      <c r="AG189" s="45" t="str">
        <f>"@ "&amp;$O$2*100&amp;" %"</f>
        <v>@ 98.59 %</v>
      </c>
      <c r="AH189" s="47"/>
      <c r="AI189" s="432"/>
      <c r="AJ189" s="708">
        <f t="shared" si="89"/>
        <v>2263571.3867799998</v>
      </c>
      <c r="AK189" s="46"/>
    </row>
    <row r="190" spans="1:45" ht="21" x14ac:dyDescent="0.25">
      <c r="A190" s="299" t="s">
        <v>52</v>
      </c>
      <c r="B190" s="218" t="str">
        <f t="shared" si="74"/>
        <v>CFSTotal</v>
      </c>
      <c r="C190" s="125" t="s">
        <v>50</v>
      </c>
      <c r="D190" s="10"/>
      <c r="E190" s="116"/>
      <c r="F190" s="116"/>
      <c r="G190" s="116"/>
      <c r="H190" s="49" t="s">
        <v>34</v>
      </c>
      <c r="I190" s="160">
        <f>I188+I189</f>
        <v>4153066.7389712613</v>
      </c>
      <c r="J190" s="42"/>
      <c r="K190" s="39"/>
      <c r="L190" s="50"/>
      <c r="M190" s="51"/>
      <c r="N190" s="420">
        <f>I190</f>
        <v>4153066.7389712613</v>
      </c>
      <c r="O190" s="233">
        <f>N190/N221</f>
        <v>0.78678122043018117</v>
      </c>
      <c r="P190" s="461"/>
      <c r="Q190" s="252"/>
      <c r="R190" s="185" t="s">
        <v>34</v>
      </c>
      <c r="S190" s="160">
        <f>S188+S189</f>
        <v>406448.84780873853</v>
      </c>
      <c r="T190" s="42"/>
      <c r="U190" s="39"/>
      <c r="V190" s="50"/>
      <c r="W190" s="51"/>
      <c r="X190" s="52">
        <f>S190</f>
        <v>406448.84780873853</v>
      </c>
      <c r="Y190" s="233">
        <f>X190/X221</f>
        <v>0.78675164267046382</v>
      </c>
      <c r="Z190" s="461"/>
      <c r="AA190" s="252"/>
      <c r="AB190" s="185" t="s">
        <v>34</v>
      </c>
      <c r="AC190" s="160">
        <f>AC188+AC189</f>
        <v>0</v>
      </c>
      <c r="AD190" s="42"/>
      <c r="AE190" s="39"/>
      <c r="AF190" s="50"/>
      <c r="AG190" s="51"/>
      <c r="AH190" s="420">
        <f>AC190</f>
        <v>0</v>
      </c>
      <c r="AI190" s="233" t="e">
        <f>AH190/AH221</f>
        <v>#DIV/0!</v>
      </c>
      <c r="AJ190" s="221">
        <f t="shared" si="89"/>
        <v>4559515.5867799995</v>
      </c>
      <c r="AK190" s="52"/>
    </row>
    <row r="191" spans="1:45" ht="21" x14ac:dyDescent="0.35">
      <c r="A191" s="299" t="s">
        <v>52</v>
      </c>
      <c r="B191" s="218" t="str">
        <f t="shared" si="74"/>
        <v>CFS</v>
      </c>
      <c r="C191" s="5" t="s">
        <v>48</v>
      </c>
      <c r="D191" s="10"/>
      <c r="E191" s="116"/>
      <c r="F191" s="116"/>
      <c r="G191" s="116"/>
      <c r="H191" s="54"/>
      <c r="I191" s="166"/>
      <c r="J191" s="69"/>
      <c r="K191" s="69"/>
      <c r="L191" s="69"/>
      <c r="M191" s="70"/>
      <c r="N191" s="58"/>
      <c r="O191" s="231"/>
      <c r="P191" s="458"/>
      <c r="Q191" s="253"/>
      <c r="R191" s="179"/>
      <c r="S191" s="166"/>
      <c r="T191" s="69"/>
      <c r="U191" s="69"/>
      <c r="V191" s="69"/>
      <c r="W191" s="70"/>
      <c r="X191" s="57"/>
      <c r="Y191" s="231"/>
      <c r="Z191" s="458"/>
      <c r="AA191" s="253"/>
      <c r="AB191" s="179"/>
      <c r="AC191" s="166"/>
      <c r="AD191" s="69"/>
      <c r="AE191" s="69"/>
      <c r="AF191" s="69"/>
      <c r="AG191" s="70"/>
      <c r="AH191" s="58"/>
      <c r="AI191" s="231"/>
      <c r="AJ191" s="707"/>
      <c r="AK191" s="57"/>
    </row>
    <row r="192" spans="1:45" ht="21" x14ac:dyDescent="0.35">
      <c r="A192" s="299" t="s">
        <v>52</v>
      </c>
      <c r="B192" s="218" t="str">
        <f t="shared" si="74"/>
        <v>CFSLABOR: SUPERVISORY</v>
      </c>
      <c r="C192" s="124" t="s">
        <v>50</v>
      </c>
      <c r="D192" s="10"/>
      <c r="E192" s="116"/>
      <c r="F192" s="116"/>
      <c r="G192" s="116"/>
      <c r="H192" s="61" t="s">
        <v>35</v>
      </c>
      <c r="I192" s="167"/>
      <c r="J192" s="74"/>
      <c r="K192" s="74"/>
      <c r="L192" s="74"/>
      <c r="M192" s="66"/>
      <c r="N192" s="26"/>
      <c r="O192" s="234"/>
      <c r="P192" s="462"/>
      <c r="Q192" s="252"/>
      <c r="R192" s="186" t="s">
        <v>35</v>
      </c>
      <c r="S192" s="167"/>
      <c r="T192" s="74"/>
      <c r="U192" s="74"/>
      <c r="V192" s="74"/>
      <c r="W192" s="66"/>
      <c r="X192" s="64"/>
      <c r="Y192" s="234"/>
      <c r="Z192" s="462"/>
      <c r="AA192" s="252"/>
      <c r="AB192" s="186" t="s">
        <v>35</v>
      </c>
      <c r="AC192" s="167"/>
      <c r="AD192" s="74"/>
      <c r="AE192" s="74"/>
      <c r="AF192" s="74"/>
      <c r="AG192" s="66"/>
      <c r="AH192" s="26"/>
      <c r="AI192" s="234"/>
      <c r="AJ192" s="706"/>
      <c r="AK192" s="64"/>
      <c r="AO192" t="s">
        <v>386</v>
      </c>
      <c r="AQ192" t="s">
        <v>385</v>
      </c>
      <c r="AS192" t="s">
        <v>387</v>
      </c>
    </row>
    <row r="193" spans="1:48" ht="21" x14ac:dyDescent="0.35">
      <c r="A193" s="299" t="s">
        <v>52</v>
      </c>
      <c r="B193" s="218" t="str">
        <f t="shared" ref="B193" si="96">A193&amp;H193</f>
        <v>CFSManager (Grade 22)</v>
      </c>
      <c r="C193" s="124"/>
      <c r="D193" s="10"/>
      <c r="E193" s="116"/>
      <c r="F193" s="116"/>
      <c r="G193" s="116"/>
      <c r="H193" s="38" t="s">
        <v>349</v>
      </c>
      <c r="I193" s="158">
        <f t="shared" ref="I193" si="97">J193*K193</f>
        <v>25455</v>
      </c>
      <c r="J193" s="42">
        <f>AV193</f>
        <v>500</v>
      </c>
      <c r="K193" s="39">
        <v>50.91</v>
      </c>
      <c r="L193" s="43"/>
      <c r="M193" s="40" t="str">
        <f>ROUND(J193,0)&amp;" hrs @ "&amp;K193</f>
        <v>500 hrs @ 50.91</v>
      </c>
      <c r="N193" s="26"/>
      <c r="O193" s="234"/>
      <c r="P193" s="462"/>
      <c r="Q193" s="252"/>
      <c r="R193" s="184" t="s">
        <v>349</v>
      </c>
      <c r="S193" s="158">
        <f t="shared" ref="S193" si="98">T193*U193</f>
        <v>2500</v>
      </c>
      <c r="T193" s="42">
        <v>50</v>
      </c>
      <c r="U193" s="39">
        <f>AV195</f>
        <v>50</v>
      </c>
      <c r="V193" s="43"/>
      <c r="W193" s="40" t="str">
        <f>ROUND(T193,0)&amp;" hrs @ "&amp;U193</f>
        <v>50 hrs @ 50</v>
      </c>
      <c r="X193" s="64"/>
      <c r="Y193" s="234"/>
      <c r="Z193" s="462"/>
      <c r="AA193" s="252"/>
      <c r="AB193" s="184" t="s">
        <v>349</v>
      </c>
      <c r="AC193" s="158">
        <f t="shared" ref="AC193" si="99">AD193*AE193</f>
        <v>0</v>
      </c>
      <c r="AD193" s="42">
        <f>1800*((AD183/1800)/12)</f>
        <v>0</v>
      </c>
      <c r="AE193" s="39">
        <v>50.91</v>
      </c>
      <c r="AF193" s="43"/>
      <c r="AG193" s="40" t="str">
        <f>ROUND(AD193,0)&amp;" hrs @ "&amp;AE193</f>
        <v>0 hrs @ 50.91</v>
      </c>
      <c r="AH193" s="26"/>
      <c r="AI193" s="234"/>
      <c r="AJ193" s="706">
        <f t="shared" ref="AJ193:AJ197" si="100">I193+S193+AC193</f>
        <v>27955</v>
      </c>
      <c r="AK193" s="64"/>
      <c r="AO193">
        <v>10</v>
      </c>
      <c r="AP193">
        <v>1800</v>
      </c>
      <c r="AQ193">
        <f>AO193*AP193</f>
        <v>18000</v>
      </c>
      <c r="AS193">
        <f>AQ194/AQ193</f>
        <v>0.29928399900240521</v>
      </c>
      <c r="AT193">
        <v>1800</v>
      </c>
      <c r="AU193" s="485">
        <f>AS193*AT193</f>
        <v>538.71119820432932</v>
      </c>
      <c r="AV193">
        <v>500</v>
      </c>
    </row>
    <row r="194" spans="1:48" ht="22.5" x14ac:dyDescent="0.35">
      <c r="A194" s="299" t="s">
        <v>52</v>
      </c>
      <c r="B194" s="218" t="str">
        <f t="shared" si="74"/>
        <v>CFSGas Operations Supervisor (Grade 21)</v>
      </c>
      <c r="C194" s="5" t="s">
        <v>48</v>
      </c>
      <c r="D194" s="10"/>
      <c r="E194" s="116"/>
      <c r="F194" s="116"/>
      <c r="G194" s="116"/>
      <c r="H194" s="38" t="s">
        <v>348</v>
      </c>
      <c r="I194" s="158">
        <f t="shared" ref="I194" si="101">J194*K194</f>
        <v>243389.71934871603</v>
      </c>
      <c r="J194" s="42">
        <f>1800*((J184/1800)/12)</f>
        <v>5387.1119820432941</v>
      </c>
      <c r="K194" s="39">
        <v>45.18</v>
      </c>
      <c r="L194" s="43"/>
      <c r="M194" s="40" t="str">
        <f>ROUND(J194,0)&amp;" hrs @ "&amp;K194</f>
        <v>5387 hrs @ 45.18</v>
      </c>
      <c r="N194" s="26"/>
      <c r="O194" s="234"/>
      <c r="P194" s="462"/>
      <c r="Q194" s="249"/>
      <c r="R194" s="184" t="s">
        <v>348</v>
      </c>
      <c r="S194" s="158">
        <f t="shared" ref="S194" si="102">T194*U194</f>
        <v>23819.860651283983</v>
      </c>
      <c r="T194" s="42">
        <f>1800*((T184/1800)/12)</f>
        <v>527.22135129003948</v>
      </c>
      <c r="U194" s="39">
        <v>45.18</v>
      </c>
      <c r="V194" s="43"/>
      <c r="W194" s="40" t="str">
        <f>ROUND(T194,0)&amp;" hrs @ "&amp;U194</f>
        <v>527 hrs @ 45.18</v>
      </c>
      <c r="X194" s="64"/>
      <c r="Y194" s="234"/>
      <c r="Z194" s="462"/>
      <c r="AA194" s="249"/>
      <c r="AB194" s="184" t="s">
        <v>348</v>
      </c>
      <c r="AC194" s="158">
        <f t="shared" ref="AC194" si="103">AD194*AE194</f>
        <v>0</v>
      </c>
      <c r="AD194" s="42">
        <f>1800*((AD184/1800)/12)</f>
        <v>0</v>
      </c>
      <c r="AE194" s="39">
        <v>45.18</v>
      </c>
      <c r="AF194" s="43"/>
      <c r="AG194" s="40" t="str">
        <f>ROUND(AD194,0)&amp;" hrs @ "&amp;AE194</f>
        <v>0 hrs @ 45.18</v>
      </c>
      <c r="AH194" s="26"/>
      <c r="AI194" s="234"/>
      <c r="AJ194" s="706">
        <f t="shared" si="100"/>
        <v>267209.58</v>
      </c>
      <c r="AK194" s="64"/>
      <c r="AQ194" s="399">
        <f>J194</f>
        <v>5387.1119820432941</v>
      </c>
    </row>
    <row r="195" spans="1:48" ht="21" x14ac:dyDescent="0.35">
      <c r="A195" s="299" t="s">
        <v>52</v>
      </c>
      <c r="B195" s="218" t="str">
        <f t="shared" si="74"/>
        <v>CFS</v>
      </c>
      <c r="C195" s="5"/>
      <c r="D195" s="10"/>
      <c r="E195" s="116"/>
      <c r="F195" s="116"/>
      <c r="G195" s="116"/>
      <c r="H195" s="200"/>
      <c r="I195" s="163"/>
      <c r="J195" s="42"/>
      <c r="K195" s="39"/>
      <c r="L195" s="43"/>
      <c r="M195" s="40"/>
      <c r="N195" s="26"/>
      <c r="O195" s="234"/>
      <c r="P195" s="462"/>
      <c r="Q195" s="249"/>
      <c r="R195" s="201"/>
      <c r="S195" s="163"/>
      <c r="T195" s="42"/>
      <c r="U195" s="39"/>
      <c r="V195" s="43"/>
      <c r="W195" s="40"/>
      <c r="X195" s="64"/>
      <c r="Y195" s="234"/>
      <c r="Z195" s="462"/>
      <c r="AA195" s="249"/>
      <c r="AB195" s="201"/>
      <c r="AC195" s="163"/>
      <c r="AD195" s="42"/>
      <c r="AE195" s="39"/>
      <c r="AF195" s="43"/>
      <c r="AG195" s="40"/>
      <c r="AH195" s="26"/>
      <c r="AI195" s="234"/>
      <c r="AJ195" s="706">
        <f t="shared" si="100"/>
        <v>0</v>
      </c>
      <c r="AK195" s="64"/>
      <c r="AQ195">
        <v>537</v>
      </c>
      <c r="AS195">
        <f>AQ195/AQ193</f>
        <v>2.9833333333333333E-2</v>
      </c>
      <c r="AT195">
        <v>1800</v>
      </c>
      <c r="AU195" s="485">
        <f>AS195*AT195</f>
        <v>53.7</v>
      </c>
      <c r="AV195">
        <v>50</v>
      </c>
    </row>
    <row r="196" spans="1:48" ht="21" x14ac:dyDescent="0.35">
      <c r="A196" s="299" t="s">
        <v>52</v>
      </c>
      <c r="B196" s="218" t="str">
        <f t="shared" si="74"/>
        <v>CFSBenefits</v>
      </c>
      <c r="C196" s="5" t="s">
        <v>48</v>
      </c>
      <c r="D196" s="10"/>
      <c r="E196" s="116"/>
      <c r="F196" s="116"/>
      <c r="G196" s="116"/>
      <c r="H196" s="38" t="s">
        <v>33</v>
      </c>
      <c r="I196" s="159">
        <f>SUM(I193:I194)*$O$2</f>
        <v>265054.00880589912</v>
      </c>
      <c r="J196" s="42"/>
      <c r="K196" s="39"/>
      <c r="L196" s="156"/>
      <c r="M196" s="45" t="str">
        <f>"@ "&amp;$O$2*100&amp;" %"</f>
        <v>@ 98.59 %</v>
      </c>
      <c r="N196" s="26"/>
      <c r="O196" s="234"/>
      <c r="P196" s="462"/>
      <c r="Q196" s="249"/>
      <c r="R196" s="184" t="s">
        <v>33</v>
      </c>
      <c r="S196" s="159">
        <f>SUM(S193:S194)*$O$2</f>
        <v>25948.750616100879</v>
      </c>
      <c r="T196" s="42"/>
      <c r="U196" s="39"/>
      <c r="V196" s="156"/>
      <c r="W196" s="45" t="str">
        <f>"@ "&amp;$O$2*100&amp;" %"</f>
        <v>@ 98.59 %</v>
      </c>
      <c r="X196" s="64"/>
      <c r="Y196" s="234"/>
      <c r="Z196" s="462"/>
      <c r="AA196" s="249"/>
      <c r="AB196" s="184" t="s">
        <v>33</v>
      </c>
      <c r="AC196" s="159">
        <f>SUM(AC193:AC194)*$O$2</f>
        <v>0</v>
      </c>
      <c r="AD196" s="42"/>
      <c r="AE196" s="39"/>
      <c r="AF196" s="156"/>
      <c r="AG196" s="45" t="str">
        <f>"@ "&amp;$O$2*100&amp;" %"</f>
        <v>@ 98.59 %</v>
      </c>
      <c r="AH196" s="26"/>
      <c r="AI196" s="234"/>
      <c r="AJ196" s="706">
        <f t="shared" si="100"/>
        <v>291002.75942200003</v>
      </c>
      <c r="AK196" s="64"/>
    </row>
    <row r="197" spans="1:48" ht="21" x14ac:dyDescent="0.35">
      <c r="A197" s="299" t="s">
        <v>52</v>
      </c>
      <c r="B197" s="218" t="str">
        <f t="shared" si="74"/>
        <v>CFSTotal</v>
      </c>
      <c r="C197" s="124" t="s">
        <v>50</v>
      </c>
      <c r="D197" s="10"/>
      <c r="E197" s="116"/>
      <c r="F197" s="116"/>
      <c r="G197" s="116"/>
      <c r="H197" s="49" t="s">
        <v>34</v>
      </c>
      <c r="I197" s="165">
        <f>I193+I196+I194</f>
        <v>533898.72815461515</v>
      </c>
      <c r="J197" s="68"/>
      <c r="K197" s="68"/>
      <c r="L197" s="68"/>
      <c r="M197" s="63"/>
      <c r="N197" s="420">
        <f>I197</f>
        <v>533898.72815461515</v>
      </c>
      <c r="O197" s="233">
        <f>N197/N221</f>
        <v>0.1011448934788034</v>
      </c>
      <c r="P197" s="462"/>
      <c r="Q197" s="249"/>
      <c r="R197" s="185" t="s">
        <v>34</v>
      </c>
      <c r="S197" s="165">
        <f>S193+S196+S194</f>
        <v>52268.611267384862</v>
      </c>
      <c r="T197" s="68"/>
      <c r="U197" s="68"/>
      <c r="V197" s="68"/>
      <c r="W197" s="63"/>
      <c r="X197" s="52">
        <f>S197</f>
        <v>52268.611267384862</v>
      </c>
      <c r="Y197" s="233">
        <f>X197/X221</f>
        <v>0.10117488583476023</v>
      </c>
      <c r="Z197" s="462"/>
      <c r="AA197" s="249"/>
      <c r="AB197" s="185" t="s">
        <v>34</v>
      </c>
      <c r="AC197" s="165">
        <f>AC193+AC196+AC194</f>
        <v>0</v>
      </c>
      <c r="AD197" s="68"/>
      <c r="AE197" s="68"/>
      <c r="AF197" s="68"/>
      <c r="AG197" s="63"/>
      <c r="AH197" s="420">
        <f>AC197</f>
        <v>0</v>
      </c>
      <c r="AI197" s="233" t="e">
        <f>AH197/AH221</f>
        <v>#DIV/0!</v>
      </c>
      <c r="AJ197" s="221">
        <f t="shared" si="100"/>
        <v>586167.33942199999</v>
      </c>
      <c r="AK197" s="52"/>
    </row>
    <row r="198" spans="1:48" ht="21" x14ac:dyDescent="0.35">
      <c r="A198" s="299" t="s">
        <v>52</v>
      </c>
      <c r="B198" s="218" t="str">
        <f t="shared" si="74"/>
        <v>CFS</v>
      </c>
      <c r="C198" s="5" t="s">
        <v>48</v>
      </c>
      <c r="D198" s="10"/>
      <c r="E198" s="116"/>
      <c r="F198" s="116"/>
      <c r="G198" s="116"/>
      <c r="H198" s="54"/>
      <c r="I198" s="166"/>
      <c r="J198" s="69"/>
      <c r="K198" s="69"/>
      <c r="L198" s="69"/>
      <c r="M198" s="70"/>
      <c r="N198" s="72"/>
      <c r="O198" s="235"/>
      <c r="P198" s="463"/>
      <c r="Q198" s="253"/>
      <c r="R198" s="179"/>
      <c r="S198" s="166"/>
      <c r="T198" s="69"/>
      <c r="U198" s="69"/>
      <c r="V198" s="69"/>
      <c r="W198" s="70"/>
      <c r="X198" s="71"/>
      <c r="Y198" s="235"/>
      <c r="Z198" s="463"/>
      <c r="AA198" s="253"/>
      <c r="AB198" s="179"/>
      <c r="AC198" s="166"/>
      <c r="AD198" s="69"/>
      <c r="AE198" s="69"/>
      <c r="AF198" s="69"/>
      <c r="AG198" s="70"/>
      <c r="AH198" s="72"/>
      <c r="AI198" s="235"/>
      <c r="AJ198" s="707"/>
      <c r="AK198" s="71"/>
    </row>
    <row r="199" spans="1:48" ht="21" x14ac:dyDescent="0.35">
      <c r="A199" s="299" t="s">
        <v>52</v>
      </c>
      <c r="B199" s="218" t="str">
        <f t="shared" si="74"/>
        <v>CFSEQUIPMENT</v>
      </c>
      <c r="C199" s="124" t="s">
        <v>50</v>
      </c>
      <c r="D199" s="10"/>
      <c r="E199" s="116"/>
      <c r="F199" s="116"/>
      <c r="G199" s="116"/>
      <c r="H199" s="61" t="s">
        <v>36</v>
      </c>
      <c r="I199" s="167"/>
      <c r="J199" s="74"/>
      <c r="K199" s="74"/>
      <c r="L199" s="74"/>
      <c r="M199" s="66"/>
      <c r="N199" s="76"/>
      <c r="O199" s="237"/>
      <c r="P199" s="462"/>
      <c r="Q199" s="252"/>
      <c r="R199" s="186" t="s">
        <v>36</v>
      </c>
      <c r="S199" s="167"/>
      <c r="T199" s="74"/>
      <c r="U199" s="74"/>
      <c r="V199" s="74"/>
      <c r="W199" s="66"/>
      <c r="X199" s="75"/>
      <c r="Y199" s="237"/>
      <c r="Z199" s="462"/>
      <c r="AA199" s="252"/>
      <c r="AB199" s="186" t="s">
        <v>36</v>
      </c>
      <c r="AC199" s="167"/>
      <c r="AD199" s="74"/>
      <c r="AE199" s="74"/>
      <c r="AF199" s="74"/>
      <c r="AG199" s="66"/>
      <c r="AH199" s="76"/>
      <c r="AI199" s="237"/>
      <c r="AJ199" s="221"/>
      <c r="AK199" s="75"/>
    </row>
    <row r="200" spans="1:48" ht="21" x14ac:dyDescent="0.35">
      <c r="A200" s="299" t="s">
        <v>52</v>
      </c>
      <c r="B200" s="218" t="str">
        <f t="shared" si="74"/>
        <v>CFS</v>
      </c>
      <c r="C200" s="5" t="s">
        <v>48</v>
      </c>
      <c r="D200" s="10"/>
      <c r="E200" s="116"/>
      <c r="F200" s="116"/>
      <c r="G200" s="116"/>
      <c r="H200" s="77"/>
      <c r="I200" s="163"/>
      <c r="J200" s="42"/>
      <c r="K200" s="39"/>
      <c r="L200" s="39"/>
      <c r="M200" s="40" t="str">
        <f>J200&amp;" hrs @ "&amp;K200</f>
        <v xml:space="preserve"> hrs @ </v>
      </c>
      <c r="N200" s="76"/>
      <c r="O200" s="237"/>
      <c r="P200" s="462"/>
      <c r="Q200" s="252"/>
      <c r="R200" s="187"/>
      <c r="S200" s="163"/>
      <c r="T200" s="42"/>
      <c r="U200" s="39"/>
      <c r="V200" s="39"/>
      <c r="W200" s="40" t="str">
        <f>T200&amp;" hrs @ "&amp;U200</f>
        <v xml:space="preserve"> hrs @ </v>
      </c>
      <c r="X200" s="75"/>
      <c r="Y200" s="237"/>
      <c r="Z200" s="462"/>
      <c r="AA200" s="252"/>
      <c r="AB200" s="187"/>
      <c r="AC200" s="163"/>
      <c r="AD200" s="42"/>
      <c r="AE200" s="39"/>
      <c r="AF200" s="39"/>
      <c r="AG200" s="40" t="str">
        <f>AD200&amp;" hrs @ "&amp;AE200</f>
        <v xml:space="preserve"> hrs @ </v>
      </c>
      <c r="AH200" s="76"/>
      <c r="AI200" s="237"/>
      <c r="AJ200" s="221">
        <f t="shared" ref="AJ200:AJ204" si="104">I200+S200+AC200</f>
        <v>0</v>
      </c>
      <c r="AK200" s="75"/>
    </row>
    <row r="201" spans="1:48" ht="21" x14ac:dyDescent="0.35">
      <c r="A201" s="299" t="s">
        <v>52</v>
      </c>
      <c r="B201" s="218" t="str">
        <f t="shared" si="74"/>
        <v>CFS</v>
      </c>
      <c r="C201" s="5" t="s">
        <v>48</v>
      </c>
      <c r="D201" s="10"/>
      <c r="E201" s="116"/>
      <c r="F201" s="116"/>
      <c r="G201" s="116"/>
      <c r="H201" s="77"/>
      <c r="I201" s="163"/>
      <c r="J201" s="42"/>
      <c r="K201" s="39"/>
      <c r="L201" s="39"/>
      <c r="M201" s="40" t="str">
        <f t="shared" ref="M201:M203" si="105">J201&amp;" hrs @ "&amp;K201</f>
        <v xml:space="preserve"> hrs @ </v>
      </c>
      <c r="N201" s="79"/>
      <c r="O201" s="238"/>
      <c r="P201" s="464"/>
      <c r="Q201" s="254"/>
      <c r="R201" s="187"/>
      <c r="S201" s="163"/>
      <c r="T201" s="42"/>
      <c r="U201" s="39"/>
      <c r="V201" s="39"/>
      <c r="W201" s="40" t="str">
        <f t="shared" ref="W201:W203" si="106">T201&amp;" hrs @ "&amp;U201</f>
        <v xml:space="preserve"> hrs @ </v>
      </c>
      <c r="X201" s="78"/>
      <c r="Y201" s="238"/>
      <c r="Z201" s="464"/>
      <c r="AA201" s="254"/>
      <c r="AB201" s="187"/>
      <c r="AC201" s="163"/>
      <c r="AD201" s="42"/>
      <c r="AE201" s="39"/>
      <c r="AF201" s="39"/>
      <c r="AG201" s="40" t="str">
        <f t="shared" ref="AG201:AG203" si="107">AD201&amp;" hrs @ "&amp;AE201</f>
        <v xml:space="preserve"> hrs @ </v>
      </c>
      <c r="AH201" s="79"/>
      <c r="AI201" s="238"/>
      <c r="AJ201" s="709">
        <f t="shared" si="104"/>
        <v>0</v>
      </c>
      <c r="AK201" s="78"/>
    </row>
    <row r="202" spans="1:48" ht="21" x14ac:dyDescent="0.35">
      <c r="A202" s="299" t="s">
        <v>52</v>
      </c>
      <c r="B202" s="218" t="str">
        <f t="shared" si="74"/>
        <v>CFS</v>
      </c>
      <c r="C202" s="5" t="s">
        <v>48</v>
      </c>
      <c r="D202" s="10"/>
      <c r="E202" s="116"/>
      <c r="F202" s="116"/>
      <c r="G202" s="116"/>
      <c r="H202" s="77"/>
      <c r="I202" s="168"/>
      <c r="J202" s="42"/>
      <c r="K202" s="39"/>
      <c r="L202" s="42"/>
      <c r="M202" s="40" t="str">
        <f t="shared" si="105"/>
        <v xml:space="preserve"> hrs @ </v>
      </c>
      <c r="N202" s="79"/>
      <c r="O202" s="238"/>
      <c r="P202" s="464"/>
      <c r="Q202" s="254"/>
      <c r="R202" s="187"/>
      <c r="S202" s="168"/>
      <c r="T202" s="42"/>
      <c r="U202" s="39"/>
      <c r="V202" s="42"/>
      <c r="W202" s="40" t="str">
        <f t="shared" si="106"/>
        <v xml:space="preserve"> hrs @ </v>
      </c>
      <c r="X202" s="78"/>
      <c r="Y202" s="238"/>
      <c r="Z202" s="464"/>
      <c r="AA202" s="254"/>
      <c r="AB202" s="187"/>
      <c r="AC202" s="168"/>
      <c r="AD202" s="42"/>
      <c r="AE202" s="39"/>
      <c r="AF202" s="42"/>
      <c r="AG202" s="40" t="str">
        <f t="shared" si="107"/>
        <v xml:space="preserve"> hrs @ </v>
      </c>
      <c r="AH202" s="79"/>
      <c r="AI202" s="238"/>
      <c r="AJ202" s="709">
        <f t="shared" si="104"/>
        <v>0</v>
      </c>
      <c r="AK202" s="78"/>
    </row>
    <row r="203" spans="1:48" ht="21" x14ac:dyDescent="0.35">
      <c r="A203" s="299" t="s">
        <v>52</v>
      </c>
      <c r="B203" s="218" t="str">
        <f t="shared" si="74"/>
        <v>CFS</v>
      </c>
      <c r="C203" s="5" t="s">
        <v>48</v>
      </c>
      <c r="D203" s="10"/>
      <c r="E203" s="116"/>
      <c r="F203" s="116"/>
      <c r="G203" s="116"/>
      <c r="H203" s="77"/>
      <c r="I203" s="164"/>
      <c r="J203" s="42"/>
      <c r="K203" s="39"/>
      <c r="L203" s="43"/>
      <c r="M203" s="40" t="str">
        <f t="shared" si="105"/>
        <v xml:space="preserve"> hrs @ </v>
      </c>
      <c r="N203" s="79"/>
      <c r="O203" s="238"/>
      <c r="P203" s="464"/>
      <c r="Q203" s="254"/>
      <c r="R203" s="187"/>
      <c r="S203" s="164">
        <f>12*X$2</f>
        <v>0</v>
      </c>
      <c r="T203" s="42"/>
      <c r="U203" s="39"/>
      <c r="V203" s="43"/>
      <c r="W203" s="40" t="str">
        <f t="shared" si="106"/>
        <v xml:space="preserve"> hrs @ </v>
      </c>
      <c r="X203" s="78"/>
      <c r="Y203" s="238"/>
      <c r="Z203" s="464"/>
      <c r="AA203" s="254"/>
      <c r="AB203" s="187"/>
      <c r="AC203" s="164">
        <f>12*AH$2</f>
        <v>0</v>
      </c>
      <c r="AD203" s="42"/>
      <c r="AE203" s="39"/>
      <c r="AF203" s="43"/>
      <c r="AG203" s="40" t="str">
        <f t="shared" si="107"/>
        <v xml:space="preserve"> hrs @ </v>
      </c>
      <c r="AH203" s="79"/>
      <c r="AI203" s="238"/>
      <c r="AJ203" s="709">
        <f t="shared" si="104"/>
        <v>0</v>
      </c>
      <c r="AK203" s="78"/>
    </row>
    <row r="204" spans="1:48" ht="21" x14ac:dyDescent="0.35">
      <c r="A204" s="299" t="s">
        <v>52</v>
      </c>
      <c r="B204" s="218" t="str">
        <f t="shared" ref="B204:B262" si="108">A204&amp;H204</f>
        <v>CFSTotal Equipment</v>
      </c>
      <c r="C204" s="124" t="s">
        <v>50</v>
      </c>
      <c r="D204" s="10"/>
      <c r="E204" s="116">
        <f>I204</f>
        <v>0</v>
      </c>
      <c r="F204" s="116">
        <f>S204</f>
        <v>0</v>
      </c>
      <c r="G204" s="116">
        <f>AC204</f>
        <v>0</v>
      </c>
      <c r="H204" s="83" t="s">
        <v>37</v>
      </c>
      <c r="I204" s="165">
        <f>SUM(I200:I203)</f>
        <v>0</v>
      </c>
      <c r="J204" s="68"/>
      <c r="K204" s="68"/>
      <c r="L204" s="68"/>
      <c r="M204" s="66"/>
      <c r="N204" s="420">
        <f>I204</f>
        <v>0</v>
      </c>
      <c r="O204" s="233">
        <f>N204/N221</f>
        <v>0</v>
      </c>
      <c r="P204" s="464"/>
      <c r="Q204" s="254"/>
      <c r="R204" s="188" t="s">
        <v>37</v>
      </c>
      <c r="S204" s="165">
        <f>SUM(S200:S203)</f>
        <v>0</v>
      </c>
      <c r="T204" s="68"/>
      <c r="U204" s="68"/>
      <c r="V204" s="68"/>
      <c r="W204" s="66"/>
      <c r="X204" s="52">
        <f>S204</f>
        <v>0</v>
      </c>
      <c r="Y204" s="233">
        <f>X204/X221</f>
        <v>0</v>
      </c>
      <c r="Z204" s="464"/>
      <c r="AA204" s="254"/>
      <c r="AB204" s="188" t="s">
        <v>37</v>
      </c>
      <c r="AC204" s="165">
        <f>SUM(AC200:AC203)</f>
        <v>0</v>
      </c>
      <c r="AD204" s="68"/>
      <c r="AE204" s="68"/>
      <c r="AF204" s="68"/>
      <c r="AG204" s="66"/>
      <c r="AH204" s="420">
        <f>AC204</f>
        <v>0</v>
      </c>
      <c r="AI204" s="233" t="e">
        <f>AH204/AH221</f>
        <v>#DIV/0!</v>
      </c>
      <c r="AJ204" s="221">
        <f t="shared" si="104"/>
        <v>0</v>
      </c>
      <c r="AK204" s="52"/>
    </row>
    <row r="205" spans="1:48" ht="21" x14ac:dyDescent="0.35">
      <c r="A205" s="299" t="s">
        <v>52</v>
      </c>
      <c r="B205" s="218" t="str">
        <f t="shared" si="108"/>
        <v>CFS</v>
      </c>
      <c r="C205" s="5" t="s">
        <v>48</v>
      </c>
      <c r="D205" s="10"/>
      <c r="E205" s="116"/>
      <c r="F205" s="116"/>
      <c r="G205" s="116"/>
      <c r="H205" s="84"/>
      <c r="I205" s="166"/>
      <c r="J205" s="69"/>
      <c r="K205" s="69"/>
      <c r="L205" s="69"/>
      <c r="M205" s="70"/>
      <c r="N205" s="88"/>
      <c r="O205" s="241"/>
      <c r="P205" s="465"/>
      <c r="Q205" s="253"/>
      <c r="R205" s="189"/>
      <c r="S205" s="166"/>
      <c r="T205" s="69"/>
      <c r="U205" s="69"/>
      <c r="V205" s="69"/>
      <c r="W205" s="70"/>
      <c r="X205" s="87"/>
      <c r="Y205" s="241"/>
      <c r="Z205" s="465"/>
      <c r="AA205" s="253"/>
      <c r="AB205" s="189"/>
      <c r="AC205" s="166"/>
      <c r="AD205" s="69"/>
      <c r="AE205" s="69"/>
      <c r="AF205" s="69"/>
      <c r="AG205" s="70"/>
      <c r="AH205" s="88"/>
      <c r="AI205" s="241"/>
      <c r="AJ205" s="710"/>
      <c r="AK205" s="87"/>
    </row>
    <row r="206" spans="1:48" ht="21" x14ac:dyDescent="0.35">
      <c r="A206" s="299" t="s">
        <v>52</v>
      </c>
      <c r="B206" s="218" t="str">
        <f t="shared" si="108"/>
        <v>CFSIS SUPPORT</v>
      </c>
      <c r="C206" s="124" t="s">
        <v>50</v>
      </c>
      <c r="D206" s="10"/>
      <c r="E206" s="116"/>
      <c r="F206" s="116"/>
      <c r="G206" s="116"/>
      <c r="H206" s="61" t="s">
        <v>38</v>
      </c>
      <c r="I206" s="167"/>
      <c r="J206" s="74"/>
      <c r="K206" s="74"/>
      <c r="L206" s="74"/>
      <c r="M206" s="66"/>
      <c r="N206" s="91"/>
      <c r="O206" s="227"/>
      <c r="P206" s="466"/>
      <c r="Q206" s="252"/>
      <c r="R206" s="186" t="s">
        <v>38</v>
      </c>
      <c r="S206" s="167"/>
      <c r="T206" s="74"/>
      <c r="U206" s="74"/>
      <c r="V206" s="74"/>
      <c r="W206" s="66"/>
      <c r="X206" s="90"/>
      <c r="Y206" s="227"/>
      <c r="Z206" s="466"/>
      <c r="AA206" s="252"/>
      <c r="AB206" s="186" t="s">
        <v>38</v>
      </c>
      <c r="AC206" s="167"/>
      <c r="AD206" s="74"/>
      <c r="AE206" s="74"/>
      <c r="AF206" s="74"/>
      <c r="AG206" s="66"/>
      <c r="AH206" s="91"/>
      <c r="AI206" s="227"/>
      <c r="AJ206" s="711"/>
      <c r="AK206" s="90"/>
    </row>
    <row r="207" spans="1:48" ht="21" x14ac:dyDescent="0.35">
      <c r="A207" s="299" t="s">
        <v>52</v>
      </c>
      <c r="B207" s="218" t="str">
        <f t="shared" si="108"/>
        <v>CFS</v>
      </c>
      <c r="C207" s="5" t="s">
        <v>48</v>
      </c>
      <c r="D207" s="10"/>
      <c r="E207" s="116"/>
      <c r="F207" s="116"/>
      <c r="G207" s="116"/>
      <c r="H207" s="38"/>
      <c r="I207" s="162"/>
      <c r="J207" s="42"/>
      <c r="K207" s="39"/>
      <c r="L207" s="39"/>
      <c r="M207" s="40" t="str">
        <f>J207&amp;" hrs @ "&amp;K207</f>
        <v xml:space="preserve"> hrs @ </v>
      </c>
      <c r="N207" s="94"/>
      <c r="O207" s="242"/>
      <c r="P207" s="466"/>
      <c r="Q207" s="252"/>
      <c r="R207" s="184"/>
      <c r="S207" s="162">
        <f>T207*U207</f>
        <v>0</v>
      </c>
      <c r="T207" s="42"/>
      <c r="U207" s="39"/>
      <c r="V207" s="39"/>
      <c r="W207" s="40" t="str">
        <f>T207&amp;" hrs @ "&amp;U207</f>
        <v xml:space="preserve"> hrs @ </v>
      </c>
      <c r="X207" s="93"/>
      <c r="Y207" s="242"/>
      <c r="Z207" s="466"/>
      <c r="AA207" s="252"/>
      <c r="AB207" s="184"/>
      <c r="AC207" s="162">
        <f>AD207*AE207</f>
        <v>0</v>
      </c>
      <c r="AD207" s="42"/>
      <c r="AE207" s="39"/>
      <c r="AF207" s="39"/>
      <c r="AG207" s="40" t="str">
        <f>AD207&amp;" hrs @ "&amp;AE207</f>
        <v xml:space="preserve"> hrs @ </v>
      </c>
      <c r="AH207" s="94"/>
      <c r="AI207" s="242"/>
      <c r="AJ207" s="712">
        <f t="shared" ref="AJ207:AJ209" si="109">I207+S207+AC207</f>
        <v>0</v>
      </c>
      <c r="AK207" s="93"/>
    </row>
    <row r="208" spans="1:48" ht="21" x14ac:dyDescent="0.35">
      <c r="A208" s="299" t="s">
        <v>52</v>
      </c>
      <c r="B208" s="218" t="str">
        <f t="shared" si="108"/>
        <v>CFS</v>
      </c>
      <c r="C208" s="5" t="s">
        <v>48</v>
      </c>
      <c r="D208" s="10"/>
      <c r="E208" s="116"/>
      <c r="F208" s="116"/>
      <c r="G208" s="116"/>
      <c r="H208" s="38"/>
      <c r="I208" s="159"/>
      <c r="J208" s="42"/>
      <c r="K208" s="39"/>
      <c r="L208" s="156"/>
      <c r="M208" s="45" t="str">
        <f>"@ "&amp;$O$2*100&amp;" %"</f>
        <v>@ 98.59 %</v>
      </c>
      <c r="N208" s="94"/>
      <c r="O208" s="242"/>
      <c r="P208" s="466"/>
      <c r="Q208" s="252"/>
      <c r="R208" s="184"/>
      <c r="S208" s="159">
        <f>S207*$O$2</f>
        <v>0</v>
      </c>
      <c r="T208" s="42"/>
      <c r="U208" s="39"/>
      <c r="V208" s="156"/>
      <c r="W208" s="45" t="str">
        <f>"@ "&amp;$O$2*100&amp;" %"</f>
        <v>@ 98.59 %</v>
      </c>
      <c r="X208" s="93"/>
      <c r="Y208" s="242"/>
      <c r="Z208" s="466"/>
      <c r="AA208" s="252"/>
      <c r="AB208" s="184"/>
      <c r="AC208" s="159">
        <f>AC207*$O$2</f>
        <v>0</v>
      </c>
      <c r="AD208" s="42"/>
      <c r="AE208" s="39"/>
      <c r="AF208" s="156"/>
      <c r="AG208" s="45" t="str">
        <f>"@ "&amp;$O$2*100&amp;" %"</f>
        <v>@ 98.59 %</v>
      </c>
      <c r="AH208" s="94"/>
      <c r="AI208" s="242"/>
      <c r="AJ208" s="712">
        <f t="shared" si="109"/>
        <v>0</v>
      </c>
      <c r="AK208" s="93"/>
    </row>
    <row r="209" spans="1:37" ht="21" x14ac:dyDescent="0.35">
      <c r="A209" s="299" t="s">
        <v>52</v>
      </c>
      <c r="B209" s="218" t="str">
        <f t="shared" si="108"/>
        <v>CFSTotal IS</v>
      </c>
      <c r="C209" s="124" t="s">
        <v>50</v>
      </c>
      <c r="D209" s="10"/>
      <c r="E209" s="116"/>
      <c r="F209" s="116"/>
      <c r="G209" s="116"/>
      <c r="H209" s="49" t="s">
        <v>41</v>
      </c>
      <c r="I209" s="165">
        <f>I207+I208</f>
        <v>0</v>
      </c>
      <c r="J209" s="68"/>
      <c r="K209" s="68"/>
      <c r="L209" s="68"/>
      <c r="M209" s="66"/>
      <c r="N209" s="420">
        <f>I209</f>
        <v>0</v>
      </c>
      <c r="O209" s="233">
        <f>N209/N221</f>
        <v>0</v>
      </c>
      <c r="P209" s="466"/>
      <c r="Q209" s="252"/>
      <c r="R209" s="185" t="s">
        <v>41</v>
      </c>
      <c r="S209" s="165">
        <f>S207+S208</f>
        <v>0</v>
      </c>
      <c r="T209" s="68"/>
      <c r="U209" s="68"/>
      <c r="V209" s="68"/>
      <c r="W209" s="66"/>
      <c r="X209" s="52">
        <f>S209</f>
        <v>0</v>
      </c>
      <c r="Y209" s="233">
        <f>X209/X221</f>
        <v>0</v>
      </c>
      <c r="Z209" s="466"/>
      <c r="AA209" s="252"/>
      <c r="AB209" s="185" t="s">
        <v>41</v>
      </c>
      <c r="AC209" s="165">
        <f>AC207+AC208</f>
        <v>0</v>
      </c>
      <c r="AD209" s="68"/>
      <c r="AE209" s="68"/>
      <c r="AF209" s="68"/>
      <c r="AG209" s="66"/>
      <c r="AH209" s="420">
        <f>AC209</f>
        <v>0</v>
      </c>
      <c r="AI209" s="233" t="e">
        <f>AH209/AH221</f>
        <v>#DIV/0!</v>
      </c>
      <c r="AJ209" s="221">
        <f t="shared" si="109"/>
        <v>0</v>
      </c>
      <c r="AK209" s="52"/>
    </row>
    <row r="210" spans="1:37" ht="21" x14ac:dyDescent="0.35">
      <c r="A210" s="299" t="s">
        <v>52</v>
      </c>
      <c r="B210" s="218" t="str">
        <f t="shared" si="108"/>
        <v>CFS</v>
      </c>
      <c r="C210" s="5" t="s">
        <v>48</v>
      </c>
      <c r="D210" s="10"/>
      <c r="E210" s="116"/>
      <c r="F210" s="116"/>
      <c r="G210" s="116"/>
      <c r="H210" s="54"/>
      <c r="I210" s="166"/>
      <c r="J210" s="69"/>
      <c r="K210" s="69"/>
      <c r="L210" s="69"/>
      <c r="M210" s="70"/>
      <c r="N210" s="98"/>
      <c r="O210" s="243"/>
      <c r="P210" s="467"/>
      <c r="Q210" s="253"/>
      <c r="R210" s="179"/>
      <c r="S210" s="166"/>
      <c r="T210" s="69"/>
      <c r="U210" s="69"/>
      <c r="V210" s="69"/>
      <c r="W210" s="70"/>
      <c r="X210" s="97"/>
      <c r="Y210" s="243"/>
      <c r="Z210" s="467"/>
      <c r="AA210" s="253"/>
      <c r="AB210" s="179"/>
      <c r="AC210" s="166"/>
      <c r="AD210" s="69"/>
      <c r="AE210" s="69"/>
      <c r="AF210" s="69"/>
      <c r="AG210" s="70"/>
      <c r="AH210" s="98"/>
      <c r="AI210" s="243"/>
      <c r="AJ210" s="713"/>
      <c r="AK210" s="97"/>
    </row>
    <row r="211" spans="1:37" ht="21" x14ac:dyDescent="0.35">
      <c r="A211" s="299" t="s">
        <v>52</v>
      </c>
      <c r="B211" s="218" t="str">
        <f t="shared" si="108"/>
        <v>CFSOTHER</v>
      </c>
      <c r="C211" s="124" t="s">
        <v>50</v>
      </c>
      <c r="D211" s="10"/>
      <c r="E211" s="116"/>
      <c r="F211" s="116"/>
      <c r="G211" s="116"/>
      <c r="H211" s="61" t="s">
        <v>42</v>
      </c>
      <c r="I211" s="167"/>
      <c r="J211" s="74"/>
      <c r="K211" s="74"/>
      <c r="L211" s="74"/>
      <c r="M211" s="66"/>
      <c r="N211" s="91"/>
      <c r="O211" s="227"/>
      <c r="P211" s="466"/>
      <c r="Q211" s="252"/>
      <c r="R211" s="186" t="s">
        <v>42</v>
      </c>
      <c r="S211" s="167"/>
      <c r="T211" s="74"/>
      <c r="U211" s="74"/>
      <c r="V211" s="74"/>
      <c r="W211" s="66"/>
      <c r="X211" s="90"/>
      <c r="Y211" s="227"/>
      <c r="Z211" s="466"/>
      <c r="AA211" s="252"/>
      <c r="AB211" s="186" t="s">
        <v>42</v>
      </c>
      <c r="AC211" s="167"/>
      <c r="AD211" s="74"/>
      <c r="AE211" s="74"/>
      <c r="AF211" s="74"/>
      <c r="AG211" s="66"/>
      <c r="AH211" s="91"/>
      <c r="AI211" s="227"/>
      <c r="AJ211" s="711"/>
      <c r="AK211" s="90"/>
    </row>
    <row r="212" spans="1:37" ht="21" x14ac:dyDescent="0.35">
      <c r="A212" s="299" t="s">
        <v>52</v>
      </c>
      <c r="B212" s="218" t="str">
        <f t="shared" si="108"/>
        <v xml:space="preserve">CFSNon-Payroll </v>
      </c>
      <c r="C212" s="5" t="s">
        <v>48</v>
      </c>
      <c r="D212" s="10"/>
      <c r="E212" s="116"/>
      <c r="F212" s="116"/>
      <c r="G212" s="116"/>
      <c r="H212" s="38" t="s">
        <v>334</v>
      </c>
      <c r="I212" s="163">
        <f>ROUND(((I190+I197+I209)/VLOOKUP("CUST FIELD SERVICESPayroll",'Base 2015 actual for Cost Cente'!$A:$F,6,FALSE))*VLOOKUP("CUST FIELD SERVICESNon-Payroll",'Base 2015 actual for Cost Cente'!$A:$F,6,FALSE),0)</f>
        <v>591588</v>
      </c>
      <c r="J212" s="74"/>
      <c r="K212" s="74"/>
      <c r="L212" s="74"/>
      <c r="M212" s="773" t="s">
        <v>369</v>
      </c>
      <c r="N212" s="91"/>
      <c r="O212" s="227"/>
      <c r="P212" s="466"/>
      <c r="Q212" s="252"/>
      <c r="R212" s="184" t="s">
        <v>334</v>
      </c>
      <c r="S212" s="163">
        <f>ROUND(((S190+S197+S209)/VLOOKUP("CUST FIELD SERVICESPayroll",'Base 2015 actual for Cost Cente'!$A:$F,6,FALSE))*VLOOKUP("CUST FIELD SERVICESNon-Payroll",'Base 2015 actual for Cost Cente'!$A:$F,6,FALSE),0)</f>
        <v>57899</v>
      </c>
      <c r="T212" s="74"/>
      <c r="U212" s="74"/>
      <c r="V212" s="74"/>
      <c r="W212" s="773" t="s">
        <v>369</v>
      </c>
      <c r="X212" s="90"/>
      <c r="Y212" s="227"/>
      <c r="Z212" s="466"/>
      <c r="AA212" s="252"/>
      <c r="AB212" s="184" t="s">
        <v>334</v>
      </c>
      <c r="AC212" s="163">
        <f>ROUND(((AC190+AC197+AC209)/VLOOKUP("CUST FIELD SERVICESPayroll",'Base 2015 actual for Cost Cente'!$A:$F,6,FALSE))*VLOOKUP("CUST FIELD SERVICESNon-Payroll",'Base 2015 actual for Cost Cente'!$A:$F,6,FALSE),0)</f>
        <v>0</v>
      </c>
      <c r="AD212" s="74"/>
      <c r="AE212" s="74"/>
      <c r="AF212" s="74"/>
      <c r="AG212" s="773" t="s">
        <v>369</v>
      </c>
      <c r="AH212" s="91"/>
      <c r="AI212" s="227"/>
      <c r="AJ212" s="711">
        <f>I212+S212+AC212</f>
        <v>649487</v>
      </c>
      <c r="AK212" s="90"/>
    </row>
    <row r="213" spans="1:37" ht="21" x14ac:dyDescent="0.35">
      <c r="A213" s="299" t="s">
        <v>52</v>
      </c>
      <c r="B213" s="218" t="str">
        <f t="shared" si="108"/>
        <v>CFS</v>
      </c>
      <c r="C213" s="5" t="s">
        <v>48</v>
      </c>
      <c r="D213" s="10"/>
      <c r="E213" s="116"/>
      <c r="F213" s="116"/>
      <c r="G213" s="116"/>
      <c r="H213" s="38"/>
      <c r="I213" s="168"/>
      <c r="J213" s="42"/>
      <c r="K213" s="39"/>
      <c r="L213" s="42"/>
      <c r="M213" s="774"/>
      <c r="N213" s="91"/>
      <c r="O213" s="227"/>
      <c r="P213" s="466"/>
      <c r="Q213" s="252"/>
      <c r="R213" s="184"/>
      <c r="S213" s="168"/>
      <c r="T213" s="42"/>
      <c r="U213" s="39"/>
      <c r="V213" s="42"/>
      <c r="W213" s="774"/>
      <c r="X213" s="90"/>
      <c r="Y213" s="227"/>
      <c r="Z213" s="466"/>
      <c r="AA213" s="252"/>
      <c r="AB213" s="184"/>
      <c r="AC213" s="168"/>
      <c r="AD213" s="42"/>
      <c r="AE213" s="39"/>
      <c r="AF213" s="42"/>
      <c r="AG213" s="774"/>
      <c r="AH213" s="91"/>
      <c r="AI213" s="227"/>
      <c r="AJ213" s="711"/>
      <c r="AK213" s="90"/>
    </row>
    <row r="214" spans="1:37" ht="21" x14ac:dyDescent="0.35">
      <c r="A214" s="299" t="s">
        <v>52</v>
      </c>
      <c r="B214" s="218" t="str">
        <f t="shared" si="108"/>
        <v>CFS</v>
      </c>
      <c r="C214" s="5" t="s">
        <v>48</v>
      </c>
      <c r="D214" s="10"/>
      <c r="E214" s="116"/>
      <c r="F214" s="116"/>
      <c r="G214" s="116"/>
      <c r="H214" s="38"/>
      <c r="I214" s="168"/>
      <c r="J214" s="42"/>
      <c r="K214" s="39"/>
      <c r="L214" s="42"/>
      <c r="M214" s="66" t="s">
        <v>542</v>
      </c>
      <c r="N214" s="91"/>
      <c r="O214" s="227"/>
      <c r="P214" s="466"/>
      <c r="Q214" s="252"/>
      <c r="R214" s="184"/>
      <c r="S214" s="168"/>
      <c r="T214" s="42"/>
      <c r="U214" s="39"/>
      <c r="V214" s="42"/>
      <c r="W214" s="66" t="s">
        <v>542</v>
      </c>
      <c r="X214" s="90"/>
      <c r="Y214" s="227"/>
      <c r="Z214" s="466"/>
      <c r="AA214" s="252"/>
      <c r="AB214" s="184"/>
      <c r="AC214" s="168"/>
      <c r="AD214" s="42"/>
      <c r="AE214" s="39"/>
      <c r="AF214" s="42"/>
      <c r="AG214" s="66" t="s">
        <v>542</v>
      </c>
      <c r="AH214" s="91"/>
      <c r="AI214" s="227"/>
      <c r="AJ214" s="711"/>
      <c r="AK214" s="90"/>
    </row>
    <row r="215" spans="1:37" ht="21" x14ac:dyDescent="0.35">
      <c r="A215" s="299" t="s">
        <v>52</v>
      </c>
      <c r="B215" s="218" t="str">
        <f t="shared" si="108"/>
        <v>CFS</v>
      </c>
      <c r="C215" s="5" t="s">
        <v>48</v>
      </c>
      <c r="D215" s="10"/>
      <c r="E215" s="116"/>
      <c r="F215" s="116"/>
      <c r="G215" s="116"/>
      <c r="H215" s="38"/>
      <c r="I215" s="168"/>
      <c r="J215" s="42"/>
      <c r="K215" s="39"/>
      <c r="L215" s="42"/>
      <c r="M215" s="66"/>
      <c r="N215" s="91"/>
      <c r="O215" s="227"/>
      <c r="P215" s="466"/>
      <c r="Q215" s="252"/>
      <c r="R215" s="184"/>
      <c r="S215" s="168"/>
      <c r="T215" s="42"/>
      <c r="U215" s="39"/>
      <c r="V215" s="42"/>
      <c r="W215" s="66"/>
      <c r="X215" s="90"/>
      <c r="Y215" s="227"/>
      <c r="Z215" s="466"/>
      <c r="AA215" s="252"/>
      <c r="AB215" s="184"/>
      <c r="AC215" s="168"/>
      <c r="AD215" s="42"/>
      <c r="AE215" s="39"/>
      <c r="AF215" s="42"/>
      <c r="AG215" s="66"/>
      <c r="AH215" s="91"/>
      <c r="AI215" s="227"/>
      <c r="AJ215" s="711"/>
      <c r="AK215" s="90"/>
    </row>
    <row r="216" spans="1:37" ht="21" x14ac:dyDescent="0.35">
      <c r="A216" s="299" t="s">
        <v>52</v>
      </c>
      <c r="B216" s="218" t="str">
        <f t="shared" si="108"/>
        <v>CFS</v>
      </c>
      <c r="C216" s="5" t="s">
        <v>48</v>
      </c>
      <c r="D216" s="10"/>
      <c r="E216" s="116"/>
      <c r="F216" s="116"/>
      <c r="G216" s="116"/>
      <c r="H216" s="38"/>
      <c r="I216" s="168"/>
      <c r="J216" s="42"/>
      <c r="K216" s="39"/>
      <c r="L216" s="42"/>
      <c r="M216" s="66"/>
      <c r="N216" s="91"/>
      <c r="O216" s="227"/>
      <c r="P216" s="466"/>
      <c r="Q216" s="252"/>
      <c r="R216" s="184"/>
      <c r="S216" s="168"/>
      <c r="T216" s="42"/>
      <c r="U216" s="39"/>
      <c r="V216" s="42"/>
      <c r="W216" s="66"/>
      <c r="X216" s="90"/>
      <c r="Y216" s="227"/>
      <c r="Z216" s="466"/>
      <c r="AA216" s="252"/>
      <c r="AB216" s="184"/>
      <c r="AC216" s="168"/>
      <c r="AD216" s="42"/>
      <c r="AE216" s="39"/>
      <c r="AF216" s="42"/>
      <c r="AG216" s="66"/>
      <c r="AH216" s="91"/>
      <c r="AI216" s="227"/>
      <c r="AJ216" s="711"/>
      <c r="AK216" s="90"/>
    </row>
    <row r="217" spans="1:37" ht="21" x14ac:dyDescent="0.35">
      <c r="A217" s="299" t="s">
        <v>52</v>
      </c>
      <c r="B217" s="218" t="str">
        <f t="shared" si="108"/>
        <v>CFS</v>
      </c>
      <c r="C217" s="5" t="s">
        <v>48</v>
      </c>
      <c r="D217" s="10"/>
      <c r="E217" s="116"/>
      <c r="F217" s="116"/>
      <c r="G217" s="116"/>
      <c r="H217" s="38"/>
      <c r="I217" s="164"/>
      <c r="J217" s="67"/>
      <c r="K217" s="67"/>
      <c r="L217" s="67"/>
      <c r="M217" s="40" t="str">
        <f>J217&amp;" days @ "&amp;K217</f>
        <v xml:space="preserve"> days @ </v>
      </c>
      <c r="N217" s="94"/>
      <c r="O217" s="242"/>
      <c r="P217" s="466"/>
      <c r="Q217" s="252"/>
      <c r="R217" s="184"/>
      <c r="S217" s="164"/>
      <c r="T217" s="67"/>
      <c r="U217" s="67"/>
      <c r="V217" s="67"/>
      <c r="W217" s="40" t="str">
        <f>T217&amp;" days @ "&amp;U217</f>
        <v xml:space="preserve"> days @ </v>
      </c>
      <c r="X217" s="93"/>
      <c r="Y217" s="242"/>
      <c r="Z217" s="466"/>
      <c r="AA217" s="252"/>
      <c r="AB217" s="184"/>
      <c r="AC217" s="164"/>
      <c r="AD217" s="67"/>
      <c r="AE217" s="67"/>
      <c r="AF217" s="67"/>
      <c r="AG217" s="40" t="str">
        <f>AD217&amp;" days @ "&amp;AE217</f>
        <v xml:space="preserve"> days @ </v>
      </c>
      <c r="AH217" s="94"/>
      <c r="AI217" s="242"/>
      <c r="AJ217" s="712"/>
      <c r="AK217" s="93"/>
    </row>
    <row r="218" spans="1:37" ht="21" x14ac:dyDescent="0.35">
      <c r="A218" s="299" t="s">
        <v>52</v>
      </c>
      <c r="B218" s="218" t="str">
        <f t="shared" si="108"/>
        <v>CFSTotal Other</v>
      </c>
      <c r="C218" s="124" t="s">
        <v>50</v>
      </c>
      <c r="D218" s="10"/>
      <c r="E218" s="116">
        <f>I218</f>
        <v>591588</v>
      </c>
      <c r="F218" s="116">
        <f>S218</f>
        <v>57899</v>
      </c>
      <c r="G218" s="116">
        <f>AC218</f>
        <v>0</v>
      </c>
      <c r="H218" s="49" t="s">
        <v>45</v>
      </c>
      <c r="I218" s="165">
        <f>SUM(I212:I217)</f>
        <v>591588</v>
      </c>
      <c r="J218" s="68"/>
      <c r="K218" s="68"/>
      <c r="L218" s="68"/>
      <c r="M218" s="66"/>
      <c r="N218" s="414">
        <f>I218</f>
        <v>591588</v>
      </c>
      <c r="O218" s="233">
        <f>N218/N221</f>
        <v>0.11207388609101541</v>
      </c>
      <c r="P218" s="466"/>
      <c r="Q218" s="165"/>
      <c r="R218" s="185" t="s">
        <v>45</v>
      </c>
      <c r="S218" s="165">
        <f>SUM(S212:S217)</f>
        <v>57899</v>
      </c>
      <c r="T218" s="68"/>
      <c r="U218" s="68"/>
      <c r="V218" s="68"/>
      <c r="W218" s="66"/>
      <c r="X218" s="165">
        <f>S218</f>
        <v>57899</v>
      </c>
      <c r="Y218" s="233">
        <f>X218/X221</f>
        <v>0.11207347149477595</v>
      </c>
      <c r="Z218" s="466"/>
      <c r="AA218" s="165"/>
      <c r="AB218" s="185" t="s">
        <v>45</v>
      </c>
      <c r="AC218" s="165">
        <f>SUM(AC212:AC217)</f>
        <v>0</v>
      </c>
      <c r="AD218" s="68"/>
      <c r="AE218" s="68"/>
      <c r="AF218" s="68"/>
      <c r="AG218" s="66"/>
      <c r="AH218" s="414">
        <f>AC218</f>
        <v>0</v>
      </c>
      <c r="AI218" s="233" t="e">
        <f>AH218/AH221</f>
        <v>#DIV/0!</v>
      </c>
      <c r="AJ218" s="714">
        <f>I218+S218+AC218</f>
        <v>649487</v>
      </c>
      <c r="AK218" s="165"/>
    </row>
    <row r="219" spans="1:37" ht="21.75" thickBot="1" x14ac:dyDescent="0.4">
      <c r="A219" s="299" t="s">
        <v>52</v>
      </c>
      <c r="B219" s="218" t="str">
        <f t="shared" si="108"/>
        <v>CFS</v>
      </c>
      <c r="C219" s="5" t="s">
        <v>48</v>
      </c>
      <c r="D219" s="10"/>
      <c r="E219" s="116"/>
      <c r="F219" s="116"/>
      <c r="G219" s="116"/>
      <c r="H219" s="100"/>
      <c r="I219" s="178"/>
      <c r="J219" s="101"/>
      <c r="K219" s="101"/>
      <c r="L219" s="101"/>
      <c r="M219" s="102"/>
      <c r="N219" s="415"/>
      <c r="O219" s="178"/>
      <c r="P219" s="178"/>
      <c r="Q219" s="178"/>
      <c r="R219" s="178"/>
      <c r="S219" s="178"/>
      <c r="T219" s="101"/>
      <c r="U219" s="101"/>
      <c r="V219" s="101"/>
      <c r="W219" s="102"/>
      <c r="X219" s="178"/>
      <c r="Y219" s="178"/>
      <c r="Z219" s="178"/>
      <c r="AA219" s="178"/>
      <c r="AB219" s="178"/>
      <c r="AC219" s="178"/>
      <c r="AD219" s="101"/>
      <c r="AE219" s="101"/>
      <c r="AF219" s="101"/>
      <c r="AG219" s="102"/>
      <c r="AH219" s="415"/>
      <c r="AI219" s="178"/>
      <c r="AJ219" s="715"/>
      <c r="AK219" s="178"/>
    </row>
    <row r="220" spans="1:37" ht="21.75" thickTop="1" x14ac:dyDescent="0.35">
      <c r="A220" s="299" t="s">
        <v>52</v>
      </c>
      <c r="B220" s="218" t="str">
        <f t="shared" si="108"/>
        <v>CFSTOTALS</v>
      </c>
      <c r="C220" s="5" t="s">
        <v>48</v>
      </c>
      <c r="D220" s="10"/>
      <c r="E220" s="116"/>
      <c r="F220" s="116"/>
      <c r="G220" s="116"/>
      <c r="H220" s="61" t="s">
        <v>28</v>
      </c>
      <c r="I220" s="103"/>
      <c r="J220" s="103"/>
      <c r="K220" s="103"/>
      <c r="L220" s="103"/>
      <c r="M220" s="104"/>
      <c r="N220" s="91"/>
      <c r="O220" s="136"/>
      <c r="P220" s="466"/>
      <c r="Q220" s="252"/>
      <c r="R220" s="186" t="s">
        <v>28</v>
      </c>
      <c r="S220" s="103"/>
      <c r="T220" s="103"/>
      <c r="U220" s="103"/>
      <c r="V220" s="103"/>
      <c r="W220" s="104"/>
      <c r="X220" s="90"/>
      <c r="Y220" s="136"/>
      <c r="Z220" s="466"/>
      <c r="AA220" s="252"/>
      <c r="AB220" s="186" t="s">
        <v>28</v>
      </c>
      <c r="AC220" s="103"/>
      <c r="AD220" s="103"/>
      <c r="AE220" s="103"/>
      <c r="AF220" s="103"/>
      <c r="AG220" s="104"/>
      <c r="AH220" s="91"/>
      <c r="AI220" s="136"/>
      <c r="AJ220" s="711"/>
      <c r="AK220" s="90"/>
    </row>
    <row r="221" spans="1:37" ht="21" x14ac:dyDescent="0.35">
      <c r="A221" s="299" t="s">
        <v>52</v>
      </c>
      <c r="B221" s="218" t="str">
        <f t="shared" si="108"/>
        <v>CFSPER YEAR</v>
      </c>
      <c r="C221" s="124" t="s">
        <v>50</v>
      </c>
      <c r="D221" s="10"/>
      <c r="E221" s="116">
        <f>I221</f>
        <v>5278553.4671258768</v>
      </c>
      <c r="F221" s="116">
        <f>S221</f>
        <v>516616.45907612337</v>
      </c>
      <c r="G221" s="116">
        <f>S221</f>
        <v>516616.45907612337</v>
      </c>
      <c r="H221" s="105" t="s">
        <v>46</v>
      </c>
      <c r="I221" s="106">
        <f>I190+I197+I204+I209+I218</f>
        <v>5278553.4671258768</v>
      </c>
      <c r="J221" s="106"/>
      <c r="K221" s="106"/>
      <c r="L221" s="106"/>
      <c r="M221" s="107"/>
      <c r="N221" s="420">
        <f>SUM(N190:N219)</f>
        <v>5278553.4671258768</v>
      </c>
      <c r="O221" s="233">
        <f>SUM(O190:O219)</f>
        <v>1</v>
      </c>
      <c r="P221" s="466"/>
      <c r="Q221" s="252"/>
      <c r="R221" s="190" t="s">
        <v>46</v>
      </c>
      <c r="S221" s="106">
        <f>S190+S197+S204+S209+S218</f>
        <v>516616.45907612337</v>
      </c>
      <c r="T221" s="106"/>
      <c r="U221" s="106"/>
      <c r="V221" s="106"/>
      <c r="W221" s="107"/>
      <c r="X221" s="52">
        <f>SUM(X190:X219)</f>
        <v>516616.45907612337</v>
      </c>
      <c r="Y221" s="233">
        <f>SUM(Y190:Y219)</f>
        <v>1</v>
      </c>
      <c r="Z221" s="466"/>
      <c r="AA221" s="252"/>
      <c r="AB221" s="190" t="s">
        <v>46</v>
      </c>
      <c r="AC221" s="106">
        <f>AC190+AC197+AC204+AC209+AC218</f>
        <v>0</v>
      </c>
      <c r="AD221" s="106"/>
      <c r="AE221" s="106"/>
      <c r="AF221" s="106"/>
      <c r="AG221" s="107"/>
      <c r="AH221" s="420">
        <f>SUM(AH190:AH219)</f>
        <v>0</v>
      </c>
      <c r="AI221" s="233" t="e">
        <f>SUM(AI190:AI219)</f>
        <v>#DIV/0!</v>
      </c>
      <c r="AJ221" s="221">
        <f t="shared" ref="AJ221:AJ225" si="110">I221+S221+AC221</f>
        <v>5795169.9262020001</v>
      </c>
      <c r="AK221" s="52"/>
    </row>
    <row r="222" spans="1:37" ht="21" x14ac:dyDescent="0.35">
      <c r="A222" s="299" t="s">
        <v>52</v>
      </c>
      <c r="B222" s="218" t="str">
        <f t="shared" si="108"/>
        <v>CFSPER PAYMENT</v>
      </c>
      <c r="C222" s="124" t="s">
        <v>50</v>
      </c>
      <c r="D222" s="10"/>
      <c r="E222" s="116"/>
      <c r="F222" s="116"/>
      <c r="G222" s="116"/>
      <c r="H222" s="49" t="s">
        <v>47</v>
      </c>
      <c r="I222" s="108">
        <f>I221/I$6</f>
        <v>0.67812151350999084</v>
      </c>
      <c r="J222" s="108"/>
      <c r="K222" s="108"/>
      <c r="L222" s="108"/>
      <c r="M222" s="109"/>
      <c r="N222" s="98"/>
      <c r="O222" s="243"/>
      <c r="P222" s="467"/>
      <c r="Q222" s="253"/>
      <c r="R222" s="185" t="s">
        <v>47</v>
      </c>
      <c r="S222" s="108">
        <f>S221/S$6</f>
        <v>0.67814700734323874</v>
      </c>
      <c r="T222" s="108"/>
      <c r="U222" s="108"/>
      <c r="V222" s="108"/>
      <c r="W222" s="109"/>
      <c r="X222" s="97"/>
      <c r="Y222" s="243"/>
      <c r="Z222" s="467"/>
      <c r="AA222" s="253"/>
      <c r="AB222" s="185" t="s">
        <v>47</v>
      </c>
      <c r="AC222" s="108">
        <f>AC221/AC$6</f>
        <v>0</v>
      </c>
      <c r="AD222" s="108"/>
      <c r="AE222" s="108"/>
      <c r="AF222" s="108"/>
      <c r="AG222" s="109"/>
      <c r="AH222" s="98"/>
      <c r="AI222" s="243"/>
      <c r="AJ222" s="713">
        <f t="shared" si="110"/>
        <v>1.3562685208532295</v>
      </c>
      <c r="AK222" s="97"/>
    </row>
    <row r="223" spans="1:37" ht="15.75" x14ac:dyDescent="0.25">
      <c r="A223" s="299" t="s">
        <v>52</v>
      </c>
      <c r="B223" s="218"/>
      <c r="C223" s="220"/>
      <c r="D223" s="10"/>
      <c r="E223" s="10"/>
      <c r="F223" s="10"/>
      <c r="G223" s="10"/>
      <c r="H223" s="137" t="s">
        <v>553</v>
      </c>
      <c r="I223" s="652">
        <f>I190+I197</f>
        <v>4686965.4671258768</v>
      </c>
      <c r="J223" s="108"/>
      <c r="K223" s="108"/>
      <c r="L223" s="108"/>
      <c r="M223" s="109"/>
      <c r="N223" s="649"/>
      <c r="O223" s="650"/>
      <c r="P223" s="92"/>
      <c r="Q223" s="37"/>
      <c r="R223" s="137" t="s">
        <v>553</v>
      </c>
      <c r="S223" s="652">
        <f>S190+S197</f>
        <v>458717.45907612337</v>
      </c>
      <c r="T223" s="108"/>
      <c r="U223" s="108"/>
      <c r="V223" s="108"/>
      <c r="W223" s="109"/>
      <c r="X223" s="651"/>
      <c r="Y223" s="650"/>
      <c r="Z223" s="92"/>
      <c r="AA223" s="37"/>
      <c r="AB223" s="137" t="s">
        <v>553</v>
      </c>
      <c r="AC223" s="652">
        <f>AC190+AC197</f>
        <v>0</v>
      </c>
      <c r="AD223" s="108"/>
      <c r="AE223" s="108"/>
      <c r="AF223" s="108"/>
      <c r="AG223" s="109"/>
      <c r="AH223" s="649"/>
      <c r="AI223" s="137"/>
      <c r="AJ223" s="709">
        <f t="shared" si="110"/>
        <v>5145682.9262020001</v>
      </c>
      <c r="AK223" s="651"/>
    </row>
    <row r="224" spans="1:37" ht="15.75" x14ac:dyDescent="0.25">
      <c r="A224" s="299" t="s">
        <v>52</v>
      </c>
      <c r="B224" s="218"/>
      <c r="C224" s="220"/>
      <c r="D224" s="10"/>
      <c r="E224" s="10"/>
      <c r="F224" s="10"/>
      <c r="G224" s="10"/>
      <c r="H224" s="137" t="s">
        <v>554</v>
      </c>
      <c r="I224" s="652">
        <f>I218+I209+I204</f>
        <v>591588</v>
      </c>
      <c r="J224" s="108"/>
      <c r="K224" s="652"/>
      <c r="L224" s="108"/>
      <c r="M224" s="109"/>
      <c r="N224" s="649"/>
      <c r="O224" s="650"/>
      <c r="P224" s="92"/>
      <c r="Q224" s="37"/>
      <c r="R224" s="137" t="s">
        <v>554</v>
      </c>
      <c r="S224" s="652">
        <f>S218+S209+S204</f>
        <v>57899</v>
      </c>
      <c r="T224" s="108"/>
      <c r="U224" s="652"/>
      <c r="V224" s="108"/>
      <c r="W224" s="109"/>
      <c r="X224" s="651"/>
      <c r="Y224" s="650"/>
      <c r="Z224" s="92"/>
      <c r="AA224" s="37"/>
      <c r="AB224" s="137" t="s">
        <v>554</v>
      </c>
      <c r="AC224" s="652">
        <f>AC218+AC209+AC204</f>
        <v>0</v>
      </c>
      <c r="AD224" s="108"/>
      <c r="AE224" s="652"/>
      <c r="AF224" s="108"/>
      <c r="AG224" s="109"/>
      <c r="AH224" s="649"/>
      <c r="AI224" s="137"/>
      <c r="AJ224" s="709">
        <f t="shared" si="110"/>
        <v>649487</v>
      </c>
      <c r="AK224" s="651"/>
    </row>
    <row r="225" spans="1:37" ht="15.75" x14ac:dyDescent="0.25">
      <c r="A225" s="299" t="s">
        <v>52</v>
      </c>
      <c r="B225" s="218"/>
      <c r="C225" s="220"/>
      <c r="D225" s="10"/>
      <c r="E225" s="10"/>
      <c r="F225" s="10"/>
      <c r="G225" s="10"/>
      <c r="H225" s="137" t="s">
        <v>552</v>
      </c>
      <c r="I225" s="652">
        <f>I221</f>
        <v>5278553.4671258768</v>
      </c>
      <c r="J225" s="108"/>
      <c r="K225" s="108"/>
      <c r="L225" s="108"/>
      <c r="M225" s="109"/>
      <c r="N225" s="649"/>
      <c r="O225" s="650"/>
      <c r="P225" s="92"/>
      <c r="Q225" s="37"/>
      <c r="R225" s="137" t="s">
        <v>552</v>
      </c>
      <c r="S225" s="652">
        <f>S221</f>
        <v>516616.45907612337</v>
      </c>
      <c r="T225" s="108"/>
      <c r="U225" s="108"/>
      <c r="V225" s="108"/>
      <c r="W225" s="109"/>
      <c r="X225" s="651"/>
      <c r="Y225" s="650"/>
      <c r="Z225" s="92"/>
      <c r="AA225" s="37"/>
      <c r="AB225" s="137" t="s">
        <v>552</v>
      </c>
      <c r="AC225" s="652">
        <f>AC221</f>
        <v>0</v>
      </c>
      <c r="AD225" s="108"/>
      <c r="AE225" s="108"/>
      <c r="AF225" s="108"/>
      <c r="AG225" s="109"/>
      <c r="AH225" s="649"/>
      <c r="AI225" s="137"/>
      <c r="AJ225" s="709">
        <f t="shared" si="110"/>
        <v>5795169.9262020001</v>
      </c>
      <c r="AK225" s="651"/>
    </row>
    <row r="226" spans="1:37" ht="47.25" x14ac:dyDescent="0.25">
      <c r="A226" s="299" t="s">
        <v>7</v>
      </c>
      <c r="B226" s="218" t="str">
        <f t="shared" si="108"/>
        <v>Office ServiceLABOR: NON-SUPERVISORY</v>
      </c>
      <c r="C226" s="12" t="s">
        <v>7</v>
      </c>
      <c r="D226" s="10" t="str">
        <f>'2015Summary METER to CASH (Base'!G24</f>
        <v>* Print, insert &amp; mail bills
* Printer &amp; Inserter equipment maint</v>
      </c>
      <c r="E226" s="117">
        <f>N262</f>
        <v>310307.20874999999</v>
      </c>
      <c r="F226" s="117">
        <f>X262</f>
        <v>39050.124499999998</v>
      </c>
      <c r="G226" s="117">
        <f>AC262</f>
        <v>1379.3741</v>
      </c>
      <c r="H226" s="182" t="s">
        <v>31</v>
      </c>
      <c r="I226" s="157"/>
      <c r="J226" s="118"/>
      <c r="K226" s="118"/>
      <c r="L226" s="118"/>
      <c r="M226" s="119"/>
      <c r="N226" s="121"/>
      <c r="O226" s="135"/>
      <c r="P226" s="456"/>
      <c r="Q226" s="248"/>
      <c r="R226" s="183" t="s">
        <v>31</v>
      </c>
      <c r="S226" s="157"/>
      <c r="T226" s="118"/>
      <c r="U226" s="118"/>
      <c r="V226" s="118"/>
      <c r="W226" s="119"/>
      <c r="X226" s="120"/>
      <c r="Y226" s="135"/>
      <c r="Z226" s="456"/>
      <c r="AA226" s="248"/>
      <c r="AB226" s="183" t="s">
        <v>31</v>
      </c>
      <c r="AC226" s="157"/>
      <c r="AD226" s="118"/>
      <c r="AE226" s="118"/>
      <c r="AF226" s="118"/>
      <c r="AG226" s="119"/>
      <c r="AH226" s="121"/>
      <c r="AI226" s="135"/>
      <c r="AJ226" s="705"/>
      <c r="AK226" s="120"/>
    </row>
    <row r="227" spans="1:37" ht="21" x14ac:dyDescent="0.35">
      <c r="A227" s="299" t="s">
        <v>7</v>
      </c>
      <c r="B227" s="218" t="str">
        <f t="shared" si="108"/>
        <v>Office ServiceComputer Support 1</v>
      </c>
      <c r="C227" s="5" t="s">
        <v>48</v>
      </c>
      <c r="D227" s="10"/>
      <c r="E227" s="117"/>
      <c r="F227" s="117"/>
      <c r="G227" s="117"/>
      <c r="H227" s="38" t="s">
        <v>314</v>
      </c>
      <c r="I227" s="158">
        <f>J227*K227</f>
        <v>39469</v>
      </c>
      <c r="J227" s="42">
        <v>1450</v>
      </c>
      <c r="K227" s="39">
        <v>27.22</v>
      </c>
      <c r="L227" s="39"/>
      <c r="M227" s="40" t="str">
        <f>J227&amp;" hrs @ "&amp;K227</f>
        <v>1450 hrs @ 27.22</v>
      </c>
      <c r="N227" s="35"/>
      <c r="O227" s="136"/>
      <c r="P227" s="457"/>
      <c r="Q227" s="249"/>
      <c r="R227" s="184" t="s">
        <v>314</v>
      </c>
      <c r="S227" s="158">
        <f>T227*U227</f>
        <v>4563</v>
      </c>
      <c r="T227" s="42">
        <v>169</v>
      </c>
      <c r="U227" s="39">
        <v>27</v>
      </c>
      <c r="V227" s="39"/>
      <c r="W227" s="40" t="str">
        <f>T227&amp;" hrs @ "&amp;U227</f>
        <v>169 hrs @ 27</v>
      </c>
      <c r="X227" s="34"/>
      <c r="Y227" s="136"/>
      <c r="Z227" s="457"/>
      <c r="AA227" s="249"/>
      <c r="AB227" s="184" t="s">
        <v>314</v>
      </c>
      <c r="AC227" s="158">
        <f>AD227*AE227</f>
        <v>162</v>
      </c>
      <c r="AD227" s="42">
        <v>6</v>
      </c>
      <c r="AE227" s="39">
        <v>27</v>
      </c>
      <c r="AF227" s="39"/>
      <c r="AG227" s="40" t="str">
        <f>AD227&amp;" hrs @ "&amp;AE227</f>
        <v>6 hrs @ 27</v>
      </c>
      <c r="AH227" s="35"/>
      <c r="AI227" s="136"/>
      <c r="AJ227" s="706">
        <f t="shared" ref="AJ227:AJ233" si="111">I227+S227+AC227</f>
        <v>44194</v>
      </c>
      <c r="AK227" s="34"/>
    </row>
    <row r="228" spans="1:37" ht="21" x14ac:dyDescent="0.35">
      <c r="A228" s="299" t="s">
        <v>7</v>
      </c>
      <c r="B228" s="218" t="str">
        <f t="shared" si="108"/>
        <v>Office ServiceOffice Services 1</v>
      </c>
      <c r="C228" s="5" t="s">
        <v>48</v>
      </c>
      <c r="D228" s="10"/>
      <c r="E228" s="117"/>
      <c r="F228" s="117"/>
      <c r="G228" s="117"/>
      <c r="H228" s="38" t="s">
        <v>315</v>
      </c>
      <c r="I228" s="158">
        <f t="shared" ref="I228" si="112">J228*K228</f>
        <v>38976</v>
      </c>
      <c r="J228" s="42">
        <v>1856</v>
      </c>
      <c r="K228" s="39">
        <v>21</v>
      </c>
      <c r="L228" s="42"/>
      <c r="M228" s="40" t="str">
        <f t="shared" ref="M228:M230" si="113">J228&amp;" hrs @ "&amp;K228</f>
        <v>1856 hrs @ 21</v>
      </c>
      <c r="N228" s="35"/>
      <c r="O228" s="136"/>
      <c r="P228" s="457"/>
      <c r="Q228" s="250"/>
      <c r="R228" s="184" t="s">
        <v>315</v>
      </c>
      <c r="S228" s="158">
        <f t="shared" ref="S228" si="114">T228*U228</f>
        <v>4557</v>
      </c>
      <c r="T228" s="42">
        <v>217</v>
      </c>
      <c r="U228" s="39">
        <v>21</v>
      </c>
      <c r="V228" s="42"/>
      <c r="W228" s="40" t="str">
        <f t="shared" ref="W228:W230" si="115">T228&amp;" hrs @ "&amp;U228</f>
        <v>217 hrs @ 21</v>
      </c>
      <c r="X228" s="34"/>
      <c r="Y228" s="136"/>
      <c r="Z228" s="457"/>
      <c r="AA228" s="250"/>
      <c r="AB228" s="184" t="s">
        <v>315</v>
      </c>
      <c r="AC228" s="158">
        <f t="shared" ref="AC228" si="116">AD228*AE228</f>
        <v>147</v>
      </c>
      <c r="AD228" s="42">
        <v>7</v>
      </c>
      <c r="AE228" s="39">
        <v>21</v>
      </c>
      <c r="AF228" s="42"/>
      <c r="AG228" s="40" t="str">
        <f t="shared" ref="AG228:AG230" si="117">AD228&amp;" hrs @ "&amp;AE228</f>
        <v>7 hrs @ 21</v>
      </c>
      <c r="AH228" s="35"/>
      <c r="AI228" s="136"/>
      <c r="AJ228" s="706">
        <f t="shared" si="111"/>
        <v>43680</v>
      </c>
      <c r="AK228" s="34"/>
    </row>
    <row r="229" spans="1:37" ht="21" x14ac:dyDescent="0.35">
      <c r="A229" s="299" t="s">
        <v>7</v>
      </c>
      <c r="B229" s="218" t="str">
        <f t="shared" si="108"/>
        <v>Office Service</v>
      </c>
      <c r="C229" s="5" t="s">
        <v>48</v>
      </c>
      <c r="D229" s="10"/>
      <c r="E229" s="117"/>
      <c r="F229" s="117"/>
      <c r="G229" s="117"/>
      <c r="H229" s="38"/>
      <c r="I229" s="158"/>
      <c r="J229" s="42"/>
      <c r="K229" s="39"/>
      <c r="L229" s="42"/>
      <c r="M229" s="40" t="str">
        <f t="shared" si="113"/>
        <v xml:space="preserve"> hrs @ </v>
      </c>
      <c r="N229" s="35"/>
      <c r="O229" s="136"/>
      <c r="P229" s="457"/>
      <c r="Q229" s="249"/>
      <c r="R229" s="184"/>
      <c r="S229" s="158"/>
      <c r="T229" s="42"/>
      <c r="U229" s="39"/>
      <c r="V229" s="42"/>
      <c r="W229" s="40" t="str">
        <f t="shared" si="115"/>
        <v xml:space="preserve"> hrs @ </v>
      </c>
      <c r="X229" s="34"/>
      <c r="Y229" s="136"/>
      <c r="Z229" s="457"/>
      <c r="AA229" s="249"/>
      <c r="AB229" s="184"/>
      <c r="AC229" s="158"/>
      <c r="AD229" s="42"/>
      <c r="AE229" s="39"/>
      <c r="AF229" s="42"/>
      <c r="AG229" s="40" t="str">
        <f t="shared" si="117"/>
        <v xml:space="preserve"> hrs @ </v>
      </c>
      <c r="AH229" s="35"/>
      <c r="AI229" s="136"/>
      <c r="AJ229" s="706">
        <f t="shared" si="111"/>
        <v>0</v>
      </c>
      <c r="AK229" s="34"/>
    </row>
    <row r="230" spans="1:37" ht="21" x14ac:dyDescent="0.35">
      <c r="A230" s="299" t="s">
        <v>7</v>
      </c>
      <c r="B230" s="218" t="str">
        <f t="shared" si="108"/>
        <v>Office Service</v>
      </c>
      <c r="C230" s="5" t="s">
        <v>48</v>
      </c>
      <c r="D230" s="10"/>
      <c r="E230" s="117"/>
      <c r="F230" s="117"/>
      <c r="G230" s="117"/>
      <c r="H230" s="179"/>
      <c r="I230" s="173"/>
      <c r="J230" s="174"/>
      <c r="K230" s="175"/>
      <c r="L230" s="181"/>
      <c r="M230" s="176" t="str">
        <f t="shared" si="113"/>
        <v xml:space="preserve"> hrs @ </v>
      </c>
      <c r="N230" s="35"/>
      <c r="O230" s="136"/>
      <c r="P230" s="457"/>
      <c r="Q230" s="251"/>
      <c r="R230" s="179"/>
      <c r="S230" s="173"/>
      <c r="T230" s="174"/>
      <c r="U230" s="175"/>
      <c r="V230" s="181"/>
      <c r="W230" s="176" t="str">
        <f t="shared" si="115"/>
        <v xml:space="preserve"> hrs @ </v>
      </c>
      <c r="X230" s="34"/>
      <c r="Y230" s="136"/>
      <c r="Z230" s="457"/>
      <c r="AA230" s="251"/>
      <c r="AB230" s="179"/>
      <c r="AC230" s="173"/>
      <c r="AD230" s="174"/>
      <c r="AE230" s="175"/>
      <c r="AF230" s="181"/>
      <c r="AG230" s="176" t="str">
        <f t="shared" si="117"/>
        <v xml:space="preserve"> hrs @ </v>
      </c>
      <c r="AH230" s="35"/>
      <c r="AI230" s="136"/>
      <c r="AJ230" s="706">
        <f t="shared" si="111"/>
        <v>0</v>
      </c>
      <c r="AK230" s="34"/>
    </row>
    <row r="231" spans="1:37" ht="21" x14ac:dyDescent="0.35">
      <c r="A231" s="299" t="s">
        <v>7</v>
      </c>
      <c r="B231" s="218" t="str">
        <f t="shared" si="108"/>
        <v>Office ServiceTotal Wages</v>
      </c>
      <c r="C231" s="5" t="s">
        <v>48</v>
      </c>
      <c r="D231" s="10"/>
      <c r="E231" s="117"/>
      <c r="F231" s="117"/>
      <c r="G231" s="117"/>
      <c r="H231" s="38" t="s">
        <v>32</v>
      </c>
      <c r="I231" s="158">
        <f>SUM(I227:I230)</f>
        <v>78445</v>
      </c>
      <c r="J231" s="42"/>
      <c r="K231" s="39"/>
      <c r="L231" s="39"/>
      <c r="M231" s="40"/>
      <c r="N231" s="35"/>
      <c r="O231" s="136"/>
      <c r="P231" s="457"/>
      <c r="Q231" s="249"/>
      <c r="R231" s="184" t="s">
        <v>32</v>
      </c>
      <c r="S231" s="158">
        <f>SUM(S227:S230)</f>
        <v>9120</v>
      </c>
      <c r="T231" s="42"/>
      <c r="U231" s="39"/>
      <c r="V231" s="39"/>
      <c r="W231" s="40"/>
      <c r="X231" s="34"/>
      <c r="Y231" s="136"/>
      <c r="Z231" s="457"/>
      <c r="AA231" s="249"/>
      <c r="AB231" s="184" t="s">
        <v>32</v>
      </c>
      <c r="AC231" s="158">
        <f>SUM(AC227:AC230)</f>
        <v>309</v>
      </c>
      <c r="AD231" s="42"/>
      <c r="AE231" s="39"/>
      <c r="AF231" s="39"/>
      <c r="AG231" s="40"/>
      <c r="AH231" s="35"/>
      <c r="AI231" s="136"/>
      <c r="AJ231" s="706">
        <f t="shared" si="111"/>
        <v>87874</v>
      </c>
      <c r="AK231" s="34"/>
    </row>
    <row r="232" spans="1:37" ht="21" x14ac:dyDescent="0.35">
      <c r="A232" s="299" t="s">
        <v>7</v>
      </c>
      <c r="B232" s="218" t="str">
        <f t="shared" si="108"/>
        <v>Office ServiceBenefits</v>
      </c>
      <c r="C232" s="5" t="s">
        <v>48</v>
      </c>
      <c r="D232" s="10"/>
      <c r="E232" s="117"/>
      <c r="F232" s="117"/>
      <c r="G232" s="117"/>
      <c r="H232" s="38" t="s">
        <v>33</v>
      </c>
      <c r="I232" s="159">
        <f>I231*$O$2</f>
        <v>77338.925499999998</v>
      </c>
      <c r="J232" s="42"/>
      <c r="K232" s="39"/>
      <c r="M232" s="45" t="str">
        <f>"@ "&amp;$O$2*100&amp;" %"</f>
        <v>@ 98.59 %</v>
      </c>
      <c r="N232" s="47"/>
      <c r="O232" s="432"/>
      <c r="P232" s="460"/>
      <c r="Q232" s="249"/>
      <c r="R232" s="184" t="s">
        <v>33</v>
      </c>
      <c r="S232" s="159">
        <f>S231*$O$2</f>
        <v>8991.4079999999994</v>
      </c>
      <c r="T232" s="42"/>
      <c r="U232" s="39"/>
      <c r="W232" s="45" t="str">
        <f>"@ "&amp;$O$2*100&amp;" %"</f>
        <v>@ 98.59 %</v>
      </c>
      <c r="X232" s="46"/>
      <c r="Y232" s="432"/>
      <c r="Z232" s="460"/>
      <c r="AA232" s="249"/>
      <c r="AB232" s="184" t="s">
        <v>33</v>
      </c>
      <c r="AC232" s="159">
        <f>AC231*$O$2</f>
        <v>304.6431</v>
      </c>
      <c r="AD232" s="42"/>
      <c r="AE232" s="39"/>
      <c r="AG232" s="45" t="str">
        <f>"@ "&amp;$O$2*100&amp;" %"</f>
        <v>@ 98.59 %</v>
      </c>
      <c r="AH232" s="47"/>
      <c r="AI232" s="432"/>
      <c r="AJ232" s="708">
        <f t="shared" si="111"/>
        <v>86634.976599999995</v>
      </c>
      <c r="AK232" s="46"/>
    </row>
    <row r="233" spans="1:37" ht="21" x14ac:dyDescent="0.25">
      <c r="A233" s="299" t="s">
        <v>7</v>
      </c>
      <c r="B233" s="218" t="str">
        <f t="shared" si="108"/>
        <v>Office ServiceTotal</v>
      </c>
      <c r="C233" s="125" t="s">
        <v>50</v>
      </c>
      <c r="D233" s="10"/>
      <c r="E233" s="117"/>
      <c r="F233" s="117"/>
      <c r="G233" s="117"/>
      <c r="H233" s="49" t="s">
        <v>34</v>
      </c>
      <c r="I233" s="160">
        <f>I231+I232</f>
        <v>155783.92550000001</v>
      </c>
      <c r="J233" s="42"/>
      <c r="K233" s="39"/>
      <c r="L233" s="50"/>
      <c r="M233" s="51"/>
      <c r="N233" s="420">
        <f>I233</f>
        <v>155783.92550000001</v>
      </c>
      <c r="O233" s="233">
        <f>N233/N262</f>
        <v>0.50203128096037186</v>
      </c>
      <c r="P233" s="461"/>
      <c r="Q233" s="252"/>
      <c r="R233" s="185" t="s">
        <v>34</v>
      </c>
      <c r="S233" s="160">
        <f>S231+S232</f>
        <v>18111.407999999999</v>
      </c>
      <c r="T233" s="42"/>
      <c r="U233" s="39"/>
      <c r="V233" s="50"/>
      <c r="W233" s="51"/>
      <c r="X233" s="52">
        <f>S233</f>
        <v>18111.407999999999</v>
      </c>
      <c r="Y233" s="233">
        <f>X233/X262</f>
        <v>0.46379898225420513</v>
      </c>
      <c r="Z233" s="461"/>
      <c r="AA233" s="252"/>
      <c r="AB233" s="185" t="s">
        <v>34</v>
      </c>
      <c r="AC233" s="160">
        <f>AC231+AC232</f>
        <v>613.6431</v>
      </c>
      <c r="AD233" s="42"/>
      <c r="AE233" s="39"/>
      <c r="AF233" s="50"/>
      <c r="AG233" s="51"/>
      <c r="AH233" s="420">
        <f>AC233</f>
        <v>613.6431</v>
      </c>
      <c r="AI233" s="233">
        <f>AH233/AH262</f>
        <v>0.44487068446478734</v>
      </c>
      <c r="AJ233" s="221">
        <f t="shared" si="111"/>
        <v>174508.97659999999</v>
      </c>
      <c r="AK233" s="52"/>
    </row>
    <row r="234" spans="1:37" ht="21" x14ac:dyDescent="0.35">
      <c r="A234" s="299" t="s">
        <v>7</v>
      </c>
      <c r="B234" s="218" t="str">
        <f t="shared" si="108"/>
        <v>Office Service</v>
      </c>
      <c r="C234" s="5" t="s">
        <v>48</v>
      </c>
      <c r="D234" s="10"/>
      <c r="E234" s="117"/>
      <c r="F234" s="117"/>
      <c r="G234" s="117"/>
      <c r="H234" s="54"/>
      <c r="I234" s="166"/>
      <c r="J234" s="69"/>
      <c r="K234" s="69"/>
      <c r="L234" s="69"/>
      <c r="M234" s="70"/>
      <c r="N234" s="58"/>
      <c r="O234" s="231"/>
      <c r="P234" s="458"/>
      <c r="Q234" s="253"/>
      <c r="R234" s="179"/>
      <c r="S234" s="166"/>
      <c r="T234" s="69"/>
      <c r="U234" s="69"/>
      <c r="V234" s="69"/>
      <c r="W234" s="70"/>
      <c r="X234" s="57"/>
      <c r="Y234" s="231"/>
      <c r="Z234" s="458"/>
      <c r="AA234" s="253"/>
      <c r="AB234" s="179"/>
      <c r="AC234" s="166"/>
      <c r="AD234" s="69"/>
      <c r="AE234" s="69"/>
      <c r="AF234" s="69"/>
      <c r="AG234" s="70"/>
      <c r="AH234" s="58"/>
      <c r="AI234" s="231"/>
      <c r="AJ234" s="707"/>
      <c r="AK234" s="57"/>
    </row>
    <row r="235" spans="1:37" ht="21" x14ac:dyDescent="0.35">
      <c r="A235" s="299" t="s">
        <v>7</v>
      </c>
      <c r="B235" s="218" t="str">
        <f t="shared" si="108"/>
        <v>Office ServiceLABOR: SUPERVISORY</v>
      </c>
      <c r="C235" s="124" t="s">
        <v>50</v>
      </c>
      <c r="D235" s="10"/>
      <c r="E235" s="117"/>
      <c r="F235" s="117"/>
      <c r="G235" s="117"/>
      <c r="H235" s="61" t="s">
        <v>35</v>
      </c>
      <c r="I235" s="167"/>
      <c r="J235" s="74"/>
      <c r="K235" s="74"/>
      <c r="L235" s="74"/>
      <c r="M235" s="66"/>
      <c r="N235" s="26"/>
      <c r="O235" s="234"/>
      <c r="P235" s="462"/>
      <c r="Q235" s="252"/>
      <c r="R235" s="186" t="s">
        <v>35</v>
      </c>
      <c r="S235" s="167"/>
      <c r="T235" s="74"/>
      <c r="U235" s="74"/>
      <c r="V235" s="74"/>
      <c r="W235" s="66"/>
      <c r="X235" s="64"/>
      <c r="Y235" s="234"/>
      <c r="Z235" s="462"/>
      <c r="AA235" s="252"/>
      <c r="AB235" s="186" t="s">
        <v>35</v>
      </c>
      <c r="AC235" s="167"/>
      <c r="AD235" s="74"/>
      <c r="AE235" s="74"/>
      <c r="AF235" s="74"/>
      <c r="AG235" s="66"/>
      <c r="AH235" s="26"/>
      <c r="AI235" s="234"/>
      <c r="AJ235" s="706"/>
      <c r="AK235" s="64"/>
    </row>
    <row r="236" spans="1:37" ht="21" x14ac:dyDescent="0.35">
      <c r="A236" s="299" t="s">
        <v>7</v>
      </c>
      <c r="B236" s="218" t="str">
        <f t="shared" si="108"/>
        <v xml:space="preserve">Office ServiceSalary </v>
      </c>
      <c r="C236" s="5" t="s">
        <v>48</v>
      </c>
      <c r="D236" s="10"/>
      <c r="E236" s="117"/>
      <c r="F236" s="117"/>
      <c r="G236" s="117"/>
      <c r="H236" s="38" t="s">
        <v>316</v>
      </c>
      <c r="I236" s="158">
        <f t="shared" ref="I236" si="118">J236*K236</f>
        <v>16717.5</v>
      </c>
      <c r="J236" s="42">
        <v>371.5</v>
      </c>
      <c r="K236" s="39">
        <v>45</v>
      </c>
      <c r="L236" s="43"/>
      <c r="M236" s="40" t="str">
        <f t="shared" ref="M236" si="119">J236&amp;" hrs @ "&amp;K236</f>
        <v>371.5 hrs @ 45</v>
      </c>
      <c r="N236" s="26"/>
      <c r="O236" s="234"/>
      <c r="P236" s="462"/>
      <c r="Q236" s="249"/>
      <c r="R236" s="184" t="s">
        <v>316</v>
      </c>
      <c r="S236" s="158">
        <f t="shared" ref="S236" si="120">T236*U236</f>
        <v>1935</v>
      </c>
      <c r="T236" s="42">
        <v>43</v>
      </c>
      <c r="U236" s="39">
        <v>45</v>
      </c>
      <c r="V236" s="43"/>
      <c r="W236" s="40" t="str">
        <f t="shared" ref="W236" si="121">T236&amp;" hrs @ "&amp;U236</f>
        <v>43 hrs @ 45</v>
      </c>
      <c r="X236" s="64"/>
      <c r="Y236" s="234"/>
      <c r="Z236" s="462"/>
      <c r="AA236" s="249"/>
      <c r="AB236" s="184" t="s">
        <v>316</v>
      </c>
      <c r="AC236" s="158">
        <f t="shared" ref="AC236" si="122">AD236*AE236</f>
        <v>90</v>
      </c>
      <c r="AD236" s="42">
        <v>2</v>
      </c>
      <c r="AE236" s="39">
        <v>45</v>
      </c>
      <c r="AF236" s="43"/>
      <c r="AG236" s="40" t="str">
        <f t="shared" ref="AG236" si="123">AD236&amp;" hrs @ "&amp;AE236</f>
        <v>2 hrs @ 45</v>
      </c>
      <c r="AH236" s="26"/>
      <c r="AI236" s="234"/>
      <c r="AJ236" s="706">
        <f t="shared" ref="AJ236:AJ238" si="124">I236+S236+AC236</f>
        <v>18742.5</v>
      </c>
      <c r="AK236" s="64"/>
    </row>
    <row r="237" spans="1:37" ht="21" x14ac:dyDescent="0.35">
      <c r="A237" s="299" t="s">
        <v>7</v>
      </c>
      <c r="B237" s="218" t="str">
        <f t="shared" si="108"/>
        <v>Office ServiceBenefits</v>
      </c>
      <c r="C237" s="5" t="s">
        <v>48</v>
      </c>
      <c r="D237" s="10"/>
      <c r="E237" s="117"/>
      <c r="F237" s="117"/>
      <c r="G237" s="117"/>
      <c r="H237" s="38" t="s">
        <v>33</v>
      </c>
      <c r="I237" s="159">
        <f>I236*$O$2</f>
        <v>16481.78325</v>
      </c>
      <c r="J237" s="42"/>
      <c r="K237" s="39"/>
      <c r="L237" s="156"/>
      <c r="M237" s="45" t="str">
        <f>"@ "&amp;$O$2*100&amp;" %"</f>
        <v>@ 98.59 %</v>
      </c>
      <c r="N237" s="26"/>
      <c r="O237" s="234"/>
      <c r="P237" s="462"/>
      <c r="Q237" s="249"/>
      <c r="R237" s="184" t="s">
        <v>33</v>
      </c>
      <c r="S237" s="159">
        <f>S236*$O$2</f>
        <v>1907.7165</v>
      </c>
      <c r="T237" s="42"/>
      <c r="U237" s="39"/>
      <c r="V237" s="156"/>
      <c r="W237" s="45" t="str">
        <f>"@ "&amp;$O$2*100&amp;" %"</f>
        <v>@ 98.59 %</v>
      </c>
      <c r="X237" s="64"/>
      <c r="Y237" s="234"/>
      <c r="Z237" s="462"/>
      <c r="AA237" s="249"/>
      <c r="AB237" s="184" t="s">
        <v>33</v>
      </c>
      <c r="AC237" s="159">
        <f>AC236*$O$2</f>
        <v>88.730999999999995</v>
      </c>
      <c r="AD237" s="42"/>
      <c r="AE237" s="39"/>
      <c r="AF237" s="156"/>
      <c r="AG237" s="45" t="str">
        <f>"@ "&amp;$O$2*100&amp;" %"</f>
        <v>@ 98.59 %</v>
      </c>
      <c r="AH237" s="26"/>
      <c r="AI237" s="234"/>
      <c r="AJ237" s="706">
        <f t="shared" si="124"/>
        <v>18478.230749999999</v>
      </c>
      <c r="AK237" s="64"/>
    </row>
    <row r="238" spans="1:37" ht="21" x14ac:dyDescent="0.35">
      <c r="A238" s="299" t="s">
        <v>7</v>
      </c>
      <c r="B238" s="218" t="str">
        <f t="shared" si="108"/>
        <v>Office ServiceTotal</v>
      </c>
      <c r="C238" s="124" t="s">
        <v>50</v>
      </c>
      <c r="D238" s="10"/>
      <c r="E238" s="117"/>
      <c r="F238" s="117"/>
      <c r="G238" s="117"/>
      <c r="H238" s="49" t="s">
        <v>34</v>
      </c>
      <c r="I238" s="165">
        <f>I237+I236</f>
        <v>33199.28325</v>
      </c>
      <c r="J238" s="68"/>
      <c r="K238" s="68"/>
      <c r="L238" s="68"/>
      <c r="M238" s="63"/>
      <c r="N238" s="420">
        <f>I238</f>
        <v>33199.28325</v>
      </c>
      <c r="O238" s="233">
        <f>N238/N262</f>
        <v>0.10698843698712494</v>
      </c>
      <c r="P238" s="462"/>
      <c r="Q238" s="249"/>
      <c r="R238" s="185" t="s">
        <v>34</v>
      </c>
      <c r="S238" s="165">
        <f>S237+S236</f>
        <v>3842.7165</v>
      </c>
      <c r="T238" s="68"/>
      <c r="U238" s="68"/>
      <c r="V238" s="68"/>
      <c r="W238" s="63"/>
      <c r="X238" s="52">
        <f>S238</f>
        <v>3842.7165</v>
      </c>
      <c r="Y238" s="233">
        <f>X238/X262</f>
        <v>9.84047182743297E-2</v>
      </c>
      <c r="Z238" s="462"/>
      <c r="AA238" s="249"/>
      <c r="AB238" s="185" t="s">
        <v>34</v>
      </c>
      <c r="AC238" s="165">
        <f>AC237+AC236</f>
        <v>178.73099999999999</v>
      </c>
      <c r="AD238" s="68"/>
      <c r="AE238" s="68"/>
      <c r="AF238" s="68"/>
      <c r="AG238" s="63"/>
      <c r="AH238" s="420">
        <f>AC238</f>
        <v>178.73099999999999</v>
      </c>
      <c r="AI238" s="233">
        <f>AH238/AH262</f>
        <v>0.12957398576644291</v>
      </c>
      <c r="AJ238" s="221">
        <f t="shared" si="124"/>
        <v>37220.730750000002</v>
      </c>
      <c r="AK238" s="52"/>
    </row>
    <row r="239" spans="1:37" ht="21" x14ac:dyDescent="0.35">
      <c r="A239" s="299" t="s">
        <v>7</v>
      </c>
      <c r="B239" s="218" t="str">
        <f t="shared" si="108"/>
        <v>Office Service</v>
      </c>
      <c r="C239" s="5" t="s">
        <v>48</v>
      </c>
      <c r="D239" s="10"/>
      <c r="E239" s="117"/>
      <c r="F239" s="117"/>
      <c r="G239" s="117"/>
      <c r="H239" s="54"/>
      <c r="I239" s="166"/>
      <c r="J239" s="69"/>
      <c r="K239" s="69"/>
      <c r="L239" s="69"/>
      <c r="M239" s="70"/>
      <c r="N239" s="72"/>
      <c r="O239" s="235"/>
      <c r="P239" s="463"/>
      <c r="Q239" s="253"/>
      <c r="R239" s="179"/>
      <c r="S239" s="166"/>
      <c r="T239" s="69"/>
      <c r="U239" s="69"/>
      <c r="V239" s="69"/>
      <c r="W239" s="70"/>
      <c r="X239" s="71"/>
      <c r="Y239" s="235"/>
      <c r="Z239" s="463"/>
      <c r="AA239" s="253"/>
      <c r="AB239" s="179"/>
      <c r="AC239" s="166"/>
      <c r="AD239" s="69"/>
      <c r="AE239" s="69"/>
      <c r="AF239" s="69"/>
      <c r="AG239" s="70"/>
      <c r="AH239" s="72"/>
      <c r="AI239" s="235"/>
      <c r="AJ239" s="707"/>
      <c r="AK239" s="71"/>
    </row>
    <row r="240" spans="1:37" ht="21" x14ac:dyDescent="0.35">
      <c r="A240" s="299" t="s">
        <v>7</v>
      </c>
      <c r="B240" s="218" t="str">
        <f t="shared" si="108"/>
        <v>Office ServiceEQUIPMENT</v>
      </c>
      <c r="C240" s="124" t="s">
        <v>50</v>
      </c>
      <c r="D240" s="10"/>
      <c r="E240" s="117"/>
      <c r="F240" s="117"/>
      <c r="G240" s="117"/>
      <c r="H240" s="61" t="s">
        <v>36</v>
      </c>
      <c r="I240" s="167"/>
      <c r="J240" s="74"/>
      <c r="K240" s="74"/>
      <c r="L240" s="74"/>
      <c r="M240" s="66"/>
      <c r="N240" s="76"/>
      <c r="O240" s="237"/>
      <c r="P240" s="462"/>
      <c r="Q240" s="252"/>
      <c r="R240" s="186" t="s">
        <v>36</v>
      </c>
      <c r="S240" s="167"/>
      <c r="T240" s="74"/>
      <c r="U240" s="74"/>
      <c r="V240" s="74"/>
      <c r="W240" s="66"/>
      <c r="X240" s="75"/>
      <c r="Y240" s="237"/>
      <c r="Z240" s="462"/>
      <c r="AA240" s="252"/>
      <c r="AB240" s="186" t="s">
        <v>36</v>
      </c>
      <c r="AC240" s="167"/>
      <c r="AD240" s="74"/>
      <c r="AE240" s="74"/>
      <c r="AF240" s="74"/>
      <c r="AG240" s="66"/>
      <c r="AH240" s="76"/>
      <c r="AI240" s="237"/>
      <c r="AJ240" s="221"/>
      <c r="AK240" s="75"/>
    </row>
    <row r="241" spans="1:37" ht="21" x14ac:dyDescent="0.35">
      <c r="A241" s="299" t="s">
        <v>7</v>
      </c>
      <c r="B241" s="218" t="str">
        <f t="shared" si="108"/>
        <v>Office ServiceInserter</v>
      </c>
      <c r="C241" s="5" t="s">
        <v>48</v>
      </c>
      <c r="D241" s="10"/>
      <c r="E241" s="117"/>
      <c r="F241" s="117"/>
      <c r="G241" s="117"/>
      <c r="H241" s="77" t="s">
        <v>317</v>
      </c>
      <c r="I241" s="158">
        <f>J241*K241</f>
        <v>75086</v>
      </c>
      <c r="J241" s="42">
        <v>1</v>
      </c>
      <c r="K241" s="579">
        <v>75086</v>
      </c>
      <c r="L241" s="39"/>
      <c r="M241" s="40"/>
      <c r="N241" s="76"/>
      <c r="O241" s="237"/>
      <c r="P241" s="462"/>
      <c r="Q241" s="252"/>
      <c r="R241" s="187" t="s">
        <v>317</v>
      </c>
      <c r="S241" s="158">
        <f>T241*U241</f>
        <v>8710</v>
      </c>
      <c r="T241" s="42">
        <v>1</v>
      </c>
      <c r="U241" s="579">
        <v>8710</v>
      </c>
      <c r="V241" s="39"/>
      <c r="W241" s="40"/>
      <c r="X241" s="75"/>
      <c r="Y241" s="237"/>
      <c r="Z241" s="462"/>
      <c r="AA241" s="252"/>
      <c r="AB241" s="187" t="s">
        <v>317</v>
      </c>
      <c r="AC241" s="158">
        <f>AD241*AE241</f>
        <v>287</v>
      </c>
      <c r="AD241" s="42">
        <v>1</v>
      </c>
      <c r="AE241" s="579">
        <v>287</v>
      </c>
      <c r="AF241" s="39"/>
      <c r="AG241" s="40"/>
      <c r="AH241" s="76"/>
      <c r="AI241" s="237"/>
      <c r="AJ241" s="221">
        <f t="shared" ref="AJ241:AJ243" si="125">I241+S241+AC241</f>
        <v>84083</v>
      </c>
      <c r="AK241" s="75"/>
    </row>
    <row r="242" spans="1:37" ht="21" x14ac:dyDescent="0.35">
      <c r="A242" s="299" t="s">
        <v>7</v>
      </c>
      <c r="B242" s="218" t="str">
        <f t="shared" si="108"/>
        <v>Office ServicePrinter</v>
      </c>
      <c r="C242" s="5" t="s">
        <v>48</v>
      </c>
      <c r="D242" s="10"/>
      <c r="E242" s="117"/>
      <c r="F242" s="117"/>
      <c r="G242" s="117"/>
      <c r="H242" s="77" t="s">
        <v>318</v>
      </c>
      <c r="I242" s="158">
        <f t="shared" ref="I242:I243" si="126">J242*K242</f>
        <v>30005</v>
      </c>
      <c r="J242" s="42">
        <v>1</v>
      </c>
      <c r="K242" s="579">
        <v>30005</v>
      </c>
      <c r="L242" s="39"/>
      <c r="M242" s="40"/>
      <c r="N242" s="79"/>
      <c r="O242" s="238"/>
      <c r="P242" s="464"/>
      <c r="Q242" s="254"/>
      <c r="R242" s="187" t="s">
        <v>318</v>
      </c>
      <c r="S242" s="158">
        <f t="shared" ref="S242:S243" si="127">T242*U242</f>
        <v>3480</v>
      </c>
      <c r="T242" s="42">
        <v>1</v>
      </c>
      <c r="U242" s="579">
        <v>3480</v>
      </c>
      <c r="V242" s="39"/>
      <c r="W242" s="40"/>
      <c r="X242" s="78"/>
      <c r="Y242" s="238"/>
      <c r="Z242" s="464"/>
      <c r="AA242" s="254"/>
      <c r="AB242" s="187" t="s">
        <v>318</v>
      </c>
      <c r="AC242" s="158">
        <f t="shared" ref="AC242:AC243" si="128">AD242*AE242</f>
        <v>115</v>
      </c>
      <c r="AD242" s="42">
        <v>1</v>
      </c>
      <c r="AE242" s="579">
        <v>115</v>
      </c>
      <c r="AF242" s="39"/>
      <c r="AG242" s="40"/>
      <c r="AH242" s="79"/>
      <c r="AI242" s="238"/>
      <c r="AJ242" s="709">
        <f t="shared" si="125"/>
        <v>33600</v>
      </c>
      <c r="AK242" s="78"/>
    </row>
    <row r="243" spans="1:37" ht="21" x14ac:dyDescent="0.35">
      <c r="A243" s="299" t="s">
        <v>7</v>
      </c>
      <c r="B243" s="218" t="str">
        <f t="shared" si="108"/>
        <v>Office ServiceMeter bases</v>
      </c>
      <c r="C243" s="5" t="s">
        <v>48</v>
      </c>
      <c r="D243" s="10"/>
      <c r="E243" s="117"/>
      <c r="F243" s="117"/>
      <c r="G243" s="117"/>
      <c r="H243" s="77" t="s">
        <v>319</v>
      </c>
      <c r="I243" s="158">
        <f t="shared" si="126"/>
        <v>3033</v>
      </c>
      <c r="J243" s="42">
        <v>1</v>
      </c>
      <c r="K243" s="579">
        <v>3033</v>
      </c>
      <c r="L243" s="42"/>
      <c r="M243" s="40"/>
      <c r="N243" s="79"/>
      <c r="O243" s="238"/>
      <c r="P243" s="464"/>
      <c r="Q243" s="254"/>
      <c r="R243" s="187" t="s">
        <v>319</v>
      </c>
      <c r="S243" s="158">
        <f t="shared" si="127"/>
        <v>351</v>
      </c>
      <c r="T243" s="42">
        <v>1</v>
      </c>
      <c r="U243" s="579">
        <v>351</v>
      </c>
      <c r="V243" s="42"/>
      <c r="W243" s="40"/>
      <c r="X243" s="78"/>
      <c r="Y243" s="238"/>
      <c r="Z243" s="464"/>
      <c r="AA243" s="254"/>
      <c r="AB243" s="187" t="s">
        <v>319</v>
      </c>
      <c r="AC243" s="158">
        <f t="shared" si="128"/>
        <v>12</v>
      </c>
      <c r="AD243" s="42">
        <v>1</v>
      </c>
      <c r="AE243" s="579">
        <v>12</v>
      </c>
      <c r="AF243" s="42"/>
      <c r="AG243" s="40"/>
      <c r="AH243" s="79"/>
      <c r="AI243" s="238"/>
      <c r="AJ243" s="709">
        <f t="shared" si="125"/>
        <v>3396</v>
      </c>
      <c r="AK243" s="78"/>
    </row>
    <row r="244" spans="1:37" ht="21" x14ac:dyDescent="0.35">
      <c r="A244" s="299" t="s">
        <v>7</v>
      </c>
      <c r="B244" s="218" t="str">
        <f t="shared" si="108"/>
        <v>Office Service</v>
      </c>
      <c r="C244" s="5" t="s">
        <v>48</v>
      </c>
      <c r="D244" s="10"/>
      <c r="E244" s="117"/>
      <c r="F244" s="117"/>
      <c r="G244" s="117"/>
      <c r="H244" s="77"/>
      <c r="I244" s="158"/>
      <c r="J244" s="42"/>
      <c r="K244" s="39"/>
      <c r="L244" s="43"/>
      <c r="M244" s="40"/>
      <c r="N244" s="79"/>
      <c r="O244" s="238"/>
      <c r="P244" s="464"/>
      <c r="Q244" s="254"/>
      <c r="R244" s="187"/>
      <c r="S244" s="158"/>
      <c r="T244" s="42"/>
      <c r="U244" s="39"/>
      <c r="V244" s="43"/>
      <c r="W244" s="40"/>
      <c r="X244" s="78"/>
      <c r="Y244" s="238"/>
      <c r="Z244" s="464"/>
      <c r="AA244" s="254"/>
      <c r="AB244" s="187"/>
      <c r="AC244" s="158"/>
      <c r="AD244" s="42"/>
      <c r="AE244" s="39"/>
      <c r="AF244" s="43"/>
      <c r="AG244" s="40"/>
      <c r="AH244" s="79"/>
      <c r="AI244" s="238"/>
      <c r="AJ244" s="709"/>
      <c r="AK244" s="78"/>
    </row>
    <row r="245" spans="1:37" ht="21" x14ac:dyDescent="0.35">
      <c r="A245" s="299" t="s">
        <v>7</v>
      </c>
      <c r="B245" s="218" t="str">
        <f t="shared" si="108"/>
        <v>Office ServiceTotal Equipment</v>
      </c>
      <c r="C245" s="124" t="s">
        <v>50</v>
      </c>
      <c r="D245" s="10"/>
      <c r="E245" s="116">
        <f>I245</f>
        <v>108124</v>
      </c>
      <c r="F245" s="116">
        <f>S245</f>
        <v>12541</v>
      </c>
      <c r="G245" s="116">
        <f>AC245</f>
        <v>414</v>
      </c>
      <c r="H245" s="83" t="s">
        <v>37</v>
      </c>
      <c r="I245" s="165">
        <f>SUM(I241:I244)</f>
        <v>108124</v>
      </c>
      <c r="J245" s="68"/>
      <c r="K245" s="68"/>
      <c r="L245" s="68"/>
      <c r="M245" s="66"/>
      <c r="N245" s="420">
        <f>I245</f>
        <v>108124</v>
      </c>
      <c r="O245" s="233">
        <f>N245/N262</f>
        <v>0.34844179236296907</v>
      </c>
      <c r="P245" s="464"/>
      <c r="Q245" s="254"/>
      <c r="R245" s="188" t="s">
        <v>37</v>
      </c>
      <c r="S245" s="165">
        <f>SUM(S241:S244)</f>
        <v>12541</v>
      </c>
      <c r="T245" s="68"/>
      <c r="U245" s="68"/>
      <c r="V245" s="68"/>
      <c r="W245" s="66"/>
      <c r="X245" s="52">
        <f>S245</f>
        <v>12541</v>
      </c>
      <c r="Y245" s="233">
        <f>X245/X262</f>
        <v>0.32115134485678787</v>
      </c>
      <c r="Z245" s="464"/>
      <c r="AA245" s="254"/>
      <c r="AB245" s="188" t="s">
        <v>37</v>
      </c>
      <c r="AC245" s="165">
        <f>SUM(AC241:AC244)</f>
        <v>414</v>
      </c>
      <c r="AD245" s="68"/>
      <c r="AE245" s="68"/>
      <c r="AF245" s="68"/>
      <c r="AG245" s="66"/>
      <c r="AH245" s="420">
        <f>AC245</f>
        <v>414</v>
      </c>
      <c r="AI245" s="233">
        <f>AH245/AH262</f>
        <v>0.30013612695787167</v>
      </c>
      <c r="AJ245" s="221">
        <f>I245+S245+AC245</f>
        <v>121079</v>
      </c>
      <c r="AK245" s="52"/>
    </row>
    <row r="246" spans="1:37" ht="21" x14ac:dyDescent="0.35">
      <c r="A246" s="299" t="s">
        <v>7</v>
      </c>
      <c r="B246" s="218" t="str">
        <f t="shared" si="108"/>
        <v>Office Service</v>
      </c>
      <c r="C246" s="5" t="s">
        <v>48</v>
      </c>
      <c r="D246" s="10"/>
      <c r="E246" s="117"/>
      <c r="F246" s="117"/>
      <c r="G246" s="117"/>
      <c r="H246" s="84"/>
      <c r="I246" s="166"/>
      <c r="J246" s="69"/>
      <c r="K246" s="69"/>
      <c r="L246" s="69"/>
      <c r="M246" s="70"/>
      <c r="N246" s="88"/>
      <c r="O246" s="241"/>
      <c r="P246" s="465"/>
      <c r="Q246" s="253"/>
      <c r="R246" s="189"/>
      <c r="S246" s="166"/>
      <c r="T246" s="69"/>
      <c r="U246" s="69"/>
      <c r="V246" s="69"/>
      <c r="W246" s="70"/>
      <c r="X246" s="87"/>
      <c r="Y246" s="241"/>
      <c r="Z246" s="465"/>
      <c r="AA246" s="253"/>
      <c r="AB246" s="189"/>
      <c r="AC246" s="166"/>
      <c r="AD246" s="69"/>
      <c r="AE246" s="69"/>
      <c r="AF246" s="69"/>
      <c r="AG246" s="70"/>
      <c r="AH246" s="88"/>
      <c r="AI246" s="241"/>
      <c r="AJ246" s="710"/>
      <c r="AK246" s="87"/>
    </row>
    <row r="247" spans="1:37" ht="21" x14ac:dyDescent="0.35">
      <c r="A247" s="299" t="s">
        <v>7</v>
      </c>
      <c r="B247" s="218" t="str">
        <f t="shared" si="108"/>
        <v>Office ServiceIS SUPPORT</v>
      </c>
      <c r="C247" s="124" t="s">
        <v>50</v>
      </c>
      <c r="D247" s="10"/>
      <c r="E247" s="117"/>
      <c r="F247" s="117"/>
      <c r="G247" s="117"/>
      <c r="H247" s="61" t="s">
        <v>38</v>
      </c>
      <c r="I247" s="167"/>
      <c r="J247" s="74"/>
      <c r="K247" s="74"/>
      <c r="L247" s="74"/>
      <c r="M247" s="66"/>
      <c r="N247" s="91"/>
      <c r="O247" s="227"/>
      <c r="P247" s="466"/>
      <c r="Q247" s="252"/>
      <c r="R247" s="186" t="s">
        <v>38</v>
      </c>
      <c r="S247" s="167"/>
      <c r="T247" s="74"/>
      <c r="U247" s="74"/>
      <c r="V247" s="74"/>
      <c r="W247" s="66"/>
      <c r="X247" s="90"/>
      <c r="Y247" s="227"/>
      <c r="Z247" s="466"/>
      <c r="AA247" s="252"/>
      <c r="AB247" s="186" t="s">
        <v>38</v>
      </c>
      <c r="AC247" s="167"/>
      <c r="AD247" s="74"/>
      <c r="AE247" s="39"/>
      <c r="AF247" s="74"/>
      <c r="AG247" s="66"/>
      <c r="AH247" s="91"/>
      <c r="AI247" s="227"/>
      <c r="AJ247" s="711"/>
      <c r="AK247" s="90"/>
    </row>
    <row r="248" spans="1:37" ht="21" x14ac:dyDescent="0.35">
      <c r="A248" s="299" t="s">
        <v>7</v>
      </c>
      <c r="B248" s="218" t="str">
        <f t="shared" si="108"/>
        <v>Office Service</v>
      </c>
      <c r="C248" s="5" t="s">
        <v>48</v>
      </c>
      <c r="D248" s="10"/>
      <c r="E248" s="117"/>
      <c r="F248" s="117"/>
      <c r="G248" s="117"/>
      <c r="H248" s="38"/>
      <c r="I248" s="162">
        <f>J248*K248</f>
        <v>0</v>
      </c>
      <c r="J248" s="42"/>
      <c r="K248" s="39"/>
      <c r="L248" s="39"/>
      <c r="M248" s="40" t="str">
        <f>J248&amp;" hrs @ "&amp;K248</f>
        <v xml:space="preserve"> hrs @ </v>
      </c>
      <c r="N248" s="94"/>
      <c r="O248" s="242"/>
      <c r="P248" s="466"/>
      <c r="Q248" s="252"/>
      <c r="R248" s="184"/>
      <c r="S248" s="162">
        <f>T248*U248</f>
        <v>0</v>
      </c>
      <c r="T248" s="42"/>
      <c r="U248" s="39"/>
      <c r="V248" s="39"/>
      <c r="W248" s="40" t="str">
        <f>T248&amp;" hrs @ "&amp;U248</f>
        <v xml:space="preserve"> hrs @ </v>
      </c>
      <c r="X248" s="93"/>
      <c r="Y248" s="242"/>
      <c r="Z248" s="466"/>
      <c r="AA248" s="252"/>
      <c r="AB248" s="184"/>
      <c r="AC248" s="162">
        <f>AD248*AE248</f>
        <v>0</v>
      </c>
      <c r="AD248" s="42"/>
      <c r="AE248" s="39"/>
      <c r="AF248" s="39"/>
      <c r="AG248" s="40" t="str">
        <f>AD248&amp;" hrs @ "&amp;AE248</f>
        <v xml:space="preserve"> hrs @ </v>
      </c>
      <c r="AH248" s="94"/>
      <c r="AI248" s="242"/>
      <c r="AJ248" s="712">
        <f t="shared" ref="AJ248:AJ250" si="129">I248+S248+AC248</f>
        <v>0</v>
      </c>
      <c r="AK248" s="93"/>
    </row>
    <row r="249" spans="1:37" ht="21" x14ac:dyDescent="0.35">
      <c r="A249" s="299" t="s">
        <v>7</v>
      </c>
      <c r="B249" s="218" t="str">
        <f t="shared" si="108"/>
        <v>Office Service</v>
      </c>
      <c r="C249" s="5" t="s">
        <v>48</v>
      </c>
      <c r="D249" s="10"/>
      <c r="E249" s="117"/>
      <c r="F249" s="117"/>
      <c r="G249" s="117"/>
      <c r="H249" s="38"/>
      <c r="I249" s="159">
        <f>I248*$O$2</f>
        <v>0</v>
      </c>
      <c r="J249" s="42"/>
      <c r="K249" s="39"/>
      <c r="L249" s="156"/>
      <c r="M249" s="45" t="str">
        <f>"@ "&amp;$O$2*100&amp;" %"</f>
        <v>@ 98.59 %</v>
      </c>
      <c r="N249" s="94"/>
      <c r="O249" s="242"/>
      <c r="P249" s="466"/>
      <c r="Q249" s="252"/>
      <c r="R249" s="184"/>
      <c r="S249" s="159">
        <f>S248*$O$2</f>
        <v>0</v>
      </c>
      <c r="T249" s="42"/>
      <c r="U249" s="39"/>
      <c r="V249" s="156"/>
      <c r="W249" s="45" t="str">
        <f>"@ "&amp;$O$2*100&amp;" %"</f>
        <v>@ 98.59 %</v>
      </c>
      <c r="X249" s="93"/>
      <c r="Y249" s="242"/>
      <c r="Z249" s="466"/>
      <c r="AA249" s="252"/>
      <c r="AB249" s="184"/>
      <c r="AC249" s="159">
        <f>AC248*$O$2</f>
        <v>0</v>
      </c>
      <c r="AD249" s="42"/>
      <c r="AE249" s="39"/>
      <c r="AF249" s="156"/>
      <c r="AG249" s="45" t="str">
        <f>"@ "&amp;$O$2*100&amp;" %"</f>
        <v>@ 98.59 %</v>
      </c>
      <c r="AH249" s="94"/>
      <c r="AI249" s="242"/>
      <c r="AJ249" s="712">
        <f t="shared" si="129"/>
        <v>0</v>
      </c>
      <c r="AK249" s="93"/>
    </row>
    <row r="250" spans="1:37" ht="21" x14ac:dyDescent="0.35">
      <c r="A250" s="299" t="s">
        <v>7</v>
      </c>
      <c r="B250" s="218" t="str">
        <f t="shared" si="108"/>
        <v>Office ServiceTotal IS</v>
      </c>
      <c r="C250" s="124" t="s">
        <v>50</v>
      </c>
      <c r="D250" s="10"/>
      <c r="E250" s="117"/>
      <c r="F250" s="117"/>
      <c r="G250" s="117"/>
      <c r="H250" s="49" t="s">
        <v>41</v>
      </c>
      <c r="I250" s="165">
        <f>I248+I249</f>
        <v>0</v>
      </c>
      <c r="J250" s="68"/>
      <c r="K250" s="68"/>
      <c r="L250" s="68"/>
      <c r="M250" s="66"/>
      <c r="N250" s="420">
        <f>I250</f>
        <v>0</v>
      </c>
      <c r="O250" s="233">
        <f>N250/N262</f>
        <v>0</v>
      </c>
      <c r="P250" s="466"/>
      <c r="Q250" s="252"/>
      <c r="R250" s="185" t="s">
        <v>41</v>
      </c>
      <c r="S250" s="165">
        <f>S248+S249</f>
        <v>0</v>
      </c>
      <c r="T250" s="68"/>
      <c r="U250" s="68"/>
      <c r="V250" s="68"/>
      <c r="W250" s="66"/>
      <c r="X250" s="52">
        <f>S250</f>
        <v>0</v>
      </c>
      <c r="Y250" s="233">
        <f>X250/X262</f>
        <v>0</v>
      </c>
      <c r="Z250" s="466"/>
      <c r="AA250" s="252"/>
      <c r="AB250" s="185" t="s">
        <v>41</v>
      </c>
      <c r="AC250" s="165">
        <f>AC248+AC249</f>
        <v>0</v>
      </c>
      <c r="AD250" s="68"/>
      <c r="AE250" s="68"/>
      <c r="AF250" s="68"/>
      <c r="AG250" s="66"/>
      <c r="AH250" s="420">
        <f>AC250</f>
        <v>0</v>
      </c>
      <c r="AI250" s="233">
        <f>AH250/AH262</f>
        <v>0</v>
      </c>
      <c r="AJ250" s="221">
        <f t="shared" si="129"/>
        <v>0</v>
      </c>
      <c r="AK250" s="52"/>
    </row>
    <row r="251" spans="1:37" ht="21" x14ac:dyDescent="0.35">
      <c r="A251" s="299" t="s">
        <v>7</v>
      </c>
      <c r="B251" s="218" t="str">
        <f t="shared" si="108"/>
        <v>Office Service</v>
      </c>
      <c r="C251" s="5" t="s">
        <v>48</v>
      </c>
      <c r="D251" s="10"/>
      <c r="E251" s="117"/>
      <c r="F251" s="117"/>
      <c r="G251" s="117"/>
      <c r="H251" s="54"/>
      <c r="I251" s="166"/>
      <c r="J251" s="69"/>
      <c r="K251" s="69"/>
      <c r="L251" s="69"/>
      <c r="M251" s="70"/>
      <c r="N251" s="98"/>
      <c r="O251" s="243"/>
      <c r="P251" s="467"/>
      <c r="Q251" s="253"/>
      <c r="R251" s="179"/>
      <c r="S251" s="166"/>
      <c r="T251" s="69"/>
      <c r="U251" s="69"/>
      <c r="V251" s="69"/>
      <c r="W251" s="70"/>
      <c r="X251" s="97"/>
      <c r="Y251" s="243"/>
      <c r="Z251" s="467"/>
      <c r="AA251" s="253"/>
      <c r="AB251" s="179"/>
      <c r="AC251" s="166"/>
      <c r="AD251" s="69"/>
      <c r="AE251" s="69"/>
      <c r="AF251" s="69"/>
      <c r="AG251" s="70"/>
      <c r="AH251" s="98"/>
      <c r="AI251" s="243"/>
      <c r="AJ251" s="713"/>
      <c r="AK251" s="97"/>
    </row>
    <row r="252" spans="1:37" ht="21" x14ac:dyDescent="0.35">
      <c r="A252" s="299" t="s">
        <v>7</v>
      </c>
      <c r="B252" s="218" t="str">
        <f t="shared" si="108"/>
        <v>Office ServiceOTHER</v>
      </c>
      <c r="C252" s="124" t="s">
        <v>50</v>
      </c>
      <c r="D252" s="10"/>
      <c r="E252" s="117"/>
      <c r="F252" s="117"/>
      <c r="G252" s="117"/>
      <c r="H252" s="61" t="s">
        <v>42</v>
      </c>
      <c r="I252" s="167"/>
      <c r="J252" s="74"/>
      <c r="K252" s="74"/>
      <c r="L252" s="74"/>
      <c r="M252" s="66"/>
      <c r="N252" s="91"/>
      <c r="O252" s="227"/>
      <c r="P252" s="466"/>
      <c r="Q252" s="252"/>
      <c r="R252" s="186" t="s">
        <v>42</v>
      </c>
      <c r="S252" s="167"/>
      <c r="T252" s="74"/>
      <c r="U252" s="74"/>
      <c r="V252" s="74"/>
      <c r="W252" s="66"/>
      <c r="X252" s="90"/>
      <c r="Y252" s="227"/>
      <c r="Z252" s="466"/>
      <c r="AA252" s="252"/>
      <c r="AB252" s="186" t="s">
        <v>42</v>
      </c>
      <c r="AC252" s="167"/>
      <c r="AD252" s="74"/>
      <c r="AE252" s="74"/>
      <c r="AF252" s="74"/>
      <c r="AG252" s="66"/>
      <c r="AH252" s="91"/>
      <c r="AI252" s="227"/>
      <c r="AJ252" s="711"/>
      <c r="AK252" s="90"/>
    </row>
    <row r="253" spans="1:37" ht="21" x14ac:dyDescent="0.35">
      <c r="A253" s="299" t="s">
        <v>7</v>
      </c>
      <c r="B253" s="218" t="str">
        <f t="shared" si="108"/>
        <v>Office ServiceMeter bases</v>
      </c>
      <c r="C253" s="5" t="s">
        <v>48</v>
      </c>
      <c r="D253" s="10"/>
      <c r="E253" s="117"/>
      <c r="F253" s="117"/>
      <c r="G253" s="117"/>
      <c r="H253" s="38" t="s">
        <v>319</v>
      </c>
      <c r="I253" s="158">
        <f t="shared" ref="I253:I258" si="130">J253*K253</f>
        <v>3575</v>
      </c>
      <c r="J253" s="42">
        <v>1</v>
      </c>
      <c r="K253" s="579">
        <v>3575</v>
      </c>
      <c r="L253" s="42"/>
      <c r="M253" s="66"/>
      <c r="N253" s="91"/>
      <c r="O253" s="227"/>
      <c r="P253" s="466"/>
      <c r="Q253" s="252"/>
      <c r="R253" s="184" t="s">
        <v>319</v>
      </c>
      <c r="S253" s="158">
        <f t="shared" ref="S253:S258" si="131">T253*U253</f>
        <v>3439</v>
      </c>
      <c r="T253" s="42">
        <v>1</v>
      </c>
      <c r="U253" s="579">
        <v>3439</v>
      </c>
      <c r="V253" s="42"/>
      <c r="W253" s="66"/>
      <c r="X253" s="90"/>
      <c r="Y253" s="227"/>
      <c r="Z253" s="466"/>
      <c r="AA253" s="252"/>
      <c r="AB253" s="184" t="s">
        <v>319</v>
      </c>
      <c r="AC253" s="158">
        <f t="shared" ref="AC253:AC258" si="132">AD253*AE253</f>
        <v>136</v>
      </c>
      <c r="AD253" s="42">
        <v>1</v>
      </c>
      <c r="AE253" s="579">
        <v>136</v>
      </c>
      <c r="AF253" s="42"/>
      <c r="AG253" s="66"/>
      <c r="AH253" s="91"/>
      <c r="AI253" s="227"/>
      <c r="AJ253" s="711">
        <f t="shared" ref="AJ253:AJ259" si="133">I253+S253+AC253</f>
        <v>7150</v>
      </c>
      <c r="AK253" s="90"/>
    </row>
    <row r="254" spans="1:37" ht="21" x14ac:dyDescent="0.35">
      <c r="A254" s="299" t="s">
        <v>7</v>
      </c>
      <c r="B254" s="218" t="str">
        <f t="shared" si="108"/>
        <v>Office ServicePrinter</v>
      </c>
      <c r="C254" s="5" t="s">
        <v>48</v>
      </c>
      <c r="D254" s="10"/>
      <c r="E254" s="117"/>
      <c r="F254" s="117"/>
      <c r="G254" s="117"/>
      <c r="H254" s="38" t="s">
        <v>318</v>
      </c>
      <c r="I254" s="158">
        <f t="shared" si="130"/>
        <v>9625</v>
      </c>
      <c r="J254" s="42">
        <v>1</v>
      </c>
      <c r="K254" s="579">
        <v>9625</v>
      </c>
      <c r="L254" s="42"/>
      <c r="M254" s="66"/>
      <c r="N254" s="91"/>
      <c r="O254" s="227"/>
      <c r="P254" s="466"/>
      <c r="Q254" s="252"/>
      <c r="R254" s="184" t="s">
        <v>318</v>
      </c>
      <c r="S254" s="158">
        <f t="shared" si="131"/>
        <v>1116</v>
      </c>
      <c r="T254" s="42">
        <v>1</v>
      </c>
      <c r="U254" s="579">
        <v>1116</v>
      </c>
      <c r="V254" s="42"/>
      <c r="W254" s="66"/>
      <c r="X254" s="90"/>
      <c r="Y254" s="227"/>
      <c r="Z254" s="466"/>
      <c r="AA254" s="252"/>
      <c r="AB254" s="184" t="s">
        <v>318</v>
      </c>
      <c r="AC254" s="158">
        <f t="shared" si="132"/>
        <v>37</v>
      </c>
      <c r="AD254" s="42">
        <v>1</v>
      </c>
      <c r="AE254" s="579">
        <v>37</v>
      </c>
      <c r="AF254" s="42"/>
      <c r="AG254" s="66"/>
      <c r="AH254" s="91"/>
      <c r="AI254" s="227"/>
      <c r="AJ254" s="711">
        <f t="shared" si="133"/>
        <v>10778</v>
      </c>
      <c r="AK254" s="90"/>
    </row>
    <row r="255" spans="1:37" ht="21" x14ac:dyDescent="0.35">
      <c r="A255" s="299" t="s">
        <v>7</v>
      </c>
      <c r="B255" s="218" t="str">
        <f t="shared" si="108"/>
        <v>Office Service</v>
      </c>
      <c r="C255" s="5" t="s">
        <v>48</v>
      </c>
      <c r="D255" s="10"/>
      <c r="E255" s="117"/>
      <c r="F255" s="117"/>
      <c r="G255" s="117"/>
      <c r="H255" s="38"/>
      <c r="I255" s="158">
        <f t="shared" si="130"/>
        <v>0</v>
      </c>
      <c r="J255" s="42"/>
      <c r="K255" s="39"/>
      <c r="L255" s="42"/>
      <c r="M255" s="66"/>
      <c r="N255" s="91"/>
      <c r="O255" s="227"/>
      <c r="P255" s="466"/>
      <c r="Q255" s="252"/>
      <c r="R255" s="184"/>
      <c r="S255" s="158">
        <f t="shared" si="131"/>
        <v>0</v>
      </c>
      <c r="T255" s="42"/>
      <c r="U255" s="39"/>
      <c r="V255" s="42"/>
      <c r="W255" s="66"/>
      <c r="X255" s="90"/>
      <c r="Y255" s="227"/>
      <c r="Z255" s="466"/>
      <c r="AA255" s="252"/>
      <c r="AB255" s="184"/>
      <c r="AC255" s="158">
        <f t="shared" si="132"/>
        <v>0</v>
      </c>
      <c r="AD255" s="42"/>
      <c r="AE255" s="39"/>
      <c r="AF255" s="42"/>
      <c r="AG255" s="66"/>
      <c r="AH255" s="91"/>
      <c r="AI255" s="227"/>
      <c r="AJ255" s="711">
        <f t="shared" si="133"/>
        <v>0</v>
      </c>
      <c r="AK255" s="90"/>
    </row>
    <row r="256" spans="1:37" ht="21" x14ac:dyDescent="0.35">
      <c r="A256" s="299" t="s">
        <v>7</v>
      </c>
      <c r="B256" s="218" t="str">
        <f t="shared" si="108"/>
        <v>Office Service</v>
      </c>
      <c r="C256" s="5" t="s">
        <v>48</v>
      </c>
      <c r="D256" s="10"/>
      <c r="E256" s="117"/>
      <c r="F256" s="117"/>
      <c r="G256" s="117"/>
      <c r="H256" s="38"/>
      <c r="I256" s="158">
        <f t="shared" si="130"/>
        <v>0</v>
      </c>
      <c r="J256" s="42"/>
      <c r="K256" s="39"/>
      <c r="L256" s="42"/>
      <c r="M256" s="66"/>
      <c r="N256" s="91"/>
      <c r="O256" s="227"/>
      <c r="P256" s="466"/>
      <c r="Q256" s="252"/>
      <c r="R256" s="184"/>
      <c r="S256" s="158">
        <f t="shared" si="131"/>
        <v>0</v>
      </c>
      <c r="T256" s="42"/>
      <c r="U256" s="39"/>
      <c r="V256" s="42"/>
      <c r="W256" s="66"/>
      <c r="X256" s="90"/>
      <c r="Y256" s="227"/>
      <c r="Z256" s="466"/>
      <c r="AA256" s="252"/>
      <c r="AB256" s="184"/>
      <c r="AC256" s="158">
        <f t="shared" si="132"/>
        <v>0</v>
      </c>
      <c r="AD256" s="42"/>
      <c r="AE256" s="39"/>
      <c r="AF256" s="42"/>
      <c r="AG256" s="66"/>
      <c r="AH256" s="91"/>
      <c r="AI256" s="227"/>
      <c r="AJ256" s="711">
        <f t="shared" si="133"/>
        <v>0</v>
      </c>
      <c r="AK256" s="90"/>
    </row>
    <row r="257" spans="1:37" ht="21" x14ac:dyDescent="0.35">
      <c r="A257" s="299" t="s">
        <v>7</v>
      </c>
      <c r="B257" s="218" t="str">
        <f t="shared" si="108"/>
        <v>Office Service</v>
      </c>
      <c r="C257" s="5" t="s">
        <v>48</v>
      </c>
      <c r="D257" s="10"/>
      <c r="E257" s="117"/>
      <c r="F257" s="117"/>
      <c r="G257" s="117"/>
      <c r="H257" s="38"/>
      <c r="I257" s="158">
        <f t="shared" si="130"/>
        <v>0</v>
      </c>
      <c r="J257" s="42"/>
      <c r="K257" s="39"/>
      <c r="L257" s="42"/>
      <c r="M257" s="66"/>
      <c r="N257" s="91"/>
      <c r="O257" s="227"/>
      <c r="P257" s="466"/>
      <c r="Q257" s="252"/>
      <c r="R257" s="184"/>
      <c r="S257" s="158">
        <f t="shared" si="131"/>
        <v>0</v>
      </c>
      <c r="T257" s="42"/>
      <c r="U257" s="39"/>
      <c r="V257" s="42"/>
      <c r="W257" s="66"/>
      <c r="X257" s="90"/>
      <c r="Y257" s="227"/>
      <c r="Z257" s="466"/>
      <c r="AA257" s="252"/>
      <c r="AB257" s="184"/>
      <c r="AC257" s="158">
        <f t="shared" si="132"/>
        <v>0</v>
      </c>
      <c r="AD257" s="42"/>
      <c r="AE257" s="39"/>
      <c r="AF257" s="42"/>
      <c r="AG257" s="66"/>
      <c r="AH257" s="91"/>
      <c r="AI257" s="227"/>
      <c r="AJ257" s="711">
        <f t="shared" si="133"/>
        <v>0</v>
      </c>
      <c r="AK257" s="90"/>
    </row>
    <row r="258" spans="1:37" ht="21" x14ac:dyDescent="0.35">
      <c r="A258" s="299" t="s">
        <v>7</v>
      </c>
      <c r="B258" s="218" t="str">
        <f t="shared" si="108"/>
        <v>Office Service</v>
      </c>
      <c r="C258" s="5" t="s">
        <v>48</v>
      </c>
      <c r="D258" s="10"/>
      <c r="E258" s="117"/>
      <c r="F258" s="117"/>
      <c r="G258" s="117"/>
      <c r="H258" s="38"/>
      <c r="I258" s="158">
        <f t="shared" si="130"/>
        <v>0</v>
      </c>
      <c r="J258" s="67"/>
      <c r="K258" s="67"/>
      <c r="L258" s="67"/>
      <c r="M258" s="40"/>
      <c r="N258" s="94"/>
      <c r="O258" s="242"/>
      <c r="P258" s="466"/>
      <c r="Q258" s="252"/>
      <c r="R258" s="184"/>
      <c r="S258" s="158">
        <f t="shared" si="131"/>
        <v>0</v>
      </c>
      <c r="T258" s="67"/>
      <c r="U258" s="67"/>
      <c r="V258" s="67"/>
      <c r="W258" s="40"/>
      <c r="X258" s="93"/>
      <c r="Y258" s="242"/>
      <c r="Z258" s="466"/>
      <c r="AA258" s="252"/>
      <c r="AB258" s="184"/>
      <c r="AC258" s="158">
        <f t="shared" si="132"/>
        <v>0</v>
      </c>
      <c r="AD258" s="67"/>
      <c r="AE258" s="67"/>
      <c r="AF258" s="67"/>
      <c r="AG258" s="40"/>
      <c r="AH258" s="94"/>
      <c r="AI258" s="242"/>
      <c r="AJ258" s="712">
        <f t="shared" si="133"/>
        <v>0</v>
      </c>
      <c r="AK258" s="93"/>
    </row>
    <row r="259" spans="1:37" ht="21" x14ac:dyDescent="0.35">
      <c r="A259" s="299" t="s">
        <v>7</v>
      </c>
      <c r="B259" s="218" t="str">
        <f t="shared" si="108"/>
        <v>Office ServiceTotal Other</v>
      </c>
      <c r="C259" s="124" t="s">
        <v>50</v>
      </c>
      <c r="D259" s="10"/>
      <c r="E259" s="116">
        <f>I259</f>
        <v>13200</v>
      </c>
      <c r="F259" s="116">
        <f>S259</f>
        <v>4555</v>
      </c>
      <c r="G259" s="116">
        <f>AC259</f>
        <v>173</v>
      </c>
      <c r="H259" s="49" t="s">
        <v>45</v>
      </c>
      <c r="I259" s="165">
        <f>SUM(I253:I258)</f>
        <v>13200</v>
      </c>
      <c r="J259" s="68"/>
      <c r="K259" s="68"/>
      <c r="L259" s="68"/>
      <c r="M259" s="66"/>
      <c r="N259" s="414">
        <f>I259</f>
        <v>13200</v>
      </c>
      <c r="O259" s="233">
        <f>N259/N262</f>
        <v>4.2538489689534165E-2</v>
      </c>
      <c r="P259" s="466"/>
      <c r="Q259" s="165"/>
      <c r="R259" s="185" t="s">
        <v>45</v>
      </c>
      <c r="S259" s="165">
        <f>SUM(S253:S258)</f>
        <v>4555</v>
      </c>
      <c r="T259" s="68"/>
      <c r="U259" s="68"/>
      <c r="V259" s="68"/>
      <c r="W259" s="66"/>
      <c r="X259" s="165">
        <f>S259</f>
        <v>4555</v>
      </c>
      <c r="Y259" s="233">
        <f>X259/X262</f>
        <v>0.11664495461467736</v>
      </c>
      <c r="Z259" s="466"/>
      <c r="AA259" s="165"/>
      <c r="AB259" s="185" t="s">
        <v>45</v>
      </c>
      <c r="AC259" s="165">
        <f>SUM(AC253:AC258)</f>
        <v>173</v>
      </c>
      <c r="AD259" s="68"/>
      <c r="AE259" s="68"/>
      <c r="AF259" s="68"/>
      <c r="AG259" s="66"/>
      <c r="AH259" s="414">
        <f>AC259</f>
        <v>173</v>
      </c>
      <c r="AI259" s="233">
        <f>AH259/AH262</f>
        <v>0.12541920281089808</v>
      </c>
      <c r="AJ259" s="714">
        <f t="shared" si="133"/>
        <v>17928</v>
      </c>
      <c r="AK259" s="165"/>
    </row>
    <row r="260" spans="1:37" ht="21.75" thickBot="1" x14ac:dyDescent="0.4">
      <c r="A260" s="299" t="s">
        <v>7</v>
      </c>
      <c r="B260" s="218" t="str">
        <f t="shared" si="108"/>
        <v>Office Service</v>
      </c>
      <c r="C260" s="5" t="s">
        <v>48</v>
      </c>
      <c r="D260" s="10"/>
      <c r="E260" s="117"/>
      <c r="F260" s="117"/>
      <c r="G260" s="117"/>
      <c r="H260" s="100"/>
      <c r="I260" s="178"/>
      <c r="J260" s="101"/>
      <c r="K260" s="101"/>
      <c r="L260" s="101"/>
      <c r="M260" s="102"/>
      <c r="N260" s="415"/>
      <c r="O260" s="178"/>
      <c r="P260" s="178"/>
      <c r="Q260" s="178"/>
      <c r="R260" s="178"/>
      <c r="S260" s="178"/>
      <c r="T260" s="101"/>
      <c r="U260" s="101"/>
      <c r="V260" s="101"/>
      <c r="W260" s="102"/>
      <c r="X260" s="178"/>
      <c r="Y260" s="178"/>
      <c r="Z260" s="178"/>
      <c r="AA260" s="178"/>
      <c r="AB260" s="178"/>
      <c r="AC260" s="178"/>
      <c r="AD260" s="101"/>
      <c r="AE260" s="101"/>
      <c r="AF260" s="101"/>
      <c r="AG260" s="102"/>
      <c r="AH260" s="415"/>
      <c r="AI260" s="178"/>
      <c r="AJ260" s="715"/>
      <c r="AK260" s="178"/>
    </row>
    <row r="261" spans="1:37" ht="21.75" thickTop="1" x14ac:dyDescent="0.35">
      <c r="A261" s="299" t="s">
        <v>7</v>
      </c>
      <c r="B261" s="218" t="str">
        <f t="shared" si="108"/>
        <v>Office ServiceTOTALS</v>
      </c>
      <c r="C261" s="5" t="s">
        <v>48</v>
      </c>
      <c r="D261" s="10"/>
      <c r="E261" s="117"/>
      <c r="F261" s="117"/>
      <c r="G261" s="117"/>
      <c r="H261" s="61" t="s">
        <v>28</v>
      </c>
      <c r="I261" s="103"/>
      <c r="J261" s="103"/>
      <c r="K261" s="103"/>
      <c r="L261" s="103"/>
      <c r="M261" s="104"/>
      <c r="N261" s="91"/>
      <c r="O261" s="136"/>
      <c r="P261" s="466"/>
      <c r="Q261" s="252"/>
      <c r="R261" s="186" t="s">
        <v>28</v>
      </c>
      <c r="S261" s="103"/>
      <c r="T261" s="103"/>
      <c r="U261" s="103"/>
      <c r="V261" s="103"/>
      <c r="W261" s="104"/>
      <c r="X261" s="90"/>
      <c r="Y261" s="136"/>
      <c r="Z261" s="466"/>
      <c r="AA261" s="252"/>
      <c r="AB261" s="186" t="s">
        <v>28</v>
      </c>
      <c r="AC261" s="103"/>
      <c r="AD261" s="103"/>
      <c r="AE261" s="103"/>
      <c r="AF261" s="103"/>
      <c r="AG261" s="104"/>
      <c r="AH261" s="91"/>
      <c r="AI261" s="136"/>
      <c r="AJ261" s="711"/>
      <c r="AK261" s="90"/>
    </row>
    <row r="262" spans="1:37" ht="21" x14ac:dyDescent="0.35">
      <c r="A262" s="299" t="s">
        <v>7</v>
      </c>
      <c r="B262" s="218" t="str">
        <f t="shared" si="108"/>
        <v>Office ServicePER YEAR</v>
      </c>
      <c r="C262" s="124" t="s">
        <v>50</v>
      </c>
      <c r="D262" s="10"/>
      <c r="E262" s="117"/>
      <c r="F262" s="117"/>
      <c r="G262" s="117"/>
      <c r="H262" s="105" t="s">
        <v>46</v>
      </c>
      <c r="I262" s="106">
        <f>I233+I238+I245+I250+I259</f>
        <v>310307.20874999999</v>
      </c>
      <c r="J262" s="106"/>
      <c r="K262" s="106"/>
      <c r="L262" s="106"/>
      <c r="M262" s="107"/>
      <c r="N262" s="420">
        <f>SUM(N233:N260)</f>
        <v>310307.20874999999</v>
      </c>
      <c r="O262" s="233">
        <f>SUM(O233:O260)</f>
        <v>1</v>
      </c>
      <c r="P262" s="466"/>
      <c r="Q262" s="252"/>
      <c r="R262" s="190" t="s">
        <v>46</v>
      </c>
      <c r="S262" s="106">
        <f>S233+S238+S245+S250+S259</f>
        <v>39050.124499999998</v>
      </c>
      <c r="T262" s="106"/>
      <c r="U262" s="106"/>
      <c r="V262" s="106"/>
      <c r="W262" s="107"/>
      <c r="X262" s="52">
        <f>SUM(X233:X260)</f>
        <v>39050.124499999998</v>
      </c>
      <c r="Y262" s="233">
        <f>SUM(Y233:Y260)</f>
        <v>1</v>
      </c>
      <c r="Z262" s="466"/>
      <c r="AA262" s="252"/>
      <c r="AB262" s="190" t="s">
        <v>46</v>
      </c>
      <c r="AC262" s="106">
        <f>AC233+AC238+AC245+AC250+AC259</f>
        <v>1379.3741</v>
      </c>
      <c r="AD262" s="106"/>
      <c r="AE262" s="106"/>
      <c r="AF262" s="106"/>
      <c r="AG262" s="107"/>
      <c r="AH262" s="420">
        <f>SUM(AH233:AH260)</f>
        <v>1379.3741</v>
      </c>
      <c r="AI262" s="233">
        <f>SUM(AI233:AI260)</f>
        <v>1</v>
      </c>
      <c r="AJ262" s="221">
        <f t="shared" ref="AJ262:AJ266" si="134">I262+S262+AC262</f>
        <v>350736.70734999998</v>
      </c>
      <c r="AK262" s="252"/>
    </row>
    <row r="263" spans="1:37" ht="21" x14ac:dyDescent="0.35">
      <c r="A263" s="299" t="s">
        <v>7</v>
      </c>
      <c r="B263" s="218" t="str">
        <f t="shared" ref="B263" si="135">A263&amp;H263</f>
        <v>Office ServicePER PAYMENT</v>
      </c>
      <c r="C263" s="124" t="s">
        <v>50</v>
      </c>
      <c r="D263" s="10"/>
      <c r="E263" s="117"/>
      <c r="F263" s="117"/>
      <c r="G263" s="117"/>
      <c r="H263" s="49" t="s">
        <v>47</v>
      </c>
      <c r="I263" s="108">
        <f>I262/I$6</f>
        <v>3.9864329377568224E-2</v>
      </c>
      <c r="J263" s="108"/>
      <c r="K263" s="108"/>
      <c r="L263" s="108"/>
      <c r="M263" s="109"/>
      <c r="N263" s="98"/>
      <c r="O263" s="243"/>
      <c r="P263" s="467"/>
      <c r="Q263" s="253"/>
      <c r="R263" s="185" t="s">
        <v>47</v>
      </c>
      <c r="S263" s="108">
        <f>S262/S$6</f>
        <v>5.1259932975061887E-2</v>
      </c>
      <c r="T263" s="108"/>
      <c r="U263" s="108"/>
      <c r="V263" s="108"/>
      <c r="W263" s="109"/>
      <c r="X263" s="97"/>
      <c r="Y263" s="243"/>
      <c r="Z263" s="467"/>
      <c r="AA263" s="253"/>
      <c r="AB263" s="185" t="s">
        <v>47</v>
      </c>
      <c r="AC263" s="108">
        <f>AC262/AC$6</f>
        <v>5.5049451251147387E-2</v>
      </c>
      <c r="AD263" s="108"/>
      <c r="AE263" s="108"/>
      <c r="AF263" s="108"/>
      <c r="AG263" s="109"/>
      <c r="AH263" s="98"/>
      <c r="AI263" s="243"/>
      <c r="AJ263" s="221">
        <f t="shared" si="134"/>
        <v>0.14617371360377748</v>
      </c>
      <c r="AK263" s="253"/>
    </row>
    <row r="264" spans="1:37" ht="15.75" x14ac:dyDescent="0.25">
      <c r="A264" s="299" t="s">
        <v>7</v>
      </c>
      <c r="B264" s="218"/>
      <c r="C264" s="220"/>
      <c r="D264" s="10"/>
      <c r="E264" s="10"/>
      <c r="F264" s="10"/>
      <c r="G264" s="10"/>
      <c r="H264" s="137" t="s">
        <v>553</v>
      </c>
      <c r="I264" s="652">
        <f>I233+I238</f>
        <v>188983.20875000002</v>
      </c>
      <c r="J264" s="108"/>
      <c r="K264" s="108"/>
      <c r="L264" s="108"/>
      <c r="M264" s="109"/>
      <c r="N264" s="649"/>
      <c r="O264" s="650"/>
      <c r="P264" s="92"/>
      <c r="Q264" s="37"/>
      <c r="R264" s="137" t="s">
        <v>553</v>
      </c>
      <c r="S264" s="652">
        <f>S233+S238</f>
        <v>21954.124499999998</v>
      </c>
      <c r="T264" s="108"/>
      <c r="U264" s="108"/>
      <c r="V264" s="108"/>
      <c r="W264" s="109"/>
      <c r="X264" s="651"/>
      <c r="Y264" s="650"/>
      <c r="Z264" s="92"/>
      <c r="AA264" s="37"/>
      <c r="AB264" s="137" t="s">
        <v>553</v>
      </c>
      <c r="AC264" s="652">
        <f>AC233+AC238</f>
        <v>792.3741</v>
      </c>
      <c r="AD264" s="108"/>
      <c r="AE264" s="108"/>
      <c r="AF264" s="108"/>
      <c r="AG264" s="109"/>
      <c r="AH264" s="649"/>
      <c r="AI264" s="137"/>
      <c r="AJ264" s="221">
        <f t="shared" si="134"/>
        <v>211729.70735000001</v>
      </c>
      <c r="AK264" s="252"/>
    </row>
    <row r="265" spans="1:37" ht="15.75" x14ac:dyDescent="0.25">
      <c r="A265" s="299" t="s">
        <v>7</v>
      </c>
      <c r="B265" s="218"/>
      <c r="C265" s="220"/>
      <c r="D265" s="10"/>
      <c r="E265" s="10"/>
      <c r="F265" s="10"/>
      <c r="G265" s="10"/>
      <c r="H265" s="137" t="s">
        <v>554</v>
      </c>
      <c r="I265" s="652">
        <f>I259+I250+I245</f>
        <v>121324</v>
      </c>
      <c r="J265" s="108"/>
      <c r="K265" s="652"/>
      <c r="L265" s="108"/>
      <c r="M265" s="109"/>
      <c r="N265" s="649"/>
      <c r="O265" s="650"/>
      <c r="P265" s="92"/>
      <c r="Q265" s="37"/>
      <c r="R265" s="137" t="s">
        <v>554</v>
      </c>
      <c r="S265" s="652">
        <f>S259+S250+S245</f>
        <v>17096</v>
      </c>
      <c r="T265" s="108"/>
      <c r="U265" s="652"/>
      <c r="V265" s="108"/>
      <c r="W265" s="109"/>
      <c r="X265" s="651"/>
      <c r="Y265" s="650"/>
      <c r="Z265" s="92"/>
      <c r="AA265" s="37"/>
      <c r="AB265" s="137" t="s">
        <v>554</v>
      </c>
      <c r="AC265" s="652">
        <f>AC259+AC250+AC245</f>
        <v>587</v>
      </c>
      <c r="AD265" s="108"/>
      <c r="AE265" s="652"/>
      <c r="AF265" s="108"/>
      <c r="AG265" s="109"/>
      <c r="AH265" s="649"/>
      <c r="AI265" s="137"/>
      <c r="AJ265" s="221">
        <f t="shared" si="134"/>
        <v>139007</v>
      </c>
      <c r="AK265" s="252"/>
    </row>
    <row r="266" spans="1:37" ht="15.75" x14ac:dyDescent="0.25">
      <c r="A266" s="299" t="s">
        <v>7</v>
      </c>
      <c r="B266" s="218"/>
      <c r="C266" s="220"/>
      <c r="D266" s="10"/>
      <c r="E266" s="10"/>
      <c r="F266" s="10"/>
      <c r="G266" s="10"/>
      <c r="H266" s="137" t="s">
        <v>552</v>
      </c>
      <c r="I266" s="652">
        <f>I262</f>
        <v>310307.20874999999</v>
      </c>
      <c r="J266" s="108"/>
      <c r="K266" s="108"/>
      <c r="L266" s="108"/>
      <c r="M266" s="109"/>
      <c r="N266" s="649"/>
      <c r="O266" s="650"/>
      <c r="P266" s="92"/>
      <c r="Q266" s="37"/>
      <c r="R266" s="137" t="s">
        <v>552</v>
      </c>
      <c r="S266" s="652">
        <f>S262</f>
        <v>39050.124499999998</v>
      </c>
      <c r="T266" s="108"/>
      <c r="U266" s="108"/>
      <c r="V266" s="108"/>
      <c r="W266" s="109"/>
      <c r="X266" s="651"/>
      <c r="Y266" s="650"/>
      <c r="Z266" s="92"/>
      <c r="AA266" s="37"/>
      <c r="AB266" s="137" t="s">
        <v>552</v>
      </c>
      <c r="AC266" s="652">
        <f>AC262</f>
        <v>1379.3741</v>
      </c>
      <c r="AD266" s="108"/>
      <c r="AE266" s="108"/>
      <c r="AF266" s="108"/>
      <c r="AG266" s="109"/>
      <c r="AH266" s="649"/>
      <c r="AI266" s="137"/>
      <c r="AJ266" s="221">
        <f t="shared" si="134"/>
        <v>350736.70734999998</v>
      </c>
      <c r="AK266" s="252"/>
    </row>
    <row r="267" spans="1:37" ht="16.149999999999999" customHeight="1" x14ac:dyDescent="0.25">
      <c r="A267" s="2" t="s">
        <v>50</v>
      </c>
      <c r="D267" s="357"/>
      <c r="AJ267" s="548"/>
    </row>
    <row r="268" spans="1:37" ht="15.75" x14ac:dyDescent="0.25">
      <c r="A268" s="261"/>
      <c r="D268" s="648"/>
      <c r="E268" s="648"/>
      <c r="F268" s="648"/>
      <c r="G268" s="648"/>
      <c r="H268" s="261" t="s">
        <v>67</v>
      </c>
      <c r="I268" s="660">
        <f>I264+I223+I180+I139+I95+I47</f>
        <v>8138772.9324506409</v>
      </c>
      <c r="R268" s="261" t="s">
        <v>67</v>
      </c>
      <c r="S268" s="660">
        <f>S264+S223+S180+S139+S95+S47</f>
        <v>896049.49549966003</v>
      </c>
      <c r="AB268" s="261" t="s">
        <v>67</v>
      </c>
      <c r="AC268" s="660">
        <f>AC264+AC223+AC180+AC139+AC95+AC47</f>
        <v>272624.79506923264</v>
      </c>
      <c r="AJ268" s="660">
        <f>I268+S268+AC268</f>
        <v>9307447.2230195329</v>
      </c>
    </row>
    <row r="269" spans="1:37" ht="15.75" x14ac:dyDescent="0.25">
      <c r="A269" s="261"/>
      <c r="D269" s="648"/>
      <c r="E269" s="648"/>
      <c r="F269" s="648"/>
      <c r="G269" s="648"/>
      <c r="H269" s="261" t="s">
        <v>551</v>
      </c>
      <c r="I269" s="660">
        <f>I265+I224+I181+I140+I96+I48</f>
        <v>3952239.6242919867</v>
      </c>
      <c r="R269" s="261" t="s">
        <v>551</v>
      </c>
      <c r="S269" s="660">
        <f>S265+S224+S181+S140+S96+S48</f>
        <v>453627.72717165994</v>
      </c>
      <c r="AB269" s="261" t="s">
        <v>551</v>
      </c>
      <c r="AC269" s="660">
        <f>AC265+AC224+AC181+AC140+AC96+AC48</f>
        <v>30903.661536353458</v>
      </c>
      <c r="AJ269" s="660">
        <f>I269+S269+AC269</f>
        <v>4436771.0130000003</v>
      </c>
    </row>
    <row r="270" spans="1:37" ht="15.75" x14ac:dyDescent="0.25">
      <c r="A270" s="261"/>
      <c r="D270" s="648"/>
      <c r="E270" s="648"/>
      <c r="F270" s="648"/>
      <c r="G270" s="648"/>
      <c r="H270" s="261" t="s">
        <v>552</v>
      </c>
      <c r="I270" s="660">
        <f>I266+I225+I182+I141+I97+I49</f>
        <v>12091012.556742627</v>
      </c>
      <c r="R270" s="261" t="s">
        <v>552</v>
      </c>
      <c r="S270" s="660">
        <f>S266+S225+S182+S141+S97+S49</f>
        <v>1349677.2226713197</v>
      </c>
      <c r="AB270" s="261" t="s">
        <v>552</v>
      </c>
      <c r="AC270" s="660">
        <f>AC266+AC225+AC182+AC141+AC97+AC49</f>
        <v>303528.45660558605</v>
      </c>
      <c r="AJ270" s="660">
        <f>I270+S270+AC270</f>
        <v>13744218.236019531</v>
      </c>
    </row>
    <row r="271" spans="1:37" ht="15.75" x14ac:dyDescent="0.25">
      <c r="A271" s="261" t="s">
        <v>50</v>
      </c>
      <c r="D271" s="648"/>
      <c r="E271" s="648"/>
      <c r="F271" s="648"/>
      <c r="G271" s="648"/>
    </row>
    <row r="272" spans="1:37" ht="15.75" x14ac:dyDescent="0.25">
      <c r="A272" s="261"/>
      <c r="D272" s="648"/>
      <c r="E272" s="648"/>
      <c r="F272" s="648"/>
      <c r="G272" s="648"/>
      <c r="H272" s="261" t="s">
        <v>556</v>
      </c>
      <c r="I272" s="660">
        <f>SUM(I270,S270,AC270)</f>
        <v>13744218.236019531</v>
      </c>
    </row>
    <row r="273" spans="4:26" x14ac:dyDescent="0.25">
      <c r="D273" s="357"/>
    </row>
    <row r="275" spans="4:26" x14ac:dyDescent="0.25">
      <c r="P275" t="s">
        <v>32</v>
      </c>
      <c r="Q275">
        <v>4142</v>
      </c>
    </row>
    <row r="276" spans="4:26" x14ac:dyDescent="0.25">
      <c r="P276" t="s">
        <v>33</v>
      </c>
      <c r="Q276">
        <v>4083.5978</v>
      </c>
    </row>
    <row r="277" spans="4:26" x14ac:dyDescent="0.25">
      <c r="P277" t="s">
        <v>34</v>
      </c>
      <c r="Q277">
        <v>8225.5977999999996</v>
      </c>
    </row>
    <row r="279" spans="4:26" x14ac:dyDescent="0.25">
      <c r="P279" t="s">
        <v>35</v>
      </c>
    </row>
    <row r="280" spans="4:26" x14ac:dyDescent="0.25">
      <c r="P280" t="s">
        <v>311</v>
      </c>
      <c r="Q280">
        <v>374.40000000000003</v>
      </c>
      <c r="Z280">
        <v>0</v>
      </c>
    </row>
    <row r="285" spans="4:26" x14ac:dyDescent="0.25">
      <c r="P285" t="s">
        <v>342</v>
      </c>
      <c r="Q285">
        <v>53984.296674637422</v>
      </c>
    </row>
    <row r="286" spans="4:26" x14ac:dyDescent="0.25">
      <c r="Q286">
        <v>0</v>
      </c>
    </row>
    <row r="287" spans="4:26" x14ac:dyDescent="0.25">
      <c r="Q287">
        <v>0</v>
      </c>
    </row>
    <row r="288" spans="4:26" x14ac:dyDescent="0.25">
      <c r="Q288">
        <v>0</v>
      </c>
    </row>
    <row r="289" spans="16:17" x14ac:dyDescent="0.25">
      <c r="P289" t="s">
        <v>32</v>
      </c>
      <c r="Q289">
        <v>53984.296674637422</v>
      </c>
    </row>
    <row r="290" spans="16:17" x14ac:dyDescent="0.25">
      <c r="P290" t="s">
        <v>33</v>
      </c>
      <c r="Q290">
        <v>53223.118091525037</v>
      </c>
    </row>
    <row r="291" spans="16:17" x14ac:dyDescent="0.25">
      <c r="P291" t="s">
        <v>34</v>
      </c>
      <c r="Q291">
        <v>107207.41476616246</v>
      </c>
    </row>
    <row r="293" spans="16:17" x14ac:dyDescent="0.25">
      <c r="P293" t="s">
        <v>35</v>
      </c>
    </row>
    <row r="294" spans="16:17" x14ac:dyDescent="0.25">
      <c r="P294" t="s">
        <v>349</v>
      </c>
      <c r="Q294">
        <v>0</v>
      </c>
    </row>
    <row r="295" spans="16:17" x14ac:dyDescent="0.25">
      <c r="P295" t="s">
        <v>348</v>
      </c>
      <c r="Q295">
        <v>6958.2635049643923</v>
      </c>
    </row>
  </sheetData>
  <autoFilter ref="A6:AV271" xr:uid="{00000000-0009-0000-0000-000002000000}"/>
  <mergeCells count="15">
    <mergeCell ref="M212:M213"/>
    <mergeCell ref="W212:W213"/>
    <mergeCell ref="AG212:AG213"/>
    <mergeCell ref="M132:M133"/>
    <mergeCell ref="W132:W133"/>
    <mergeCell ref="M169:M170"/>
    <mergeCell ref="W169:W170"/>
    <mergeCell ref="AG169:AG170"/>
    <mergeCell ref="M128:M129"/>
    <mergeCell ref="H4:Q4"/>
    <mergeCell ref="R4:AA4"/>
    <mergeCell ref="AB4:AL4"/>
    <mergeCell ref="I5:M5"/>
    <mergeCell ref="W128:W129"/>
    <mergeCell ref="AG128:AG129"/>
  </mergeCells>
  <printOptions horizontalCentered="1"/>
  <pageMargins left="0.28999999999999998" right="0.35" top="0.51" bottom="0.35" header="0.18" footer="0.17"/>
  <pageSetup paperSize="17" scale="10" orientation="landscape" r:id="rId1"/>
  <headerFooter>
    <oddHeader>&amp;C&amp;"-,Bold"&amp;22METER TO CASH MATRIX&amp;RExh. RJW-2 Wyman WP5</oddHeader>
    <oddFooter>&amp;L&amp;Z&amp;F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U142"/>
  <sheetViews>
    <sheetView zoomScale="50" zoomScaleNormal="50" workbookViewId="0">
      <pane xSplit="7" ySplit="6" topLeftCell="R79" activePane="bottomRight" state="frozen"/>
      <selection pane="topRight" activeCell="H1" sqref="H1"/>
      <selection pane="bottomLeft" activeCell="A7" sqref="A7"/>
      <selection pane="bottomRight" activeCell="AB5" sqref="AB5"/>
    </sheetView>
  </sheetViews>
  <sheetFormatPr defaultRowHeight="15" x14ac:dyDescent="0.25"/>
  <cols>
    <col min="1" max="1" width="20.7109375" style="2" customWidth="1"/>
    <col min="2" max="2" width="11.28515625" style="214" hidden="1" customWidth="1"/>
    <col min="3" max="3" width="11.7109375" style="215" hidden="1" customWidth="1"/>
    <col min="4" max="4" width="29.7109375" style="1" customWidth="1"/>
    <col min="5" max="6" width="12.5703125" style="1" hidden="1" customWidth="1"/>
    <col min="7" max="7" width="13.7109375" style="1" hidden="1" customWidth="1"/>
    <col min="8" max="8" width="25.7109375" customWidth="1"/>
    <col min="9" max="9" width="12.140625" customWidth="1"/>
    <col min="10" max="11" width="10.7109375" customWidth="1"/>
    <col min="12" max="12" width="6.85546875" customWidth="1"/>
    <col min="13" max="13" width="12.5703125" customWidth="1"/>
    <col min="14" max="14" width="13.140625" bestFit="1" customWidth="1"/>
    <col min="15" max="15" width="7.5703125" customWidth="1"/>
    <col min="16" max="16" width="0" hidden="1" customWidth="1"/>
    <col min="17" max="17" width="25" hidden="1" customWidth="1"/>
    <col min="18" max="18" width="25.7109375" customWidth="1"/>
    <col min="19" max="19" width="12.5703125" customWidth="1"/>
    <col min="20" max="21" width="10.7109375" customWidth="1"/>
    <col min="22" max="22" width="6.85546875" customWidth="1"/>
    <col min="23" max="23" width="12.5703125" customWidth="1"/>
    <col min="24" max="24" width="15.140625" bestFit="1" customWidth="1"/>
    <col min="25" max="25" width="8.28515625" customWidth="1"/>
    <col min="26" max="26" width="0" hidden="1" customWidth="1"/>
    <col min="27" max="27" width="0.140625" customWidth="1"/>
    <col min="28" max="28" width="25.85546875" customWidth="1"/>
    <col min="29" max="29" width="12.28515625" customWidth="1"/>
    <col min="30" max="31" width="10.7109375" customWidth="1"/>
    <col min="32" max="32" width="6.85546875" customWidth="1"/>
    <col min="33" max="33" width="12.5703125" customWidth="1"/>
    <col min="34" max="34" width="15.140625" bestFit="1" customWidth="1"/>
    <col min="35" max="35" width="8.7109375" customWidth="1"/>
    <col min="36" max="36" width="13.140625" customWidth="1"/>
    <col min="37" max="37" width="16.28515625" customWidth="1"/>
    <col min="38" max="38" width="0" hidden="1" customWidth="1"/>
  </cols>
  <sheetData>
    <row r="2" spans="1:47" s="2" customFormat="1" ht="18.75" customHeight="1" x14ac:dyDescent="0.35">
      <c r="B2" s="216"/>
      <c r="C2" s="217"/>
      <c r="D2" s="14"/>
      <c r="E2" s="15" t="s">
        <v>18</v>
      </c>
      <c r="F2" s="16" t="s">
        <v>19</v>
      </c>
      <c r="G2" s="21" t="s">
        <v>20</v>
      </c>
      <c r="N2" s="2" t="s">
        <v>129</v>
      </c>
      <c r="O2" s="303">
        <f>'2018 Projection Inputs'!B34</f>
        <v>0.9859</v>
      </c>
      <c r="S2" s="303">
        <v>0.33</v>
      </c>
      <c r="T2" s="2" t="s">
        <v>388</v>
      </c>
    </row>
    <row r="3" spans="1:47" s="2" customFormat="1" ht="27.75" customHeight="1" x14ac:dyDescent="0.35">
      <c r="B3" s="216"/>
      <c r="C3" s="217"/>
      <c r="D3" s="484" t="s">
        <v>227</v>
      </c>
      <c r="E3" s="17" t="s">
        <v>18</v>
      </c>
      <c r="F3" s="18" t="s">
        <v>21</v>
      </c>
      <c r="G3" s="22" t="s">
        <v>25</v>
      </c>
      <c r="H3" s="225" t="s">
        <v>227</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930</v>
      </c>
      <c r="AC4" s="762"/>
      <c r="AD4" s="762"/>
      <c r="AE4" s="762"/>
      <c r="AF4" s="762"/>
      <c r="AG4" s="762"/>
      <c r="AH4" s="762"/>
      <c r="AI4" s="762"/>
      <c r="AJ4" s="762"/>
      <c r="AK4" s="762"/>
      <c r="AL4" s="762"/>
    </row>
    <row r="5" spans="1:47" ht="22.5" thickTop="1" thickBot="1" x14ac:dyDescent="0.4">
      <c r="D5" s="138" t="s">
        <v>26</v>
      </c>
      <c r="E5" s="115"/>
      <c r="F5" s="115"/>
      <c r="G5" s="115"/>
      <c r="H5" s="25"/>
      <c r="I5" s="770" t="s">
        <v>278</v>
      </c>
      <c r="J5" s="770"/>
      <c r="K5" s="770"/>
      <c r="L5" s="770"/>
      <c r="M5" s="770"/>
      <c r="N5" s="26"/>
      <c r="O5" s="26"/>
      <c r="P5" s="25"/>
      <c r="Q5" s="3"/>
    </row>
    <row r="6" spans="1:47" s="2" customFormat="1" ht="21.75" thickTop="1" x14ac:dyDescent="0.35">
      <c r="B6" s="216"/>
      <c r="C6" s="217"/>
      <c r="D6" s="112" t="s">
        <v>2</v>
      </c>
      <c r="E6" s="113"/>
      <c r="F6" s="114"/>
      <c r="G6" s="114"/>
      <c r="H6" s="202" t="s">
        <v>27</v>
      </c>
      <c r="I6" s="27">
        <f>Customers!J3+Customers!J4</f>
        <v>6883927</v>
      </c>
      <c r="J6" s="203" t="s">
        <v>127</v>
      </c>
      <c r="K6" s="203" t="s">
        <v>128</v>
      </c>
      <c r="L6" s="155" t="s">
        <v>29</v>
      </c>
      <c r="M6" s="28" t="s">
        <v>371</v>
      </c>
      <c r="N6" s="29" t="s">
        <v>28</v>
      </c>
      <c r="O6" s="230" t="s">
        <v>29</v>
      </c>
      <c r="P6" s="31"/>
      <c r="Q6" s="32" t="s">
        <v>30</v>
      </c>
      <c r="R6" s="202" t="s">
        <v>27</v>
      </c>
      <c r="S6" s="27">
        <f>Customers!K3+Customers!K4</f>
        <v>723777</v>
      </c>
      <c r="T6" s="203" t="s">
        <v>127</v>
      </c>
      <c r="U6" s="203" t="s">
        <v>128</v>
      </c>
      <c r="V6" s="27"/>
      <c r="W6" s="28" t="s">
        <v>371</v>
      </c>
      <c r="X6" s="29" t="s">
        <v>28</v>
      </c>
      <c r="Y6" s="230" t="s">
        <v>29</v>
      </c>
      <c r="Z6" s="31"/>
      <c r="AA6" s="32" t="s">
        <v>30</v>
      </c>
      <c r="AB6" s="202" t="s">
        <v>27</v>
      </c>
      <c r="AC6" s="27">
        <f>Customers!L3+Customers!L4</f>
        <v>25057</v>
      </c>
      <c r="AD6" s="203"/>
      <c r="AE6" s="203"/>
      <c r="AF6" s="27"/>
      <c r="AG6" s="28" t="s">
        <v>371</v>
      </c>
      <c r="AH6" s="29" t="s">
        <v>28</v>
      </c>
      <c r="AI6" s="230" t="s">
        <v>29</v>
      </c>
      <c r="AJ6" s="380" t="s">
        <v>557</v>
      </c>
      <c r="AK6" s="247" t="s">
        <v>30</v>
      </c>
      <c r="AU6" s="6"/>
    </row>
    <row r="7" spans="1:47" ht="108" customHeight="1" x14ac:dyDescent="0.25">
      <c r="A7" s="299" t="s">
        <v>8</v>
      </c>
      <c r="B7" s="218" t="str">
        <f>A7&amp;H7</f>
        <v>Account ServicesLABOR: NON-SUPERVISORY</v>
      </c>
      <c r="C7" s="218" t="s">
        <v>225</v>
      </c>
      <c r="D7" s="10" t="str">
        <f>'2015Summary METER to CASH (Base'!K9</f>
        <v>* Process all incoming payments
* Courier service
* Process all exception work and returned items
* Review &amp; process refunds
* Payment Controls</v>
      </c>
      <c r="E7" s="116">
        <f>N46</f>
        <v>640265.95629200002</v>
      </c>
      <c r="F7" s="117">
        <f>X46</f>
        <v>53661.471661999996</v>
      </c>
      <c r="G7" s="117">
        <f>AC46</f>
        <v>2309.9983199999997</v>
      </c>
      <c r="H7" s="183" t="s">
        <v>31</v>
      </c>
      <c r="I7" s="157"/>
      <c r="J7" s="118"/>
      <c r="K7" s="118"/>
      <c r="L7" s="118"/>
      <c r="M7" s="119"/>
      <c r="N7" s="439"/>
      <c r="O7" s="135"/>
      <c r="P7" s="122"/>
      <c r="Q7" s="123"/>
      <c r="R7" s="183" t="s">
        <v>31</v>
      </c>
      <c r="S7" s="157"/>
      <c r="T7" s="118"/>
      <c r="U7" s="118"/>
      <c r="V7" s="118"/>
      <c r="W7" s="119"/>
      <c r="X7" s="120"/>
      <c r="Y7" s="135"/>
      <c r="Z7" s="122"/>
      <c r="AA7" s="123"/>
      <c r="AB7" s="183" t="s">
        <v>31</v>
      </c>
      <c r="AC7" s="157"/>
      <c r="AD7" s="118"/>
      <c r="AE7" s="118"/>
      <c r="AF7" s="118"/>
      <c r="AG7" s="119"/>
      <c r="AH7" s="121"/>
      <c r="AI7" s="135"/>
      <c r="AJ7" s="157"/>
      <c r="AK7" s="120"/>
    </row>
    <row r="8" spans="1:47" ht="15.75" x14ac:dyDescent="0.25">
      <c r="A8" s="299" t="s">
        <v>8</v>
      </c>
      <c r="B8" s="218" t="str">
        <f t="shared" ref="B8:B47" si="0">A8&amp;H8</f>
        <v>Account ServicesAccountant (Grade 145)</v>
      </c>
      <c r="C8" s="217" t="s">
        <v>48</v>
      </c>
      <c r="D8" s="10"/>
      <c r="E8" s="10"/>
      <c r="F8" s="10"/>
      <c r="G8" s="10"/>
      <c r="H8" s="255" t="s">
        <v>239</v>
      </c>
      <c r="I8" s="158">
        <f>J8*K8</f>
        <v>2679.96</v>
      </c>
      <c r="J8" s="42">
        <f>+ROUND('FTE Alloc OR &amp; WA'!J31*2080,0)</f>
        <v>92</v>
      </c>
      <c r="K8" s="259">
        <v>29.13</v>
      </c>
      <c r="L8" s="39"/>
      <c r="M8" s="40" t="str">
        <f>J8&amp;" hrs @ "&amp;K8</f>
        <v>92 hrs @ 29.13</v>
      </c>
      <c r="N8" s="440"/>
      <c r="O8" s="136"/>
      <c r="P8" s="36"/>
      <c r="Q8" s="41"/>
      <c r="R8" s="255" t="s">
        <v>239</v>
      </c>
      <c r="S8" s="158">
        <f>T8*U8</f>
        <v>0</v>
      </c>
      <c r="T8" s="42">
        <f>+ROUND('FTE Alloc OR &amp; WA'!K30*2080,0)</f>
        <v>0</v>
      </c>
      <c r="U8" s="259">
        <v>29.13</v>
      </c>
      <c r="V8" s="39"/>
      <c r="W8" s="40" t="str">
        <f>T8&amp;" hrs @ "&amp;U8</f>
        <v>0 hrs @ 29.13</v>
      </c>
      <c r="X8" s="34"/>
      <c r="Y8" s="136"/>
      <c r="Z8" s="36"/>
      <c r="AA8" s="41"/>
      <c r="AB8" s="255" t="s">
        <v>239</v>
      </c>
      <c r="AC8" s="158">
        <f>AD8*AE8</f>
        <v>0</v>
      </c>
      <c r="AD8" s="289">
        <f>+ROUND('FTE Alloc OR &amp; WA'!L30*2080,0)</f>
        <v>0</v>
      </c>
      <c r="AE8" s="259">
        <v>29.13</v>
      </c>
      <c r="AF8" s="39"/>
      <c r="AG8" s="40" t="str">
        <f>AD8&amp;" hrs @ "&amp;AE8</f>
        <v>0 hrs @ 29.13</v>
      </c>
      <c r="AH8" s="35"/>
      <c r="AI8" s="136"/>
      <c r="AJ8" s="158">
        <f t="shared" ref="AJ8:AJ14" si="1">I8+S8+AC8</f>
        <v>2679.96</v>
      </c>
      <c r="AK8" s="34"/>
    </row>
    <row r="9" spans="1:47" ht="15.75" x14ac:dyDescent="0.25">
      <c r="A9" s="299" t="s">
        <v>8</v>
      </c>
      <c r="B9" s="218" t="str">
        <f t="shared" si="0"/>
        <v>Account ServicesSr Coll Rep (Grade 140)</v>
      </c>
      <c r="C9" s="217" t="s">
        <v>48</v>
      </c>
      <c r="D9" s="10"/>
      <c r="E9" s="10"/>
      <c r="F9" s="10"/>
      <c r="G9" s="10"/>
      <c r="H9" s="184" t="s">
        <v>240</v>
      </c>
      <c r="I9" s="158">
        <f t="shared" ref="I9:I10" si="2">J9*K9</f>
        <v>0</v>
      </c>
      <c r="J9" s="42">
        <f>+ROUND('FTE Alloc OR &amp; WA'!J37*2080,0)</f>
        <v>0</v>
      </c>
      <c r="K9" s="259">
        <v>27.22</v>
      </c>
      <c r="L9" s="42"/>
      <c r="M9" s="40" t="str">
        <f t="shared" ref="M9:M11" si="3">J9&amp;" hrs @ "&amp;K9</f>
        <v>0 hrs @ 27.22</v>
      </c>
      <c r="N9" s="440"/>
      <c r="O9" s="136"/>
      <c r="P9" s="36"/>
      <c r="Q9" s="3"/>
      <c r="R9" s="184" t="s">
        <v>240</v>
      </c>
      <c r="S9" s="158">
        <f t="shared" ref="S9:S10" si="4">T9*U9</f>
        <v>0</v>
      </c>
      <c r="T9" s="42">
        <f>+ROUND('FTE Alloc OR &amp; WA'!K36*2080,0)</f>
        <v>0</v>
      </c>
      <c r="U9" s="259">
        <v>27.22</v>
      </c>
      <c r="V9" s="42"/>
      <c r="W9" s="40" t="str">
        <f t="shared" ref="W9:W11" si="5">T9&amp;" hrs @ "&amp;U9</f>
        <v>0 hrs @ 27.22</v>
      </c>
      <c r="X9" s="34"/>
      <c r="Y9" s="136"/>
      <c r="Z9" s="36"/>
      <c r="AA9" s="3"/>
      <c r="AB9" s="184" t="s">
        <v>240</v>
      </c>
      <c r="AC9" s="158">
        <f t="shared" ref="AC9:AC10" si="6">AD9*AE9</f>
        <v>0</v>
      </c>
      <c r="AD9" s="289">
        <f>+ROUND('FTE Alloc OR &amp; WA'!L36*2080,0)</f>
        <v>0</v>
      </c>
      <c r="AE9" s="259">
        <v>27.22</v>
      </c>
      <c r="AF9" s="42"/>
      <c r="AG9" s="40" t="str">
        <f t="shared" ref="AG9:AG11" si="7">AD9&amp;" hrs @ "&amp;AE9</f>
        <v>0 hrs @ 27.22</v>
      </c>
      <c r="AH9" s="35"/>
      <c r="AI9" s="136"/>
      <c r="AJ9" s="158">
        <f t="shared" si="1"/>
        <v>0</v>
      </c>
      <c r="AK9" s="34"/>
    </row>
    <row r="10" spans="1:47" ht="15.6" customHeight="1" x14ac:dyDescent="0.25">
      <c r="A10" s="299" t="s">
        <v>8</v>
      </c>
      <c r="B10" s="218" t="str">
        <f t="shared" si="0"/>
        <v>Account ServicesSr Biller/ PP Clerk (Grade 135)</v>
      </c>
      <c r="C10" s="217" t="s">
        <v>48</v>
      </c>
      <c r="D10" s="10"/>
      <c r="E10" s="10"/>
      <c r="F10" s="10"/>
      <c r="G10" s="10"/>
      <c r="H10" s="184" t="s">
        <v>242</v>
      </c>
      <c r="I10" s="158">
        <f t="shared" si="2"/>
        <v>144829.92000000001</v>
      </c>
      <c r="J10" s="42">
        <f>+ROUND(('FTE Alloc OR &amp; WA'!J32+'FTE Alloc OR &amp; WA'!J35)*2080,0)</f>
        <v>5693</v>
      </c>
      <c r="K10" s="259">
        <v>25.44</v>
      </c>
      <c r="L10" s="42"/>
      <c r="M10" s="40" t="str">
        <f t="shared" si="3"/>
        <v>5693 hrs @ 25.44</v>
      </c>
      <c r="N10" s="440"/>
      <c r="O10" s="136"/>
      <c r="P10" s="36"/>
      <c r="Q10" s="41"/>
      <c r="R10" s="184" t="s">
        <v>242</v>
      </c>
      <c r="S10" s="158">
        <f t="shared" si="4"/>
        <v>13915.68</v>
      </c>
      <c r="T10" s="42">
        <f>+ROUND(('FTE Alloc OR &amp; WA'!K32+'FTE Alloc OR &amp; WA'!K35)*2080,0)</f>
        <v>547</v>
      </c>
      <c r="U10" s="259">
        <v>25.44</v>
      </c>
      <c r="V10" s="42"/>
      <c r="W10" s="40" t="str">
        <f t="shared" si="5"/>
        <v>547 hrs @ 25.44</v>
      </c>
      <c r="X10" s="34"/>
      <c r="Y10" s="136"/>
      <c r="Z10" s="36"/>
      <c r="AA10" s="41"/>
      <c r="AB10" s="184" t="s">
        <v>242</v>
      </c>
      <c r="AC10" s="158">
        <f t="shared" si="6"/>
        <v>1144.8</v>
      </c>
      <c r="AD10" s="289">
        <f>+ROUND(('FTE Alloc OR &amp; WA'!L32+'FTE Alloc OR &amp; WA'!L35)*2080,0)</f>
        <v>45</v>
      </c>
      <c r="AE10" s="259">
        <v>25.44</v>
      </c>
      <c r="AF10" s="42"/>
      <c r="AG10" s="40" t="str">
        <f t="shared" si="7"/>
        <v>45 hrs @ 25.44</v>
      </c>
      <c r="AH10" s="35"/>
      <c r="AI10" s="136"/>
      <c r="AJ10" s="158">
        <f t="shared" si="1"/>
        <v>159890.4</v>
      </c>
      <c r="AK10" s="34"/>
    </row>
    <row r="11" spans="1:47" ht="15.75" x14ac:dyDescent="0.25">
      <c r="A11" s="299" t="s">
        <v>8</v>
      </c>
      <c r="B11" s="218" t="str">
        <f t="shared" si="0"/>
        <v>Account ServicesBiller (Grade 125)</v>
      </c>
      <c r="C11" s="217" t="s">
        <v>48</v>
      </c>
      <c r="D11" s="10"/>
      <c r="E11" s="10"/>
      <c r="F11" s="10"/>
      <c r="G11" s="10"/>
      <c r="H11" s="179" t="s">
        <v>241</v>
      </c>
      <c r="I11" s="173">
        <f>J11*K11</f>
        <v>0</v>
      </c>
      <c r="J11" s="174">
        <f>+ROUND('FTE Alloc OR &amp; WA'!J33*2080,0)</f>
        <v>0</v>
      </c>
      <c r="K11" s="260">
        <v>22.01</v>
      </c>
      <c r="L11" s="181"/>
      <c r="M11" s="176" t="str">
        <f t="shared" si="3"/>
        <v>0 hrs @ 22.01</v>
      </c>
      <c r="N11" s="441"/>
      <c r="O11" s="231"/>
      <c r="P11" s="36"/>
      <c r="Q11" s="44"/>
      <c r="R11" s="179" t="s">
        <v>241</v>
      </c>
      <c r="S11" s="173">
        <f>T11*U11*V11</f>
        <v>0</v>
      </c>
      <c r="T11" s="174">
        <f>+ROUND('FTE Alloc OR &amp; WA'!K32*2080,0)</f>
        <v>0</v>
      </c>
      <c r="U11" s="260">
        <v>22.01</v>
      </c>
      <c r="V11" s="181"/>
      <c r="W11" s="176" t="str">
        <f t="shared" si="5"/>
        <v>0 hrs @ 22.01</v>
      </c>
      <c r="X11" s="205"/>
      <c r="Y11" s="231"/>
      <c r="Z11" s="36"/>
      <c r="AA11" s="44"/>
      <c r="AB11" s="179" t="s">
        <v>241</v>
      </c>
      <c r="AC11" s="173">
        <f>AD11*AE11*AF11</f>
        <v>0</v>
      </c>
      <c r="AD11" s="291">
        <f>+ROUND('FTE Alloc OR &amp; WA'!L32*2080,0)</f>
        <v>0</v>
      </c>
      <c r="AE11" s="260">
        <v>22.01</v>
      </c>
      <c r="AF11" s="181"/>
      <c r="AG11" s="176" t="str">
        <f t="shared" si="7"/>
        <v>0 hrs @ 22.01</v>
      </c>
      <c r="AH11" s="35"/>
      <c r="AI11" s="136"/>
      <c r="AJ11" s="173">
        <f t="shared" si="1"/>
        <v>0</v>
      </c>
      <c r="AK11" s="205"/>
    </row>
    <row r="12" spans="1:47" ht="15.75" x14ac:dyDescent="0.25">
      <c r="A12" s="299" t="s">
        <v>8</v>
      </c>
      <c r="B12" s="218" t="str">
        <f t="shared" si="0"/>
        <v>Account ServicesTotal Wages</v>
      </c>
      <c r="C12" s="217" t="s">
        <v>48</v>
      </c>
      <c r="D12" s="10"/>
      <c r="E12" s="10"/>
      <c r="F12" s="10"/>
      <c r="G12" s="10"/>
      <c r="H12" s="184" t="s">
        <v>32</v>
      </c>
      <c r="I12" s="158">
        <f>SUM(I8:I11)</f>
        <v>147509.88</v>
      </c>
      <c r="J12" s="42"/>
      <c r="K12" s="39"/>
      <c r="L12" s="39"/>
      <c r="M12" s="40"/>
      <c r="N12" s="440"/>
      <c r="O12" s="231"/>
      <c r="P12" s="36"/>
      <c r="Q12" s="41"/>
      <c r="R12" s="184" t="s">
        <v>32</v>
      </c>
      <c r="S12" s="158">
        <f>SUM(S8:S11)</f>
        <v>13915.68</v>
      </c>
      <c r="T12" s="42"/>
      <c r="U12" s="39"/>
      <c r="V12" s="39"/>
      <c r="W12" s="40"/>
      <c r="X12" s="34"/>
      <c r="Y12" s="231"/>
      <c r="Z12" s="36"/>
      <c r="AA12" s="41"/>
      <c r="AB12" s="184" t="s">
        <v>32</v>
      </c>
      <c r="AC12" s="158">
        <f>SUM(AC8:AC11)</f>
        <v>1144.8</v>
      </c>
      <c r="AD12" s="42"/>
      <c r="AE12" s="39"/>
      <c r="AF12" s="39"/>
      <c r="AG12" s="40"/>
      <c r="AH12" s="35"/>
      <c r="AI12" s="231"/>
      <c r="AJ12" s="158">
        <f t="shared" si="1"/>
        <v>162570.35999999999</v>
      </c>
      <c r="AK12" s="34"/>
    </row>
    <row r="13" spans="1:47" ht="15.75" x14ac:dyDescent="0.25">
      <c r="A13" s="299" t="s">
        <v>8</v>
      </c>
      <c r="B13" s="218" t="str">
        <f t="shared" si="0"/>
        <v>Account ServicesBenefits</v>
      </c>
      <c r="C13" s="217" t="s">
        <v>48</v>
      </c>
      <c r="D13" s="10"/>
      <c r="E13" s="10"/>
      <c r="F13" s="10"/>
      <c r="G13" s="10"/>
      <c r="H13" s="184" t="s">
        <v>33</v>
      </c>
      <c r="I13" s="159">
        <f>I12*$O$2</f>
        <v>145429.99069199999</v>
      </c>
      <c r="J13" s="42"/>
      <c r="K13" s="39"/>
      <c r="M13" s="45" t="str">
        <f>"@ "&amp;$O$2*100&amp;" %"</f>
        <v>@ 98.59 %</v>
      </c>
      <c r="N13" s="442"/>
      <c r="O13" s="232"/>
      <c r="P13" s="48"/>
      <c r="Q13" s="41"/>
      <c r="R13" s="184" t="s">
        <v>33</v>
      </c>
      <c r="S13" s="159">
        <f>S12*$O$2</f>
        <v>13719.468912</v>
      </c>
      <c r="T13" s="42"/>
      <c r="U13" s="39"/>
      <c r="W13" s="45" t="str">
        <f>"@ "&amp;$O$2*100&amp;" %"</f>
        <v>@ 98.59 %</v>
      </c>
      <c r="X13" s="46"/>
      <c r="Y13" s="232"/>
      <c r="Z13" s="48"/>
      <c r="AA13" s="41"/>
      <c r="AB13" s="184" t="s">
        <v>33</v>
      </c>
      <c r="AC13" s="159">
        <f>AC12*$O$2</f>
        <v>1128.65832</v>
      </c>
      <c r="AD13" s="42"/>
      <c r="AE13" s="39"/>
      <c r="AG13" s="45" t="str">
        <f>"@ "&amp;$O$2*100&amp;" %"</f>
        <v>@ 98.59 %</v>
      </c>
      <c r="AH13" s="47"/>
      <c r="AI13" s="232"/>
      <c r="AJ13" s="159">
        <f t="shared" si="1"/>
        <v>160278.11792399999</v>
      </c>
      <c r="AK13" s="46"/>
    </row>
    <row r="14" spans="1:47" ht="15.75" x14ac:dyDescent="0.25">
      <c r="A14" s="299" t="s">
        <v>8</v>
      </c>
      <c r="B14" s="218" t="str">
        <f t="shared" si="0"/>
        <v>Account ServicesTotal</v>
      </c>
      <c r="C14" s="219" t="s">
        <v>50</v>
      </c>
      <c r="D14" s="10"/>
      <c r="E14" s="10"/>
      <c r="F14" s="10"/>
      <c r="G14" s="10"/>
      <c r="H14" s="185" t="s">
        <v>34</v>
      </c>
      <c r="I14" s="160">
        <f>I12+I13</f>
        <v>292939.87069200003</v>
      </c>
      <c r="J14" s="42"/>
      <c r="K14" s="39"/>
      <c r="L14" s="50"/>
      <c r="M14" s="51"/>
      <c r="N14" s="443">
        <f>I14</f>
        <v>292939.87069200003</v>
      </c>
      <c r="O14" s="233">
        <f>N14/N46</f>
        <v>0.45752841895345397</v>
      </c>
      <c r="P14" s="53"/>
      <c r="Q14" s="37"/>
      <c r="R14" s="185" t="s">
        <v>34</v>
      </c>
      <c r="S14" s="160">
        <f>S12+S13</f>
        <v>27635.148912000001</v>
      </c>
      <c r="T14" s="42"/>
      <c r="U14" s="39"/>
      <c r="V14" s="50"/>
      <c r="W14" s="51"/>
      <c r="X14" s="52">
        <f>S14</f>
        <v>27635.148912000001</v>
      </c>
      <c r="Y14" s="233">
        <f>X14/X46</f>
        <v>0.5149905147228685</v>
      </c>
      <c r="Z14" s="53"/>
      <c r="AA14" s="37"/>
      <c r="AB14" s="185" t="s">
        <v>34</v>
      </c>
      <c r="AC14" s="160">
        <f>AC12+AC13</f>
        <v>2273.4583199999997</v>
      </c>
      <c r="AD14" s="42"/>
      <c r="AE14" s="39"/>
      <c r="AF14" s="50"/>
      <c r="AG14" s="51"/>
      <c r="AH14" s="420">
        <f>AC14</f>
        <v>2273.4583199999997</v>
      </c>
      <c r="AI14" s="233">
        <f>AH14/AH46</f>
        <v>0.98418180667767763</v>
      </c>
      <c r="AJ14" s="160">
        <f t="shared" si="1"/>
        <v>322848.47792400001</v>
      </c>
      <c r="AK14" s="52"/>
    </row>
    <row r="15" spans="1:47" ht="15.75" x14ac:dyDescent="0.25">
      <c r="A15" s="299" t="s">
        <v>8</v>
      </c>
      <c r="B15" s="218" t="str">
        <f t="shared" si="0"/>
        <v>Account Services</v>
      </c>
      <c r="C15" s="217" t="s">
        <v>48</v>
      </c>
      <c r="D15" s="10"/>
      <c r="E15" s="10"/>
      <c r="F15" s="10"/>
      <c r="G15" s="10"/>
      <c r="H15" s="179"/>
      <c r="I15" s="161"/>
      <c r="J15" s="55"/>
      <c r="K15" s="55"/>
      <c r="L15" s="55"/>
      <c r="M15" s="56"/>
      <c r="N15" s="441"/>
      <c r="O15" s="231"/>
      <c r="P15" s="59"/>
      <c r="Q15" s="60"/>
      <c r="R15" s="179"/>
      <c r="S15" s="161"/>
      <c r="T15" s="55"/>
      <c r="U15" s="55"/>
      <c r="V15" s="55"/>
      <c r="W15" s="56"/>
      <c r="X15" s="57"/>
      <c r="Y15" s="231"/>
      <c r="Z15" s="59"/>
      <c r="AA15" s="60"/>
      <c r="AB15" s="179"/>
      <c r="AC15" s="161"/>
      <c r="AD15" s="55"/>
      <c r="AE15" s="55"/>
      <c r="AF15" s="55"/>
      <c r="AG15" s="56"/>
      <c r="AH15" s="58"/>
      <c r="AI15" s="231"/>
      <c r="AJ15" s="161"/>
      <c r="AK15" s="57"/>
    </row>
    <row r="16" spans="1:47" ht="15.75" x14ac:dyDescent="0.25">
      <c r="A16" s="299" t="s">
        <v>8</v>
      </c>
      <c r="B16" s="218" t="str">
        <f t="shared" si="0"/>
        <v>Account ServicesLABOR: SUPERVISORY</v>
      </c>
      <c r="C16" s="220" t="s">
        <v>50</v>
      </c>
      <c r="D16" s="10"/>
      <c r="E16" s="10"/>
      <c r="F16" s="10"/>
      <c r="G16" s="10"/>
      <c r="H16" s="186" t="s">
        <v>35</v>
      </c>
      <c r="I16" s="162"/>
      <c r="J16" s="62"/>
      <c r="K16" s="62"/>
      <c r="L16" s="62"/>
      <c r="M16" s="63"/>
      <c r="N16" s="440"/>
      <c r="O16" s="234"/>
      <c r="P16" s="65"/>
      <c r="Q16" s="37"/>
      <c r="R16" s="186" t="s">
        <v>35</v>
      </c>
      <c r="S16" s="162"/>
      <c r="T16" s="62"/>
      <c r="U16" s="62"/>
      <c r="V16" s="62"/>
      <c r="W16" s="63"/>
      <c r="X16" s="64"/>
      <c r="Y16" s="234"/>
      <c r="Z16" s="65"/>
      <c r="AA16" s="37"/>
      <c r="AB16" s="186" t="s">
        <v>35</v>
      </c>
      <c r="AC16" s="162"/>
      <c r="AD16" s="62"/>
      <c r="AE16" s="62"/>
      <c r="AF16" s="62"/>
      <c r="AG16" s="63"/>
      <c r="AH16" s="26"/>
      <c r="AI16" s="234"/>
      <c r="AJ16" s="162"/>
      <c r="AK16" s="64"/>
    </row>
    <row r="17" spans="1:37" ht="15.75" x14ac:dyDescent="0.25">
      <c r="A17" s="299" t="s">
        <v>8</v>
      </c>
      <c r="B17" s="218"/>
      <c r="C17" s="220"/>
      <c r="D17" s="10"/>
      <c r="E17" s="10"/>
      <c r="F17" s="10"/>
      <c r="G17" s="10"/>
      <c r="H17" s="184" t="s">
        <v>372</v>
      </c>
      <c r="I17" s="158">
        <f t="shared" ref="I17:I18" si="8">J17*K17</f>
        <v>0</v>
      </c>
      <c r="J17" s="62"/>
      <c r="K17" s="62">
        <v>50.91</v>
      </c>
      <c r="L17" s="62"/>
      <c r="M17" s="40" t="str">
        <f t="shared" ref="M17" si="9">J17&amp;" hrs @ "&amp;K17</f>
        <v xml:space="preserve"> hrs @ 50.91</v>
      </c>
      <c r="N17" s="440"/>
      <c r="O17" s="234"/>
      <c r="P17" s="65"/>
      <c r="Q17" s="37"/>
      <c r="R17" s="38" t="s">
        <v>372</v>
      </c>
      <c r="S17" s="158">
        <f t="shared" ref="S17" si="10">T17*U17</f>
        <v>0</v>
      </c>
      <c r="T17" s="62"/>
      <c r="U17" s="62">
        <v>50.91</v>
      </c>
      <c r="V17" s="62"/>
      <c r="W17" s="40" t="str">
        <f t="shared" ref="W17" si="11">T17&amp;" hrs @ "&amp;U17</f>
        <v xml:space="preserve"> hrs @ 50.91</v>
      </c>
      <c r="X17" s="64"/>
      <c r="Y17" s="234"/>
      <c r="Z17" s="65"/>
      <c r="AA17" s="37"/>
      <c r="AB17" s="38" t="s">
        <v>372</v>
      </c>
      <c r="AC17" s="158">
        <f t="shared" ref="AC17" si="12">AD17*AE17</f>
        <v>0</v>
      </c>
      <c r="AD17" s="62"/>
      <c r="AE17" s="62">
        <v>50.91</v>
      </c>
      <c r="AF17" s="62"/>
      <c r="AG17" s="40" t="str">
        <f t="shared" ref="AG17" si="13">AD17&amp;" hrs @ "&amp;AE17</f>
        <v xml:space="preserve"> hrs @ 50.91</v>
      </c>
      <c r="AH17" s="26"/>
      <c r="AI17" s="234"/>
      <c r="AJ17" s="158">
        <f>I17+S17+AC17</f>
        <v>0</v>
      </c>
      <c r="AK17" s="64"/>
    </row>
    <row r="18" spans="1:37" ht="22.5" x14ac:dyDescent="0.25">
      <c r="A18" s="299" t="s">
        <v>8</v>
      </c>
      <c r="B18" s="218" t="str">
        <f t="shared" si="0"/>
        <v>Account ServicesSupervisor</v>
      </c>
      <c r="C18" s="217" t="s">
        <v>48</v>
      </c>
      <c r="D18" s="10"/>
      <c r="E18" s="10"/>
      <c r="F18" s="10"/>
      <c r="G18" s="10"/>
      <c r="H18" s="184" t="s">
        <v>373</v>
      </c>
      <c r="I18" s="158">
        <f t="shared" si="8"/>
        <v>50544</v>
      </c>
      <c r="J18" s="42">
        <v>1248</v>
      </c>
      <c r="K18" s="259">
        <v>40.5</v>
      </c>
      <c r="L18" s="43"/>
      <c r="M18" s="40" t="str">
        <f t="shared" ref="M18" si="14">J18&amp;" hrs @ "&amp;K18</f>
        <v>1248 hrs @ 40.5</v>
      </c>
      <c r="N18" s="440"/>
      <c r="O18" s="235"/>
      <c r="P18" s="65"/>
      <c r="Q18" s="41"/>
      <c r="R18" s="38" t="s">
        <v>373</v>
      </c>
      <c r="S18" s="158">
        <f t="shared" ref="S18" si="15">T18*U18</f>
        <v>5062.5</v>
      </c>
      <c r="T18" s="42">
        <v>125</v>
      </c>
      <c r="U18" s="259">
        <v>40.5</v>
      </c>
      <c r="V18" s="43"/>
      <c r="W18" s="40" t="str">
        <f t="shared" ref="W18" si="16">T18&amp;" hrs @ "&amp;U18</f>
        <v>125 hrs @ 40.5</v>
      </c>
      <c r="X18" s="64"/>
      <c r="Y18" s="235"/>
      <c r="Z18" s="65"/>
      <c r="AA18" s="41"/>
      <c r="AB18" s="38" t="s">
        <v>373</v>
      </c>
      <c r="AC18" s="158">
        <f t="shared" ref="AC18" si="17">AD18*AE18</f>
        <v>0</v>
      </c>
      <c r="AD18" s="289">
        <f>+ROUND('FTE Alloc OR &amp; WA'!L31*2080,0)</f>
        <v>0</v>
      </c>
      <c r="AE18" s="259">
        <v>40.5</v>
      </c>
      <c r="AF18" s="43"/>
      <c r="AG18" s="40" t="str">
        <f t="shared" ref="AG18" si="18">AD18&amp;" hrs @ "&amp;AE18</f>
        <v>0 hrs @ 40.5</v>
      </c>
      <c r="AH18" s="26"/>
      <c r="AI18" s="235"/>
      <c r="AJ18" s="158">
        <f>I18+S18+AC18</f>
        <v>55606.5</v>
      </c>
      <c r="AK18" s="64"/>
    </row>
    <row r="19" spans="1:37" ht="15.75" x14ac:dyDescent="0.25">
      <c r="A19" s="299" t="s">
        <v>8</v>
      </c>
      <c r="B19" s="218"/>
      <c r="C19" s="217"/>
      <c r="D19" s="10"/>
      <c r="E19" s="10"/>
      <c r="F19" s="10"/>
      <c r="G19" s="10"/>
      <c r="H19" s="255" t="s">
        <v>32</v>
      </c>
      <c r="I19" s="393">
        <f>SUM(I16:I18)</f>
        <v>50544</v>
      </c>
      <c r="J19" s="394"/>
      <c r="K19" s="395"/>
      <c r="L19" s="395"/>
      <c r="M19" s="396"/>
      <c r="N19" s="440"/>
      <c r="O19" s="234"/>
      <c r="P19" s="65"/>
      <c r="Q19" s="41"/>
      <c r="R19" s="255" t="s">
        <v>32</v>
      </c>
      <c r="S19" s="393">
        <f>SUM(S16:S18)</f>
        <v>5062.5</v>
      </c>
      <c r="T19" s="394"/>
      <c r="U19" s="395"/>
      <c r="V19" s="395"/>
      <c r="W19" s="396"/>
      <c r="X19" s="64"/>
      <c r="Y19" s="234"/>
      <c r="Z19" s="65"/>
      <c r="AA19" s="41"/>
      <c r="AB19" s="255" t="s">
        <v>32</v>
      </c>
      <c r="AC19" s="393">
        <f>SUM(AC16:AC18)</f>
        <v>0</v>
      </c>
      <c r="AD19" s="394"/>
      <c r="AE19" s="395"/>
      <c r="AF19" s="395"/>
      <c r="AG19" s="396"/>
      <c r="AH19" s="26"/>
      <c r="AI19" s="234"/>
      <c r="AJ19" s="393">
        <f>I19+S19+AC19</f>
        <v>55606.5</v>
      </c>
      <c r="AK19" s="64"/>
    </row>
    <row r="20" spans="1:37" ht="15.75" x14ac:dyDescent="0.25">
      <c r="A20" s="299" t="s">
        <v>8</v>
      </c>
      <c r="B20" s="218" t="str">
        <f t="shared" si="0"/>
        <v>Account ServicesBenefits</v>
      </c>
      <c r="C20" s="217" t="s">
        <v>48</v>
      </c>
      <c r="D20" s="10"/>
      <c r="E20" s="10"/>
      <c r="F20" s="10"/>
      <c r="G20" s="10"/>
      <c r="H20" s="184" t="s">
        <v>33</v>
      </c>
      <c r="I20" s="159">
        <f>I19*$O$2</f>
        <v>49831.329599999997</v>
      </c>
      <c r="J20" s="42"/>
      <c r="K20" s="39"/>
      <c r="L20" s="156"/>
      <c r="M20" s="45" t="str">
        <f>"@ "&amp;$O$2*100&amp;" %"</f>
        <v>@ 98.59 %</v>
      </c>
      <c r="N20" s="440"/>
      <c r="O20" s="236"/>
      <c r="P20" s="65"/>
      <c r="Q20" s="41"/>
      <c r="R20" s="184" t="s">
        <v>33</v>
      </c>
      <c r="S20" s="159">
        <f>S19*$O$2</f>
        <v>4991.1187499999996</v>
      </c>
      <c r="T20" s="42"/>
      <c r="U20" s="39"/>
      <c r="V20" s="156"/>
      <c r="W20" s="45" t="str">
        <f>"@ "&amp;$O$2*100&amp;" %"</f>
        <v>@ 98.59 %</v>
      </c>
      <c r="X20" s="64"/>
      <c r="Y20" s="236"/>
      <c r="Z20" s="65"/>
      <c r="AA20" s="41"/>
      <c r="AB20" s="184" t="s">
        <v>33</v>
      </c>
      <c r="AC20" s="159">
        <f>AC19*$O$2</f>
        <v>0</v>
      </c>
      <c r="AD20" s="42"/>
      <c r="AE20" s="39"/>
      <c r="AF20" s="156"/>
      <c r="AG20" s="45" t="str">
        <f>"@ "&amp;$O$2*100&amp;" %"</f>
        <v>@ 98.59 %</v>
      </c>
      <c r="AH20" s="26"/>
      <c r="AI20" s="236"/>
      <c r="AJ20" s="159">
        <f>I20+S20+AC20</f>
        <v>54822.448349999999</v>
      </c>
      <c r="AK20" s="64"/>
    </row>
    <row r="21" spans="1:37" ht="15.75" x14ac:dyDescent="0.25">
      <c r="A21" s="299" t="s">
        <v>8</v>
      </c>
      <c r="B21" s="218" t="str">
        <f t="shared" si="0"/>
        <v>Account ServicesTotal</v>
      </c>
      <c r="C21" s="220" t="s">
        <v>50</v>
      </c>
      <c r="D21" s="10"/>
      <c r="E21" s="10"/>
      <c r="F21" s="10"/>
      <c r="G21" s="10"/>
      <c r="H21" s="185" t="s">
        <v>34</v>
      </c>
      <c r="I21" s="165">
        <f>I20+I18</f>
        <v>100375.3296</v>
      </c>
      <c r="J21" s="68"/>
      <c r="K21" s="68"/>
      <c r="L21" s="68"/>
      <c r="M21" s="63"/>
      <c r="N21" s="443">
        <f>I21</f>
        <v>100375.3296</v>
      </c>
      <c r="O21" s="233">
        <f>N21/N46</f>
        <v>0.15677130513280449</v>
      </c>
      <c r="P21" s="65"/>
      <c r="Q21" s="41"/>
      <c r="R21" s="185" t="s">
        <v>34</v>
      </c>
      <c r="S21" s="165">
        <f>S20+S18</f>
        <v>10053.61875</v>
      </c>
      <c r="T21" s="68"/>
      <c r="U21" s="68"/>
      <c r="V21" s="68"/>
      <c r="W21" s="63"/>
      <c r="X21" s="52">
        <f>S21</f>
        <v>10053.61875</v>
      </c>
      <c r="Y21" s="233">
        <f>X21/X46</f>
        <v>0.18735264685480851</v>
      </c>
      <c r="Z21" s="65"/>
      <c r="AA21" s="41"/>
      <c r="AB21" s="185" t="s">
        <v>34</v>
      </c>
      <c r="AC21" s="165">
        <f>AC20+AC18</f>
        <v>0</v>
      </c>
      <c r="AD21" s="68"/>
      <c r="AE21" s="68"/>
      <c r="AF21" s="68"/>
      <c r="AG21" s="63"/>
      <c r="AH21" s="420">
        <f>AC21</f>
        <v>0</v>
      </c>
      <c r="AI21" s="233">
        <f>AH21/AH46</f>
        <v>0</v>
      </c>
      <c r="AJ21" s="165">
        <f>I21+S21+AC21</f>
        <v>110428.94834999999</v>
      </c>
      <c r="AK21" s="52"/>
    </row>
    <row r="22" spans="1:37" ht="15.75" x14ac:dyDescent="0.25">
      <c r="A22" s="299" t="s">
        <v>8</v>
      </c>
      <c r="B22" s="218" t="str">
        <f t="shared" si="0"/>
        <v>Account Services</v>
      </c>
      <c r="C22" s="217" t="s">
        <v>48</v>
      </c>
      <c r="D22" s="10"/>
      <c r="E22" s="10"/>
      <c r="F22" s="10"/>
      <c r="G22" s="10"/>
      <c r="H22" s="179"/>
      <c r="I22" s="166"/>
      <c r="J22" s="69"/>
      <c r="K22" s="69"/>
      <c r="L22" s="69"/>
      <c r="M22" s="70"/>
      <c r="N22" s="441"/>
      <c r="O22" s="235"/>
      <c r="P22" s="73"/>
      <c r="Q22" s="60"/>
      <c r="R22" s="179"/>
      <c r="S22" s="166"/>
      <c r="T22" s="69"/>
      <c r="U22" s="69"/>
      <c r="V22" s="69"/>
      <c r="W22" s="70"/>
      <c r="X22" s="71"/>
      <c r="Y22" s="235"/>
      <c r="Z22" s="73"/>
      <c r="AA22" s="60"/>
      <c r="AB22" s="179"/>
      <c r="AC22" s="166"/>
      <c r="AD22" s="69"/>
      <c r="AE22" s="69"/>
      <c r="AF22" s="69"/>
      <c r="AG22" s="70"/>
      <c r="AH22" s="72"/>
      <c r="AI22" s="235"/>
      <c r="AJ22" s="166"/>
      <c r="AK22" s="71"/>
    </row>
    <row r="23" spans="1:37" ht="15.75" x14ac:dyDescent="0.25">
      <c r="A23" s="299" t="s">
        <v>8</v>
      </c>
      <c r="B23" s="218" t="str">
        <f t="shared" si="0"/>
        <v>Account ServicesEQUIPMENT</v>
      </c>
      <c r="C23" s="220" t="s">
        <v>50</v>
      </c>
      <c r="D23" s="10"/>
      <c r="E23" s="10"/>
      <c r="F23" s="10"/>
      <c r="G23" s="10"/>
      <c r="H23" s="186" t="s">
        <v>36</v>
      </c>
      <c r="I23" s="167"/>
      <c r="J23" s="74"/>
      <c r="K23" s="74"/>
      <c r="L23" s="74"/>
      <c r="M23" s="66"/>
      <c r="N23" s="443"/>
      <c r="O23" s="237"/>
      <c r="P23" s="65"/>
      <c r="Q23" s="37"/>
      <c r="R23" s="186" t="s">
        <v>36</v>
      </c>
      <c r="S23" s="167"/>
      <c r="T23" s="74"/>
      <c r="U23" s="74"/>
      <c r="V23" s="74"/>
      <c r="W23" s="66"/>
      <c r="X23" s="75"/>
      <c r="Y23" s="237"/>
      <c r="Z23" s="65"/>
      <c r="AA23" s="37"/>
      <c r="AB23" s="186" t="s">
        <v>36</v>
      </c>
      <c r="AC23" s="167"/>
      <c r="AD23" s="74"/>
      <c r="AE23" s="74"/>
      <c r="AF23" s="74"/>
      <c r="AG23" s="66"/>
      <c r="AH23" s="76"/>
      <c r="AI23" s="237"/>
      <c r="AJ23" s="167"/>
      <c r="AK23" s="75"/>
    </row>
    <row r="24" spans="1:37" ht="15.75" x14ac:dyDescent="0.25">
      <c r="A24" s="299" t="s">
        <v>8</v>
      </c>
      <c r="B24" s="218" t="str">
        <f t="shared" si="0"/>
        <v>Account Services</v>
      </c>
      <c r="C24" s="217" t="s">
        <v>48</v>
      </c>
      <c r="D24" s="10"/>
      <c r="E24" s="10"/>
      <c r="F24" s="10"/>
      <c r="G24" s="10"/>
      <c r="H24" s="187"/>
      <c r="I24" s="158">
        <f t="shared" ref="I24:I27" si="19">J24*K24</f>
        <v>0</v>
      </c>
      <c r="J24" s="42"/>
      <c r="K24" s="39"/>
      <c r="L24" s="39"/>
      <c r="M24" s="40" t="str">
        <f>J24&amp;" hrs @ "&amp;K24</f>
        <v xml:space="preserve"> hrs @ </v>
      </c>
      <c r="N24" s="443"/>
      <c r="O24" s="237"/>
      <c r="P24" s="65"/>
      <c r="Q24" s="37"/>
      <c r="R24" s="187"/>
      <c r="S24" s="158">
        <f t="shared" ref="S24:S27" si="20">T24*U24</f>
        <v>0</v>
      </c>
      <c r="T24" s="42"/>
      <c r="U24" s="39"/>
      <c r="V24" s="39"/>
      <c r="W24" s="40" t="str">
        <f>T24&amp;" hrs @ "&amp;U24</f>
        <v xml:space="preserve"> hrs @ </v>
      </c>
      <c r="X24" s="75"/>
      <c r="Y24" s="237"/>
      <c r="Z24" s="65"/>
      <c r="AA24" s="37"/>
      <c r="AB24" s="187"/>
      <c r="AC24" s="158">
        <f t="shared" ref="AC24:AC27" si="21">AD24*AE24</f>
        <v>0</v>
      </c>
      <c r="AD24" s="42"/>
      <c r="AE24" s="39"/>
      <c r="AF24" s="39"/>
      <c r="AG24" s="40" t="str">
        <f>AD24&amp;" hrs @ "&amp;AE24</f>
        <v xml:space="preserve"> hrs @ </v>
      </c>
      <c r="AH24" s="76"/>
      <c r="AI24" s="237"/>
      <c r="AJ24" s="158"/>
      <c r="AK24" s="75"/>
    </row>
    <row r="25" spans="1:37" ht="15.75" x14ac:dyDescent="0.25">
      <c r="A25" s="299" t="s">
        <v>8</v>
      </c>
      <c r="B25" s="218" t="str">
        <f t="shared" si="0"/>
        <v>Account Services</v>
      </c>
      <c r="C25" s="217" t="s">
        <v>48</v>
      </c>
      <c r="D25" s="10"/>
      <c r="E25" s="10"/>
      <c r="F25" s="10"/>
      <c r="G25" s="10"/>
      <c r="H25" s="187"/>
      <c r="I25" s="158">
        <f t="shared" si="19"/>
        <v>0</v>
      </c>
      <c r="J25" s="42"/>
      <c r="K25" s="39"/>
      <c r="L25" s="42"/>
      <c r="M25" s="40" t="str">
        <f t="shared" ref="M25:M27" si="22">J25&amp;" hrs @ "&amp;K25</f>
        <v xml:space="preserve"> hrs @ </v>
      </c>
      <c r="N25" s="444"/>
      <c r="O25" s="238"/>
      <c r="P25" s="80"/>
      <c r="Q25" s="81"/>
      <c r="R25" s="187"/>
      <c r="S25" s="158">
        <f t="shared" si="20"/>
        <v>0</v>
      </c>
      <c r="T25" s="42"/>
      <c r="U25" s="39"/>
      <c r="V25" s="42"/>
      <c r="W25" s="40" t="str">
        <f t="shared" ref="W25:W27" si="23">T25&amp;" hrs @ "&amp;U25</f>
        <v xml:space="preserve"> hrs @ </v>
      </c>
      <c r="X25" s="78"/>
      <c r="Y25" s="238"/>
      <c r="Z25" s="80"/>
      <c r="AA25" s="81"/>
      <c r="AB25" s="187"/>
      <c r="AC25" s="158">
        <f t="shared" si="21"/>
        <v>0</v>
      </c>
      <c r="AD25" s="42"/>
      <c r="AE25" s="39"/>
      <c r="AF25" s="42"/>
      <c r="AG25" s="40" t="str">
        <f t="shared" ref="AG25:AG27" si="24">AD25&amp;" hrs @ "&amp;AE25</f>
        <v xml:space="preserve"> hrs @ </v>
      </c>
      <c r="AH25" s="79"/>
      <c r="AI25" s="238"/>
      <c r="AJ25" s="158"/>
      <c r="AK25" s="78"/>
    </row>
    <row r="26" spans="1:37" ht="15.75" x14ac:dyDescent="0.25">
      <c r="A26" s="299" t="s">
        <v>8</v>
      </c>
      <c r="B26" s="218" t="str">
        <f t="shared" si="0"/>
        <v>Account Services</v>
      </c>
      <c r="C26" s="217" t="s">
        <v>48</v>
      </c>
      <c r="D26" s="10"/>
      <c r="E26" s="10"/>
      <c r="F26" s="10"/>
      <c r="G26" s="10"/>
      <c r="H26" s="187"/>
      <c r="I26" s="158">
        <f t="shared" si="19"/>
        <v>0</v>
      </c>
      <c r="J26" s="42"/>
      <c r="K26" s="39"/>
      <c r="L26" s="42"/>
      <c r="M26" s="40" t="str">
        <f t="shared" si="22"/>
        <v xml:space="preserve"> hrs @ </v>
      </c>
      <c r="N26" s="444"/>
      <c r="O26" s="238"/>
      <c r="P26" s="80"/>
      <c r="Q26" s="81"/>
      <c r="R26" s="187"/>
      <c r="S26" s="158">
        <f t="shared" si="20"/>
        <v>0</v>
      </c>
      <c r="T26" s="42"/>
      <c r="U26" s="39"/>
      <c r="V26" s="42"/>
      <c r="W26" s="40" t="str">
        <f t="shared" si="23"/>
        <v xml:space="preserve"> hrs @ </v>
      </c>
      <c r="X26" s="78"/>
      <c r="Y26" s="238"/>
      <c r="Z26" s="80"/>
      <c r="AA26" s="81"/>
      <c r="AB26" s="187"/>
      <c r="AC26" s="158">
        <f t="shared" si="21"/>
        <v>0</v>
      </c>
      <c r="AD26" s="42"/>
      <c r="AE26" s="39"/>
      <c r="AF26" s="42"/>
      <c r="AG26" s="40" t="str">
        <f t="shared" si="24"/>
        <v xml:space="preserve"> hrs @ </v>
      </c>
      <c r="AH26" s="79"/>
      <c r="AI26" s="238"/>
      <c r="AJ26" s="158"/>
      <c r="AK26" s="78"/>
    </row>
    <row r="27" spans="1:37" ht="15.75" x14ac:dyDescent="0.25">
      <c r="A27" s="299" t="s">
        <v>8</v>
      </c>
      <c r="B27" s="218" t="str">
        <f t="shared" si="0"/>
        <v>Account Services</v>
      </c>
      <c r="C27" s="217" t="s">
        <v>48</v>
      </c>
      <c r="D27" s="10"/>
      <c r="E27" s="10"/>
      <c r="F27" s="10"/>
      <c r="G27" s="10"/>
      <c r="H27" s="187"/>
      <c r="I27" s="158">
        <f t="shared" si="19"/>
        <v>0</v>
      </c>
      <c r="J27" s="42"/>
      <c r="K27" s="39"/>
      <c r="L27" s="43"/>
      <c r="M27" s="40" t="str">
        <f t="shared" si="22"/>
        <v xml:space="preserve"> hrs @ </v>
      </c>
      <c r="N27" s="444"/>
      <c r="O27" s="239"/>
      <c r="P27" s="80"/>
      <c r="Q27" s="81"/>
      <c r="R27" s="187"/>
      <c r="S27" s="158">
        <f t="shared" si="20"/>
        <v>0</v>
      </c>
      <c r="T27" s="42"/>
      <c r="U27" s="39"/>
      <c r="V27" s="43"/>
      <c r="W27" s="40" t="str">
        <f t="shared" si="23"/>
        <v xml:space="preserve"> hrs @ </v>
      </c>
      <c r="X27" s="78"/>
      <c r="Y27" s="239"/>
      <c r="Z27" s="80"/>
      <c r="AA27" s="81"/>
      <c r="AB27" s="187"/>
      <c r="AC27" s="158">
        <f t="shared" si="21"/>
        <v>0</v>
      </c>
      <c r="AD27" s="42"/>
      <c r="AE27" s="39"/>
      <c r="AF27" s="43"/>
      <c r="AG27" s="40" t="str">
        <f t="shared" si="24"/>
        <v xml:space="preserve"> hrs @ </v>
      </c>
      <c r="AH27" s="79"/>
      <c r="AI27" s="239"/>
      <c r="AJ27" s="158"/>
      <c r="AK27" s="78"/>
    </row>
    <row r="28" spans="1:37" ht="15.75" x14ac:dyDescent="0.25">
      <c r="A28" s="299" t="s">
        <v>8</v>
      </c>
      <c r="B28" s="218" t="str">
        <f t="shared" si="0"/>
        <v>Account ServicesTotal Equipment</v>
      </c>
      <c r="C28" s="220" t="s">
        <v>50</v>
      </c>
      <c r="D28" s="10"/>
      <c r="E28" s="116">
        <f>I28</f>
        <v>0</v>
      </c>
      <c r="F28" s="116">
        <f>S28</f>
        <v>0</v>
      </c>
      <c r="G28" s="116">
        <f>AC28</f>
        <v>0</v>
      </c>
      <c r="H28" s="188" t="s">
        <v>37</v>
      </c>
      <c r="I28" s="165">
        <f>SUM(I24:I27)</f>
        <v>0</v>
      </c>
      <c r="J28" s="68"/>
      <c r="K28" s="68"/>
      <c r="L28" s="68"/>
      <c r="M28" s="66"/>
      <c r="N28" s="443">
        <f>I28</f>
        <v>0</v>
      </c>
      <c r="O28" s="240">
        <f>N28/N46</f>
        <v>0</v>
      </c>
      <c r="P28" s="80"/>
      <c r="Q28" s="81"/>
      <c r="R28" s="188" t="s">
        <v>37</v>
      </c>
      <c r="S28" s="165">
        <f>SUM(S24:S27)</f>
        <v>0</v>
      </c>
      <c r="T28" s="68"/>
      <c r="U28" s="68"/>
      <c r="V28" s="68"/>
      <c r="W28" s="66"/>
      <c r="X28" s="52">
        <f>S28</f>
        <v>0</v>
      </c>
      <c r="Y28" s="240">
        <f>X28/X46</f>
        <v>0</v>
      </c>
      <c r="Z28" s="80"/>
      <c r="AA28" s="81"/>
      <c r="AB28" s="188" t="s">
        <v>37</v>
      </c>
      <c r="AC28" s="165">
        <f>SUM(AC24:AC27)</f>
        <v>0</v>
      </c>
      <c r="AD28" s="68"/>
      <c r="AE28" s="68"/>
      <c r="AF28" s="68"/>
      <c r="AG28" s="66"/>
      <c r="AH28" s="420">
        <f>AC28</f>
        <v>0</v>
      </c>
      <c r="AI28" s="240">
        <f>AH28/AH46</f>
        <v>0</v>
      </c>
      <c r="AJ28" s="165">
        <f>I28+S28+AC28</f>
        <v>0</v>
      </c>
      <c r="AK28" s="52"/>
    </row>
    <row r="29" spans="1:37" ht="15.75" x14ac:dyDescent="0.25">
      <c r="A29" s="299" t="s">
        <v>8</v>
      </c>
      <c r="B29" s="218" t="str">
        <f t="shared" si="0"/>
        <v>Account Services</v>
      </c>
      <c r="C29" s="217" t="s">
        <v>48</v>
      </c>
      <c r="D29" s="10"/>
      <c r="E29" s="10"/>
      <c r="F29" s="10"/>
      <c r="G29" s="10"/>
      <c r="H29" s="189"/>
      <c r="I29" s="169"/>
      <c r="J29" s="85"/>
      <c r="K29" s="85"/>
      <c r="L29" s="85"/>
      <c r="M29" s="86"/>
      <c r="N29" s="445"/>
      <c r="O29" s="241"/>
      <c r="P29" s="89"/>
      <c r="Q29" s="60"/>
      <c r="R29" s="189"/>
      <c r="S29" s="169"/>
      <c r="T29" s="85"/>
      <c r="U29" s="85"/>
      <c r="V29" s="85"/>
      <c r="W29" s="86"/>
      <c r="X29" s="87"/>
      <c r="Y29" s="241"/>
      <c r="Z29" s="89"/>
      <c r="AA29" s="60"/>
      <c r="AB29" s="189"/>
      <c r="AC29" s="169"/>
      <c r="AD29" s="85"/>
      <c r="AE29" s="85"/>
      <c r="AF29" s="85"/>
      <c r="AG29" s="86"/>
      <c r="AH29" s="88"/>
      <c r="AI29" s="241"/>
      <c r="AJ29" s="169"/>
      <c r="AK29" s="87"/>
    </row>
    <row r="30" spans="1:37" ht="15.75" x14ac:dyDescent="0.25">
      <c r="A30" s="299" t="s">
        <v>8</v>
      </c>
      <c r="B30" s="218" t="str">
        <f t="shared" si="0"/>
        <v>Account ServicesIS SUPPORT</v>
      </c>
      <c r="C30" s="220" t="s">
        <v>50</v>
      </c>
      <c r="D30" s="10"/>
      <c r="E30" s="10"/>
      <c r="F30" s="10"/>
      <c r="G30" s="10"/>
      <c r="H30" s="186" t="s">
        <v>38</v>
      </c>
      <c r="I30" s="167"/>
      <c r="J30" s="74"/>
      <c r="K30" s="74"/>
      <c r="L30" s="74"/>
      <c r="M30" s="66"/>
      <c r="N30" s="446"/>
      <c r="O30" s="227"/>
      <c r="P30" s="92"/>
      <c r="Q30" s="37"/>
      <c r="R30" s="186" t="s">
        <v>38</v>
      </c>
      <c r="S30" s="167"/>
      <c r="T30" s="74"/>
      <c r="U30" s="74"/>
      <c r="V30" s="74"/>
      <c r="W30" s="66"/>
      <c r="X30" s="90"/>
      <c r="Y30" s="227"/>
      <c r="Z30" s="92"/>
      <c r="AA30" s="37"/>
      <c r="AB30" s="186" t="s">
        <v>38</v>
      </c>
      <c r="AC30" s="167"/>
      <c r="AD30" s="74"/>
      <c r="AE30" s="74"/>
      <c r="AF30" s="74"/>
      <c r="AG30" s="66"/>
      <c r="AH30" s="91"/>
      <c r="AI30" s="227"/>
      <c r="AJ30" s="167"/>
      <c r="AK30" s="90"/>
    </row>
    <row r="31" spans="1:37" ht="15.75" x14ac:dyDescent="0.25">
      <c r="A31" s="299" t="s">
        <v>8</v>
      </c>
      <c r="B31" s="218" t="str">
        <f t="shared" si="0"/>
        <v>Account ServicesAnalyst Labor</v>
      </c>
      <c r="C31" s="217" t="s">
        <v>48</v>
      </c>
      <c r="D31" s="10"/>
      <c r="E31" s="10"/>
      <c r="F31" s="10"/>
      <c r="G31" s="10"/>
      <c r="H31" s="184" t="s">
        <v>39</v>
      </c>
      <c r="I31" s="162">
        <f>J31*K31</f>
        <v>0</v>
      </c>
      <c r="J31" s="42"/>
      <c r="K31" s="39"/>
      <c r="L31" s="39"/>
      <c r="M31" s="40" t="str">
        <f>J31&amp;" hrs @ "&amp;K31</f>
        <v xml:space="preserve"> hrs @ </v>
      </c>
      <c r="N31" s="447"/>
      <c r="O31" s="242"/>
      <c r="P31" s="92"/>
      <c r="Q31" s="37"/>
      <c r="R31" s="184" t="s">
        <v>39</v>
      </c>
      <c r="S31" s="162">
        <f>T31*U31</f>
        <v>0</v>
      </c>
      <c r="T31" s="42"/>
      <c r="U31" s="39"/>
      <c r="V31" s="39"/>
      <c r="W31" s="40" t="str">
        <f>T31&amp;" hrs @ "&amp;U31</f>
        <v xml:space="preserve"> hrs @ </v>
      </c>
      <c r="X31" s="93"/>
      <c r="Y31" s="242"/>
      <c r="Z31" s="92"/>
      <c r="AA31" s="37"/>
      <c r="AB31" s="184" t="s">
        <v>39</v>
      </c>
      <c r="AC31" s="162">
        <f>AD31*AE31</f>
        <v>0</v>
      </c>
      <c r="AD31" s="42"/>
      <c r="AE31" s="39"/>
      <c r="AF31" s="39"/>
      <c r="AG31" s="40" t="str">
        <f>AD31&amp;" hrs @ "&amp;AE31</f>
        <v xml:space="preserve"> hrs @ </v>
      </c>
      <c r="AH31" s="94"/>
      <c r="AI31" s="242"/>
      <c r="AJ31" s="162">
        <f>I31+S31+AC31</f>
        <v>0</v>
      </c>
      <c r="AK31" s="93"/>
    </row>
    <row r="32" spans="1:37" ht="15.75" x14ac:dyDescent="0.25">
      <c r="A32" s="299" t="s">
        <v>8</v>
      </c>
      <c r="B32" s="218" t="str">
        <f t="shared" si="0"/>
        <v>Account ServicesAnalyst Benefits</v>
      </c>
      <c r="C32" s="217" t="s">
        <v>48</v>
      </c>
      <c r="D32" s="10"/>
      <c r="E32" s="10"/>
      <c r="F32" s="10"/>
      <c r="G32" s="10"/>
      <c r="H32" s="184" t="s">
        <v>40</v>
      </c>
      <c r="I32" s="159">
        <f>I31*$O$2</f>
        <v>0</v>
      </c>
      <c r="J32" s="42"/>
      <c r="K32" s="39"/>
      <c r="L32" s="156"/>
      <c r="M32" s="45" t="str">
        <f>"@ "&amp;$O$2*100&amp;" %"</f>
        <v>@ 98.59 %</v>
      </c>
      <c r="N32" s="447"/>
      <c r="O32" s="228"/>
      <c r="P32" s="92"/>
      <c r="Q32" s="37"/>
      <c r="R32" s="184" t="s">
        <v>40</v>
      </c>
      <c r="S32" s="159">
        <f>S31*$O$2</f>
        <v>0</v>
      </c>
      <c r="T32" s="42"/>
      <c r="U32" s="39"/>
      <c r="V32" s="156"/>
      <c r="W32" s="45" t="str">
        <f>"@ "&amp;$O$2*100&amp;" %"</f>
        <v>@ 98.59 %</v>
      </c>
      <c r="X32" s="93"/>
      <c r="Y32" s="228"/>
      <c r="Z32" s="92"/>
      <c r="AA32" s="37"/>
      <c r="AB32" s="184" t="s">
        <v>40</v>
      </c>
      <c r="AC32" s="159">
        <f>AC31*$O$2</f>
        <v>0</v>
      </c>
      <c r="AD32" s="42"/>
      <c r="AE32" s="39"/>
      <c r="AF32" s="156"/>
      <c r="AG32" s="45" t="str">
        <f>"@ "&amp;$O$2*100&amp;" %"</f>
        <v>@ 98.59 %</v>
      </c>
      <c r="AH32" s="94"/>
      <c r="AI32" s="228"/>
      <c r="AJ32" s="159">
        <f>I32+S32+AC32</f>
        <v>0</v>
      </c>
      <c r="AK32" s="93"/>
    </row>
    <row r="33" spans="1:37" ht="15.75" x14ac:dyDescent="0.25">
      <c r="A33" s="299" t="s">
        <v>8</v>
      </c>
      <c r="B33" s="218" t="str">
        <f t="shared" si="0"/>
        <v>Account ServicesTotal IS</v>
      </c>
      <c r="C33" s="220" t="s">
        <v>50</v>
      </c>
      <c r="D33" s="10"/>
      <c r="E33" s="10"/>
      <c r="F33" s="10"/>
      <c r="G33" s="10"/>
      <c r="H33" s="185" t="s">
        <v>41</v>
      </c>
      <c r="I33" s="165">
        <f>I31+I32</f>
        <v>0</v>
      </c>
      <c r="J33" s="68"/>
      <c r="K33" s="68"/>
      <c r="L33" s="68"/>
      <c r="M33" s="66"/>
      <c r="N33" s="443">
        <f>I33</f>
        <v>0</v>
      </c>
      <c r="O33" s="240">
        <f>N33/N46</f>
        <v>0</v>
      </c>
      <c r="P33" s="92"/>
      <c r="Q33" s="37"/>
      <c r="R33" s="185" t="s">
        <v>41</v>
      </c>
      <c r="S33" s="165">
        <f>S31+S32</f>
        <v>0</v>
      </c>
      <c r="T33" s="68"/>
      <c r="U33" s="68"/>
      <c r="V33" s="68"/>
      <c r="W33" s="66"/>
      <c r="X33" s="52">
        <f>S33</f>
        <v>0</v>
      </c>
      <c r="Y33" s="240">
        <f>X33/X46</f>
        <v>0</v>
      </c>
      <c r="Z33" s="92"/>
      <c r="AA33" s="37"/>
      <c r="AB33" s="185" t="s">
        <v>41</v>
      </c>
      <c r="AC33" s="165">
        <f>AC31+AC32</f>
        <v>0</v>
      </c>
      <c r="AD33" s="68"/>
      <c r="AE33" s="68"/>
      <c r="AF33" s="68"/>
      <c r="AG33" s="66"/>
      <c r="AH33" s="420">
        <f>AC33</f>
        <v>0</v>
      </c>
      <c r="AI33" s="240">
        <f>AH33/AH46</f>
        <v>0</v>
      </c>
      <c r="AJ33" s="165">
        <f>I33+S33+AC33</f>
        <v>0</v>
      </c>
      <c r="AK33" s="52"/>
    </row>
    <row r="34" spans="1:37" ht="15.75" x14ac:dyDescent="0.25">
      <c r="A34" s="299" t="s">
        <v>8</v>
      </c>
      <c r="B34" s="218" t="str">
        <f t="shared" si="0"/>
        <v>Account Services</v>
      </c>
      <c r="C34" s="217" t="s">
        <v>48</v>
      </c>
      <c r="D34" s="10"/>
      <c r="E34" s="10"/>
      <c r="F34" s="10"/>
      <c r="G34" s="10"/>
      <c r="H34" s="179"/>
      <c r="I34" s="170"/>
      <c r="J34" s="95"/>
      <c r="K34" s="95"/>
      <c r="L34" s="95"/>
      <c r="M34" s="96"/>
      <c r="N34" s="448"/>
      <c r="O34" s="243"/>
      <c r="P34" s="99"/>
      <c r="Q34" s="60"/>
      <c r="R34" s="179"/>
      <c r="S34" s="170"/>
      <c r="T34" s="95"/>
      <c r="U34" s="95"/>
      <c r="V34" s="95"/>
      <c r="W34" s="96"/>
      <c r="X34" s="97"/>
      <c r="Y34" s="243"/>
      <c r="Z34" s="99"/>
      <c r="AA34" s="60"/>
      <c r="AB34" s="179"/>
      <c r="AC34" s="170"/>
      <c r="AD34" s="95"/>
      <c r="AE34" s="95"/>
      <c r="AF34" s="95"/>
      <c r="AG34" s="96"/>
      <c r="AH34" s="98"/>
      <c r="AI34" s="243"/>
      <c r="AJ34" s="170"/>
      <c r="AK34" s="97"/>
    </row>
    <row r="35" spans="1:37" ht="15.75" x14ac:dyDescent="0.25">
      <c r="A35" s="299" t="s">
        <v>8</v>
      </c>
      <c r="B35" s="218" t="str">
        <f t="shared" si="0"/>
        <v>Account ServicesOTHER</v>
      </c>
      <c r="C35" s="220" t="s">
        <v>50</v>
      </c>
      <c r="D35" s="10"/>
      <c r="E35" s="10"/>
      <c r="F35" s="10"/>
      <c r="G35" s="10"/>
      <c r="H35" s="186" t="s">
        <v>42</v>
      </c>
      <c r="I35" s="167"/>
      <c r="J35" s="74"/>
      <c r="K35" s="74"/>
      <c r="L35" s="74"/>
      <c r="M35" s="66"/>
      <c r="N35" s="446"/>
      <c r="O35" s="227"/>
      <c r="P35" s="92"/>
      <c r="Q35" s="37"/>
      <c r="R35" s="186" t="s">
        <v>42</v>
      </c>
      <c r="S35" s="167"/>
      <c r="T35" s="74"/>
      <c r="U35" s="74"/>
      <c r="V35" s="74"/>
      <c r="W35" s="66"/>
      <c r="X35" s="90"/>
      <c r="Y35" s="227"/>
      <c r="Z35" s="92"/>
      <c r="AA35" s="37"/>
      <c r="AB35" s="186" t="s">
        <v>42</v>
      </c>
      <c r="AC35" s="167"/>
      <c r="AD35" s="74"/>
      <c r="AE35" s="74"/>
      <c r="AF35" s="74"/>
      <c r="AG35" s="66"/>
      <c r="AH35" s="91"/>
      <c r="AI35" s="227"/>
      <c r="AJ35" s="167"/>
      <c r="AK35" s="90"/>
    </row>
    <row r="36" spans="1:37" ht="15.75" x14ac:dyDescent="0.25">
      <c r="A36" s="299" t="s">
        <v>8</v>
      </c>
      <c r="B36" s="218" t="str">
        <f t="shared" si="0"/>
        <v>Account ServicesPay Station Fees</v>
      </c>
      <c r="C36" s="217" t="s">
        <v>48</v>
      </c>
      <c r="D36" s="10"/>
      <c r="E36" s="10"/>
      <c r="F36" s="10"/>
      <c r="G36" s="10"/>
      <c r="H36" s="184" t="s">
        <v>232</v>
      </c>
      <c r="I36" s="163">
        <f>J36*K36</f>
        <v>51323.483999999997</v>
      </c>
      <c r="J36" s="293">
        <v>0.97799999999999998</v>
      </c>
      <c r="K36" s="483">
        <v>52478</v>
      </c>
      <c r="L36" s="42"/>
      <c r="M36" s="66"/>
      <c r="N36" s="446"/>
      <c r="O36" s="227"/>
      <c r="P36" s="92"/>
      <c r="Q36" s="37"/>
      <c r="R36" s="38" t="s">
        <v>232</v>
      </c>
      <c r="S36" s="163">
        <f>T36*U36</f>
        <v>1154.5159999999998</v>
      </c>
      <c r="T36" s="293">
        <v>2.1999999999999999E-2</v>
      </c>
      <c r="U36" s="483">
        <v>52478</v>
      </c>
      <c r="V36" s="42"/>
      <c r="W36" s="66"/>
      <c r="X36" s="90"/>
      <c r="Y36" s="227"/>
      <c r="Z36" s="92"/>
      <c r="AA36" s="37"/>
      <c r="AB36" s="38" t="s">
        <v>232</v>
      </c>
      <c r="AC36" s="163">
        <f>AD36*AE36</f>
        <v>0</v>
      </c>
      <c r="AD36" s="42">
        <v>0</v>
      </c>
      <c r="AE36" s="483">
        <v>52478</v>
      </c>
      <c r="AF36" s="42"/>
      <c r="AG36" s="66"/>
      <c r="AH36" s="91"/>
      <c r="AI36" s="227"/>
      <c r="AJ36" s="163">
        <f t="shared" ref="AJ36:AJ42" si="25">I36+S36+AC36</f>
        <v>52478</v>
      </c>
      <c r="AK36" s="90"/>
    </row>
    <row r="37" spans="1:37" ht="15.75" x14ac:dyDescent="0.25">
      <c r="A37" s="299" t="s">
        <v>8</v>
      </c>
      <c r="B37" s="218" t="str">
        <f t="shared" si="0"/>
        <v>Account ServicesBankcard Fees</v>
      </c>
      <c r="C37" s="217" t="s">
        <v>48</v>
      </c>
      <c r="D37" s="10"/>
      <c r="E37" s="10"/>
      <c r="F37" s="10"/>
      <c r="G37" s="10"/>
      <c r="H37" s="184" t="s">
        <v>233</v>
      </c>
      <c r="I37" s="163">
        <f t="shared" ref="I37:I40" si="26">J37*K37</f>
        <v>176053.867</v>
      </c>
      <c r="J37" s="293">
        <v>0.93700000000000006</v>
      </c>
      <c r="K37" s="483">
        <v>187891</v>
      </c>
      <c r="L37" s="42"/>
      <c r="M37" s="66"/>
      <c r="N37" s="446"/>
      <c r="O37" s="227"/>
      <c r="P37" s="92"/>
      <c r="Q37" s="37"/>
      <c r="R37" s="38" t="s">
        <v>233</v>
      </c>
      <c r="S37" s="163">
        <f t="shared" ref="S37:S40" si="27">T37*U37</f>
        <v>11837.133</v>
      </c>
      <c r="T37" s="293">
        <v>6.3E-2</v>
      </c>
      <c r="U37" s="483">
        <v>187891</v>
      </c>
      <c r="V37" s="42"/>
      <c r="W37" s="66"/>
      <c r="X37" s="90"/>
      <c r="Y37" s="227"/>
      <c r="Z37" s="92"/>
      <c r="AA37" s="37"/>
      <c r="AB37" s="38" t="s">
        <v>233</v>
      </c>
      <c r="AC37" s="163">
        <f t="shared" ref="AC37:AC40" si="28">AD37*AE37</f>
        <v>0</v>
      </c>
      <c r="AD37" s="42">
        <v>0</v>
      </c>
      <c r="AE37" s="483">
        <v>187891</v>
      </c>
      <c r="AF37" s="42"/>
      <c r="AG37" s="66"/>
      <c r="AH37" s="91"/>
      <c r="AI37" s="227"/>
      <c r="AJ37" s="163">
        <f t="shared" si="25"/>
        <v>187891</v>
      </c>
      <c r="AK37" s="90"/>
    </row>
    <row r="38" spans="1:37" ht="15.75" x14ac:dyDescent="0.25">
      <c r="A38" s="299" t="s">
        <v>8</v>
      </c>
      <c r="B38" s="218" t="str">
        <f t="shared" si="0"/>
        <v>Account ServicesLockbox PO Box Fee</v>
      </c>
      <c r="C38" s="217" t="s">
        <v>48</v>
      </c>
      <c r="D38" s="10"/>
      <c r="E38" s="10"/>
      <c r="F38" s="10"/>
      <c r="G38" s="10"/>
      <c r="H38" s="184" t="s">
        <v>234</v>
      </c>
      <c r="I38" s="163">
        <f t="shared" si="26"/>
        <v>950.04000000000008</v>
      </c>
      <c r="J38" s="293">
        <v>0.78</v>
      </c>
      <c r="K38" s="483">
        <v>1218</v>
      </c>
      <c r="L38" s="42"/>
      <c r="M38" s="66"/>
      <c r="N38" s="446"/>
      <c r="O38" s="227"/>
      <c r="P38" s="92"/>
      <c r="Q38" s="37"/>
      <c r="R38" s="38" t="s">
        <v>234</v>
      </c>
      <c r="S38" s="163">
        <f t="shared" si="27"/>
        <v>231.42000000000002</v>
      </c>
      <c r="T38" s="293">
        <v>0.19</v>
      </c>
      <c r="U38" s="483">
        <v>1218</v>
      </c>
      <c r="V38" s="42"/>
      <c r="W38" s="66"/>
      <c r="X38" s="90"/>
      <c r="Y38" s="227"/>
      <c r="Z38" s="92"/>
      <c r="AA38" s="37"/>
      <c r="AB38" s="38" t="s">
        <v>234</v>
      </c>
      <c r="AC38" s="163">
        <f t="shared" si="28"/>
        <v>36.54</v>
      </c>
      <c r="AD38" s="293">
        <v>0.03</v>
      </c>
      <c r="AE38" s="483">
        <v>1218</v>
      </c>
      <c r="AF38" s="42"/>
      <c r="AG38" s="66"/>
      <c r="AH38" s="91"/>
      <c r="AI38" s="227"/>
      <c r="AJ38" s="163">
        <f t="shared" si="25"/>
        <v>1218</v>
      </c>
      <c r="AK38" s="90"/>
    </row>
    <row r="39" spans="1:37" ht="15.75" x14ac:dyDescent="0.25">
      <c r="A39" s="299" t="s">
        <v>8</v>
      </c>
      <c r="B39" s="218" t="str">
        <f t="shared" si="0"/>
        <v>Account ServicesArmored Car Service</v>
      </c>
      <c r="C39" s="217" t="s">
        <v>48</v>
      </c>
      <c r="D39" s="10"/>
      <c r="E39" s="10"/>
      <c r="F39" s="10"/>
      <c r="G39" s="10"/>
      <c r="H39" s="184" t="s">
        <v>235</v>
      </c>
      <c r="I39" s="163">
        <f t="shared" si="26"/>
        <v>15094.38</v>
      </c>
      <c r="J39" s="293">
        <v>0.86599999999999999</v>
      </c>
      <c r="K39" s="483">
        <v>17430</v>
      </c>
      <c r="L39" s="42"/>
      <c r="M39" s="66"/>
      <c r="N39" s="446"/>
      <c r="O39" s="227"/>
      <c r="P39" s="92"/>
      <c r="Q39" s="37"/>
      <c r="R39" s="38" t="s">
        <v>235</v>
      </c>
      <c r="S39" s="163">
        <f t="shared" si="27"/>
        <v>2335.6200000000003</v>
      </c>
      <c r="T39" s="293">
        <v>0.13400000000000001</v>
      </c>
      <c r="U39" s="483">
        <v>17430</v>
      </c>
      <c r="V39" s="42"/>
      <c r="W39" s="66"/>
      <c r="X39" s="90"/>
      <c r="Y39" s="227"/>
      <c r="Z39" s="92"/>
      <c r="AA39" s="37"/>
      <c r="AB39" s="38" t="s">
        <v>235</v>
      </c>
      <c r="AC39" s="163">
        <f t="shared" si="28"/>
        <v>0</v>
      </c>
      <c r="AD39" s="42">
        <v>0</v>
      </c>
      <c r="AE39" s="483">
        <v>17430</v>
      </c>
      <c r="AF39" s="42"/>
      <c r="AG39" s="66"/>
      <c r="AH39" s="91"/>
      <c r="AI39" s="227"/>
      <c r="AJ39" s="163">
        <f t="shared" si="25"/>
        <v>17430</v>
      </c>
      <c r="AK39" s="90"/>
    </row>
    <row r="40" spans="1:37" ht="15.75" x14ac:dyDescent="0.25">
      <c r="A40" s="299" t="s">
        <v>8</v>
      </c>
      <c r="B40" s="218" t="str">
        <f t="shared" si="0"/>
        <v>Account ServicesMisc</v>
      </c>
      <c r="C40" s="217" t="s">
        <v>48</v>
      </c>
      <c r="D40" s="10"/>
      <c r="E40" s="10"/>
      <c r="F40" s="10"/>
      <c r="G40" s="10"/>
      <c r="H40" s="184" t="s">
        <v>238</v>
      </c>
      <c r="I40" s="163">
        <f t="shared" si="26"/>
        <v>3528.9850000000001</v>
      </c>
      <c r="J40" s="293">
        <v>0.89500000000000002</v>
      </c>
      <c r="K40" s="483">
        <v>3943</v>
      </c>
      <c r="L40" s="42"/>
      <c r="M40" s="66"/>
      <c r="N40" s="446"/>
      <c r="O40" s="227"/>
      <c r="P40" s="92"/>
      <c r="Q40" s="37"/>
      <c r="R40" s="38" t="s">
        <v>238</v>
      </c>
      <c r="S40" s="163">
        <f t="shared" si="27"/>
        <v>414.01499999999999</v>
      </c>
      <c r="T40" s="293">
        <v>0.105</v>
      </c>
      <c r="U40" s="483">
        <v>3943</v>
      </c>
      <c r="V40" s="42"/>
      <c r="W40" s="66"/>
      <c r="X40" s="90"/>
      <c r="Y40" s="227"/>
      <c r="Z40" s="92"/>
      <c r="AA40" s="37"/>
      <c r="AB40" s="38" t="s">
        <v>238</v>
      </c>
      <c r="AC40" s="163">
        <f t="shared" si="28"/>
        <v>0</v>
      </c>
      <c r="AD40" s="42">
        <v>0</v>
      </c>
      <c r="AE40" s="483">
        <v>3943</v>
      </c>
      <c r="AF40" s="42"/>
      <c r="AG40" s="66"/>
      <c r="AH40" s="91"/>
      <c r="AI40" s="227"/>
      <c r="AJ40" s="163">
        <f t="shared" si="25"/>
        <v>3943</v>
      </c>
      <c r="AK40" s="90"/>
    </row>
    <row r="41" spans="1:37" ht="15.75" x14ac:dyDescent="0.25">
      <c r="A41" s="299" t="s">
        <v>8</v>
      </c>
      <c r="B41" s="218" t="str">
        <f t="shared" si="0"/>
        <v>Account Services</v>
      </c>
      <c r="C41" s="217" t="s">
        <v>48</v>
      </c>
      <c r="D41" s="10"/>
      <c r="E41" s="10"/>
      <c r="F41" s="10"/>
      <c r="G41" s="10"/>
      <c r="H41" s="184"/>
      <c r="I41" s="163"/>
      <c r="J41" s="82"/>
      <c r="K41" s="82"/>
      <c r="L41" s="67"/>
      <c r="M41" s="177"/>
      <c r="N41" s="447"/>
      <c r="O41" s="228"/>
      <c r="P41" s="92"/>
      <c r="Q41" s="37"/>
      <c r="R41" s="38"/>
      <c r="S41" s="163"/>
      <c r="T41" s="82"/>
      <c r="U41" s="82"/>
      <c r="V41" s="67"/>
      <c r="W41" s="177"/>
      <c r="X41" s="93"/>
      <c r="Y41" s="228"/>
      <c r="Z41" s="92"/>
      <c r="AA41" s="37"/>
      <c r="AB41" s="38"/>
      <c r="AC41" s="163"/>
      <c r="AD41" s="82"/>
      <c r="AE41" s="82"/>
      <c r="AF41" s="67"/>
      <c r="AG41" s="177"/>
      <c r="AH41" s="94"/>
      <c r="AI41" s="228"/>
      <c r="AJ41" s="163">
        <f t="shared" si="25"/>
        <v>0</v>
      </c>
      <c r="AK41" s="93"/>
    </row>
    <row r="42" spans="1:37" ht="15.75" x14ac:dyDescent="0.25">
      <c r="A42" s="299" t="s">
        <v>8</v>
      </c>
      <c r="B42" s="218" t="str">
        <f t="shared" si="0"/>
        <v>Account ServicesTotal Other</v>
      </c>
      <c r="C42" s="220" t="s">
        <v>50</v>
      </c>
      <c r="D42" s="10"/>
      <c r="E42" s="116">
        <f>I42</f>
        <v>246950.75599999999</v>
      </c>
      <c r="F42" s="116">
        <f>S42</f>
        <v>15972.704</v>
      </c>
      <c r="G42" s="116">
        <f>AC42</f>
        <v>36.54</v>
      </c>
      <c r="H42" s="185" t="s">
        <v>45</v>
      </c>
      <c r="I42" s="165">
        <f>SUM(I36:I41)</f>
        <v>246950.75599999999</v>
      </c>
      <c r="J42" s="68"/>
      <c r="K42" s="68"/>
      <c r="L42" s="68"/>
      <c r="M42" s="66"/>
      <c r="N42" s="449">
        <f>I42</f>
        <v>246950.75599999999</v>
      </c>
      <c r="O42" s="240">
        <f>N42/N46</f>
        <v>0.38570027591374156</v>
      </c>
      <c r="P42" s="92"/>
      <c r="Q42" s="68"/>
      <c r="R42" s="49" t="s">
        <v>45</v>
      </c>
      <c r="S42" s="165">
        <f>SUM(S36:S41)</f>
        <v>15972.704</v>
      </c>
      <c r="T42" s="68"/>
      <c r="U42" s="68"/>
      <c r="V42" s="68"/>
      <c r="W42" s="66"/>
      <c r="X42" s="165">
        <f>S42</f>
        <v>15972.704</v>
      </c>
      <c r="Y42" s="240">
        <f>X42/X46</f>
        <v>0.29765683842232304</v>
      </c>
      <c r="Z42" s="92"/>
      <c r="AA42" s="68"/>
      <c r="AB42" s="49" t="s">
        <v>45</v>
      </c>
      <c r="AC42" s="165">
        <f>SUM(AC36:AC41)</f>
        <v>36.54</v>
      </c>
      <c r="AD42" s="68"/>
      <c r="AE42" s="68"/>
      <c r="AF42" s="68"/>
      <c r="AG42" s="66"/>
      <c r="AH42" s="414">
        <f>AC42</f>
        <v>36.54</v>
      </c>
      <c r="AI42" s="240">
        <f>AH42/AH46</f>
        <v>1.5818193322322417E-2</v>
      </c>
      <c r="AJ42" s="165">
        <f t="shared" si="25"/>
        <v>262960</v>
      </c>
      <c r="AK42" s="165"/>
    </row>
    <row r="43" spans="1:37" ht="16.5" thickBot="1" x14ac:dyDescent="0.3">
      <c r="A43" s="299" t="s">
        <v>8</v>
      </c>
      <c r="B43" s="218" t="str">
        <f t="shared" si="0"/>
        <v>Account Services</v>
      </c>
      <c r="C43" s="217" t="s">
        <v>48</v>
      </c>
      <c r="D43" s="10"/>
      <c r="E43" s="126"/>
      <c r="F43" s="126"/>
      <c r="G43" s="126"/>
      <c r="H43" s="178"/>
      <c r="I43" s="178"/>
      <c r="J43" s="101"/>
      <c r="K43" s="101"/>
      <c r="L43" s="101"/>
      <c r="M43" s="102"/>
      <c r="N43" s="450"/>
      <c r="O43" s="178"/>
      <c r="P43" s="101"/>
      <c r="Q43" s="101"/>
      <c r="R43" s="100"/>
      <c r="S43" s="178"/>
      <c r="T43" s="101"/>
      <c r="U43" s="101"/>
      <c r="V43" s="101"/>
      <c r="W43" s="102"/>
      <c r="X43" s="178"/>
      <c r="Y43" s="178"/>
      <c r="Z43" s="101"/>
      <c r="AA43" s="101"/>
      <c r="AB43" s="100"/>
      <c r="AC43" s="178"/>
      <c r="AD43" s="101"/>
      <c r="AE43" s="101"/>
      <c r="AF43" s="101"/>
      <c r="AG43" s="102"/>
      <c r="AH43" s="415"/>
      <c r="AI43" s="178"/>
      <c r="AJ43" s="178"/>
      <c r="AK43" s="178"/>
    </row>
    <row r="44" spans="1:37" ht="16.5" thickTop="1" x14ac:dyDescent="0.25">
      <c r="A44" s="299" t="s">
        <v>8</v>
      </c>
      <c r="B44" s="218" t="str">
        <f t="shared" si="0"/>
        <v>Account ServicesTOTALS</v>
      </c>
      <c r="C44" s="217" t="s">
        <v>48</v>
      </c>
      <c r="D44" s="10"/>
      <c r="E44" s="126"/>
      <c r="F44" s="126"/>
      <c r="G44" s="126"/>
      <c r="H44" s="186" t="s">
        <v>28</v>
      </c>
      <c r="I44" s="418"/>
      <c r="J44" s="103"/>
      <c r="K44" s="103"/>
      <c r="L44" s="103"/>
      <c r="M44" s="104"/>
      <c r="N44" s="446"/>
      <c r="O44" s="136"/>
      <c r="P44" s="92"/>
      <c r="Q44" s="37"/>
      <c r="R44" s="61" t="s">
        <v>28</v>
      </c>
      <c r="S44" s="418"/>
      <c r="T44" s="103"/>
      <c r="U44" s="103"/>
      <c r="V44" s="103"/>
      <c r="W44" s="104"/>
      <c r="X44" s="90"/>
      <c r="Y44" s="136"/>
      <c r="Z44" s="92"/>
      <c r="AA44" s="37"/>
      <c r="AB44" s="61" t="s">
        <v>28</v>
      </c>
      <c r="AC44" s="418"/>
      <c r="AD44" s="103"/>
      <c r="AE44" s="103"/>
      <c r="AF44" s="103"/>
      <c r="AG44" s="104"/>
      <c r="AH44" s="91"/>
      <c r="AI44" s="136"/>
      <c r="AJ44" s="418"/>
      <c r="AK44" s="90"/>
    </row>
    <row r="45" spans="1:37" ht="15.75" x14ac:dyDescent="0.25">
      <c r="A45" s="299" t="s">
        <v>8</v>
      </c>
      <c r="B45" s="218"/>
      <c r="C45" s="217"/>
      <c r="D45" s="10"/>
      <c r="E45" s="10"/>
      <c r="F45" s="10"/>
      <c r="G45" s="10"/>
      <c r="H45" s="136"/>
      <c r="I45" s="172"/>
      <c r="J45" s="42"/>
      <c r="K45" s="39"/>
      <c r="L45" s="154"/>
      <c r="M45" s="33"/>
      <c r="N45" s="446"/>
      <c r="O45" s="136"/>
      <c r="P45" s="92"/>
      <c r="Q45" s="37"/>
      <c r="R45" s="136"/>
      <c r="S45" s="172"/>
      <c r="T45" s="42"/>
      <c r="U45" s="39"/>
      <c r="V45" s="154"/>
      <c r="W45" s="33"/>
      <c r="X45" s="90"/>
      <c r="Y45" s="136"/>
      <c r="Z45" s="92"/>
      <c r="AA45" s="37"/>
      <c r="AB45" s="136"/>
      <c r="AC45" s="172"/>
      <c r="AD45" s="42"/>
      <c r="AE45" s="39"/>
      <c r="AF45" s="154"/>
      <c r="AG45" s="33"/>
      <c r="AH45" s="91"/>
      <c r="AI45" s="136"/>
      <c r="AJ45" s="172"/>
      <c r="AK45" s="90"/>
    </row>
    <row r="46" spans="1:37" ht="15.75" x14ac:dyDescent="0.25">
      <c r="A46" s="299" t="s">
        <v>8</v>
      </c>
      <c r="B46" s="218" t="str">
        <f t="shared" si="0"/>
        <v>Account ServicesPER YEAR</v>
      </c>
      <c r="C46" s="220" t="s">
        <v>50</v>
      </c>
      <c r="D46" s="10"/>
      <c r="E46" s="116">
        <f>I46</f>
        <v>640265.95629200002</v>
      </c>
      <c r="F46" s="116">
        <f>S46</f>
        <v>53661.471661999996</v>
      </c>
      <c r="G46" s="116">
        <f>S46</f>
        <v>53661.471661999996</v>
      </c>
      <c r="H46" s="190" t="s">
        <v>46</v>
      </c>
      <c r="I46" s="417">
        <f>I14+I21+I28+I33+I42</f>
        <v>640265.95629200002</v>
      </c>
      <c r="J46" s="106"/>
      <c r="K46" s="106"/>
      <c r="L46" s="106"/>
      <c r="M46" s="107"/>
      <c r="N46" s="443">
        <f>SUM(N14:N43)</f>
        <v>640265.95629200002</v>
      </c>
      <c r="O46" s="233">
        <f>SUM(O14:O43)</f>
        <v>1</v>
      </c>
      <c r="P46" s="92"/>
      <c r="Q46" s="37"/>
      <c r="R46" s="190" t="s">
        <v>46</v>
      </c>
      <c r="S46" s="417">
        <f>S14+S21+S28+S33+S42</f>
        <v>53661.471661999996</v>
      </c>
      <c r="T46" s="106"/>
      <c r="U46" s="106"/>
      <c r="V46" s="106"/>
      <c r="W46" s="107"/>
      <c r="X46" s="221">
        <f>SUM(X14:X43)</f>
        <v>53661.471661999996</v>
      </c>
      <c r="Y46" s="233">
        <f>SUM(Y14:Y43)</f>
        <v>1</v>
      </c>
      <c r="Z46" s="92"/>
      <c r="AA46" s="37"/>
      <c r="AB46" s="190" t="s">
        <v>46</v>
      </c>
      <c r="AC46" s="417">
        <f>AC14+AC21+AC28+AC33+AC42</f>
        <v>2309.9983199999997</v>
      </c>
      <c r="AD46" s="106"/>
      <c r="AE46" s="106"/>
      <c r="AF46" s="106"/>
      <c r="AG46" s="107"/>
      <c r="AH46" s="452">
        <f>SUM(AH14:AH43)</f>
        <v>2309.9983199999997</v>
      </c>
      <c r="AI46" s="233">
        <f>SUM(AI14:AI43)</f>
        <v>1</v>
      </c>
      <c r="AJ46" s="417">
        <f>I46+S46+AC46</f>
        <v>696237.42627399997</v>
      </c>
      <c r="AK46" s="221"/>
    </row>
    <row r="47" spans="1:37" ht="15.75" x14ac:dyDescent="0.25">
      <c r="A47" s="299" t="s">
        <v>8</v>
      </c>
      <c r="B47" s="218" t="str">
        <f t="shared" si="0"/>
        <v>Account ServicesPER PAYMENT</v>
      </c>
      <c r="C47" s="220" t="s">
        <v>50</v>
      </c>
      <c r="D47" s="10"/>
      <c r="E47" s="10"/>
      <c r="F47" s="10"/>
      <c r="G47" s="10"/>
      <c r="H47" s="185" t="s">
        <v>47</v>
      </c>
      <c r="I47" s="419">
        <f>I46/I$6</f>
        <v>9.3008824220826278E-2</v>
      </c>
      <c r="J47" s="108"/>
      <c r="K47" s="108"/>
      <c r="L47" s="108"/>
      <c r="M47" s="109"/>
      <c r="N47" s="448"/>
      <c r="O47" s="245"/>
      <c r="P47" s="99"/>
      <c r="Q47" s="60"/>
      <c r="R47" s="185" t="s">
        <v>47</v>
      </c>
      <c r="S47" s="419">
        <f>S46/S$6</f>
        <v>7.4140890995430905E-2</v>
      </c>
      <c r="T47" s="108"/>
      <c r="U47" s="108"/>
      <c r="V47" s="108"/>
      <c r="W47" s="109"/>
      <c r="X47" s="97"/>
      <c r="Y47" s="245"/>
      <c r="Z47" s="99"/>
      <c r="AA47" s="60"/>
      <c r="AB47" s="185" t="s">
        <v>47</v>
      </c>
      <c r="AC47" s="419">
        <f>AC46/AC$6</f>
        <v>9.2189740192361397E-2</v>
      </c>
      <c r="AD47" s="108"/>
      <c r="AE47" s="108"/>
      <c r="AF47" s="108"/>
      <c r="AG47" s="109"/>
      <c r="AH47" s="98"/>
      <c r="AI47" s="245"/>
      <c r="AJ47" s="419">
        <f>I47+S47+AC47</f>
        <v>0.25933945540861858</v>
      </c>
      <c r="AK47" s="97"/>
    </row>
    <row r="48" spans="1:37" ht="15.75" x14ac:dyDescent="0.25">
      <c r="A48" s="301" t="s">
        <v>8</v>
      </c>
      <c r="B48" s="218"/>
      <c r="C48" s="220"/>
      <c r="D48" s="10"/>
      <c r="E48" s="10"/>
      <c r="F48" s="10"/>
      <c r="G48" s="10"/>
      <c r="H48" s="137" t="s">
        <v>553</v>
      </c>
      <c r="I48" s="652">
        <f>I14+I21</f>
        <v>393315.20029200002</v>
      </c>
      <c r="J48" s="108"/>
      <c r="K48" s="108"/>
      <c r="L48" s="108"/>
      <c r="M48" s="109"/>
      <c r="N48" s="649"/>
      <c r="O48" s="650"/>
      <c r="P48" s="92"/>
      <c r="Q48" s="37"/>
      <c r="R48" s="137" t="s">
        <v>553</v>
      </c>
      <c r="S48" s="652">
        <f>S14+S21</f>
        <v>37688.767661999998</v>
      </c>
      <c r="T48" s="108"/>
      <c r="U48" s="108"/>
      <c r="V48" s="108"/>
      <c r="W48" s="109"/>
      <c r="X48" s="651"/>
      <c r="Y48" s="650"/>
      <c r="Z48" s="92"/>
      <c r="AA48" s="37"/>
      <c r="AB48" s="137" t="s">
        <v>553</v>
      </c>
      <c r="AC48" s="652">
        <f>AC14+AC21</f>
        <v>2273.4583199999997</v>
      </c>
      <c r="AD48" s="108"/>
      <c r="AE48" s="108"/>
      <c r="AF48" s="108"/>
      <c r="AG48" s="109"/>
      <c r="AH48" s="649"/>
      <c r="AI48" s="137"/>
      <c r="AJ48" s="652">
        <f>I48+S48+AC48</f>
        <v>433277.42627399997</v>
      </c>
      <c r="AK48" s="651"/>
    </row>
    <row r="49" spans="1:37" ht="15.75" x14ac:dyDescent="0.25">
      <c r="A49" s="301" t="s">
        <v>8</v>
      </c>
      <c r="B49" s="218"/>
      <c r="C49" s="220"/>
      <c r="D49" s="10"/>
      <c r="E49" s="10"/>
      <c r="F49" s="10"/>
      <c r="G49" s="10"/>
      <c r="H49" s="137" t="s">
        <v>554</v>
      </c>
      <c r="I49" s="652">
        <f>I42+I33+I28</f>
        <v>246950.75599999999</v>
      </c>
      <c r="J49" s="108"/>
      <c r="K49" s="652"/>
      <c r="L49" s="108"/>
      <c r="M49" s="109"/>
      <c r="N49" s="649"/>
      <c r="O49" s="650"/>
      <c r="P49" s="92"/>
      <c r="Q49" s="37"/>
      <c r="R49" s="137" t="s">
        <v>554</v>
      </c>
      <c r="S49" s="652">
        <f>S42+S33+S28</f>
        <v>15972.704</v>
      </c>
      <c r="T49" s="108"/>
      <c r="U49" s="652"/>
      <c r="V49" s="108"/>
      <c r="W49" s="109"/>
      <c r="X49" s="651"/>
      <c r="Y49" s="650"/>
      <c r="Z49" s="92"/>
      <c r="AA49" s="37"/>
      <c r="AB49" s="137" t="s">
        <v>554</v>
      </c>
      <c r="AC49" s="652">
        <f>AC42+AC33+AC28</f>
        <v>36.54</v>
      </c>
      <c r="AD49" s="108"/>
      <c r="AE49" s="652"/>
      <c r="AF49" s="108"/>
      <c r="AG49" s="109"/>
      <c r="AH49" s="649"/>
      <c r="AI49" s="137"/>
      <c r="AJ49" s="652">
        <f>I49+S49+AC49</f>
        <v>262960</v>
      </c>
      <c r="AK49" s="651"/>
    </row>
    <row r="50" spans="1:37" ht="15.75" x14ac:dyDescent="0.25">
      <c r="A50" s="301" t="s">
        <v>8</v>
      </c>
      <c r="B50" s="218"/>
      <c r="C50" s="220"/>
      <c r="D50" s="10"/>
      <c r="E50" s="10"/>
      <c r="F50" s="10"/>
      <c r="G50" s="10"/>
      <c r="H50" s="137" t="s">
        <v>552</v>
      </c>
      <c r="I50" s="652">
        <f>I46</f>
        <v>640265.95629200002</v>
      </c>
      <c r="J50" s="108"/>
      <c r="K50" s="108"/>
      <c r="L50" s="108"/>
      <c r="M50" s="109"/>
      <c r="N50" s="649"/>
      <c r="O50" s="650"/>
      <c r="P50" s="92"/>
      <c r="Q50" s="37"/>
      <c r="R50" s="137" t="s">
        <v>552</v>
      </c>
      <c r="S50" s="652">
        <f>S46</f>
        <v>53661.471661999996</v>
      </c>
      <c r="T50" s="108"/>
      <c r="U50" s="108"/>
      <c r="V50" s="108"/>
      <c r="W50" s="109"/>
      <c r="X50" s="651"/>
      <c r="Y50" s="650"/>
      <c r="Z50" s="92"/>
      <c r="AA50" s="37"/>
      <c r="AB50" s="137" t="s">
        <v>552</v>
      </c>
      <c r="AC50" s="652">
        <f>AC46</f>
        <v>2309.9983199999997</v>
      </c>
      <c r="AD50" s="108"/>
      <c r="AE50" s="108"/>
      <c r="AF50" s="108"/>
      <c r="AG50" s="109"/>
      <c r="AH50" s="649"/>
      <c r="AI50" s="137"/>
      <c r="AJ50" s="652">
        <f>I50+S50+AC50</f>
        <v>696237.42627399997</v>
      </c>
      <c r="AK50" s="651"/>
    </row>
    <row r="51" spans="1:37" ht="85.15" customHeight="1" x14ac:dyDescent="0.25">
      <c r="A51" s="299" t="s">
        <v>5</v>
      </c>
      <c r="B51" s="218" t="str">
        <f t="shared" ref="B51:B92" si="29">A51&amp;H51</f>
        <v>MASTLABOR: NON-SUPERVISORY</v>
      </c>
      <c r="C51" s="218" t="s">
        <v>5</v>
      </c>
      <c r="D51" s="10" t="str">
        <f>'2015Summary METER to CASH (Base'!K15</f>
        <v xml:space="preserve">* Review delinquent notices batches
* Plan arrangements with customers
</v>
      </c>
      <c r="E51" s="117">
        <f>N91</f>
        <v>8743.7062330000008</v>
      </c>
      <c r="F51" s="117">
        <f>X91</f>
        <v>2150.6443140000001</v>
      </c>
      <c r="G51" s="117">
        <f>AC91</f>
        <v>0</v>
      </c>
      <c r="H51" s="183" t="s">
        <v>31</v>
      </c>
      <c r="I51" s="157"/>
      <c r="J51" s="118"/>
      <c r="K51" s="118"/>
      <c r="L51" s="118"/>
      <c r="M51" s="119"/>
      <c r="N51" s="439"/>
      <c r="O51" s="135"/>
      <c r="P51" s="122"/>
      <c r="Q51" s="123"/>
      <c r="R51" s="183" t="s">
        <v>31</v>
      </c>
      <c r="S51" s="157"/>
      <c r="T51" s="118"/>
      <c r="U51" s="118"/>
      <c r="V51" s="118"/>
      <c r="W51" s="119"/>
      <c r="X51" s="120"/>
      <c r="Y51" s="135"/>
      <c r="Z51" s="122"/>
      <c r="AA51" s="123"/>
      <c r="AB51" s="183" t="s">
        <v>31</v>
      </c>
      <c r="AC51" s="157"/>
      <c r="AD51" s="118"/>
      <c r="AE51" s="118"/>
      <c r="AF51" s="118"/>
      <c r="AG51" s="119"/>
      <c r="AH51" s="121"/>
      <c r="AI51" s="135"/>
      <c r="AJ51" s="157"/>
      <c r="AK51" s="120"/>
    </row>
    <row r="52" spans="1:37" ht="15.75" x14ac:dyDescent="0.25">
      <c r="A52" s="299" t="s">
        <v>5</v>
      </c>
      <c r="B52" s="218" t="str">
        <f t="shared" si="29"/>
        <v>MASTMAST Rep (Grade 145)</v>
      </c>
      <c r="C52" s="217" t="s">
        <v>48</v>
      </c>
      <c r="D52" s="10"/>
      <c r="E52" s="126"/>
      <c r="F52" s="126"/>
      <c r="G52" s="126"/>
      <c r="H52" s="184" t="s">
        <v>243</v>
      </c>
      <c r="I52" s="158">
        <f>J52*K52</f>
        <v>0</v>
      </c>
      <c r="J52" s="42">
        <f>+ROUND('FTE Alloc OR &amp; WA'!J39*2080,0)</f>
        <v>0</v>
      </c>
      <c r="K52" s="259">
        <v>29.13</v>
      </c>
      <c r="L52" s="39"/>
      <c r="M52" s="40" t="str">
        <f>J52&amp;" hrs @ "&amp;K52</f>
        <v>0 hrs @ 29.13</v>
      </c>
      <c r="N52" s="440"/>
      <c r="O52" s="136"/>
      <c r="P52" s="36"/>
      <c r="Q52" s="41"/>
      <c r="R52" s="184" t="s">
        <v>243</v>
      </c>
      <c r="S52" s="158">
        <f>T52*U52</f>
        <v>0</v>
      </c>
      <c r="T52" s="42">
        <f>+ROUND('FTE Alloc OR &amp; WA'!K39*2080,0)</f>
        <v>0</v>
      </c>
      <c r="U52" s="259">
        <v>29.13</v>
      </c>
      <c r="V52" s="39"/>
      <c r="W52" s="40" t="str">
        <f>T52&amp;" hrs @ "&amp;U52</f>
        <v>0 hrs @ 29.13</v>
      </c>
      <c r="X52" s="34"/>
      <c r="Y52" s="136"/>
      <c r="Z52" s="36"/>
      <c r="AA52" s="41"/>
      <c r="AB52" s="184" t="s">
        <v>243</v>
      </c>
      <c r="AC52" s="158">
        <f>AD52*AE52</f>
        <v>0</v>
      </c>
      <c r="AD52" s="289">
        <f>+ROUND('FTE Alloc OR &amp; WA'!L39*2080,0)</f>
        <v>0</v>
      </c>
      <c r="AE52" s="259">
        <v>29.13</v>
      </c>
      <c r="AF52" s="39"/>
      <c r="AG52" s="40" t="str">
        <f>AD52&amp;" hrs @ "&amp;AE52</f>
        <v>0 hrs @ 29.13</v>
      </c>
      <c r="AH52" s="35"/>
      <c r="AI52" s="136"/>
      <c r="AJ52" s="158">
        <f t="shared" ref="AJ52:AJ58" si="30">I52+S52+AC52</f>
        <v>0</v>
      </c>
      <c r="AK52" s="34"/>
    </row>
    <row r="53" spans="1:37" ht="22.5" x14ac:dyDescent="0.25">
      <c r="A53" s="299" t="s">
        <v>5</v>
      </c>
      <c r="B53" s="218" t="str">
        <f t="shared" si="29"/>
        <v>MASTOp Supp 2 (Grade 125)</v>
      </c>
      <c r="C53" s="217" t="s">
        <v>48</v>
      </c>
      <c r="D53" s="10"/>
      <c r="E53" s="126"/>
      <c r="F53" s="126"/>
      <c r="G53" s="126"/>
      <c r="H53" s="184" t="s">
        <v>244</v>
      </c>
      <c r="I53" s="158">
        <f t="shared" ref="I53:I54" si="31">J53*K53</f>
        <v>4115.87</v>
      </c>
      <c r="J53" s="42">
        <v>187</v>
      </c>
      <c r="K53" s="259">
        <v>22.01</v>
      </c>
      <c r="L53" s="42"/>
      <c r="M53" s="40" t="str">
        <f t="shared" ref="M53:M55" si="32">J53&amp;" hrs @ "&amp;K53</f>
        <v>187 hrs @ 22.01</v>
      </c>
      <c r="N53" s="440"/>
      <c r="O53" s="136"/>
      <c r="P53" s="36"/>
      <c r="Q53" s="3"/>
      <c r="R53" s="184" t="s">
        <v>244</v>
      </c>
      <c r="S53" s="158">
        <f t="shared" ref="S53:S54" si="33">T53*U53</f>
        <v>1012.46</v>
      </c>
      <c r="T53" s="42">
        <f>+ROUND('FTE Alloc OR &amp; WA'!K41*2080,0)</f>
        <v>46</v>
      </c>
      <c r="U53" s="259">
        <v>22.01</v>
      </c>
      <c r="V53" s="42"/>
      <c r="W53" s="40" t="str">
        <f t="shared" ref="W53:W55" si="34">T53&amp;" hrs @ "&amp;U53</f>
        <v>46 hrs @ 22.01</v>
      </c>
      <c r="X53" s="34"/>
      <c r="Y53" s="136"/>
      <c r="Z53" s="36"/>
      <c r="AA53" s="3"/>
      <c r="AB53" s="184" t="s">
        <v>244</v>
      </c>
      <c r="AC53" s="158">
        <f t="shared" ref="AC53:AC55" si="35">AD53*AE53</f>
        <v>0</v>
      </c>
      <c r="AD53" s="289">
        <f>+ROUND('FTE Alloc OR &amp; WA'!L40*2080,0)</f>
        <v>0</v>
      </c>
      <c r="AE53" s="259">
        <v>22.01</v>
      </c>
      <c r="AF53" s="42"/>
      <c r="AG53" s="40" t="str">
        <f t="shared" ref="AG53:AG55" si="36">AD53&amp;" hrs @ "&amp;AE53</f>
        <v>0 hrs @ 22.01</v>
      </c>
      <c r="AH53" s="35"/>
      <c r="AI53" s="136"/>
      <c r="AJ53" s="158">
        <f t="shared" si="30"/>
        <v>5128.33</v>
      </c>
      <c r="AK53" s="34"/>
    </row>
    <row r="54" spans="1:37" ht="15.75" x14ac:dyDescent="0.25">
      <c r="A54" s="299" t="s">
        <v>5</v>
      </c>
      <c r="B54" s="218" t="str">
        <f t="shared" si="29"/>
        <v>MASTCustomer Field Service 4</v>
      </c>
      <c r="C54" s="217" t="s">
        <v>48</v>
      </c>
      <c r="D54" s="10"/>
      <c r="E54" s="126"/>
      <c r="F54" s="126"/>
      <c r="G54" s="126"/>
      <c r="H54" s="184" t="s">
        <v>343</v>
      </c>
      <c r="I54" s="158">
        <f t="shared" si="31"/>
        <v>0</v>
      </c>
      <c r="J54" s="42"/>
      <c r="K54" s="39"/>
      <c r="L54" s="42"/>
      <c r="M54" s="40" t="str">
        <f t="shared" si="32"/>
        <v xml:space="preserve"> hrs @ </v>
      </c>
      <c r="N54" s="440"/>
      <c r="O54" s="136"/>
      <c r="P54" s="36"/>
      <c r="Q54" s="41"/>
      <c r="R54" s="184" t="s">
        <v>343</v>
      </c>
      <c r="S54" s="158">
        <f t="shared" si="33"/>
        <v>0</v>
      </c>
      <c r="T54" s="42"/>
      <c r="U54" s="39"/>
      <c r="V54" s="42"/>
      <c r="W54" s="40" t="str">
        <f t="shared" si="34"/>
        <v xml:space="preserve"> hrs @ </v>
      </c>
      <c r="X54" s="34"/>
      <c r="Y54" s="136"/>
      <c r="Z54" s="36"/>
      <c r="AA54" s="41"/>
      <c r="AB54" s="184" t="s">
        <v>343</v>
      </c>
      <c r="AC54" s="158">
        <f t="shared" si="35"/>
        <v>0</v>
      </c>
      <c r="AD54" s="42"/>
      <c r="AE54" s="39"/>
      <c r="AF54" s="42"/>
      <c r="AG54" s="40" t="str">
        <f t="shared" si="36"/>
        <v xml:space="preserve"> hrs @ </v>
      </c>
      <c r="AH54" s="35"/>
      <c r="AI54" s="136"/>
      <c r="AJ54" s="158">
        <f t="shared" si="30"/>
        <v>0</v>
      </c>
      <c r="AK54" s="34"/>
    </row>
    <row r="55" spans="1:37" ht="15.75" x14ac:dyDescent="0.25">
      <c r="A55" s="299" t="s">
        <v>5</v>
      </c>
      <c r="B55" s="218" t="str">
        <f t="shared" si="29"/>
        <v>MAST</v>
      </c>
      <c r="C55" s="217" t="s">
        <v>48</v>
      </c>
      <c r="D55" s="10"/>
      <c r="E55" s="126"/>
      <c r="F55" s="126"/>
      <c r="G55" s="126"/>
      <c r="H55" s="179"/>
      <c r="I55" s="173">
        <f>J55*K55*L55</f>
        <v>0</v>
      </c>
      <c r="J55" s="174"/>
      <c r="K55" s="175"/>
      <c r="L55" s="181">
        <v>7.0000000000000007E-2</v>
      </c>
      <c r="M55" s="176" t="str">
        <f t="shared" si="32"/>
        <v xml:space="preserve"> hrs @ </v>
      </c>
      <c r="N55" s="440"/>
      <c r="O55" s="136"/>
      <c r="P55" s="36"/>
      <c r="Q55" s="44"/>
      <c r="R55" s="179"/>
      <c r="S55" s="173">
        <f>T55*U55*V55</f>
        <v>0</v>
      </c>
      <c r="T55" s="174"/>
      <c r="U55" s="175"/>
      <c r="V55" s="181">
        <v>7.0000000000000007E-2</v>
      </c>
      <c r="W55" s="176" t="str">
        <f t="shared" si="34"/>
        <v xml:space="preserve"> hrs @ </v>
      </c>
      <c r="X55" s="34"/>
      <c r="Y55" s="136"/>
      <c r="Z55" s="36"/>
      <c r="AA55" s="44"/>
      <c r="AB55" s="179"/>
      <c r="AC55" s="173">
        <f t="shared" si="35"/>
        <v>0</v>
      </c>
      <c r="AD55" s="174"/>
      <c r="AE55" s="175"/>
      <c r="AF55" s="181"/>
      <c r="AG55" s="176" t="str">
        <f t="shared" si="36"/>
        <v xml:space="preserve"> hrs @ </v>
      </c>
      <c r="AH55" s="35"/>
      <c r="AI55" s="136"/>
      <c r="AJ55" s="173">
        <f t="shared" si="30"/>
        <v>0</v>
      </c>
      <c r="AK55" s="34"/>
    </row>
    <row r="56" spans="1:37" ht="15.75" x14ac:dyDescent="0.25">
      <c r="A56" s="299" t="s">
        <v>5</v>
      </c>
      <c r="B56" s="218" t="str">
        <f t="shared" si="29"/>
        <v>MASTTotal Wages</v>
      </c>
      <c r="C56" s="217" t="s">
        <v>48</v>
      </c>
      <c r="D56" s="10"/>
      <c r="E56" s="126"/>
      <c r="F56" s="126"/>
      <c r="G56" s="126"/>
      <c r="H56" s="184" t="s">
        <v>32</v>
      </c>
      <c r="I56" s="158">
        <f>SUM(I52:I55)</f>
        <v>4115.87</v>
      </c>
      <c r="J56" s="42"/>
      <c r="K56" s="39"/>
      <c r="L56" s="39"/>
      <c r="M56" s="40"/>
      <c r="N56" s="440"/>
      <c r="O56" s="231"/>
      <c r="P56" s="36"/>
      <c r="Q56" s="41"/>
      <c r="R56" s="38" t="s">
        <v>32</v>
      </c>
      <c r="S56" s="158">
        <f>SUM(S52:S55)</f>
        <v>1012.46</v>
      </c>
      <c r="T56" s="42"/>
      <c r="U56" s="39"/>
      <c r="V56" s="39"/>
      <c r="W56" s="40"/>
      <c r="X56" s="34"/>
      <c r="Y56" s="231"/>
      <c r="Z56" s="36"/>
      <c r="AA56" s="41"/>
      <c r="AB56" s="38" t="s">
        <v>32</v>
      </c>
      <c r="AC56" s="158">
        <f>SUM(AC52:AC55)</f>
        <v>0</v>
      </c>
      <c r="AD56" s="42"/>
      <c r="AE56" s="39"/>
      <c r="AF56" s="39"/>
      <c r="AG56" s="40"/>
      <c r="AH56" s="35"/>
      <c r="AI56" s="231"/>
      <c r="AJ56" s="158">
        <f t="shared" si="30"/>
        <v>5128.33</v>
      </c>
      <c r="AK56" s="34"/>
    </row>
    <row r="57" spans="1:37" ht="15.75" x14ac:dyDescent="0.25">
      <c r="A57" s="299" t="s">
        <v>5</v>
      </c>
      <c r="B57" s="218" t="str">
        <f t="shared" si="29"/>
        <v>MASTBenefits</v>
      </c>
      <c r="C57" s="217" t="s">
        <v>48</v>
      </c>
      <c r="D57" s="10"/>
      <c r="E57" s="126"/>
      <c r="F57" s="126"/>
      <c r="G57" s="126"/>
      <c r="H57" s="184" t="s">
        <v>33</v>
      </c>
      <c r="I57" s="159">
        <f>I56*$O$2</f>
        <v>4057.836233</v>
      </c>
      <c r="J57" s="42"/>
      <c r="K57" s="39"/>
      <c r="M57" s="45" t="str">
        <f>"@ "&amp;$O$2*100&amp;" %"</f>
        <v>@ 98.59 %</v>
      </c>
      <c r="N57" s="442"/>
      <c r="O57" s="232"/>
      <c r="P57" s="48"/>
      <c r="Q57" s="41"/>
      <c r="R57" s="38" t="s">
        <v>33</v>
      </c>
      <c r="S57" s="159">
        <f>S56*$O$2</f>
        <v>998.18431400000009</v>
      </c>
      <c r="T57" s="42"/>
      <c r="U57" s="39"/>
      <c r="W57" s="45" t="str">
        <f>"@ "&amp;$O$2*100&amp;" %"</f>
        <v>@ 98.59 %</v>
      </c>
      <c r="X57" s="46"/>
      <c r="Y57" s="232"/>
      <c r="Z57" s="48"/>
      <c r="AA57" s="41"/>
      <c r="AB57" s="38" t="s">
        <v>33</v>
      </c>
      <c r="AC57" s="159">
        <f>AC56*$O$2</f>
        <v>0</v>
      </c>
      <c r="AD57" s="42"/>
      <c r="AE57" s="39"/>
      <c r="AG57" s="45" t="str">
        <f>"@ "&amp;$O$2*100&amp;" %"</f>
        <v>@ 98.59 %</v>
      </c>
      <c r="AH57" s="47"/>
      <c r="AI57" s="232"/>
      <c r="AJ57" s="159">
        <f t="shared" si="30"/>
        <v>5056.0205470000001</v>
      </c>
      <c r="AK57" s="46"/>
    </row>
    <row r="58" spans="1:37" ht="15.75" x14ac:dyDescent="0.25">
      <c r="A58" s="299" t="s">
        <v>5</v>
      </c>
      <c r="B58" s="218" t="str">
        <f t="shared" si="29"/>
        <v>MASTTotal</v>
      </c>
      <c r="C58" s="219" t="s">
        <v>50</v>
      </c>
      <c r="D58" s="10"/>
      <c r="E58" s="126"/>
      <c r="F58" s="126"/>
      <c r="G58" s="126"/>
      <c r="H58" s="185" t="s">
        <v>34</v>
      </c>
      <c r="I58" s="160">
        <f>I56+I57</f>
        <v>8173.7062329999999</v>
      </c>
      <c r="J58" s="42"/>
      <c r="K58" s="39"/>
      <c r="L58" s="50"/>
      <c r="M58" s="51"/>
      <c r="N58" s="443">
        <f>I58</f>
        <v>8173.7062329999999</v>
      </c>
      <c r="O58" s="233">
        <f>N58/N91</f>
        <v>0.93481025267652074</v>
      </c>
      <c r="P58" s="53"/>
      <c r="Q58" s="37"/>
      <c r="R58" s="49" t="s">
        <v>34</v>
      </c>
      <c r="S58" s="160">
        <f>S56+S57</f>
        <v>2010.6443140000001</v>
      </c>
      <c r="T58" s="42"/>
      <c r="U58" s="39"/>
      <c r="V58" s="50"/>
      <c r="W58" s="51"/>
      <c r="X58" s="52">
        <f>S58</f>
        <v>2010.6443140000001</v>
      </c>
      <c r="Y58" s="233">
        <f>X58/X91</f>
        <v>0.93490322919106372</v>
      </c>
      <c r="Z58" s="53"/>
      <c r="AA58" s="37"/>
      <c r="AB58" s="49" t="s">
        <v>34</v>
      </c>
      <c r="AC58" s="160">
        <f>AC56+AC57</f>
        <v>0</v>
      </c>
      <c r="AD58" s="42"/>
      <c r="AE58" s="39"/>
      <c r="AF58" s="50"/>
      <c r="AG58" s="51"/>
      <c r="AH58" s="420">
        <f>AC58</f>
        <v>0</v>
      </c>
      <c r="AI58" s="233" t="e">
        <f>AH58/AH91</f>
        <v>#DIV/0!</v>
      </c>
      <c r="AJ58" s="160">
        <f t="shared" si="30"/>
        <v>10184.350547</v>
      </c>
      <c r="AK58" s="52"/>
    </row>
    <row r="59" spans="1:37" ht="15.75" x14ac:dyDescent="0.25">
      <c r="A59" s="299" t="s">
        <v>5</v>
      </c>
      <c r="B59" s="218" t="str">
        <f t="shared" si="29"/>
        <v>MAST</v>
      </c>
      <c r="C59" s="217" t="s">
        <v>48</v>
      </c>
      <c r="D59" s="10"/>
      <c r="E59" s="126"/>
      <c r="F59" s="126"/>
      <c r="G59" s="126"/>
      <c r="H59" s="179"/>
      <c r="I59" s="166"/>
      <c r="J59" s="69"/>
      <c r="K59" s="69"/>
      <c r="L59" s="69"/>
      <c r="M59" s="70"/>
      <c r="N59" s="441"/>
      <c r="O59" s="231"/>
      <c r="P59" s="59"/>
      <c r="Q59" s="60"/>
      <c r="R59" s="54"/>
      <c r="S59" s="166"/>
      <c r="T59" s="69"/>
      <c r="U59" s="69"/>
      <c r="V59" s="69"/>
      <c r="W59" s="70"/>
      <c r="X59" s="57"/>
      <c r="Y59" s="231"/>
      <c r="Z59" s="59"/>
      <c r="AA59" s="60"/>
      <c r="AB59" s="54"/>
      <c r="AC59" s="166"/>
      <c r="AD59" s="69"/>
      <c r="AE59" s="69"/>
      <c r="AF59" s="69"/>
      <c r="AG59" s="70"/>
      <c r="AH59" s="58"/>
      <c r="AI59" s="231"/>
      <c r="AJ59" s="166"/>
      <c r="AK59" s="57"/>
    </row>
    <row r="60" spans="1:37" ht="15.75" x14ac:dyDescent="0.25">
      <c r="A60" s="299" t="s">
        <v>5</v>
      </c>
      <c r="B60" s="218" t="str">
        <f t="shared" si="29"/>
        <v>MASTLABOR: SUPERVISORY</v>
      </c>
      <c r="C60" s="220" t="s">
        <v>50</v>
      </c>
      <c r="D60" s="10"/>
      <c r="E60" s="126"/>
      <c r="F60" s="126"/>
      <c r="G60" s="126"/>
      <c r="H60" s="186" t="s">
        <v>35</v>
      </c>
      <c r="I60" s="167"/>
      <c r="J60" s="74"/>
      <c r="K60" s="74"/>
      <c r="L60" s="74"/>
      <c r="M60" s="66"/>
      <c r="N60" s="440"/>
      <c r="O60" s="234"/>
      <c r="P60" s="65"/>
      <c r="Q60" s="37"/>
      <c r="R60" s="61" t="s">
        <v>35</v>
      </c>
      <c r="S60" s="167"/>
      <c r="T60" s="74"/>
      <c r="U60" s="74"/>
      <c r="V60" s="74"/>
      <c r="W60" s="66"/>
      <c r="X60" s="64"/>
      <c r="Y60" s="234"/>
      <c r="Z60" s="65"/>
      <c r="AA60" s="37"/>
      <c r="AB60" s="61" t="s">
        <v>35</v>
      </c>
      <c r="AC60" s="167"/>
      <c r="AD60" s="74"/>
      <c r="AE60" s="74"/>
      <c r="AF60" s="74"/>
      <c r="AG60" s="66"/>
      <c r="AH60" s="26"/>
      <c r="AI60" s="234"/>
      <c r="AJ60" s="167"/>
      <c r="AK60" s="64"/>
    </row>
    <row r="61" spans="1:37" ht="15.75" x14ac:dyDescent="0.25">
      <c r="A61" s="299" t="s">
        <v>5</v>
      </c>
      <c r="B61" s="218" t="str">
        <f t="shared" ref="B61:B62" si="37">A61&amp;H61</f>
        <v>MASTManager (Grade 23)</v>
      </c>
      <c r="C61" s="220"/>
      <c r="D61" s="10"/>
      <c r="E61" s="126"/>
      <c r="F61" s="126"/>
      <c r="G61" s="126"/>
      <c r="H61" s="184" t="s">
        <v>346</v>
      </c>
      <c r="I61" s="158">
        <f t="shared" ref="I61:I62" si="38">J61*K61</f>
        <v>0</v>
      </c>
      <c r="J61" s="42">
        <f>(1/6)*J63</f>
        <v>0</v>
      </c>
      <c r="K61" s="259">
        <v>55.78</v>
      </c>
      <c r="L61" s="43"/>
      <c r="M61" s="40" t="str">
        <f>ROUND(J61,0)&amp;" hrs @ "&amp;K61</f>
        <v>0 hrs @ 55.78</v>
      </c>
      <c r="N61" s="440"/>
      <c r="O61" s="234"/>
      <c r="P61" s="65"/>
      <c r="Q61" s="37"/>
      <c r="R61" s="38" t="s">
        <v>346</v>
      </c>
      <c r="S61" s="158">
        <f t="shared" ref="S61:S62" si="39">T61*U61</f>
        <v>0</v>
      </c>
      <c r="T61" s="42">
        <f>(1/6)*T63</f>
        <v>0</v>
      </c>
      <c r="U61" s="259">
        <v>55.78</v>
      </c>
      <c r="V61" s="43"/>
      <c r="W61" s="40" t="str">
        <f>ROUND(T61,0)&amp;" hrs @ "&amp;U61</f>
        <v>0 hrs @ 55.78</v>
      </c>
      <c r="X61" s="64"/>
      <c r="Y61" s="234"/>
      <c r="Z61" s="65"/>
      <c r="AA61" s="37"/>
      <c r="AB61" s="38" t="s">
        <v>346</v>
      </c>
      <c r="AC61" s="158">
        <f t="shared" ref="AC61:AC62" si="40">AD61*AE61</f>
        <v>0</v>
      </c>
      <c r="AD61" s="289">
        <f>(1/6)*AD63</f>
        <v>0</v>
      </c>
      <c r="AE61" s="259">
        <v>55.78</v>
      </c>
      <c r="AF61" s="43"/>
      <c r="AG61" s="40" t="str">
        <f>ROUND(AD61,0)&amp;" hrs @ "&amp;AE61</f>
        <v>0 hrs @ 55.78</v>
      </c>
      <c r="AH61" s="26"/>
      <c r="AI61" s="234"/>
      <c r="AJ61" s="158">
        <f>I61+S61+AC61</f>
        <v>0</v>
      </c>
      <c r="AK61" s="64"/>
    </row>
    <row r="62" spans="1:37" ht="15.75" x14ac:dyDescent="0.25">
      <c r="A62" s="299" t="s">
        <v>5</v>
      </c>
      <c r="B62" s="218" t="str">
        <f t="shared" si="37"/>
        <v>MASTMAS Supervisor(Grade 21)</v>
      </c>
      <c r="C62" s="220"/>
      <c r="D62" s="10"/>
      <c r="E62" s="126"/>
      <c r="F62" s="126"/>
      <c r="G62" s="126"/>
      <c r="H62" s="184" t="s">
        <v>344</v>
      </c>
      <c r="I62" s="158">
        <f t="shared" si="38"/>
        <v>0</v>
      </c>
      <c r="J62" s="42">
        <f>(1/6)*J65</f>
        <v>0</v>
      </c>
      <c r="K62" s="259">
        <v>45.18</v>
      </c>
      <c r="L62" s="43"/>
      <c r="M62" s="40" t="str">
        <f t="shared" ref="M62" si="41">J62&amp;" hrs @ "&amp;K62</f>
        <v>0 hrs @ 45.18</v>
      </c>
      <c r="N62" s="440"/>
      <c r="O62" s="234"/>
      <c r="P62" s="65"/>
      <c r="Q62" s="37"/>
      <c r="R62" s="38" t="s">
        <v>344</v>
      </c>
      <c r="S62" s="158">
        <f t="shared" si="39"/>
        <v>0</v>
      </c>
      <c r="T62" s="42">
        <f>T54*(T54/(4*1800))</f>
        <v>0</v>
      </c>
      <c r="U62" s="259">
        <v>45.18</v>
      </c>
      <c r="V62" s="43"/>
      <c r="W62" s="40" t="str">
        <f>ROUND(T62,0)&amp;" hrs @ "&amp;U62</f>
        <v>0 hrs @ 45.18</v>
      </c>
      <c r="X62" s="64"/>
      <c r="Y62" s="234"/>
      <c r="Z62" s="65"/>
      <c r="AA62" s="37"/>
      <c r="AB62" s="38" t="s">
        <v>344</v>
      </c>
      <c r="AC62" s="158">
        <f t="shared" si="40"/>
        <v>0</v>
      </c>
      <c r="AD62" s="289">
        <f>AD54*(AD54/(4*1800))</f>
        <v>0</v>
      </c>
      <c r="AE62" s="259">
        <v>45.18</v>
      </c>
      <c r="AF62" s="43"/>
      <c r="AG62" s="40" t="str">
        <f>ROUND(AD62,0)&amp;" hrs @ "&amp;AE62</f>
        <v>0 hrs @ 45.18</v>
      </c>
      <c r="AH62" s="26"/>
      <c r="AI62" s="234"/>
      <c r="AJ62" s="158">
        <f>I62+S62+AC62</f>
        <v>0</v>
      </c>
      <c r="AK62" s="64"/>
    </row>
    <row r="63" spans="1:37" ht="15.75" x14ac:dyDescent="0.25">
      <c r="A63" s="299" t="s">
        <v>5</v>
      </c>
      <c r="B63" s="218" t="str">
        <f t="shared" si="29"/>
        <v>MASTSupervisor MAST (Grade 20)</v>
      </c>
      <c r="C63" s="217" t="s">
        <v>48</v>
      </c>
      <c r="D63" s="10"/>
      <c r="E63" s="126"/>
      <c r="F63" s="126"/>
      <c r="G63" s="126"/>
      <c r="H63" s="179" t="s">
        <v>345</v>
      </c>
      <c r="I63" s="173">
        <f t="shared" ref="I63" si="42">J63*K63</f>
        <v>0</v>
      </c>
      <c r="J63" s="174">
        <f>+ROUND(('FTE Alloc OR &amp; WA'!J45+'FTE Alloc OR &amp; WA'!J47)*2080,0)</f>
        <v>0</v>
      </c>
      <c r="K63" s="175">
        <v>40.5</v>
      </c>
      <c r="L63" s="181"/>
      <c r="M63" s="176" t="str">
        <f t="shared" ref="M63" si="43">J63&amp;" hrs @ "&amp;K63</f>
        <v>0 hrs @ 40.5</v>
      </c>
      <c r="N63" s="440"/>
      <c r="O63" s="235"/>
      <c r="P63" s="65"/>
      <c r="Q63" s="41"/>
      <c r="R63" s="179" t="s">
        <v>345</v>
      </c>
      <c r="S63" s="173">
        <f t="shared" ref="S63" si="44">T63*U63</f>
        <v>0</v>
      </c>
      <c r="T63" s="174">
        <f>+ROUND('FTE Alloc OR &amp; WA'!K32*2080,0)</f>
        <v>0</v>
      </c>
      <c r="U63" s="175">
        <v>40.5</v>
      </c>
      <c r="V63" s="181"/>
      <c r="W63" s="176" t="str">
        <f t="shared" ref="W63" si="45">T63&amp;" hrs @ "&amp;U63</f>
        <v>0 hrs @ 40.5</v>
      </c>
      <c r="X63" s="64"/>
      <c r="Y63" s="235"/>
      <c r="Z63" s="65"/>
      <c r="AA63" s="41"/>
      <c r="AB63" s="179" t="s">
        <v>345</v>
      </c>
      <c r="AC63" s="173">
        <f t="shared" ref="AC63" si="46">AD63*AE63</f>
        <v>0</v>
      </c>
      <c r="AD63" s="174">
        <f>+ROUND('FTE Alloc OR &amp; WA'!L32*2080,0)</f>
        <v>0</v>
      </c>
      <c r="AE63" s="175">
        <v>40.5</v>
      </c>
      <c r="AF63" s="181"/>
      <c r="AG63" s="176" t="str">
        <f t="shared" ref="AG63" si="47">AD63&amp;" hrs @ "&amp;AE63</f>
        <v>0 hrs @ 40.5</v>
      </c>
      <c r="AH63" s="26"/>
      <c r="AI63" s="235"/>
      <c r="AJ63" s="173">
        <f>I63+S63+AC63</f>
        <v>0</v>
      </c>
      <c r="AK63" s="64"/>
    </row>
    <row r="64" spans="1:37" ht="15.75" x14ac:dyDescent="0.25">
      <c r="A64" s="299" t="s">
        <v>5</v>
      </c>
      <c r="B64" s="218"/>
      <c r="C64" s="217"/>
      <c r="D64" s="10"/>
      <c r="E64" s="126"/>
      <c r="F64" s="126"/>
      <c r="G64" s="126"/>
      <c r="H64" s="184" t="s">
        <v>32</v>
      </c>
      <c r="I64" s="158">
        <f>SUM(I60:I63)</f>
        <v>0</v>
      </c>
      <c r="J64" s="42"/>
      <c r="K64" s="39"/>
      <c r="L64" s="39"/>
      <c r="M64" s="40"/>
      <c r="N64" s="440"/>
      <c r="O64" s="234"/>
      <c r="P64" s="65"/>
      <c r="Q64" s="41"/>
      <c r="R64" s="184" t="s">
        <v>32</v>
      </c>
      <c r="S64" s="158">
        <f>SUM(S60:S63)</f>
        <v>0</v>
      </c>
      <c r="T64" s="42"/>
      <c r="U64" s="39"/>
      <c r="V64" s="39"/>
      <c r="W64" s="40"/>
      <c r="X64" s="64"/>
      <c r="Y64" s="234"/>
      <c r="Z64" s="65"/>
      <c r="AA64" s="41"/>
      <c r="AB64" s="184" t="s">
        <v>32</v>
      </c>
      <c r="AC64" s="158">
        <f>SUM(AC60:AC63)</f>
        <v>0</v>
      </c>
      <c r="AD64" s="42"/>
      <c r="AE64" s="39"/>
      <c r="AF64" s="39"/>
      <c r="AG64" s="40"/>
      <c r="AH64" s="26"/>
      <c r="AI64" s="234"/>
      <c r="AJ64" s="158">
        <f>I64+S64+AC64</f>
        <v>0</v>
      </c>
      <c r="AK64" s="64"/>
    </row>
    <row r="65" spans="1:37" ht="21" x14ac:dyDescent="0.35">
      <c r="A65" s="299"/>
      <c r="B65" s="218" t="str">
        <f t="shared" si="29"/>
        <v/>
      </c>
      <c r="C65" s="5"/>
      <c r="D65" s="10"/>
      <c r="E65" s="126"/>
      <c r="F65" s="126"/>
      <c r="G65" s="126"/>
      <c r="H65" s="201"/>
      <c r="I65" s="163"/>
      <c r="J65" s="42"/>
      <c r="K65" s="39"/>
      <c r="L65" s="43"/>
      <c r="M65" s="40"/>
      <c r="N65" s="440"/>
      <c r="O65" s="234"/>
      <c r="P65" s="65"/>
      <c r="Q65" s="41"/>
      <c r="R65" s="200"/>
      <c r="S65" s="163"/>
      <c r="T65" s="42"/>
      <c r="U65" s="39"/>
      <c r="V65" s="43"/>
      <c r="W65" s="40"/>
      <c r="X65" s="64"/>
      <c r="Y65" s="234"/>
      <c r="Z65" s="65"/>
      <c r="AA65" s="41"/>
      <c r="AB65" s="200"/>
      <c r="AC65" s="163"/>
      <c r="AD65" s="42"/>
      <c r="AE65" s="39"/>
      <c r="AF65" s="43"/>
      <c r="AG65" s="40"/>
      <c r="AH65" s="26"/>
      <c r="AI65" s="234"/>
      <c r="AJ65" s="163"/>
      <c r="AK65" s="64"/>
    </row>
    <row r="66" spans="1:37" ht="15.75" x14ac:dyDescent="0.25">
      <c r="A66" s="299" t="s">
        <v>5</v>
      </c>
      <c r="B66" s="218" t="str">
        <f t="shared" si="29"/>
        <v>MASTBenefits</v>
      </c>
      <c r="C66" s="217" t="s">
        <v>48</v>
      </c>
      <c r="D66" s="10"/>
      <c r="E66" s="126"/>
      <c r="F66" s="126"/>
      <c r="G66" s="126"/>
      <c r="H66" s="184" t="s">
        <v>33</v>
      </c>
      <c r="I66" s="159">
        <f>I63*$O$2</f>
        <v>0</v>
      </c>
      <c r="J66" s="42"/>
      <c r="K66" s="39"/>
      <c r="L66" s="156"/>
      <c r="M66" s="45" t="str">
        <f>"@ "&amp;$O$2*100&amp;" %"</f>
        <v>@ 98.59 %</v>
      </c>
      <c r="N66" s="440"/>
      <c r="O66" s="236"/>
      <c r="P66" s="65"/>
      <c r="Q66" s="41"/>
      <c r="R66" s="38" t="s">
        <v>33</v>
      </c>
      <c r="S66" s="159">
        <f>S63*$O$2</f>
        <v>0</v>
      </c>
      <c r="T66" s="42"/>
      <c r="U66" s="39"/>
      <c r="V66" s="156"/>
      <c r="W66" s="45" t="str">
        <f>"@ "&amp;$O$2*100&amp;" %"</f>
        <v>@ 98.59 %</v>
      </c>
      <c r="X66" s="64"/>
      <c r="Y66" s="236"/>
      <c r="Z66" s="65"/>
      <c r="AA66" s="41"/>
      <c r="AB66" s="38" t="s">
        <v>33</v>
      </c>
      <c r="AC66" s="159">
        <f>AC63*$O$2</f>
        <v>0</v>
      </c>
      <c r="AD66" s="42"/>
      <c r="AE66" s="39"/>
      <c r="AF66" s="156"/>
      <c r="AG66" s="45" t="str">
        <f>"@ "&amp;$O$2*100&amp;" %"</f>
        <v>@ 98.59 %</v>
      </c>
      <c r="AH66" s="26"/>
      <c r="AI66" s="236"/>
      <c r="AJ66" s="159">
        <f>I66+S66+AC66</f>
        <v>0</v>
      </c>
      <c r="AK66" s="64"/>
    </row>
    <row r="67" spans="1:37" ht="15.75" x14ac:dyDescent="0.25">
      <c r="A67" s="299" t="s">
        <v>5</v>
      </c>
      <c r="B67" s="218" t="str">
        <f t="shared" si="29"/>
        <v>MASTTotal</v>
      </c>
      <c r="C67" s="220" t="s">
        <v>50</v>
      </c>
      <c r="D67" s="10"/>
      <c r="E67" s="126"/>
      <c r="F67" s="126"/>
      <c r="G67" s="126"/>
      <c r="H67" s="185" t="s">
        <v>34</v>
      </c>
      <c r="I67" s="165">
        <f>I66+I64</f>
        <v>0</v>
      </c>
      <c r="J67" s="68"/>
      <c r="K67" s="68"/>
      <c r="L67" s="68"/>
      <c r="M67" s="63"/>
      <c r="N67" s="443">
        <f>I67</f>
        <v>0</v>
      </c>
      <c r="O67" s="233">
        <f>N67/N91</f>
        <v>0</v>
      </c>
      <c r="P67" s="65"/>
      <c r="Q67" s="41"/>
      <c r="R67" s="49" t="s">
        <v>34</v>
      </c>
      <c r="S67" s="165">
        <f>S66+S64</f>
        <v>0</v>
      </c>
      <c r="T67" s="68"/>
      <c r="U67" s="68"/>
      <c r="V67" s="68"/>
      <c r="W67" s="63"/>
      <c r="X67" s="52">
        <f>S67</f>
        <v>0</v>
      </c>
      <c r="Y67" s="233">
        <f>X67/X91</f>
        <v>0</v>
      </c>
      <c r="Z67" s="65"/>
      <c r="AA67" s="41"/>
      <c r="AB67" s="49" t="s">
        <v>34</v>
      </c>
      <c r="AC67" s="165">
        <f>AC66+AC64</f>
        <v>0</v>
      </c>
      <c r="AD67" s="68"/>
      <c r="AE67" s="68"/>
      <c r="AF67" s="68"/>
      <c r="AG67" s="63"/>
      <c r="AH67" s="420">
        <f>AC67</f>
        <v>0</v>
      </c>
      <c r="AI67" s="233" t="e">
        <f>AH67/AH91</f>
        <v>#DIV/0!</v>
      </c>
      <c r="AJ67" s="165">
        <f>I67+S67+AC67</f>
        <v>0</v>
      </c>
      <c r="AK67" s="52"/>
    </row>
    <row r="68" spans="1:37" ht="15.75" x14ac:dyDescent="0.25">
      <c r="A68" s="299" t="s">
        <v>5</v>
      </c>
      <c r="B68" s="218" t="str">
        <f t="shared" si="29"/>
        <v>MAST</v>
      </c>
      <c r="C68" s="217" t="s">
        <v>48</v>
      </c>
      <c r="D68" s="10"/>
      <c r="E68" s="126"/>
      <c r="F68" s="126"/>
      <c r="G68" s="126"/>
      <c r="H68" s="179"/>
      <c r="I68" s="166"/>
      <c r="J68" s="69"/>
      <c r="K68" s="69"/>
      <c r="L68" s="69"/>
      <c r="M68" s="70"/>
      <c r="N68" s="441"/>
      <c r="O68" s="235"/>
      <c r="P68" s="73"/>
      <c r="Q68" s="60"/>
      <c r="R68" s="54"/>
      <c r="S68" s="166"/>
      <c r="T68" s="69"/>
      <c r="U68" s="69"/>
      <c r="V68" s="69"/>
      <c r="W68" s="70"/>
      <c r="X68" s="71"/>
      <c r="Y68" s="235"/>
      <c r="Z68" s="73"/>
      <c r="AA68" s="60"/>
      <c r="AB68" s="54"/>
      <c r="AC68" s="166"/>
      <c r="AD68" s="69"/>
      <c r="AE68" s="69"/>
      <c r="AF68" s="69"/>
      <c r="AG68" s="70"/>
      <c r="AH68" s="72"/>
      <c r="AI68" s="235"/>
      <c r="AJ68" s="166"/>
      <c r="AK68" s="71"/>
    </row>
    <row r="69" spans="1:37" ht="15.75" x14ac:dyDescent="0.25">
      <c r="A69" s="299" t="s">
        <v>5</v>
      </c>
      <c r="B69" s="218" t="str">
        <f t="shared" si="29"/>
        <v>MASTEQUIPMENT</v>
      </c>
      <c r="C69" s="220" t="s">
        <v>50</v>
      </c>
      <c r="D69" s="10"/>
      <c r="E69" s="126"/>
      <c r="F69" s="126"/>
      <c r="G69" s="126"/>
      <c r="H69" s="186" t="s">
        <v>36</v>
      </c>
      <c r="I69" s="167"/>
      <c r="J69" s="74"/>
      <c r="K69" s="74"/>
      <c r="L69" s="74"/>
      <c r="M69" s="66"/>
      <c r="N69" s="443"/>
      <c r="O69" s="237"/>
      <c r="P69" s="65"/>
      <c r="Q69" s="37"/>
      <c r="R69" s="61" t="s">
        <v>36</v>
      </c>
      <c r="S69" s="167"/>
      <c r="T69" s="74"/>
      <c r="U69" s="74"/>
      <c r="V69" s="74"/>
      <c r="W69" s="66"/>
      <c r="X69" s="75"/>
      <c r="Y69" s="237"/>
      <c r="Z69" s="65"/>
      <c r="AA69" s="37"/>
      <c r="AB69" s="61" t="s">
        <v>36</v>
      </c>
      <c r="AC69" s="167"/>
      <c r="AD69" s="74"/>
      <c r="AE69" s="74"/>
      <c r="AF69" s="74"/>
      <c r="AG69" s="66"/>
      <c r="AH69" s="76"/>
      <c r="AI69" s="237"/>
      <c r="AJ69" s="167"/>
      <c r="AK69" s="75"/>
    </row>
    <row r="70" spans="1:37" ht="15.75" x14ac:dyDescent="0.25">
      <c r="A70" s="299" t="s">
        <v>5</v>
      </c>
      <c r="B70" s="218" t="str">
        <f t="shared" si="29"/>
        <v>MAST</v>
      </c>
      <c r="C70" s="217" t="s">
        <v>48</v>
      </c>
      <c r="D70" s="10"/>
      <c r="E70" s="126"/>
      <c r="F70" s="126"/>
      <c r="G70" s="126"/>
      <c r="H70" s="187"/>
      <c r="I70" s="158">
        <f t="shared" ref="I70:I73" si="48">J70*K70</f>
        <v>0</v>
      </c>
      <c r="J70" s="42"/>
      <c r="K70" s="39"/>
      <c r="L70" s="39"/>
      <c r="M70" s="40" t="str">
        <f>J70&amp;" hrs @ "&amp;K70</f>
        <v xml:space="preserve"> hrs @ </v>
      </c>
      <c r="N70" s="443"/>
      <c r="O70" s="237"/>
      <c r="P70" s="65"/>
      <c r="Q70" s="37"/>
      <c r="R70" s="77"/>
      <c r="S70" s="158">
        <f t="shared" ref="S70:S73" si="49">T70*U70</f>
        <v>0</v>
      </c>
      <c r="T70" s="42"/>
      <c r="U70" s="39"/>
      <c r="V70" s="39"/>
      <c r="W70" s="40" t="str">
        <f>T70&amp;" hrs @ "&amp;U70</f>
        <v xml:space="preserve"> hrs @ </v>
      </c>
      <c r="X70" s="75"/>
      <c r="Y70" s="237"/>
      <c r="Z70" s="65"/>
      <c r="AA70" s="37"/>
      <c r="AB70" s="77"/>
      <c r="AC70" s="158">
        <f t="shared" ref="AC70:AC73" si="50">AD70*AE70</f>
        <v>0</v>
      </c>
      <c r="AD70" s="42"/>
      <c r="AE70" s="39"/>
      <c r="AF70" s="39"/>
      <c r="AG70" s="40" t="str">
        <f>AD70&amp;" hrs @ "&amp;AE70</f>
        <v xml:space="preserve"> hrs @ </v>
      </c>
      <c r="AH70" s="76"/>
      <c r="AI70" s="237"/>
      <c r="AJ70" s="158"/>
      <c r="AK70" s="75"/>
    </row>
    <row r="71" spans="1:37" ht="15.75" x14ac:dyDescent="0.25">
      <c r="A71" s="299" t="s">
        <v>5</v>
      </c>
      <c r="B71" s="218" t="str">
        <f t="shared" si="29"/>
        <v>MAST</v>
      </c>
      <c r="C71" s="217" t="s">
        <v>48</v>
      </c>
      <c r="D71" s="10"/>
      <c r="E71" s="126"/>
      <c r="F71" s="126"/>
      <c r="G71" s="126"/>
      <c r="H71" s="187"/>
      <c r="I71" s="158">
        <f t="shared" si="48"/>
        <v>0</v>
      </c>
      <c r="J71" s="42"/>
      <c r="K71" s="39"/>
      <c r="L71" s="39"/>
      <c r="M71" s="40" t="str">
        <f t="shared" ref="M71:M73" si="51">J71&amp;" hrs @ "&amp;K71</f>
        <v xml:space="preserve"> hrs @ </v>
      </c>
      <c r="N71" s="444"/>
      <c r="O71" s="238"/>
      <c r="P71" s="80"/>
      <c r="Q71" s="81"/>
      <c r="R71" s="77"/>
      <c r="S71" s="158">
        <f t="shared" si="49"/>
        <v>0</v>
      </c>
      <c r="T71" s="42"/>
      <c r="U71" s="39"/>
      <c r="V71" s="39"/>
      <c r="W71" s="40" t="str">
        <f t="shared" ref="W71:W73" si="52">T71&amp;" hrs @ "&amp;U71</f>
        <v xml:space="preserve"> hrs @ </v>
      </c>
      <c r="X71" s="78"/>
      <c r="Y71" s="238"/>
      <c r="Z71" s="80"/>
      <c r="AA71" s="81"/>
      <c r="AB71" s="77"/>
      <c r="AC71" s="158">
        <f t="shared" si="50"/>
        <v>0</v>
      </c>
      <c r="AD71" s="42"/>
      <c r="AE71" s="39"/>
      <c r="AF71" s="39"/>
      <c r="AG71" s="40" t="str">
        <f t="shared" ref="AG71:AG73" si="53">AD71&amp;" hrs @ "&amp;AE71</f>
        <v xml:space="preserve"> hrs @ </v>
      </c>
      <c r="AH71" s="79"/>
      <c r="AI71" s="238"/>
      <c r="AJ71" s="158"/>
      <c r="AK71" s="78"/>
    </row>
    <row r="72" spans="1:37" ht="15.75" x14ac:dyDescent="0.25">
      <c r="A72" s="299" t="s">
        <v>5</v>
      </c>
      <c r="B72" s="218" t="str">
        <f t="shared" si="29"/>
        <v>MAST</v>
      </c>
      <c r="C72" s="217" t="s">
        <v>48</v>
      </c>
      <c r="D72" s="10"/>
      <c r="E72" s="126"/>
      <c r="F72" s="126"/>
      <c r="G72" s="126"/>
      <c r="H72" s="187"/>
      <c r="I72" s="158">
        <f t="shared" si="48"/>
        <v>0</v>
      </c>
      <c r="J72" s="42"/>
      <c r="K72" s="39"/>
      <c r="L72" s="42"/>
      <c r="M72" s="40" t="str">
        <f t="shared" si="51"/>
        <v xml:space="preserve"> hrs @ </v>
      </c>
      <c r="N72" s="444"/>
      <c r="O72" s="238"/>
      <c r="P72" s="80"/>
      <c r="Q72" s="81"/>
      <c r="R72" s="77"/>
      <c r="S72" s="158">
        <f t="shared" si="49"/>
        <v>0</v>
      </c>
      <c r="T72" s="42"/>
      <c r="U72" s="39"/>
      <c r="V72" s="42"/>
      <c r="W72" s="40" t="str">
        <f t="shared" si="52"/>
        <v xml:space="preserve"> hrs @ </v>
      </c>
      <c r="X72" s="78"/>
      <c r="Y72" s="238"/>
      <c r="Z72" s="80"/>
      <c r="AA72" s="81"/>
      <c r="AB72" s="77"/>
      <c r="AC72" s="158">
        <f t="shared" si="50"/>
        <v>0</v>
      </c>
      <c r="AD72" s="42"/>
      <c r="AE72" s="39"/>
      <c r="AF72" s="42"/>
      <c r="AG72" s="40" t="str">
        <f t="shared" si="53"/>
        <v xml:space="preserve"> hrs @ </v>
      </c>
      <c r="AH72" s="79"/>
      <c r="AI72" s="238"/>
      <c r="AJ72" s="158"/>
      <c r="AK72" s="78"/>
    </row>
    <row r="73" spans="1:37" ht="15.75" x14ac:dyDescent="0.25">
      <c r="A73" s="299" t="s">
        <v>5</v>
      </c>
      <c r="B73" s="218" t="str">
        <f t="shared" si="29"/>
        <v>MAST</v>
      </c>
      <c r="C73" s="217" t="s">
        <v>48</v>
      </c>
      <c r="D73" s="10"/>
      <c r="E73" s="126"/>
      <c r="F73" s="126"/>
      <c r="G73" s="126"/>
      <c r="H73" s="187"/>
      <c r="I73" s="158">
        <f t="shared" si="48"/>
        <v>0</v>
      </c>
      <c r="J73" s="42"/>
      <c r="K73" s="39"/>
      <c r="L73" s="43"/>
      <c r="M73" s="40" t="str">
        <f t="shared" si="51"/>
        <v xml:space="preserve"> hrs @ </v>
      </c>
      <c r="N73" s="444"/>
      <c r="O73" s="239"/>
      <c r="P73" s="80"/>
      <c r="Q73" s="81"/>
      <c r="R73" s="77"/>
      <c r="S73" s="158">
        <f t="shared" si="49"/>
        <v>0</v>
      </c>
      <c r="T73" s="42"/>
      <c r="U73" s="39"/>
      <c r="V73" s="43"/>
      <c r="W73" s="40" t="str">
        <f t="shared" si="52"/>
        <v xml:space="preserve"> hrs @ </v>
      </c>
      <c r="X73" s="78"/>
      <c r="Y73" s="239"/>
      <c r="Z73" s="80"/>
      <c r="AA73" s="81"/>
      <c r="AB73" s="77"/>
      <c r="AC73" s="158">
        <f t="shared" si="50"/>
        <v>0</v>
      </c>
      <c r="AD73" s="42"/>
      <c r="AE73" s="39"/>
      <c r="AF73" s="43"/>
      <c r="AG73" s="40" t="str">
        <f t="shared" si="53"/>
        <v xml:space="preserve"> hrs @ </v>
      </c>
      <c r="AH73" s="79"/>
      <c r="AI73" s="239"/>
      <c r="AJ73" s="158"/>
      <c r="AK73" s="78"/>
    </row>
    <row r="74" spans="1:37" ht="15.75" x14ac:dyDescent="0.25">
      <c r="A74" s="299" t="s">
        <v>5</v>
      </c>
      <c r="B74" s="218" t="str">
        <f t="shared" si="29"/>
        <v>MASTTotal Equipment</v>
      </c>
      <c r="C74" s="220" t="s">
        <v>50</v>
      </c>
      <c r="D74" s="10"/>
      <c r="E74" s="116">
        <f>I74</f>
        <v>0</v>
      </c>
      <c r="F74" s="116">
        <f>S74</f>
        <v>0</v>
      </c>
      <c r="G74" s="116">
        <f>AC74</f>
        <v>0</v>
      </c>
      <c r="H74" s="188" t="s">
        <v>37</v>
      </c>
      <c r="I74" s="165">
        <f>SUM(I70:I73)</f>
        <v>0</v>
      </c>
      <c r="J74" s="68"/>
      <c r="K74" s="68"/>
      <c r="L74" s="68"/>
      <c r="M74" s="66"/>
      <c r="N74" s="443">
        <f>I74</f>
        <v>0</v>
      </c>
      <c r="O74" s="240">
        <f>N74/N91</f>
        <v>0</v>
      </c>
      <c r="P74" s="80"/>
      <c r="Q74" s="81"/>
      <c r="R74" s="83" t="s">
        <v>37</v>
      </c>
      <c r="S74" s="165">
        <f>SUM(S70:S73)</f>
        <v>0</v>
      </c>
      <c r="T74" s="68"/>
      <c r="U74" s="68"/>
      <c r="V74" s="68"/>
      <c r="W74" s="66"/>
      <c r="X74" s="52">
        <f>S74</f>
        <v>0</v>
      </c>
      <c r="Y74" s="240">
        <f>X74/X91</f>
        <v>0</v>
      </c>
      <c r="Z74" s="80"/>
      <c r="AA74" s="81"/>
      <c r="AB74" s="83" t="s">
        <v>37</v>
      </c>
      <c r="AC74" s="165">
        <f>SUM(AC70:AC73)</f>
        <v>0</v>
      </c>
      <c r="AD74" s="68"/>
      <c r="AE74" s="68"/>
      <c r="AF74" s="68"/>
      <c r="AG74" s="66"/>
      <c r="AH74" s="420">
        <f>AC74</f>
        <v>0</v>
      </c>
      <c r="AI74" s="240" t="e">
        <f>AH74/AH91</f>
        <v>#DIV/0!</v>
      </c>
      <c r="AJ74" s="165">
        <f>I74+S74+AC74</f>
        <v>0</v>
      </c>
      <c r="AK74" s="52"/>
    </row>
    <row r="75" spans="1:37" ht="15.75" x14ac:dyDescent="0.25">
      <c r="A75" s="299" t="s">
        <v>5</v>
      </c>
      <c r="B75" s="218" t="str">
        <f t="shared" si="29"/>
        <v>MAST</v>
      </c>
      <c r="C75" s="217" t="s">
        <v>48</v>
      </c>
      <c r="D75" s="10"/>
      <c r="E75" s="126"/>
      <c r="F75" s="126"/>
      <c r="G75" s="126"/>
      <c r="H75" s="189"/>
      <c r="I75" s="166"/>
      <c r="J75" s="69"/>
      <c r="K75" s="69"/>
      <c r="L75" s="69"/>
      <c r="M75" s="70"/>
      <c r="N75" s="445"/>
      <c r="O75" s="241"/>
      <c r="P75" s="89"/>
      <c r="Q75" s="60"/>
      <c r="R75" s="84"/>
      <c r="S75" s="166"/>
      <c r="T75" s="69"/>
      <c r="U75" s="69"/>
      <c r="V75" s="69"/>
      <c r="W75" s="70"/>
      <c r="X75" s="87"/>
      <c r="Y75" s="241"/>
      <c r="Z75" s="89"/>
      <c r="AA75" s="60"/>
      <c r="AB75" s="84"/>
      <c r="AC75" s="166"/>
      <c r="AD75" s="69"/>
      <c r="AE75" s="69"/>
      <c r="AF75" s="69"/>
      <c r="AG75" s="70"/>
      <c r="AH75" s="88"/>
      <c r="AI75" s="241"/>
      <c r="AJ75" s="166"/>
      <c r="AK75" s="87"/>
    </row>
    <row r="76" spans="1:37" ht="15.75" x14ac:dyDescent="0.25">
      <c r="A76" s="299" t="s">
        <v>5</v>
      </c>
      <c r="B76" s="218" t="str">
        <f t="shared" si="29"/>
        <v>MASTIS SUPPORT</v>
      </c>
      <c r="C76" s="220" t="s">
        <v>50</v>
      </c>
      <c r="D76" s="10"/>
      <c r="E76" s="126"/>
      <c r="F76" s="126"/>
      <c r="G76" s="126"/>
      <c r="H76" s="186" t="s">
        <v>38</v>
      </c>
      <c r="I76" s="167"/>
      <c r="J76" s="74"/>
      <c r="K76" s="74"/>
      <c r="L76" s="74"/>
      <c r="M76" s="66"/>
      <c r="N76" s="446"/>
      <c r="O76" s="227"/>
      <c r="P76" s="92"/>
      <c r="Q76" s="37"/>
      <c r="R76" s="61" t="s">
        <v>38</v>
      </c>
      <c r="S76" s="167"/>
      <c r="T76" s="74"/>
      <c r="U76" s="74"/>
      <c r="V76" s="74"/>
      <c r="W76" s="66"/>
      <c r="X76" s="90"/>
      <c r="Y76" s="227"/>
      <c r="Z76" s="92"/>
      <c r="AA76" s="37"/>
      <c r="AB76" s="61" t="s">
        <v>38</v>
      </c>
      <c r="AC76" s="167"/>
      <c r="AD76" s="74"/>
      <c r="AE76" s="74"/>
      <c r="AF76" s="74"/>
      <c r="AG76" s="66"/>
      <c r="AH76" s="91"/>
      <c r="AI76" s="227"/>
      <c r="AJ76" s="167"/>
      <c r="AK76" s="90"/>
    </row>
    <row r="77" spans="1:37" ht="15.75" x14ac:dyDescent="0.25">
      <c r="A77" s="299" t="s">
        <v>5</v>
      </c>
      <c r="B77" s="218" t="str">
        <f t="shared" si="29"/>
        <v>MASTAnalyst Labor</v>
      </c>
      <c r="C77" s="217" t="s">
        <v>48</v>
      </c>
      <c r="D77" s="10"/>
      <c r="E77" s="126"/>
      <c r="F77" s="126"/>
      <c r="G77" s="126"/>
      <c r="H77" s="184" t="s">
        <v>39</v>
      </c>
      <c r="I77" s="162">
        <f>J77*K77</f>
        <v>0</v>
      </c>
      <c r="J77" s="42"/>
      <c r="K77" s="39"/>
      <c r="L77" s="39"/>
      <c r="M77" s="40" t="str">
        <f>J77&amp;" hrs @ "&amp;K77</f>
        <v xml:space="preserve"> hrs @ </v>
      </c>
      <c r="N77" s="447"/>
      <c r="O77" s="242"/>
      <c r="P77" s="92"/>
      <c r="Q77" s="37"/>
      <c r="R77" s="38" t="s">
        <v>39</v>
      </c>
      <c r="S77" s="162">
        <f>T77*U77</f>
        <v>0</v>
      </c>
      <c r="T77" s="42"/>
      <c r="U77" s="39"/>
      <c r="V77" s="39"/>
      <c r="W77" s="40" t="str">
        <f>T77&amp;" hrs @ "&amp;U77</f>
        <v xml:space="preserve"> hrs @ </v>
      </c>
      <c r="X77" s="93"/>
      <c r="Y77" s="242"/>
      <c r="Z77" s="92"/>
      <c r="AA77" s="37"/>
      <c r="AB77" s="38" t="s">
        <v>39</v>
      </c>
      <c r="AC77" s="162">
        <f>AD77*AE77</f>
        <v>0</v>
      </c>
      <c r="AD77" s="42"/>
      <c r="AE77" s="39"/>
      <c r="AF77" s="39"/>
      <c r="AG77" s="40" t="str">
        <f>AD77&amp;" hrs @ "&amp;AE77</f>
        <v xml:space="preserve"> hrs @ </v>
      </c>
      <c r="AH77" s="94"/>
      <c r="AI77" s="242"/>
      <c r="AJ77" s="162"/>
      <c r="AK77" s="93"/>
    </row>
    <row r="78" spans="1:37" ht="15.75" x14ac:dyDescent="0.25">
      <c r="A78" s="299" t="s">
        <v>5</v>
      </c>
      <c r="B78" s="218" t="str">
        <f t="shared" si="29"/>
        <v>MASTAnalyst Benefits</v>
      </c>
      <c r="C78" s="217" t="s">
        <v>48</v>
      </c>
      <c r="D78" s="10"/>
      <c r="E78" s="126"/>
      <c r="F78" s="126"/>
      <c r="G78" s="126"/>
      <c r="H78" s="184" t="s">
        <v>40</v>
      </c>
      <c r="I78" s="159">
        <f>I77*$O$2</f>
        <v>0</v>
      </c>
      <c r="J78" s="42"/>
      <c r="K78" s="39"/>
      <c r="L78" s="156"/>
      <c r="M78" s="45" t="str">
        <f>"@ "&amp;$O$2*100&amp;" %"</f>
        <v>@ 98.59 %</v>
      </c>
      <c r="N78" s="447"/>
      <c r="O78" s="228"/>
      <c r="P78" s="92"/>
      <c r="Q78" s="37"/>
      <c r="R78" s="38" t="s">
        <v>40</v>
      </c>
      <c r="S78" s="159">
        <f>S77*$O$2</f>
        <v>0</v>
      </c>
      <c r="T78" s="42"/>
      <c r="U78" s="39"/>
      <c r="V78" s="156"/>
      <c r="W78" s="45" t="str">
        <f>"@ "&amp;$O$2*100&amp;" %"</f>
        <v>@ 98.59 %</v>
      </c>
      <c r="X78" s="93"/>
      <c r="Y78" s="228"/>
      <c r="Z78" s="92"/>
      <c r="AA78" s="37"/>
      <c r="AB78" s="38" t="s">
        <v>40</v>
      </c>
      <c r="AC78" s="159">
        <f>AC77*$O$2</f>
        <v>0</v>
      </c>
      <c r="AD78" s="42"/>
      <c r="AE78" s="39"/>
      <c r="AF78" s="156"/>
      <c r="AG78" s="45" t="str">
        <f>"@ "&amp;$O$2*100&amp;" %"</f>
        <v>@ 98.59 %</v>
      </c>
      <c r="AH78" s="94"/>
      <c r="AI78" s="228"/>
      <c r="AJ78" s="159"/>
      <c r="AK78" s="93"/>
    </row>
    <row r="79" spans="1:37" ht="15.75" x14ac:dyDescent="0.25">
      <c r="A79" s="299" t="s">
        <v>5</v>
      </c>
      <c r="B79" s="218" t="str">
        <f t="shared" si="29"/>
        <v>MASTTotal IS</v>
      </c>
      <c r="C79" s="220" t="s">
        <v>50</v>
      </c>
      <c r="D79" s="10"/>
      <c r="E79" s="126"/>
      <c r="F79" s="126"/>
      <c r="G79" s="126"/>
      <c r="H79" s="185" t="s">
        <v>41</v>
      </c>
      <c r="I79" s="165">
        <f>I77+I78</f>
        <v>0</v>
      </c>
      <c r="J79" s="68"/>
      <c r="K79" s="68"/>
      <c r="L79" s="68"/>
      <c r="M79" s="66"/>
      <c r="N79" s="443">
        <f>I79</f>
        <v>0</v>
      </c>
      <c r="O79" s="240">
        <f>N79/N91</f>
        <v>0</v>
      </c>
      <c r="P79" s="92"/>
      <c r="Q79" s="37"/>
      <c r="R79" s="49" t="s">
        <v>41</v>
      </c>
      <c r="S79" s="165">
        <f>S77+S78</f>
        <v>0</v>
      </c>
      <c r="T79" s="68"/>
      <c r="U79" s="68"/>
      <c r="V79" s="68"/>
      <c r="W79" s="66"/>
      <c r="X79" s="52">
        <f>S79</f>
        <v>0</v>
      </c>
      <c r="Y79" s="240">
        <f>X79/X91</f>
        <v>0</v>
      </c>
      <c r="Z79" s="92"/>
      <c r="AA79" s="37"/>
      <c r="AB79" s="49" t="s">
        <v>41</v>
      </c>
      <c r="AC79" s="165">
        <f>AC77+AC78</f>
        <v>0</v>
      </c>
      <c r="AD79" s="68"/>
      <c r="AE79" s="68"/>
      <c r="AF79" s="68"/>
      <c r="AG79" s="66"/>
      <c r="AH79" s="420">
        <f>AC79</f>
        <v>0</v>
      </c>
      <c r="AI79" s="240" t="e">
        <f>AH79/AH91</f>
        <v>#DIV/0!</v>
      </c>
      <c r="AJ79" s="165">
        <f>I79+S79+AC79</f>
        <v>0</v>
      </c>
      <c r="AK79" s="52"/>
    </row>
    <row r="80" spans="1:37" ht="15.75" x14ac:dyDescent="0.25">
      <c r="A80" s="299" t="s">
        <v>5</v>
      </c>
      <c r="B80" s="218" t="str">
        <f t="shared" si="29"/>
        <v>MAST</v>
      </c>
      <c r="C80" s="217" t="s">
        <v>48</v>
      </c>
      <c r="D80" s="10"/>
      <c r="E80" s="126"/>
      <c r="F80" s="126"/>
      <c r="G80" s="126"/>
      <c r="H80" s="179"/>
      <c r="I80" s="166"/>
      <c r="J80" s="69"/>
      <c r="K80" s="69"/>
      <c r="L80" s="69"/>
      <c r="M80" s="70"/>
      <c r="N80" s="448"/>
      <c r="O80" s="243"/>
      <c r="P80" s="99"/>
      <c r="Q80" s="60"/>
      <c r="R80" s="54"/>
      <c r="S80" s="166"/>
      <c r="T80" s="69"/>
      <c r="U80" s="69"/>
      <c r="V80" s="69"/>
      <c r="W80" s="70"/>
      <c r="X80" s="97"/>
      <c r="Y80" s="243"/>
      <c r="Z80" s="99"/>
      <c r="AA80" s="60"/>
      <c r="AB80" s="54"/>
      <c r="AC80" s="166"/>
      <c r="AD80" s="69"/>
      <c r="AE80" s="69"/>
      <c r="AF80" s="69"/>
      <c r="AG80" s="70"/>
      <c r="AH80" s="98"/>
      <c r="AI80" s="243"/>
      <c r="AJ80" s="166"/>
      <c r="AK80" s="97"/>
    </row>
    <row r="81" spans="1:37" ht="15.75" x14ac:dyDescent="0.25">
      <c r="A81" s="299" t="s">
        <v>5</v>
      </c>
      <c r="B81" s="218" t="str">
        <f t="shared" si="29"/>
        <v>MASTOTHER</v>
      </c>
      <c r="C81" s="220" t="s">
        <v>50</v>
      </c>
      <c r="D81" s="10"/>
      <c r="E81" s="126"/>
      <c r="F81" s="126"/>
      <c r="G81" s="126"/>
      <c r="H81" s="186" t="s">
        <v>42</v>
      </c>
      <c r="I81" s="167"/>
      <c r="J81" s="74"/>
      <c r="K81" s="74"/>
      <c r="L81" s="74"/>
      <c r="M81" s="66"/>
      <c r="N81" s="446"/>
      <c r="O81" s="227"/>
      <c r="P81" s="92"/>
      <c r="Q81" s="37"/>
      <c r="R81" s="61" t="s">
        <v>42</v>
      </c>
      <c r="S81" s="167"/>
      <c r="T81" s="74"/>
      <c r="U81" s="74"/>
      <c r="V81" s="74"/>
      <c r="W81" s="66"/>
      <c r="X81" s="90"/>
      <c r="Y81" s="227"/>
      <c r="Z81" s="92"/>
      <c r="AA81" s="37"/>
      <c r="AB81" s="61" t="s">
        <v>42</v>
      </c>
      <c r="AC81" s="167"/>
      <c r="AD81" s="74"/>
      <c r="AE81" s="74"/>
      <c r="AF81" s="74"/>
      <c r="AG81" s="66"/>
      <c r="AH81" s="91"/>
      <c r="AI81" s="227"/>
      <c r="AJ81" s="167"/>
      <c r="AK81" s="90"/>
    </row>
    <row r="82" spans="1:37" ht="15.6" customHeight="1" x14ac:dyDescent="0.25">
      <c r="A82" s="299" t="s">
        <v>5</v>
      </c>
      <c r="B82" s="218" t="str">
        <f t="shared" si="29"/>
        <v>MASTManager Non Payroll</v>
      </c>
      <c r="C82" s="217" t="s">
        <v>48</v>
      </c>
      <c r="D82" s="10"/>
      <c r="E82" s="126"/>
      <c r="F82" s="126"/>
      <c r="G82" s="126"/>
      <c r="H82" s="42" t="s">
        <v>546</v>
      </c>
      <c r="I82" s="163">
        <f>ROUND((((I52+I61)*(1+$O$2))/VLOOKUP("MAJ ACCT SERV TEAMPayroll",'Base 2015 actual for Cost Cente'!$A:$F,6,FALSE))*VLOOKUP("MAJ ACCT SERV TEAMNon-Payroll",'Base 2015 actual for Cost Cente'!$A:$F,6,FALSE),0)</f>
        <v>0</v>
      </c>
      <c r="J82" s="74"/>
      <c r="K82" s="74"/>
      <c r="L82" s="74" t="s">
        <v>544</v>
      </c>
      <c r="M82" s="773" t="s">
        <v>369</v>
      </c>
      <c r="N82" s="446"/>
      <c r="O82" s="227"/>
      <c r="P82" s="92"/>
      <c r="Q82" s="37"/>
      <c r="R82" s="42" t="s">
        <v>546</v>
      </c>
      <c r="S82" s="163">
        <f>ROUND((((S52+S61)*(1+$O$2))/VLOOKUP("MAJ ACCT SERV TEAMPayroll",'Base 2015 actual for Cost Cente'!$A:$F,6,FALSE))*VLOOKUP("MAJ ACCT SERV TEAMNon-Payroll",'Base 2015 actual for Cost Cente'!$A:$F,6,FALSE),0)</f>
        <v>0</v>
      </c>
      <c r="T82" s="74"/>
      <c r="U82" s="74"/>
      <c r="V82" s="74" t="s">
        <v>544</v>
      </c>
      <c r="W82" s="773" t="s">
        <v>369</v>
      </c>
      <c r="X82" s="90"/>
      <c r="Y82" s="227"/>
      <c r="Z82" s="92"/>
      <c r="AA82" s="37"/>
      <c r="AB82" s="42" t="s">
        <v>546</v>
      </c>
      <c r="AC82" s="163">
        <f>ROUND((((AC52+AC61)*(1+$O$2))/VLOOKUP("MAJ ACCT SERV TEAMPayroll",'Base 2015 actual for Cost Cente'!$A:$F,6,FALSE))*VLOOKUP("MAJ ACCT SERV TEAMNon-Payroll",'Base 2015 actual for Cost Cente'!$A:$F,6,FALSE),0)</f>
        <v>0</v>
      </c>
      <c r="AD82" s="74"/>
      <c r="AE82" s="74"/>
      <c r="AF82" s="74" t="s">
        <v>544</v>
      </c>
      <c r="AG82" s="773" t="s">
        <v>369</v>
      </c>
      <c r="AH82" s="91"/>
      <c r="AI82" s="227"/>
      <c r="AJ82" s="163">
        <f>I82+S82+AC82</f>
        <v>0</v>
      </c>
      <c r="AK82" s="90"/>
    </row>
    <row r="83" spans="1:37" ht="15.75" x14ac:dyDescent="0.25">
      <c r="A83" s="299" t="s">
        <v>5</v>
      </c>
      <c r="B83" s="218" t="str">
        <f t="shared" si="29"/>
        <v>MASTMAS NonPayroll</v>
      </c>
      <c r="C83" s="217" t="s">
        <v>48</v>
      </c>
      <c r="D83" s="10"/>
      <c r="E83" s="126"/>
      <c r="F83" s="126"/>
      <c r="G83" s="126"/>
      <c r="H83" s="42" t="s">
        <v>547</v>
      </c>
      <c r="I83" s="163">
        <f>ROUND((((I54+I62)*(1+$O$2))/VLOOKUP("FIELD SERVICESPayroll",'Base 2015 actual for Cost Cente'!$A:$F,6,FALSE))*VLOOKUP("FIELD SERVICESNon-Payroll",'Base 2015 actual for Cost Cente'!$A:$F,6,FALSE),0)</f>
        <v>0</v>
      </c>
      <c r="J83" s="42"/>
      <c r="K83" s="39"/>
      <c r="L83" s="42" t="s">
        <v>545</v>
      </c>
      <c r="M83" s="774"/>
      <c r="N83" s="446"/>
      <c r="O83" s="227"/>
      <c r="P83" s="92"/>
      <c r="Q83" s="37"/>
      <c r="R83" s="42" t="s">
        <v>547</v>
      </c>
      <c r="S83" s="163">
        <f>ROUND((((S54+S62)*(1+$O$2))/VLOOKUP("FIELD SERVICESPayroll",'Base 2015 actual for Cost Cente'!$A:$F,6,FALSE))*VLOOKUP("FIELD SERVICESNon-Payroll",'Base 2015 actual for Cost Cente'!$A:$F,6,FALSE),0)</f>
        <v>0</v>
      </c>
      <c r="T83" s="42"/>
      <c r="U83" s="39"/>
      <c r="V83" s="42" t="s">
        <v>545</v>
      </c>
      <c r="W83" s="774"/>
      <c r="X83" s="90"/>
      <c r="Y83" s="227"/>
      <c r="Z83" s="92"/>
      <c r="AA83" s="37"/>
      <c r="AB83" s="42" t="s">
        <v>547</v>
      </c>
      <c r="AC83" s="163">
        <f>ROUND((((AC54+AC62)*(1+$O$2))/VLOOKUP("FIELD SERVICESPayroll",'Base 2015 actual for Cost Cente'!$A:$F,6,FALSE))*VLOOKUP("FIELD SERVICESNon-Payroll",'Base 2015 actual for Cost Cente'!$A:$F,6,FALSE),0)</f>
        <v>0</v>
      </c>
      <c r="AD83" s="42"/>
      <c r="AE83" s="39"/>
      <c r="AF83" s="42" t="s">
        <v>545</v>
      </c>
      <c r="AG83" s="774"/>
      <c r="AH83" s="91"/>
      <c r="AI83" s="227"/>
      <c r="AJ83" s="163">
        <f>I83+S83+AC83</f>
        <v>0</v>
      </c>
      <c r="AK83" s="90"/>
    </row>
    <row r="84" spans="1:37" ht="15.75" x14ac:dyDescent="0.25">
      <c r="A84" s="299" t="s">
        <v>5</v>
      </c>
      <c r="B84" s="218" t="str">
        <f t="shared" si="29"/>
        <v>MASTMAST Payroll</v>
      </c>
      <c r="C84" s="217" t="s">
        <v>48</v>
      </c>
      <c r="D84" s="10"/>
      <c r="E84" s="126"/>
      <c r="F84" s="126"/>
      <c r="G84" s="126"/>
      <c r="H84" s="42" t="s">
        <v>548</v>
      </c>
      <c r="I84" s="163">
        <f>ROUND((((I53+I63)*(1+$O$2))/VLOOKUP("CUST SEG SRVCPayroll",'Base 2015 actual for Cost Cente'!$A:$F,6,FALSE))*VLOOKUP("CUST SEG SRVCNon-Payroll",'Base 2015 actual for Cost Cente'!$A:$F,6,FALSE),0)</f>
        <v>570</v>
      </c>
      <c r="J84" s="42"/>
      <c r="K84" s="39"/>
      <c r="L84" s="42" t="s">
        <v>5</v>
      </c>
      <c r="M84" s="66" t="s">
        <v>542</v>
      </c>
      <c r="N84" s="446"/>
      <c r="O84" s="227"/>
      <c r="P84" s="92"/>
      <c r="Q84" s="37"/>
      <c r="R84" s="42" t="s">
        <v>548</v>
      </c>
      <c r="S84" s="163">
        <f>ROUND((((S53+S63)*(1+$O$2))/VLOOKUP("CUST SEG SRVCPayroll",'Base 2015 actual for Cost Cente'!$A:$F,6,FALSE))*VLOOKUP("CUST SEG SRVCNon-Payroll",'Base 2015 actual for Cost Cente'!$A:$F,6,FALSE),0)</f>
        <v>140</v>
      </c>
      <c r="T84" s="42"/>
      <c r="U84" s="39"/>
      <c r="V84" s="42" t="s">
        <v>5</v>
      </c>
      <c r="W84" s="66" t="s">
        <v>542</v>
      </c>
      <c r="X84" s="90"/>
      <c r="Y84" s="227"/>
      <c r="Z84" s="92"/>
      <c r="AA84" s="37"/>
      <c r="AB84" s="42" t="s">
        <v>548</v>
      </c>
      <c r="AC84" s="163">
        <f>ROUND((((AC53+AC63)*(1+$O$2))/VLOOKUP("CUST SEG SRVCPayroll",'Base 2015 actual for Cost Cente'!$A:$F,6,FALSE))*VLOOKUP("CUST SEG SRVCNon-Payroll",'Base 2015 actual for Cost Cente'!$A:$F,6,FALSE),0)</f>
        <v>0</v>
      </c>
      <c r="AD84" s="42"/>
      <c r="AE84" s="39"/>
      <c r="AF84" s="42" t="s">
        <v>5</v>
      </c>
      <c r="AG84" s="66" t="s">
        <v>542</v>
      </c>
      <c r="AH84" s="91"/>
      <c r="AI84" s="227"/>
      <c r="AJ84" s="163">
        <f>I84+S84+AC84</f>
        <v>710</v>
      </c>
      <c r="AK84" s="90"/>
    </row>
    <row r="85" spans="1:37" ht="15.75" x14ac:dyDescent="0.25">
      <c r="A85" s="299" t="s">
        <v>5</v>
      </c>
      <c r="B85" s="218" t="str">
        <f t="shared" si="29"/>
        <v>MAST</v>
      </c>
      <c r="C85" s="217" t="s">
        <v>48</v>
      </c>
      <c r="D85" s="10"/>
      <c r="E85" s="126"/>
      <c r="F85" s="126"/>
      <c r="G85" s="126"/>
      <c r="H85" s="184"/>
      <c r="I85" s="158">
        <f t="shared" ref="I85:I87" si="54">J85*K85</f>
        <v>0</v>
      </c>
      <c r="J85" s="42"/>
      <c r="K85" s="39"/>
      <c r="L85" s="42"/>
      <c r="M85" s="66"/>
      <c r="N85" s="446"/>
      <c r="O85" s="227"/>
      <c r="P85" s="92"/>
      <c r="Q85" s="37"/>
      <c r="R85" s="38"/>
      <c r="S85" s="158">
        <f t="shared" ref="S85:S87" si="55">T85*U85</f>
        <v>0</v>
      </c>
      <c r="T85" s="42"/>
      <c r="U85" s="39"/>
      <c r="V85" s="42"/>
      <c r="W85" s="66"/>
      <c r="X85" s="90"/>
      <c r="Y85" s="227"/>
      <c r="Z85" s="92"/>
      <c r="AA85" s="37"/>
      <c r="AB85" s="38"/>
      <c r="AC85" s="158">
        <f t="shared" ref="AC85:AC87" si="56">AD85*AE85</f>
        <v>0</v>
      </c>
      <c r="AD85" s="42"/>
      <c r="AE85" s="39"/>
      <c r="AF85" s="42"/>
      <c r="AG85" s="66"/>
      <c r="AH85" s="91"/>
      <c r="AI85" s="227"/>
      <c r="AJ85" s="158"/>
      <c r="AK85" s="90"/>
    </row>
    <row r="86" spans="1:37" ht="15.75" x14ac:dyDescent="0.25">
      <c r="A86" s="299" t="s">
        <v>5</v>
      </c>
      <c r="B86" s="218" t="str">
        <f t="shared" si="29"/>
        <v>MAST</v>
      </c>
      <c r="C86" s="217" t="s">
        <v>48</v>
      </c>
      <c r="D86" s="10"/>
      <c r="E86" s="126"/>
      <c r="F86" s="126"/>
      <c r="G86" s="126"/>
      <c r="H86" s="184"/>
      <c r="I86" s="158">
        <f t="shared" si="54"/>
        <v>0</v>
      </c>
      <c r="J86" s="42"/>
      <c r="K86" s="39"/>
      <c r="L86" s="42"/>
      <c r="M86" s="66"/>
      <c r="N86" s="446"/>
      <c r="O86" s="227"/>
      <c r="P86" s="92"/>
      <c r="Q86" s="37"/>
      <c r="R86" s="38"/>
      <c r="S86" s="158">
        <f t="shared" si="55"/>
        <v>0</v>
      </c>
      <c r="T86" s="42"/>
      <c r="U86" s="39"/>
      <c r="V86" s="42"/>
      <c r="W86" s="66"/>
      <c r="X86" s="90"/>
      <c r="Y86" s="227"/>
      <c r="Z86" s="92"/>
      <c r="AA86" s="37"/>
      <c r="AB86" s="38"/>
      <c r="AC86" s="158">
        <f t="shared" si="56"/>
        <v>0</v>
      </c>
      <c r="AD86" s="42"/>
      <c r="AE86" s="39"/>
      <c r="AF86" s="42"/>
      <c r="AG86" s="66"/>
      <c r="AH86" s="91"/>
      <c r="AI86" s="227"/>
      <c r="AJ86" s="158"/>
      <c r="AK86" s="90"/>
    </row>
    <row r="87" spans="1:37" ht="15.75" x14ac:dyDescent="0.25">
      <c r="A87" s="299" t="s">
        <v>5</v>
      </c>
      <c r="B87" s="218" t="str">
        <f t="shared" si="29"/>
        <v>MAST</v>
      </c>
      <c r="C87" s="217" t="s">
        <v>48</v>
      </c>
      <c r="D87" s="10"/>
      <c r="E87" s="126"/>
      <c r="F87" s="126"/>
      <c r="G87" s="126"/>
      <c r="H87" s="184"/>
      <c r="I87" s="158">
        <f t="shared" si="54"/>
        <v>0</v>
      </c>
      <c r="J87" s="82"/>
      <c r="K87" s="82"/>
      <c r="L87" s="67"/>
      <c r="M87" s="40"/>
      <c r="N87" s="447"/>
      <c r="O87" s="228"/>
      <c r="P87" s="92"/>
      <c r="Q87" s="37"/>
      <c r="R87" s="38"/>
      <c r="S87" s="158">
        <f t="shared" si="55"/>
        <v>0</v>
      </c>
      <c r="T87" s="82"/>
      <c r="U87" s="82"/>
      <c r="V87" s="67"/>
      <c r="W87" s="40"/>
      <c r="X87" s="93"/>
      <c r="Y87" s="228"/>
      <c r="Z87" s="92"/>
      <c r="AA87" s="37"/>
      <c r="AB87" s="38"/>
      <c r="AC87" s="158">
        <f t="shared" si="56"/>
        <v>0</v>
      </c>
      <c r="AD87" s="82"/>
      <c r="AE87" s="82"/>
      <c r="AF87" s="67"/>
      <c r="AG87" s="40"/>
      <c r="AH87" s="94"/>
      <c r="AI87" s="228"/>
      <c r="AJ87" s="158"/>
      <c r="AK87" s="93"/>
    </row>
    <row r="88" spans="1:37" ht="15.75" x14ac:dyDescent="0.25">
      <c r="A88" s="299" t="s">
        <v>5</v>
      </c>
      <c r="B88" s="218" t="str">
        <f t="shared" si="29"/>
        <v>MASTTotal Other</v>
      </c>
      <c r="C88" s="220" t="s">
        <v>50</v>
      </c>
      <c r="D88" s="10"/>
      <c r="E88" s="116">
        <f>I88</f>
        <v>570</v>
      </c>
      <c r="F88" s="116">
        <f>S88</f>
        <v>140</v>
      </c>
      <c r="G88" s="116">
        <f>AC88</f>
        <v>0</v>
      </c>
      <c r="H88" s="185" t="s">
        <v>45</v>
      </c>
      <c r="I88" s="165">
        <f>SUM(I82:I87)</f>
        <v>570</v>
      </c>
      <c r="J88" s="68"/>
      <c r="K88" s="68"/>
      <c r="L88" s="68"/>
      <c r="M88" s="66"/>
      <c r="N88" s="449">
        <f>I88</f>
        <v>570</v>
      </c>
      <c r="O88" s="240">
        <f>N88/N91</f>
        <v>6.518974732347918E-2</v>
      </c>
      <c r="P88" s="92"/>
      <c r="Q88" s="68"/>
      <c r="R88" s="49" t="s">
        <v>45</v>
      </c>
      <c r="S88" s="165">
        <f>SUM(S82:S87)</f>
        <v>140</v>
      </c>
      <c r="T88" s="68"/>
      <c r="U88" s="68"/>
      <c r="V88" s="68"/>
      <c r="W88" s="66"/>
      <c r="X88" s="165">
        <f>S88</f>
        <v>140</v>
      </c>
      <c r="Y88" s="240">
        <f>X88/X91</f>
        <v>6.5096770808936277E-2</v>
      </c>
      <c r="Z88" s="92"/>
      <c r="AA88" s="68"/>
      <c r="AB88" s="49" t="s">
        <v>45</v>
      </c>
      <c r="AC88" s="165">
        <f>SUM(AC82:AC87)</f>
        <v>0</v>
      </c>
      <c r="AD88" s="68"/>
      <c r="AE88" s="68"/>
      <c r="AF88" s="68"/>
      <c r="AG88" s="66"/>
      <c r="AH88" s="414">
        <f>AC88</f>
        <v>0</v>
      </c>
      <c r="AI88" s="240" t="e">
        <f>AH88/AH91</f>
        <v>#DIV/0!</v>
      </c>
      <c r="AJ88" s="165">
        <f>I88+S88+AC88</f>
        <v>710</v>
      </c>
      <c r="AK88" s="165"/>
    </row>
    <row r="89" spans="1:37" ht="16.5" thickBot="1" x14ac:dyDescent="0.3">
      <c r="A89" s="299" t="s">
        <v>5</v>
      </c>
      <c r="B89" s="218" t="str">
        <f t="shared" si="29"/>
        <v>MAST</v>
      </c>
      <c r="C89" s="217" t="s">
        <v>48</v>
      </c>
      <c r="D89" s="10"/>
      <c r="E89" s="126"/>
      <c r="F89" s="126"/>
      <c r="G89" s="126"/>
      <c r="H89" s="178"/>
      <c r="I89" s="178"/>
      <c r="J89" s="101"/>
      <c r="K89" s="101"/>
      <c r="L89" s="101"/>
      <c r="M89" s="102"/>
      <c r="N89" s="450"/>
      <c r="O89" s="178"/>
      <c r="P89" s="101"/>
      <c r="Q89" s="101"/>
      <c r="R89" s="100"/>
      <c r="S89" s="178"/>
      <c r="T89" s="101"/>
      <c r="U89" s="101"/>
      <c r="V89" s="101"/>
      <c r="W89" s="102"/>
      <c r="X89" s="178"/>
      <c r="Y89" s="178"/>
      <c r="Z89" s="101"/>
      <c r="AA89" s="101"/>
      <c r="AB89" s="100"/>
      <c r="AC89" s="178"/>
      <c r="AD89" s="101"/>
      <c r="AE89" s="101"/>
      <c r="AF89" s="101"/>
      <c r="AG89" s="102"/>
      <c r="AH89" s="415"/>
      <c r="AI89" s="178"/>
      <c r="AJ89" s="178"/>
      <c r="AK89" s="178"/>
    </row>
    <row r="90" spans="1:37" ht="16.5" thickTop="1" x14ac:dyDescent="0.25">
      <c r="A90" s="299" t="s">
        <v>5</v>
      </c>
      <c r="B90" s="218" t="str">
        <f t="shared" si="29"/>
        <v>MASTTOTALS</v>
      </c>
      <c r="C90" s="217" t="s">
        <v>48</v>
      </c>
      <c r="D90" s="10"/>
      <c r="E90" s="126"/>
      <c r="F90" s="126"/>
      <c r="G90" s="126"/>
      <c r="H90" s="186" t="s">
        <v>28</v>
      </c>
      <c r="I90" s="418"/>
      <c r="J90" s="103"/>
      <c r="K90" s="103"/>
      <c r="L90" s="103"/>
      <c r="M90" s="104"/>
      <c r="N90" s="446"/>
      <c r="O90" s="136"/>
      <c r="P90" s="92"/>
      <c r="Q90" s="37"/>
      <c r="R90" s="61" t="s">
        <v>28</v>
      </c>
      <c r="S90" s="418"/>
      <c r="T90" s="103"/>
      <c r="U90" s="103"/>
      <c r="V90" s="103"/>
      <c r="W90" s="104"/>
      <c r="X90" s="90"/>
      <c r="Y90" s="136"/>
      <c r="Z90" s="92"/>
      <c r="AA90" s="37"/>
      <c r="AB90" s="61" t="s">
        <v>28</v>
      </c>
      <c r="AC90" s="418"/>
      <c r="AD90" s="103"/>
      <c r="AE90" s="103"/>
      <c r="AF90" s="103"/>
      <c r="AG90" s="104"/>
      <c r="AH90" s="91"/>
      <c r="AI90" s="136"/>
      <c r="AJ90" s="418"/>
      <c r="AK90" s="90"/>
    </row>
    <row r="91" spans="1:37" ht="15.75" x14ac:dyDescent="0.25">
      <c r="A91" s="299" t="s">
        <v>5</v>
      </c>
      <c r="B91" s="218" t="str">
        <f t="shared" si="29"/>
        <v>MASTPER YEAR</v>
      </c>
      <c r="C91" s="220" t="s">
        <v>50</v>
      </c>
      <c r="D91" s="10"/>
      <c r="E91" s="116">
        <f>I91</f>
        <v>8743.7062330000008</v>
      </c>
      <c r="F91" s="116">
        <f>S91</f>
        <v>2150.6443140000001</v>
      </c>
      <c r="G91" s="116">
        <f>S91</f>
        <v>2150.6443140000001</v>
      </c>
      <c r="H91" s="190" t="s">
        <v>46</v>
      </c>
      <c r="I91" s="417">
        <f>I58+I67+I74+I79+I88</f>
        <v>8743.7062330000008</v>
      </c>
      <c r="J91" s="106"/>
      <c r="K91" s="106"/>
      <c r="L91" s="106"/>
      <c r="M91" s="107"/>
      <c r="N91" s="443">
        <f>SUM(N58:N89)</f>
        <v>8743.7062330000008</v>
      </c>
      <c r="O91" s="233">
        <f>SUM(O58:O89)</f>
        <v>0.99999999999999989</v>
      </c>
      <c r="P91" s="92"/>
      <c r="Q91" s="37"/>
      <c r="R91" s="105" t="s">
        <v>46</v>
      </c>
      <c r="S91" s="417">
        <f>S58+S67+S74+S79+S88</f>
        <v>2150.6443140000001</v>
      </c>
      <c r="T91" s="106"/>
      <c r="U91" s="106"/>
      <c r="V91" s="106"/>
      <c r="W91" s="107"/>
      <c r="X91" s="52">
        <f>SUM(X58:X89)</f>
        <v>2150.6443140000001</v>
      </c>
      <c r="Y91" s="233">
        <f>SUM(Y58:Y89)</f>
        <v>1</v>
      </c>
      <c r="Z91" s="92"/>
      <c r="AA91" s="37"/>
      <c r="AB91" s="105" t="s">
        <v>46</v>
      </c>
      <c r="AC91" s="417">
        <f>AC58+AC67+AC74+AC79+AC88</f>
        <v>0</v>
      </c>
      <c r="AD91" s="106"/>
      <c r="AE91" s="106"/>
      <c r="AF91" s="106"/>
      <c r="AG91" s="107"/>
      <c r="AH91" s="420">
        <f>SUM(AH58:AH89)</f>
        <v>0</v>
      </c>
      <c r="AI91" s="233" t="e">
        <f>SUM(AI58:AI89)</f>
        <v>#DIV/0!</v>
      </c>
      <c r="AJ91" s="417">
        <f>I91+S91+AC91</f>
        <v>10894.350547000002</v>
      </c>
      <c r="AK91" s="52"/>
    </row>
    <row r="92" spans="1:37" ht="15.75" x14ac:dyDescent="0.25">
      <c r="A92" s="299" t="s">
        <v>5</v>
      </c>
      <c r="B92" s="218" t="str">
        <f t="shared" si="29"/>
        <v>MASTPER PAYMENT</v>
      </c>
      <c r="C92" s="220" t="s">
        <v>50</v>
      </c>
      <c r="D92" s="10"/>
      <c r="E92" s="126"/>
      <c r="F92" s="126"/>
      <c r="G92" s="126"/>
      <c r="H92" s="185" t="s">
        <v>47</v>
      </c>
      <c r="I92" s="419">
        <f>I91/I$6</f>
        <v>1.2701625442861323E-3</v>
      </c>
      <c r="J92" s="108"/>
      <c r="K92" s="108"/>
      <c r="L92" s="108"/>
      <c r="M92" s="109"/>
      <c r="N92" s="448"/>
      <c r="O92" s="243"/>
      <c r="P92" s="99"/>
      <c r="Q92" s="60"/>
      <c r="R92" s="49" t="s">
        <v>47</v>
      </c>
      <c r="S92" s="419">
        <f>S91/S$6</f>
        <v>2.9714184258411089E-3</v>
      </c>
      <c r="T92" s="108"/>
      <c r="U92" s="108"/>
      <c r="V92" s="108"/>
      <c r="W92" s="109"/>
      <c r="X92" s="97"/>
      <c r="Y92" s="243"/>
      <c r="Z92" s="99"/>
      <c r="AA92" s="60"/>
      <c r="AB92" s="49" t="s">
        <v>47</v>
      </c>
      <c r="AC92" s="419">
        <f>AC91/AC$6</f>
        <v>0</v>
      </c>
      <c r="AD92" s="108"/>
      <c r="AE92" s="108"/>
      <c r="AF92" s="108"/>
      <c r="AG92" s="109"/>
      <c r="AH92" s="98"/>
      <c r="AI92" s="243"/>
      <c r="AJ92" s="419">
        <f>I92+S92+AC92</f>
        <v>4.2415809701272407E-3</v>
      </c>
      <c r="AK92" s="97"/>
    </row>
    <row r="93" spans="1:37" ht="15.75" x14ac:dyDescent="0.25">
      <c r="A93" s="299" t="s">
        <v>5</v>
      </c>
      <c r="B93" s="218"/>
      <c r="C93" s="220"/>
      <c r="D93" s="10"/>
      <c r="E93" s="10"/>
      <c r="F93" s="10"/>
      <c r="G93" s="10"/>
      <c r="H93" s="137" t="s">
        <v>553</v>
      </c>
      <c r="I93" s="652">
        <f>I58+I67</f>
        <v>8173.7062329999999</v>
      </c>
      <c r="J93" s="108"/>
      <c r="K93" s="108"/>
      <c r="L93" s="108"/>
      <c r="M93" s="109"/>
      <c r="N93" s="649"/>
      <c r="O93" s="650"/>
      <c r="P93" s="92"/>
      <c r="Q93" s="37"/>
      <c r="R93" s="137" t="s">
        <v>553</v>
      </c>
      <c r="S93" s="652">
        <f>S58+S67</f>
        <v>2010.6443140000001</v>
      </c>
      <c r="T93" s="108"/>
      <c r="U93" s="108"/>
      <c r="V93" s="108"/>
      <c r="W93" s="109"/>
      <c r="X93" s="651"/>
      <c r="Y93" s="650"/>
      <c r="Z93" s="92"/>
      <c r="AA93" s="37"/>
      <c r="AB93" s="137" t="s">
        <v>553</v>
      </c>
      <c r="AC93" s="652">
        <f>AC58+AC67</f>
        <v>0</v>
      </c>
      <c r="AD93" s="108"/>
      <c r="AE93" s="108"/>
      <c r="AF93" s="108"/>
      <c r="AG93" s="109"/>
      <c r="AH93" s="649"/>
      <c r="AI93" s="137"/>
      <c r="AJ93" s="652">
        <f>I93+S93+AC93</f>
        <v>10184.350547</v>
      </c>
      <c r="AK93" s="651"/>
    </row>
    <row r="94" spans="1:37" ht="15.75" x14ac:dyDescent="0.25">
      <c r="A94" s="299" t="s">
        <v>5</v>
      </c>
      <c r="B94" s="218"/>
      <c r="C94" s="220"/>
      <c r="D94" s="10"/>
      <c r="E94" s="10"/>
      <c r="F94" s="10"/>
      <c r="G94" s="10"/>
      <c r="H94" s="137" t="s">
        <v>554</v>
      </c>
      <c r="I94" s="652">
        <f>I88+I79+I74</f>
        <v>570</v>
      </c>
      <c r="J94" s="108"/>
      <c r="K94" s="652"/>
      <c r="L94" s="108"/>
      <c r="M94" s="109"/>
      <c r="N94" s="649"/>
      <c r="O94" s="650"/>
      <c r="P94" s="92"/>
      <c r="Q94" s="37"/>
      <c r="R94" s="137" t="s">
        <v>554</v>
      </c>
      <c r="S94" s="652">
        <f>S88+S79+S74</f>
        <v>140</v>
      </c>
      <c r="T94" s="108"/>
      <c r="U94" s="652"/>
      <c r="V94" s="108"/>
      <c r="W94" s="109"/>
      <c r="X94" s="651"/>
      <c r="Y94" s="650"/>
      <c r="Z94" s="92"/>
      <c r="AA94" s="37"/>
      <c r="AB94" s="137" t="s">
        <v>554</v>
      </c>
      <c r="AC94" s="652">
        <f>AC88+AC79+AC74</f>
        <v>0</v>
      </c>
      <c r="AD94" s="108"/>
      <c r="AE94" s="652"/>
      <c r="AF94" s="108"/>
      <c r="AG94" s="109"/>
      <c r="AH94" s="649"/>
      <c r="AI94" s="137"/>
      <c r="AJ94" s="652">
        <f>I94+S94+AC94</f>
        <v>710</v>
      </c>
      <c r="AK94" s="651"/>
    </row>
    <row r="95" spans="1:37" ht="15.75" x14ac:dyDescent="0.25">
      <c r="A95" s="299" t="s">
        <v>5</v>
      </c>
      <c r="B95" s="218"/>
      <c r="C95" s="220"/>
      <c r="D95" s="10"/>
      <c r="E95" s="10"/>
      <c r="F95" s="10"/>
      <c r="G95" s="10"/>
      <c r="H95" s="137" t="s">
        <v>552</v>
      </c>
      <c r="I95" s="652">
        <f>I91</f>
        <v>8743.7062330000008</v>
      </c>
      <c r="J95" s="108"/>
      <c r="K95" s="108"/>
      <c r="L95" s="108"/>
      <c r="M95" s="109"/>
      <c r="N95" s="649"/>
      <c r="O95" s="650"/>
      <c r="P95" s="92"/>
      <c r="Q95" s="37"/>
      <c r="R95" s="137" t="s">
        <v>552</v>
      </c>
      <c r="S95" s="652">
        <f>S91</f>
        <v>2150.6443140000001</v>
      </c>
      <c r="T95" s="108"/>
      <c r="U95" s="108"/>
      <c r="V95" s="108"/>
      <c r="W95" s="109"/>
      <c r="X95" s="651"/>
      <c r="Y95" s="650"/>
      <c r="Z95" s="92"/>
      <c r="AA95" s="37"/>
      <c r="AB95" s="137" t="s">
        <v>552</v>
      </c>
      <c r="AC95" s="652">
        <f>AC91</f>
        <v>0</v>
      </c>
      <c r="AD95" s="108"/>
      <c r="AE95" s="108"/>
      <c r="AF95" s="108"/>
      <c r="AG95" s="109"/>
      <c r="AH95" s="649"/>
      <c r="AI95" s="137"/>
      <c r="AJ95" s="652">
        <f>I95+S95+AC95</f>
        <v>10894.350547000002</v>
      </c>
      <c r="AK95" s="651"/>
    </row>
    <row r="96" spans="1:37" ht="47.25" x14ac:dyDescent="0.25">
      <c r="A96" s="300" t="s">
        <v>10</v>
      </c>
      <c r="B96" s="218" t="str">
        <f t="shared" ref="B96:B113" si="57">A96&amp;H96</f>
        <v>TreasuryLABOR: NON-SUPERVISORY</v>
      </c>
      <c r="C96" s="13" t="s">
        <v>10</v>
      </c>
      <c r="D96" s="10" t="str">
        <f>'2015Summary METER to CASH (Base'!K27</f>
        <v>* Payment Process Management
* Bank Fees</v>
      </c>
      <c r="E96" s="117">
        <f>N132</f>
        <v>1377057.4526405602</v>
      </c>
      <c r="F96" s="117">
        <f>X132</f>
        <v>146365.73124380747</v>
      </c>
      <c r="G96" s="117">
        <f>AC132</f>
        <v>6773.5265776322876</v>
      </c>
      <c r="H96" s="183" t="s">
        <v>31</v>
      </c>
      <c r="I96" s="157"/>
      <c r="J96" s="302">
        <v>1800</v>
      </c>
      <c r="K96" s="302" t="s">
        <v>295</v>
      </c>
      <c r="L96" s="118"/>
      <c r="M96" s="119"/>
      <c r="N96" s="439"/>
      <c r="O96" s="135"/>
      <c r="P96" s="122"/>
      <c r="Q96" s="123"/>
      <c r="R96" s="183" t="s">
        <v>31</v>
      </c>
      <c r="S96" s="157"/>
      <c r="T96" s="302">
        <v>1800</v>
      </c>
      <c r="U96" s="302" t="s">
        <v>295</v>
      </c>
      <c r="V96" s="118"/>
      <c r="W96" s="119"/>
      <c r="X96" s="120"/>
      <c r="Y96" s="135"/>
      <c r="Z96" s="122"/>
      <c r="AA96" s="123"/>
      <c r="AB96" s="183" t="s">
        <v>31</v>
      </c>
      <c r="AC96" s="157"/>
      <c r="AD96" s="302">
        <v>1800</v>
      </c>
      <c r="AE96" s="302" t="s">
        <v>295</v>
      </c>
      <c r="AF96" s="118"/>
      <c r="AG96" s="119"/>
      <c r="AH96" s="121"/>
      <c r="AI96" s="135"/>
      <c r="AJ96" s="157"/>
      <c r="AK96" s="120"/>
    </row>
    <row r="97" spans="1:37" ht="21" x14ac:dyDescent="0.35">
      <c r="A97" s="300" t="s">
        <v>10</v>
      </c>
      <c r="B97" s="218" t="str">
        <f t="shared" si="57"/>
        <v>TreasuryCredit/Collections 3(Grade 20?)</v>
      </c>
      <c r="C97" s="5" t="s">
        <v>48</v>
      </c>
      <c r="D97" s="10"/>
      <c r="E97" s="117"/>
      <c r="F97" s="117"/>
      <c r="G97" s="117"/>
      <c r="H97" s="184" t="s">
        <v>313</v>
      </c>
      <c r="I97" s="158">
        <f>J97*K97</f>
        <v>778.5</v>
      </c>
      <c r="J97" s="42">
        <v>17.3</v>
      </c>
      <c r="K97" s="39">
        <v>45</v>
      </c>
      <c r="L97" s="39"/>
      <c r="M97" s="40" t="str">
        <f>J97&amp;" hrs @ "&amp;K97</f>
        <v>17.3 hrs @ 45</v>
      </c>
      <c r="N97" s="440"/>
      <c r="O97" s="136"/>
      <c r="P97" s="36"/>
      <c r="Q97" s="41"/>
      <c r="R97" s="38" t="s">
        <v>313</v>
      </c>
      <c r="S97" s="158">
        <f>T97*U97</f>
        <v>778.5</v>
      </c>
      <c r="T97" s="42">
        <v>17.3</v>
      </c>
      <c r="U97" s="39">
        <v>45</v>
      </c>
      <c r="V97" s="39"/>
      <c r="W97" s="40" t="str">
        <f>T97&amp;" hrs @ "&amp;U97</f>
        <v>17.3 hrs @ 45</v>
      </c>
      <c r="X97" s="34"/>
      <c r="Y97" s="136"/>
      <c r="Z97" s="36"/>
      <c r="AA97" s="41"/>
      <c r="AB97" s="38" t="s">
        <v>313</v>
      </c>
      <c r="AC97" s="158">
        <f>AD97*AE97</f>
        <v>778.5</v>
      </c>
      <c r="AD97" s="42">
        <v>17.3</v>
      </c>
      <c r="AE97" s="39">
        <v>45</v>
      </c>
      <c r="AF97" s="39"/>
      <c r="AG97" s="40" t="str">
        <f>AD97&amp;" hrs @ "&amp;AE97</f>
        <v>17.3 hrs @ 45</v>
      </c>
      <c r="AH97" s="35"/>
      <c r="AI97" s="136"/>
      <c r="AJ97" s="158">
        <f>I97+S97+AC97</f>
        <v>2335.5</v>
      </c>
      <c r="AK97" s="34"/>
    </row>
    <row r="98" spans="1:37" ht="21" x14ac:dyDescent="0.35">
      <c r="A98" s="300" t="s">
        <v>10</v>
      </c>
      <c r="B98" s="218" t="str">
        <f t="shared" si="57"/>
        <v>Treasury</v>
      </c>
      <c r="C98" s="5" t="s">
        <v>48</v>
      </c>
      <c r="D98" s="10"/>
      <c r="E98" s="117"/>
      <c r="F98" s="117"/>
      <c r="G98" s="117"/>
      <c r="H98" s="184"/>
      <c r="I98" s="158"/>
      <c r="J98" s="42"/>
      <c r="K98" s="39"/>
      <c r="L98" s="42"/>
      <c r="M98" s="40" t="str">
        <f t="shared" ref="M98:M100" si="58">J98&amp;" hrs @ "&amp;K98</f>
        <v xml:space="preserve"> hrs @ </v>
      </c>
      <c r="N98" s="440"/>
      <c r="O98" s="136"/>
      <c r="P98" s="36"/>
      <c r="Q98" s="3"/>
      <c r="R98" s="38"/>
      <c r="S98" s="158"/>
      <c r="T98" s="42"/>
      <c r="U98" s="39"/>
      <c r="V98" s="42"/>
      <c r="W98" s="40" t="str">
        <f t="shared" ref="W98:W100" si="59">T98&amp;" hrs @ "&amp;U98</f>
        <v xml:space="preserve"> hrs @ </v>
      </c>
      <c r="X98" s="34"/>
      <c r="Y98" s="136"/>
      <c r="Z98" s="36"/>
      <c r="AA98" s="3"/>
      <c r="AB98" s="38"/>
      <c r="AC98" s="158"/>
      <c r="AD98" s="42"/>
      <c r="AE98" s="39"/>
      <c r="AF98" s="42"/>
      <c r="AG98" s="40" t="str">
        <f t="shared" ref="AG98:AG100" si="60">AD98&amp;" hrs @ "&amp;AE98</f>
        <v xml:space="preserve"> hrs @ </v>
      </c>
      <c r="AH98" s="35"/>
      <c r="AI98" s="136"/>
      <c r="AJ98" s="158"/>
      <c r="AK98" s="34"/>
    </row>
    <row r="99" spans="1:37" ht="21" x14ac:dyDescent="0.35">
      <c r="A99" s="300" t="s">
        <v>10</v>
      </c>
      <c r="B99" s="218" t="str">
        <f t="shared" si="57"/>
        <v>Treasury</v>
      </c>
      <c r="C99" s="5" t="s">
        <v>48</v>
      </c>
      <c r="D99" s="10"/>
      <c r="E99" s="117"/>
      <c r="F99" s="117"/>
      <c r="G99" s="117"/>
      <c r="H99" s="184"/>
      <c r="I99" s="158"/>
      <c r="J99" s="42"/>
      <c r="K99" s="39"/>
      <c r="L99" s="42"/>
      <c r="M99" s="40" t="str">
        <f t="shared" si="58"/>
        <v xml:space="preserve"> hrs @ </v>
      </c>
      <c r="N99" s="440"/>
      <c r="O99" s="136"/>
      <c r="P99" s="36"/>
      <c r="Q99" s="41"/>
      <c r="R99" s="38"/>
      <c r="S99" s="158"/>
      <c r="T99" s="42"/>
      <c r="U99" s="39"/>
      <c r="V99" s="42"/>
      <c r="W99" s="40" t="str">
        <f t="shared" si="59"/>
        <v xml:space="preserve"> hrs @ </v>
      </c>
      <c r="X99" s="34"/>
      <c r="Y99" s="136"/>
      <c r="Z99" s="36"/>
      <c r="AA99" s="41"/>
      <c r="AB99" s="38"/>
      <c r="AC99" s="158"/>
      <c r="AD99" s="42"/>
      <c r="AE99" s="39"/>
      <c r="AF99" s="42"/>
      <c r="AG99" s="40" t="str">
        <f t="shared" si="60"/>
        <v xml:space="preserve"> hrs @ </v>
      </c>
      <c r="AH99" s="35"/>
      <c r="AI99" s="136"/>
      <c r="AJ99" s="158"/>
      <c r="AK99" s="34"/>
    </row>
    <row r="100" spans="1:37" ht="21" x14ac:dyDescent="0.35">
      <c r="A100" s="300" t="s">
        <v>10</v>
      </c>
      <c r="B100" s="218" t="str">
        <f t="shared" si="57"/>
        <v>Treasury</v>
      </c>
      <c r="C100" s="5" t="s">
        <v>48</v>
      </c>
      <c r="D100" s="10"/>
      <c r="E100" s="117"/>
      <c r="F100" s="117"/>
      <c r="G100" s="117"/>
      <c r="H100" s="179"/>
      <c r="I100" s="173"/>
      <c r="J100" s="174"/>
      <c r="K100" s="175"/>
      <c r="L100" s="181"/>
      <c r="M100" s="176" t="str">
        <f t="shared" si="58"/>
        <v xml:space="preserve"> hrs @ </v>
      </c>
      <c r="N100" s="440"/>
      <c r="O100" s="136"/>
      <c r="P100" s="36"/>
      <c r="Q100" s="44"/>
      <c r="R100" s="179"/>
      <c r="S100" s="173"/>
      <c r="T100" s="174"/>
      <c r="U100" s="175"/>
      <c r="V100" s="181"/>
      <c r="W100" s="176" t="str">
        <f t="shared" si="59"/>
        <v xml:space="preserve"> hrs @ </v>
      </c>
      <c r="X100" s="34"/>
      <c r="Y100" s="136"/>
      <c r="Z100" s="36"/>
      <c r="AA100" s="44"/>
      <c r="AB100" s="179"/>
      <c r="AC100" s="173"/>
      <c r="AD100" s="174"/>
      <c r="AE100" s="175"/>
      <c r="AF100" s="181"/>
      <c r="AG100" s="176" t="str">
        <f t="shared" si="60"/>
        <v xml:space="preserve"> hrs @ </v>
      </c>
      <c r="AH100" s="35"/>
      <c r="AI100" s="136"/>
      <c r="AJ100" s="173"/>
      <c r="AK100" s="34"/>
    </row>
    <row r="101" spans="1:37" ht="21" x14ac:dyDescent="0.35">
      <c r="A101" s="300" t="s">
        <v>10</v>
      </c>
      <c r="B101" s="218" t="str">
        <f t="shared" si="57"/>
        <v>TreasuryTotal Wages</v>
      </c>
      <c r="C101" s="5" t="s">
        <v>48</v>
      </c>
      <c r="D101" s="10"/>
      <c r="E101" s="117"/>
      <c r="F101" s="117"/>
      <c r="G101" s="117"/>
      <c r="H101" s="184" t="s">
        <v>32</v>
      </c>
      <c r="I101" s="158">
        <f>SUM(I97:I100)</f>
        <v>778.5</v>
      </c>
      <c r="J101" s="42"/>
      <c r="K101" s="39"/>
      <c r="L101" s="39"/>
      <c r="M101" s="40"/>
      <c r="N101" s="440"/>
      <c r="O101" s="136"/>
      <c r="P101" s="36"/>
      <c r="Q101" s="41"/>
      <c r="R101" s="38" t="s">
        <v>32</v>
      </c>
      <c r="S101" s="158">
        <f>SUM(S97:S100)</f>
        <v>778.5</v>
      </c>
      <c r="T101" s="42"/>
      <c r="U101" s="39"/>
      <c r="V101" s="39"/>
      <c r="W101" s="40"/>
      <c r="X101" s="34"/>
      <c r="Y101" s="136"/>
      <c r="Z101" s="36"/>
      <c r="AA101" s="41"/>
      <c r="AB101" s="38" t="s">
        <v>32</v>
      </c>
      <c r="AC101" s="158">
        <f>SUM(AC97:AC100)</f>
        <v>778.5</v>
      </c>
      <c r="AD101" s="42"/>
      <c r="AE101" s="39"/>
      <c r="AF101" s="39"/>
      <c r="AG101" s="40"/>
      <c r="AH101" s="35"/>
      <c r="AI101" s="136"/>
      <c r="AJ101" s="158">
        <f>I101+S101+AC101</f>
        <v>2335.5</v>
      </c>
      <c r="AK101" s="34"/>
    </row>
    <row r="102" spans="1:37" ht="21" x14ac:dyDescent="0.35">
      <c r="A102" s="300" t="s">
        <v>10</v>
      </c>
      <c r="B102" s="218" t="str">
        <f t="shared" si="57"/>
        <v>TreasuryBenefits</v>
      </c>
      <c r="C102" s="5" t="s">
        <v>48</v>
      </c>
      <c r="D102" s="10"/>
      <c r="E102" s="117"/>
      <c r="F102" s="117"/>
      <c r="G102" s="117"/>
      <c r="H102" s="184" t="s">
        <v>33</v>
      </c>
      <c r="I102" s="159">
        <f>I101*$O$2</f>
        <v>767.52314999999999</v>
      </c>
      <c r="J102" s="42"/>
      <c r="K102" s="39"/>
      <c r="M102" s="45" t="str">
        <f>"@ "&amp;$O$2*100&amp;" %"</f>
        <v>@ 98.59 %</v>
      </c>
      <c r="N102" s="442"/>
      <c r="O102" s="432"/>
      <c r="P102" s="48"/>
      <c r="Q102" s="41"/>
      <c r="R102" s="38" t="s">
        <v>33</v>
      </c>
      <c r="S102" s="159">
        <f>S101*$O$2</f>
        <v>767.52314999999999</v>
      </c>
      <c r="T102" s="42"/>
      <c r="U102" s="39"/>
      <c r="W102" s="45" t="str">
        <f>"@ "&amp;$O$2*100&amp;" %"</f>
        <v>@ 98.59 %</v>
      </c>
      <c r="X102" s="46"/>
      <c r="Y102" s="432"/>
      <c r="Z102" s="48"/>
      <c r="AA102" s="41"/>
      <c r="AB102" s="38" t="s">
        <v>33</v>
      </c>
      <c r="AC102" s="159">
        <f>AC101*$O$2</f>
        <v>767.52314999999999</v>
      </c>
      <c r="AD102" s="42"/>
      <c r="AE102" s="39"/>
      <c r="AG102" s="45" t="str">
        <f>"@ "&amp;$O$2*100&amp;" %"</f>
        <v>@ 98.59 %</v>
      </c>
      <c r="AH102" s="47"/>
      <c r="AI102" s="432"/>
      <c r="AJ102" s="159">
        <f>I102+S102+AC102</f>
        <v>2302.56945</v>
      </c>
      <c r="AK102" s="46"/>
    </row>
    <row r="103" spans="1:37" ht="21" x14ac:dyDescent="0.25">
      <c r="A103" s="300" t="s">
        <v>10</v>
      </c>
      <c r="B103" s="218" t="str">
        <f t="shared" si="57"/>
        <v>TreasuryTotal</v>
      </c>
      <c r="C103" s="125" t="s">
        <v>50</v>
      </c>
      <c r="D103" s="10"/>
      <c r="E103" s="117"/>
      <c r="F103" s="117"/>
      <c r="G103" s="117"/>
      <c r="H103" s="185" t="s">
        <v>34</v>
      </c>
      <c r="I103" s="160">
        <f>I101+I102</f>
        <v>1546.02315</v>
      </c>
      <c r="J103" s="42"/>
      <c r="K103" s="39"/>
      <c r="L103" s="50"/>
      <c r="M103" s="51"/>
      <c r="N103" s="443">
        <f>I103</f>
        <v>1546.02315</v>
      </c>
      <c r="O103" s="233">
        <f>N103/N132</f>
        <v>1.12270054312944E-3</v>
      </c>
      <c r="P103" s="53"/>
      <c r="Q103" s="37"/>
      <c r="R103" s="49" t="s">
        <v>34</v>
      </c>
      <c r="S103" s="160">
        <f>S101+S102</f>
        <v>1546.02315</v>
      </c>
      <c r="T103" s="42"/>
      <c r="U103" s="39"/>
      <c r="V103" s="50"/>
      <c r="W103" s="51"/>
      <c r="X103" s="52">
        <f>S103</f>
        <v>1546.02315</v>
      </c>
      <c r="Y103" s="233">
        <f>X103/X132</f>
        <v>1.0562739904088103E-2</v>
      </c>
      <c r="Z103" s="53"/>
      <c r="AA103" s="37"/>
      <c r="AB103" s="49" t="s">
        <v>34</v>
      </c>
      <c r="AC103" s="160">
        <f>AC101+AC102</f>
        <v>1546.02315</v>
      </c>
      <c r="AD103" s="42"/>
      <c r="AE103" s="39"/>
      <c r="AF103" s="50"/>
      <c r="AG103" s="51"/>
      <c r="AH103" s="420">
        <f>AC103</f>
        <v>1546.02315</v>
      </c>
      <c r="AI103" s="233">
        <f>AH103/AH132</f>
        <v>0.22824493744592619</v>
      </c>
      <c r="AJ103" s="160">
        <f>I103+S103+AC103</f>
        <v>4638.06945</v>
      </c>
      <c r="AK103" s="52"/>
    </row>
    <row r="104" spans="1:37" ht="21" x14ac:dyDescent="0.35">
      <c r="A104" s="300" t="s">
        <v>10</v>
      </c>
      <c r="B104" s="218" t="str">
        <f t="shared" si="57"/>
        <v>Treasury</v>
      </c>
      <c r="C104" s="5" t="s">
        <v>48</v>
      </c>
      <c r="D104" s="10"/>
      <c r="E104" s="117"/>
      <c r="F104" s="117"/>
      <c r="G104" s="117"/>
      <c r="H104" s="179"/>
      <c r="I104" s="166"/>
      <c r="J104" s="69"/>
      <c r="K104" s="69"/>
      <c r="L104" s="69"/>
      <c r="M104" s="70"/>
      <c r="N104" s="441"/>
      <c r="O104" s="231"/>
      <c r="P104" s="59"/>
      <c r="Q104" s="60"/>
      <c r="R104" s="54"/>
      <c r="S104" s="166"/>
      <c r="T104" s="69"/>
      <c r="U104" s="69"/>
      <c r="V104" s="69"/>
      <c r="W104" s="70"/>
      <c r="X104" s="57"/>
      <c r="Y104" s="231"/>
      <c r="Z104" s="59"/>
      <c r="AA104" s="60"/>
      <c r="AB104" s="54"/>
      <c r="AC104" s="166"/>
      <c r="AD104" s="69"/>
      <c r="AE104" s="69"/>
      <c r="AF104" s="69"/>
      <c r="AG104" s="70"/>
      <c r="AH104" s="58"/>
      <c r="AI104" s="231"/>
      <c r="AJ104" s="166"/>
      <c r="AK104" s="57"/>
    </row>
    <row r="105" spans="1:37" ht="21" x14ac:dyDescent="0.35">
      <c r="A105" s="300" t="s">
        <v>10</v>
      </c>
      <c r="B105" s="218" t="str">
        <f t="shared" si="57"/>
        <v>TreasuryLABOR: SUPERVISORY</v>
      </c>
      <c r="C105" s="124" t="s">
        <v>50</v>
      </c>
      <c r="D105" s="10"/>
      <c r="E105" s="117"/>
      <c r="F105" s="117"/>
      <c r="G105" s="117"/>
      <c r="H105" s="186" t="s">
        <v>35</v>
      </c>
      <c r="I105" s="167"/>
      <c r="J105" s="74"/>
      <c r="K105" s="74"/>
      <c r="L105" s="74"/>
      <c r="M105" s="66"/>
      <c r="N105" s="440"/>
      <c r="O105" s="234"/>
      <c r="P105" s="65"/>
      <c r="Q105" s="37"/>
      <c r="R105" s="61" t="s">
        <v>35</v>
      </c>
      <c r="S105" s="167"/>
      <c r="T105" s="74"/>
      <c r="U105" s="74"/>
      <c r="V105" s="74"/>
      <c r="W105" s="66"/>
      <c r="X105" s="64"/>
      <c r="Y105" s="234"/>
      <c r="Z105" s="65"/>
      <c r="AA105" s="37"/>
      <c r="AB105" s="61" t="s">
        <v>35</v>
      </c>
      <c r="AC105" s="167"/>
      <c r="AD105" s="74"/>
      <c r="AE105" s="74"/>
      <c r="AF105" s="74"/>
      <c r="AG105" s="66"/>
      <c r="AH105" s="26"/>
      <c r="AI105" s="234"/>
      <c r="AJ105" s="167"/>
      <c r="AK105" s="64"/>
    </row>
    <row r="106" spans="1:37" ht="21" x14ac:dyDescent="0.35">
      <c r="A106" s="300" t="s">
        <v>10</v>
      </c>
      <c r="B106" s="218" t="str">
        <f t="shared" si="57"/>
        <v>TreasurySalary</v>
      </c>
      <c r="C106" s="5" t="s">
        <v>48</v>
      </c>
      <c r="D106" s="10"/>
      <c r="E106" s="117"/>
      <c r="F106" s="117"/>
      <c r="G106" s="117"/>
      <c r="H106" s="184" t="s">
        <v>320</v>
      </c>
      <c r="I106" s="158">
        <f>J106*K106</f>
        <v>111.56</v>
      </c>
      <c r="J106" s="42">
        <v>2</v>
      </c>
      <c r="K106" s="39">
        <v>55.78</v>
      </c>
      <c r="L106" s="156">
        <f>J106/J96</f>
        <v>1.1111111111111111E-3</v>
      </c>
      <c r="M106" s="40" t="str">
        <f t="shared" ref="M106" si="61">J106&amp;" hrs @ "&amp;K106</f>
        <v>2 hrs @ 55.78</v>
      </c>
      <c r="N106" s="440"/>
      <c r="O106" s="234"/>
      <c r="P106" s="65"/>
      <c r="Q106" s="41"/>
      <c r="R106" s="38" t="s">
        <v>320</v>
      </c>
      <c r="S106" s="158">
        <f>T106*U106</f>
        <v>111.56</v>
      </c>
      <c r="T106" s="42">
        <v>2</v>
      </c>
      <c r="U106" s="39">
        <v>55.78</v>
      </c>
      <c r="V106" s="156">
        <f>T106/T96</f>
        <v>1.1111111111111111E-3</v>
      </c>
      <c r="W106" s="40" t="str">
        <f t="shared" ref="W106" si="62">T106&amp;" hrs @ "&amp;U106</f>
        <v>2 hrs @ 55.78</v>
      </c>
      <c r="X106" s="64"/>
      <c r="Y106" s="234"/>
      <c r="Z106" s="65"/>
      <c r="AA106" s="41"/>
      <c r="AB106" s="38" t="s">
        <v>320</v>
      </c>
      <c r="AC106" s="158">
        <f>AD106*AE106</f>
        <v>111.56</v>
      </c>
      <c r="AD106" s="42">
        <v>2</v>
      </c>
      <c r="AE106" s="39">
        <v>55.78</v>
      </c>
      <c r="AF106" s="156">
        <f>AD106/AD96</f>
        <v>1.1111111111111111E-3</v>
      </c>
      <c r="AG106" s="40" t="str">
        <f t="shared" ref="AG106" si="63">AD106&amp;" hrs @ "&amp;AE106</f>
        <v>2 hrs @ 55.78</v>
      </c>
      <c r="AH106" s="26"/>
      <c r="AI106" s="234"/>
      <c r="AJ106" s="158">
        <f>I106+S106+AC106</f>
        <v>334.68</v>
      </c>
      <c r="AK106" s="64"/>
    </row>
    <row r="107" spans="1:37" ht="21" x14ac:dyDescent="0.35">
      <c r="A107" s="300" t="s">
        <v>10</v>
      </c>
      <c r="B107" s="218" t="str">
        <f t="shared" si="57"/>
        <v>TreasuryBenefits</v>
      </c>
      <c r="C107" s="5" t="s">
        <v>48</v>
      </c>
      <c r="D107" s="10"/>
      <c r="E107" s="117"/>
      <c r="F107" s="117"/>
      <c r="G107" s="117"/>
      <c r="H107" s="184" t="s">
        <v>33</v>
      </c>
      <c r="I107" s="159">
        <f>I106*$O$2</f>
        <v>109.987004</v>
      </c>
      <c r="J107" s="42"/>
      <c r="K107" s="39"/>
      <c r="L107" s="156"/>
      <c r="M107" s="45" t="str">
        <f>"@ "&amp;$O$2*100&amp;" %"</f>
        <v>@ 98.59 %</v>
      </c>
      <c r="N107" s="440"/>
      <c r="O107" s="234"/>
      <c r="P107" s="65"/>
      <c r="Q107" s="41"/>
      <c r="R107" s="38" t="s">
        <v>33</v>
      </c>
      <c r="S107" s="159">
        <f>S106*$O$2</f>
        <v>109.987004</v>
      </c>
      <c r="T107" s="42"/>
      <c r="U107" s="39"/>
      <c r="V107" s="156"/>
      <c r="W107" s="45" t="str">
        <f>"@ "&amp;$O$2*100&amp;" %"</f>
        <v>@ 98.59 %</v>
      </c>
      <c r="X107" s="64"/>
      <c r="Y107" s="234"/>
      <c r="Z107" s="65"/>
      <c r="AA107" s="41"/>
      <c r="AB107" s="38" t="s">
        <v>33</v>
      </c>
      <c r="AC107" s="159">
        <f>AC106*$O$2</f>
        <v>109.987004</v>
      </c>
      <c r="AD107" s="42"/>
      <c r="AE107" s="39"/>
      <c r="AF107" s="156"/>
      <c r="AG107" s="45" t="str">
        <f>"@ "&amp;$O$2*100&amp;" %"</f>
        <v>@ 98.59 %</v>
      </c>
      <c r="AH107" s="26"/>
      <c r="AI107" s="234"/>
      <c r="AJ107" s="159">
        <f>I107+S107+AC107</f>
        <v>329.96101199999998</v>
      </c>
      <c r="AK107" s="64"/>
    </row>
    <row r="108" spans="1:37" ht="21" x14ac:dyDescent="0.35">
      <c r="A108" s="300" t="s">
        <v>10</v>
      </c>
      <c r="B108" s="218" t="str">
        <f t="shared" si="57"/>
        <v>TreasuryTotal</v>
      </c>
      <c r="C108" s="124" t="s">
        <v>50</v>
      </c>
      <c r="D108" s="10"/>
      <c r="E108" s="117"/>
      <c r="F108" s="117"/>
      <c r="G108" s="117"/>
      <c r="H108" s="185" t="s">
        <v>34</v>
      </c>
      <c r="I108" s="165">
        <f>I107+I106</f>
        <v>221.54700400000002</v>
      </c>
      <c r="J108" s="68"/>
      <c r="K108" s="68"/>
      <c r="L108" s="68"/>
      <c r="M108" s="63"/>
      <c r="N108" s="443">
        <f>I108</f>
        <v>221.54700400000002</v>
      </c>
      <c r="O108" s="233">
        <f>N108/N132</f>
        <v>1.6088435785680197E-4</v>
      </c>
      <c r="P108" s="65"/>
      <c r="Q108" s="41"/>
      <c r="R108" s="49" t="s">
        <v>34</v>
      </c>
      <c r="S108" s="165">
        <f>S107+S106</f>
        <v>221.54700400000002</v>
      </c>
      <c r="T108" s="68"/>
      <c r="U108" s="68"/>
      <c r="V108" s="68"/>
      <c r="W108" s="63"/>
      <c r="X108" s="52">
        <f>S108</f>
        <v>221.54700400000002</v>
      </c>
      <c r="Y108" s="233">
        <f>X108/X132</f>
        <v>1.5136535179191635E-3</v>
      </c>
      <c r="Z108" s="65"/>
      <c r="AA108" s="41"/>
      <c r="AB108" s="49" t="s">
        <v>34</v>
      </c>
      <c r="AC108" s="165">
        <f>AC107+AC106</f>
        <v>221.54700400000002</v>
      </c>
      <c r="AD108" s="68"/>
      <c r="AE108" s="68"/>
      <c r="AF108" s="68"/>
      <c r="AG108" s="63"/>
      <c r="AH108" s="420">
        <f>AC108</f>
        <v>221.54700400000002</v>
      </c>
      <c r="AI108" s="233">
        <f>AH108/AH132</f>
        <v>3.2707778062257581E-2</v>
      </c>
      <c r="AJ108" s="165">
        <f>I108+S108+AC108</f>
        <v>664.64101200000005</v>
      </c>
      <c r="AK108" s="52"/>
    </row>
    <row r="109" spans="1:37" ht="21" x14ac:dyDescent="0.35">
      <c r="A109" s="300" t="s">
        <v>10</v>
      </c>
      <c r="B109" s="218" t="str">
        <f t="shared" si="57"/>
        <v>Treasury</v>
      </c>
      <c r="C109" s="5" t="s">
        <v>48</v>
      </c>
      <c r="D109" s="10"/>
      <c r="E109" s="117"/>
      <c r="F109" s="117"/>
      <c r="G109" s="117"/>
      <c r="H109" s="179"/>
      <c r="I109" s="166"/>
      <c r="J109" s="69"/>
      <c r="K109" s="69"/>
      <c r="L109" s="69"/>
      <c r="M109" s="70"/>
      <c r="N109" s="441"/>
      <c r="O109" s="235"/>
      <c r="P109" s="73"/>
      <c r="Q109" s="60"/>
      <c r="R109" s="54"/>
      <c r="S109" s="166"/>
      <c r="T109" s="69"/>
      <c r="U109" s="69"/>
      <c r="V109" s="69"/>
      <c r="W109" s="70"/>
      <c r="X109" s="71"/>
      <c r="Y109" s="235"/>
      <c r="Z109" s="73"/>
      <c r="AA109" s="60"/>
      <c r="AB109" s="54"/>
      <c r="AC109" s="166"/>
      <c r="AD109" s="69"/>
      <c r="AE109" s="69"/>
      <c r="AF109" s="69"/>
      <c r="AG109" s="70"/>
      <c r="AH109" s="72"/>
      <c r="AI109" s="235"/>
      <c r="AJ109" s="166"/>
      <c r="AK109" s="71"/>
    </row>
    <row r="110" spans="1:37" ht="21" x14ac:dyDescent="0.35">
      <c r="A110" s="300" t="s">
        <v>10</v>
      </c>
      <c r="B110" s="218" t="str">
        <f t="shared" si="57"/>
        <v>TreasuryEQUIPMENT</v>
      </c>
      <c r="C110" s="124" t="s">
        <v>50</v>
      </c>
      <c r="D110" s="10"/>
      <c r="E110" s="117"/>
      <c r="F110" s="117"/>
      <c r="G110" s="117"/>
      <c r="H110" s="186" t="s">
        <v>36</v>
      </c>
      <c r="I110" s="167"/>
      <c r="J110" s="74"/>
      <c r="K110" s="74"/>
      <c r="L110" s="74"/>
      <c r="M110" s="66"/>
      <c r="N110" s="443"/>
      <c r="O110" s="237"/>
      <c r="P110" s="65"/>
      <c r="Q110" s="37"/>
      <c r="R110" s="61" t="s">
        <v>36</v>
      </c>
      <c r="S110" s="167"/>
      <c r="T110" s="74"/>
      <c r="U110" s="74"/>
      <c r="V110" s="74"/>
      <c r="W110" s="66"/>
      <c r="X110" s="75"/>
      <c r="Y110" s="237"/>
      <c r="Z110" s="65"/>
      <c r="AA110" s="37"/>
      <c r="AB110" s="61" t="s">
        <v>36</v>
      </c>
      <c r="AC110" s="167"/>
      <c r="AD110" s="74"/>
      <c r="AE110" s="74"/>
      <c r="AF110" s="74"/>
      <c r="AG110" s="66"/>
      <c r="AH110" s="76"/>
      <c r="AI110" s="237"/>
      <c r="AJ110" s="167"/>
      <c r="AK110" s="75"/>
    </row>
    <row r="111" spans="1:37" ht="21" x14ac:dyDescent="0.35">
      <c r="A111" s="300" t="s">
        <v>10</v>
      </c>
      <c r="B111" s="218" t="str">
        <f t="shared" si="57"/>
        <v>Treasury</v>
      </c>
      <c r="C111" s="5" t="s">
        <v>48</v>
      </c>
      <c r="D111" s="10"/>
      <c r="E111" s="117"/>
      <c r="F111" s="117"/>
      <c r="G111" s="117"/>
      <c r="H111" s="187"/>
      <c r="I111" s="163"/>
      <c r="J111" s="42"/>
      <c r="K111" s="39"/>
      <c r="L111" s="39"/>
      <c r="M111" s="40"/>
      <c r="N111" s="443"/>
      <c r="O111" s="237"/>
      <c r="P111" s="65"/>
      <c r="Q111" s="37"/>
      <c r="R111" s="77"/>
      <c r="S111" s="163"/>
      <c r="T111" s="42"/>
      <c r="U111" s="39"/>
      <c r="V111" s="39"/>
      <c r="W111" s="40"/>
      <c r="X111" s="75"/>
      <c r="Y111" s="237"/>
      <c r="Z111" s="65"/>
      <c r="AA111" s="37"/>
      <c r="AB111" s="77"/>
      <c r="AC111" s="163"/>
      <c r="AD111" s="42"/>
      <c r="AE111" s="39"/>
      <c r="AF111" s="39"/>
      <c r="AG111" s="40" t="str">
        <f>AD111&amp;" hrs @ "&amp;AE111</f>
        <v xml:space="preserve"> hrs @ </v>
      </c>
      <c r="AH111" s="76"/>
      <c r="AI111" s="237"/>
      <c r="AJ111" s="163"/>
      <c r="AK111" s="75"/>
    </row>
    <row r="112" spans="1:37" ht="21" x14ac:dyDescent="0.35">
      <c r="A112" s="300" t="s">
        <v>10</v>
      </c>
      <c r="B112" s="218" t="str">
        <f t="shared" si="57"/>
        <v>Treasury</v>
      </c>
      <c r="C112" s="5" t="s">
        <v>48</v>
      </c>
      <c r="D112" s="10"/>
      <c r="E112" s="117"/>
      <c r="F112" s="117"/>
      <c r="G112" s="117"/>
      <c r="H112" s="187"/>
      <c r="I112" s="163"/>
      <c r="J112" s="42"/>
      <c r="K112" s="39"/>
      <c r="L112" s="39"/>
      <c r="M112" s="40"/>
      <c r="N112" s="444"/>
      <c r="O112" s="238"/>
      <c r="P112" s="80"/>
      <c r="Q112" s="81"/>
      <c r="R112" s="77"/>
      <c r="S112" s="163"/>
      <c r="T112" s="42"/>
      <c r="U112" s="39"/>
      <c r="V112" s="39"/>
      <c r="W112" s="40"/>
      <c r="X112" s="78"/>
      <c r="Y112" s="238"/>
      <c r="Z112" s="80"/>
      <c r="AA112" s="81"/>
      <c r="AB112" s="77"/>
      <c r="AC112" s="163"/>
      <c r="AD112" s="42"/>
      <c r="AE112" s="39"/>
      <c r="AF112" s="39"/>
      <c r="AG112" s="40" t="str">
        <f t="shared" ref="AG112:AG114" si="64">AD112&amp;" hrs @ "&amp;AE112</f>
        <v xml:space="preserve"> hrs @ </v>
      </c>
      <c r="AH112" s="79"/>
      <c r="AI112" s="238"/>
      <c r="AJ112" s="163"/>
      <c r="AK112" s="78"/>
    </row>
    <row r="113" spans="1:37" ht="21" x14ac:dyDescent="0.35">
      <c r="A113" s="300" t="s">
        <v>10</v>
      </c>
      <c r="B113" s="218" t="str">
        <f t="shared" si="57"/>
        <v>Treasury</v>
      </c>
      <c r="C113" s="5" t="s">
        <v>48</v>
      </c>
      <c r="D113" s="10"/>
      <c r="E113" s="117"/>
      <c r="F113" s="117"/>
      <c r="G113" s="117"/>
      <c r="H113" s="187"/>
      <c r="I113" s="168"/>
      <c r="J113" s="42"/>
      <c r="K113" s="39"/>
      <c r="L113" s="42"/>
      <c r="M113" s="40"/>
      <c r="N113" s="444"/>
      <c r="O113" s="238"/>
      <c r="P113" s="80"/>
      <c r="Q113" s="81"/>
      <c r="R113" s="77"/>
      <c r="S113" s="168"/>
      <c r="T113" s="42"/>
      <c r="U113" s="39"/>
      <c r="V113" s="42"/>
      <c r="W113" s="40"/>
      <c r="X113" s="78"/>
      <c r="Y113" s="238"/>
      <c r="Z113" s="80"/>
      <c r="AA113" s="81"/>
      <c r="AB113" s="77"/>
      <c r="AC113" s="168"/>
      <c r="AD113" s="42"/>
      <c r="AE113" s="39"/>
      <c r="AF113" s="42"/>
      <c r="AG113" s="40" t="str">
        <f t="shared" si="64"/>
        <v xml:space="preserve"> hrs @ </v>
      </c>
      <c r="AH113" s="79"/>
      <c r="AI113" s="238"/>
      <c r="AJ113" s="168"/>
      <c r="AK113" s="78"/>
    </row>
    <row r="114" spans="1:37" ht="21" x14ac:dyDescent="0.35">
      <c r="A114" s="300" t="s">
        <v>10</v>
      </c>
      <c r="B114" s="218" t="str">
        <f t="shared" ref="B114:B133" si="65">A114&amp;H114</f>
        <v>Treasury</v>
      </c>
      <c r="C114" s="5" t="s">
        <v>48</v>
      </c>
      <c r="D114" s="10"/>
      <c r="E114" s="117"/>
      <c r="F114" s="117"/>
      <c r="G114" s="117"/>
      <c r="H114" s="187"/>
      <c r="I114" s="164"/>
      <c r="J114" s="42"/>
      <c r="K114" s="39"/>
      <c r="L114" s="43"/>
      <c r="M114" s="40"/>
      <c r="N114" s="444"/>
      <c r="O114" s="238"/>
      <c r="P114" s="80"/>
      <c r="Q114" s="81"/>
      <c r="R114" s="77"/>
      <c r="S114" s="164"/>
      <c r="T114" s="42"/>
      <c r="U114" s="39"/>
      <c r="V114" s="43"/>
      <c r="W114" s="40"/>
      <c r="X114" s="78"/>
      <c r="Y114" s="238"/>
      <c r="Z114" s="80"/>
      <c r="AA114" s="81"/>
      <c r="AB114" s="77"/>
      <c r="AC114" s="164"/>
      <c r="AD114" s="42"/>
      <c r="AE114" s="39"/>
      <c r="AF114" s="43"/>
      <c r="AG114" s="40" t="str">
        <f t="shared" si="64"/>
        <v xml:space="preserve"> hrs @ </v>
      </c>
      <c r="AH114" s="79"/>
      <c r="AI114" s="238"/>
      <c r="AJ114" s="164"/>
      <c r="AK114" s="78"/>
    </row>
    <row r="115" spans="1:37" ht="21" x14ac:dyDescent="0.35">
      <c r="A115" s="300" t="s">
        <v>10</v>
      </c>
      <c r="B115" s="218" t="str">
        <f t="shared" si="65"/>
        <v>TreasuryTotal Equipment</v>
      </c>
      <c r="C115" s="124" t="s">
        <v>50</v>
      </c>
      <c r="D115" s="10"/>
      <c r="E115" s="116">
        <f>I115</f>
        <v>0</v>
      </c>
      <c r="F115" s="116">
        <f>S115</f>
        <v>0</v>
      </c>
      <c r="G115" s="116">
        <f>AC115</f>
        <v>0</v>
      </c>
      <c r="H115" s="188" t="s">
        <v>37</v>
      </c>
      <c r="I115" s="165">
        <f>SUM(I111:I114)</f>
        <v>0</v>
      </c>
      <c r="J115" s="68"/>
      <c r="K115" s="68"/>
      <c r="L115" s="68"/>
      <c r="M115" s="66"/>
      <c r="N115" s="443">
        <f>I115</f>
        <v>0</v>
      </c>
      <c r="O115" s="233">
        <f>N115/N132</f>
        <v>0</v>
      </c>
      <c r="P115" s="80"/>
      <c r="Q115" s="81"/>
      <c r="R115" s="83" t="s">
        <v>37</v>
      </c>
      <c r="S115" s="165">
        <f>SUM(S111:S114)</f>
        <v>0</v>
      </c>
      <c r="T115" s="68"/>
      <c r="U115" s="68"/>
      <c r="V115" s="68"/>
      <c r="W115" s="66"/>
      <c r="X115" s="52">
        <f>S115</f>
        <v>0</v>
      </c>
      <c r="Y115" s="233">
        <f>X115/X132</f>
        <v>0</v>
      </c>
      <c r="Z115" s="80"/>
      <c r="AA115" s="81"/>
      <c r="AB115" s="83" t="s">
        <v>37</v>
      </c>
      <c r="AC115" s="165">
        <f>SUM(AC111:AC114)</f>
        <v>0</v>
      </c>
      <c r="AD115" s="68"/>
      <c r="AE115" s="68"/>
      <c r="AF115" s="68"/>
      <c r="AG115" s="66"/>
      <c r="AH115" s="420">
        <f>AC115</f>
        <v>0</v>
      </c>
      <c r="AI115" s="233">
        <f>AH115/AH132</f>
        <v>0</v>
      </c>
      <c r="AJ115" s="165">
        <f>I115+S115+AC115</f>
        <v>0</v>
      </c>
      <c r="AK115" s="52"/>
    </row>
    <row r="116" spans="1:37" ht="21" x14ac:dyDescent="0.35">
      <c r="A116" s="300" t="s">
        <v>10</v>
      </c>
      <c r="B116" s="218" t="str">
        <f t="shared" si="65"/>
        <v>Treasury</v>
      </c>
      <c r="C116" s="5" t="s">
        <v>48</v>
      </c>
      <c r="D116" s="10"/>
      <c r="E116" s="117"/>
      <c r="F116" s="117"/>
      <c r="G116" s="117"/>
      <c r="H116" s="189"/>
      <c r="I116" s="166"/>
      <c r="J116" s="69"/>
      <c r="K116" s="69"/>
      <c r="L116" s="69"/>
      <c r="M116" s="70"/>
      <c r="N116" s="445"/>
      <c r="O116" s="241"/>
      <c r="P116" s="89"/>
      <c r="Q116" s="60"/>
      <c r="R116" s="84"/>
      <c r="S116" s="166"/>
      <c r="T116" s="69"/>
      <c r="U116" s="69"/>
      <c r="V116" s="69"/>
      <c r="W116" s="70"/>
      <c r="X116" s="87"/>
      <c r="Y116" s="241"/>
      <c r="Z116" s="89"/>
      <c r="AA116" s="60"/>
      <c r="AB116" s="84"/>
      <c r="AC116" s="166"/>
      <c r="AD116" s="69"/>
      <c r="AE116" s="69"/>
      <c r="AF116" s="69"/>
      <c r="AG116" s="70"/>
      <c r="AH116" s="88"/>
      <c r="AI116" s="241"/>
      <c r="AJ116" s="166"/>
      <c r="AK116" s="87"/>
    </row>
    <row r="117" spans="1:37" ht="21" x14ac:dyDescent="0.35">
      <c r="A117" s="300" t="s">
        <v>10</v>
      </c>
      <c r="B117" s="218" t="str">
        <f t="shared" si="65"/>
        <v>TreasuryIS SUPPORT</v>
      </c>
      <c r="C117" s="124" t="s">
        <v>50</v>
      </c>
      <c r="D117" s="10"/>
      <c r="E117" s="117"/>
      <c r="F117" s="117"/>
      <c r="G117" s="117"/>
      <c r="H117" s="186" t="s">
        <v>38</v>
      </c>
      <c r="I117" s="167"/>
      <c r="J117" s="74"/>
      <c r="K117" s="74"/>
      <c r="L117" s="74"/>
      <c r="M117" s="66"/>
      <c r="N117" s="446"/>
      <c r="O117" s="227"/>
      <c r="P117" s="92"/>
      <c r="Q117" s="37"/>
      <c r="R117" s="61" t="s">
        <v>38</v>
      </c>
      <c r="S117" s="167"/>
      <c r="T117" s="74"/>
      <c r="U117" s="74"/>
      <c r="V117" s="74"/>
      <c r="W117" s="66"/>
      <c r="X117" s="90"/>
      <c r="Y117" s="227"/>
      <c r="Z117" s="92"/>
      <c r="AA117" s="37"/>
      <c r="AB117" s="61" t="s">
        <v>38</v>
      </c>
      <c r="AC117" s="167"/>
      <c r="AD117" s="74"/>
      <c r="AE117" s="74"/>
      <c r="AF117" s="74"/>
      <c r="AG117" s="66"/>
      <c r="AH117" s="91"/>
      <c r="AI117" s="227"/>
      <c r="AJ117" s="167"/>
      <c r="AK117" s="90"/>
    </row>
    <row r="118" spans="1:37" ht="21" x14ac:dyDescent="0.35">
      <c r="A118" s="300" t="s">
        <v>10</v>
      </c>
      <c r="B118" s="218" t="str">
        <f t="shared" si="65"/>
        <v>TreasuryAnalyst Labor</v>
      </c>
      <c r="C118" s="5" t="s">
        <v>48</v>
      </c>
      <c r="D118" s="10"/>
      <c r="E118" s="117"/>
      <c r="F118" s="117"/>
      <c r="G118" s="117"/>
      <c r="H118" s="184" t="s">
        <v>39</v>
      </c>
      <c r="I118" s="162"/>
      <c r="J118" s="42"/>
      <c r="K118" s="39"/>
      <c r="L118" s="39"/>
      <c r="M118" s="40" t="str">
        <f>J118&amp;" hrs @ "&amp;K118</f>
        <v xml:space="preserve"> hrs @ </v>
      </c>
      <c r="N118" s="447"/>
      <c r="O118" s="242"/>
      <c r="P118" s="92"/>
      <c r="Q118" s="37"/>
      <c r="R118" s="38" t="s">
        <v>39</v>
      </c>
      <c r="S118" s="162"/>
      <c r="T118" s="42"/>
      <c r="U118" s="39"/>
      <c r="V118" s="39"/>
      <c r="W118" s="40" t="str">
        <f>T118&amp;" hrs @ "&amp;U118</f>
        <v xml:space="preserve"> hrs @ </v>
      </c>
      <c r="X118" s="93"/>
      <c r="Y118" s="242"/>
      <c r="Z118" s="92"/>
      <c r="AA118" s="37"/>
      <c r="AB118" s="38" t="s">
        <v>39</v>
      </c>
      <c r="AC118" s="162"/>
      <c r="AD118" s="42"/>
      <c r="AE118" s="39"/>
      <c r="AF118" s="39"/>
      <c r="AG118" s="40" t="str">
        <f>AD118&amp;" hrs @ "&amp;AE118</f>
        <v xml:space="preserve"> hrs @ </v>
      </c>
      <c r="AH118" s="94"/>
      <c r="AI118" s="242"/>
      <c r="AJ118" s="162"/>
      <c r="AK118" s="93"/>
    </row>
    <row r="119" spans="1:37" ht="21" x14ac:dyDescent="0.35">
      <c r="A119" s="300" t="s">
        <v>10</v>
      </c>
      <c r="B119" s="218" t="str">
        <f t="shared" si="65"/>
        <v>TreasuryAnalyst Benefits</v>
      </c>
      <c r="C119" s="5" t="s">
        <v>48</v>
      </c>
      <c r="D119" s="10"/>
      <c r="E119" s="117"/>
      <c r="F119" s="117"/>
      <c r="G119" s="117"/>
      <c r="H119" s="184" t="s">
        <v>40</v>
      </c>
      <c r="I119" s="159">
        <f>I118*$O$2</f>
        <v>0</v>
      </c>
      <c r="J119" s="42"/>
      <c r="K119" s="39"/>
      <c r="L119" s="156"/>
      <c r="M119" s="45" t="str">
        <f>"@ "&amp;$O$2*100&amp;" %"</f>
        <v>@ 98.59 %</v>
      </c>
      <c r="N119" s="447"/>
      <c r="O119" s="242"/>
      <c r="P119" s="92"/>
      <c r="Q119" s="37"/>
      <c r="R119" s="38" t="s">
        <v>40</v>
      </c>
      <c r="S119" s="159">
        <f>S118*$O$2</f>
        <v>0</v>
      </c>
      <c r="T119" s="42"/>
      <c r="U119" s="39"/>
      <c r="V119" s="156"/>
      <c r="W119" s="45" t="str">
        <f>"@ "&amp;$O$2*100&amp;" %"</f>
        <v>@ 98.59 %</v>
      </c>
      <c r="X119" s="93"/>
      <c r="Y119" s="242"/>
      <c r="Z119" s="92"/>
      <c r="AA119" s="37"/>
      <c r="AB119" s="38" t="s">
        <v>40</v>
      </c>
      <c r="AC119" s="159">
        <f>AC118*$O$2</f>
        <v>0</v>
      </c>
      <c r="AD119" s="42"/>
      <c r="AE119" s="39"/>
      <c r="AF119" s="156"/>
      <c r="AG119" s="45" t="str">
        <f>"@ "&amp;$O$2*100&amp;" %"</f>
        <v>@ 98.59 %</v>
      </c>
      <c r="AH119" s="94"/>
      <c r="AI119" s="242"/>
      <c r="AJ119" s="159"/>
      <c r="AK119" s="93"/>
    </row>
    <row r="120" spans="1:37" ht="21" x14ac:dyDescent="0.35">
      <c r="A120" s="300" t="s">
        <v>10</v>
      </c>
      <c r="B120" s="218" t="str">
        <f t="shared" si="65"/>
        <v>TreasuryTotal IS</v>
      </c>
      <c r="C120" s="124" t="s">
        <v>50</v>
      </c>
      <c r="D120" s="10"/>
      <c r="E120" s="117"/>
      <c r="F120" s="117"/>
      <c r="G120" s="117"/>
      <c r="H120" s="185" t="s">
        <v>41</v>
      </c>
      <c r="I120" s="165">
        <f>I118+I119</f>
        <v>0</v>
      </c>
      <c r="J120" s="68"/>
      <c r="K120" s="68"/>
      <c r="L120" s="68"/>
      <c r="M120" s="66"/>
      <c r="N120" s="443">
        <f>I120</f>
        <v>0</v>
      </c>
      <c r="O120" s="233">
        <f>N120/N132</f>
        <v>0</v>
      </c>
      <c r="P120" s="92"/>
      <c r="Q120" s="37"/>
      <c r="R120" s="49" t="s">
        <v>41</v>
      </c>
      <c r="S120" s="165">
        <f>S118+S119</f>
        <v>0</v>
      </c>
      <c r="T120" s="68"/>
      <c r="U120" s="68"/>
      <c r="V120" s="68"/>
      <c r="W120" s="66"/>
      <c r="X120" s="52">
        <f>S120</f>
        <v>0</v>
      </c>
      <c r="Y120" s="233">
        <f>X120/X132</f>
        <v>0</v>
      </c>
      <c r="Z120" s="92"/>
      <c r="AA120" s="37"/>
      <c r="AB120" s="49" t="s">
        <v>41</v>
      </c>
      <c r="AC120" s="165">
        <f>AC118+AC119</f>
        <v>0</v>
      </c>
      <c r="AD120" s="68"/>
      <c r="AE120" s="68"/>
      <c r="AF120" s="68"/>
      <c r="AG120" s="66"/>
      <c r="AH120" s="420">
        <f>AC120</f>
        <v>0</v>
      </c>
      <c r="AI120" s="233">
        <f>AH120/AH132</f>
        <v>0</v>
      </c>
      <c r="AJ120" s="165">
        <f>I120+S120+AC120</f>
        <v>0</v>
      </c>
      <c r="AK120" s="52"/>
    </row>
    <row r="121" spans="1:37" ht="21" x14ac:dyDescent="0.35">
      <c r="A121" s="300" t="s">
        <v>10</v>
      </c>
      <c r="B121" s="218" t="str">
        <f t="shared" si="65"/>
        <v>Treasury</v>
      </c>
      <c r="C121" s="5" t="s">
        <v>48</v>
      </c>
      <c r="D121" s="10"/>
      <c r="E121" s="117"/>
      <c r="F121" s="117"/>
      <c r="G121" s="117"/>
      <c r="H121" s="179"/>
      <c r="I121" s="166"/>
      <c r="J121" s="69"/>
      <c r="K121" s="69"/>
      <c r="L121" s="69"/>
      <c r="M121" s="70"/>
      <c r="N121" s="448"/>
      <c r="O121" s="243"/>
      <c r="P121" s="99"/>
      <c r="Q121" s="60"/>
      <c r="R121" s="54"/>
      <c r="S121" s="166"/>
      <c r="T121" s="69"/>
      <c r="U121" s="69"/>
      <c r="V121" s="69"/>
      <c r="W121" s="70"/>
      <c r="X121" s="97"/>
      <c r="Y121" s="243"/>
      <c r="Z121" s="99"/>
      <c r="AA121" s="60"/>
      <c r="AB121" s="54"/>
      <c r="AC121" s="166"/>
      <c r="AD121" s="69"/>
      <c r="AE121" s="69"/>
      <c r="AF121" s="69"/>
      <c r="AG121" s="70"/>
      <c r="AH121" s="98"/>
      <c r="AI121" s="243"/>
      <c r="AJ121" s="166"/>
      <c r="AK121" s="97"/>
    </row>
    <row r="122" spans="1:37" ht="21" x14ac:dyDescent="0.35">
      <c r="A122" s="300" t="s">
        <v>10</v>
      </c>
      <c r="B122" s="218" t="str">
        <f t="shared" si="65"/>
        <v>TreasuryOTHER</v>
      </c>
      <c r="C122" s="124" t="s">
        <v>50</v>
      </c>
      <c r="D122" s="10"/>
      <c r="E122" s="117"/>
      <c r="F122" s="117"/>
      <c r="G122" s="117"/>
      <c r="H122" s="186" t="s">
        <v>42</v>
      </c>
      <c r="I122" s="167"/>
      <c r="J122" s="74"/>
      <c r="K122" s="74"/>
      <c r="L122" s="74"/>
      <c r="M122" s="66"/>
      <c r="N122" s="446"/>
      <c r="O122" s="227"/>
      <c r="P122" s="92"/>
      <c r="Q122" s="37"/>
      <c r="R122" s="61" t="s">
        <v>42</v>
      </c>
      <c r="S122" s="167"/>
      <c r="T122" s="74"/>
      <c r="U122" s="74"/>
      <c r="V122" s="74"/>
      <c r="W122" s="66"/>
      <c r="X122" s="90"/>
      <c r="Y122" s="227"/>
      <c r="Z122" s="92"/>
      <c r="AA122" s="37"/>
      <c r="AB122" s="61" t="s">
        <v>42</v>
      </c>
      <c r="AC122" s="167"/>
      <c r="AD122" s="74"/>
      <c r="AE122" s="74"/>
      <c r="AF122" s="74"/>
      <c r="AG122" s="66"/>
      <c r="AH122" s="91"/>
      <c r="AI122" s="227"/>
      <c r="AJ122" s="167"/>
      <c r="AK122" s="90"/>
    </row>
    <row r="123" spans="1:37" ht="21" x14ac:dyDescent="0.35">
      <c r="A123" s="300" t="s">
        <v>10</v>
      </c>
      <c r="B123" s="218" t="str">
        <f t="shared" si="65"/>
        <v>TreasuryBank Card &amp; Checking Fees</v>
      </c>
      <c r="C123" s="5" t="s">
        <v>48</v>
      </c>
      <c r="D123" s="10"/>
      <c r="E123" s="117"/>
      <c r="F123" s="117"/>
      <c r="G123" s="117"/>
      <c r="H123" s="184" t="s">
        <v>350</v>
      </c>
      <c r="I123" s="163">
        <f>1524894*I$6/($I$6+$S$6+$AC$6)</f>
        <v>1375289.8824865601</v>
      </c>
      <c r="J123" s="42"/>
      <c r="K123" s="39"/>
      <c r="L123" s="42"/>
      <c r="M123" s="66" t="s">
        <v>43</v>
      </c>
      <c r="N123" s="446"/>
      <c r="O123" s="227"/>
      <c r="P123" s="92"/>
      <c r="Q123" s="37"/>
      <c r="R123" s="38" t="s">
        <v>350</v>
      </c>
      <c r="S123" s="163">
        <f>1524894*S$6/($I$6+$S$6+$AC$6)</f>
        <v>144598.16108980749</v>
      </c>
      <c r="T123" s="42"/>
      <c r="U123" s="39"/>
      <c r="V123" s="42"/>
      <c r="W123" s="66" t="s">
        <v>43</v>
      </c>
      <c r="X123" s="90"/>
      <c r="Y123" s="227"/>
      <c r="Z123" s="92"/>
      <c r="AA123" s="37"/>
      <c r="AB123" s="38" t="s">
        <v>350</v>
      </c>
      <c r="AC123" s="163">
        <f>1524894*AC$6/($I$6+$S$6+$AC$6)</f>
        <v>5005.9564236322876</v>
      </c>
      <c r="AD123" s="42"/>
      <c r="AE123" s="39"/>
      <c r="AF123" s="42"/>
      <c r="AG123" s="66" t="s">
        <v>43</v>
      </c>
      <c r="AH123" s="91"/>
      <c r="AI123" s="227"/>
      <c r="AJ123" s="163">
        <f>I123+S123+AC123</f>
        <v>1524894</v>
      </c>
      <c r="AK123" s="90"/>
    </row>
    <row r="124" spans="1:37" ht="21" x14ac:dyDescent="0.35">
      <c r="A124" s="300" t="s">
        <v>10</v>
      </c>
      <c r="B124" s="218" t="str">
        <f t="shared" si="65"/>
        <v>Treasury</v>
      </c>
      <c r="C124" s="5" t="s">
        <v>48</v>
      </c>
      <c r="D124" s="10"/>
      <c r="E124" s="117"/>
      <c r="F124" s="117"/>
      <c r="G124" s="117"/>
      <c r="H124" s="184"/>
      <c r="I124" s="168"/>
      <c r="J124" s="42"/>
      <c r="K124" s="39"/>
      <c r="L124" s="42"/>
      <c r="M124" s="66"/>
      <c r="N124" s="446"/>
      <c r="O124" s="227"/>
      <c r="P124" s="92"/>
      <c r="Q124" s="37"/>
      <c r="R124" s="38"/>
      <c r="S124" s="168"/>
      <c r="T124" s="42"/>
      <c r="U124" s="39"/>
      <c r="V124" s="42"/>
      <c r="W124" s="66"/>
      <c r="X124" s="90"/>
      <c r="Y124" s="227"/>
      <c r="Z124" s="92"/>
      <c r="AA124" s="37"/>
      <c r="AB124" s="38"/>
      <c r="AC124" s="168"/>
      <c r="AD124" s="42"/>
      <c r="AE124" s="39"/>
      <c r="AF124" s="42"/>
      <c r="AG124" s="66"/>
      <c r="AH124" s="91"/>
      <c r="AI124" s="227"/>
      <c r="AJ124" s="168"/>
      <c r="AK124" s="90"/>
    </row>
    <row r="125" spans="1:37" ht="21" x14ac:dyDescent="0.35">
      <c r="A125" s="300" t="s">
        <v>10</v>
      </c>
      <c r="B125" s="218" t="str">
        <f t="shared" si="65"/>
        <v>Treasury</v>
      </c>
      <c r="C125" s="5" t="s">
        <v>48</v>
      </c>
      <c r="D125" s="10"/>
      <c r="E125" s="117"/>
      <c r="F125" s="117"/>
      <c r="G125" s="117"/>
      <c r="H125" s="184"/>
      <c r="I125" s="168"/>
      <c r="J125" s="42"/>
      <c r="K125" s="39"/>
      <c r="L125" s="42"/>
      <c r="M125" s="66"/>
      <c r="N125" s="446"/>
      <c r="O125" s="227"/>
      <c r="P125" s="92"/>
      <c r="Q125" s="37"/>
      <c r="R125" s="38"/>
      <c r="S125" s="168"/>
      <c r="T125" s="42"/>
      <c r="U125" s="39"/>
      <c r="V125" s="42"/>
      <c r="W125" s="66"/>
      <c r="X125" s="90"/>
      <c r="Y125" s="227"/>
      <c r="Z125" s="92"/>
      <c r="AA125" s="37"/>
      <c r="AB125" s="38"/>
      <c r="AC125" s="168"/>
      <c r="AD125" s="42"/>
      <c r="AE125" s="39"/>
      <c r="AF125" s="42"/>
      <c r="AG125" s="66"/>
      <c r="AH125" s="91"/>
      <c r="AI125" s="227"/>
      <c r="AJ125" s="168"/>
      <c r="AK125" s="90"/>
    </row>
    <row r="126" spans="1:37" ht="21" x14ac:dyDescent="0.35">
      <c r="A126" s="300" t="s">
        <v>10</v>
      </c>
      <c r="B126" s="218" t="str">
        <f t="shared" si="65"/>
        <v>Treasury</v>
      </c>
      <c r="C126" s="5" t="s">
        <v>48</v>
      </c>
      <c r="D126" s="10"/>
      <c r="E126" s="117"/>
      <c r="F126" s="117"/>
      <c r="G126" s="117"/>
      <c r="H126" s="184"/>
      <c r="I126" s="168"/>
      <c r="J126" s="42"/>
      <c r="K126" s="39"/>
      <c r="L126" s="42"/>
      <c r="M126" s="66"/>
      <c r="N126" s="446"/>
      <c r="O126" s="227"/>
      <c r="P126" s="92"/>
      <c r="Q126" s="37"/>
      <c r="R126" s="38"/>
      <c r="S126" s="168"/>
      <c r="T126" s="42"/>
      <c r="U126" s="39"/>
      <c r="V126" s="42"/>
      <c r="W126" s="66"/>
      <c r="X126" s="90"/>
      <c r="Y126" s="227"/>
      <c r="Z126" s="92"/>
      <c r="AA126" s="37"/>
      <c r="AB126" s="38"/>
      <c r="AC126" s="168"/>
      <c r="AD126" s="42"/>
      <c r="AE126" s="39"/>
      <c r="AF126" s="42"/>
      <c r="AG126" s="66"/>
      <c r="AH126" s="91"/>
      <c r="AI126" s="227"/>
      <c r="AJ126" s="168"/>
      <c r="AK126" s="90"/>
    </row>
    <row r="127" spans="1:37" ht="21" x14ac:dyDescent="0.35">
      <c r="A127" s="300" t="s">
        <v>10</v>
      </c>
      <c r="B127" s="218" t="str">
        <f t="shared" si="65"/>
        <v>Treasury</v>
      </c>
      <c r="C127" s="5" t="s">
        <v>48</v>
      </c>
      <c r="D127" s="10"/>
      <c r="E127" s="117"/>
      <c r="F127" s="117"/>
      <c r="G127" s="117"/>
      <c r="H127" s="184"/>
      <c r="I127" s="168"/>
      <c r="J127" s="42"/>
      <c r="K127" s="39"/>
      <c r="L127" s="42"/>
      <c r="M127" s="66"/>
      <c r="N127" s="446"/>
      <c r="O127" s="227"/>
      <c r="P127" s="92"/>
      <c r="Q127" s="37"/>
      <c r="R127" s="38"/>
      <c r="S127" s="168"/>
      <c r="T127" s="42"/>
      <c r="U127" s="39"/>
      <c r="V127" s="42"/>
      <c r="W127" s="66"/>
      <c r="X127" s="90"/>
      <c r="Y127" s="227"/>
      <c r="Z127" s="92"/>
      <c r="AA127" s="37"/>
      <c r="AB127" s="38"/>
      <c r="AC127" s="168"/>
      <c r="AD127" s="42"/>
      <c r="AE127" s="39"/>
      <c r="AF127" s="42"/>
      <c r="AG127" s="66"/>
      <c r="AH127" s="91"/>
      <c r="AI127" s="227"/>
      <c r="AJ127" s="168"/>
      <c r="AK127" s="90"/>
    </row>
    <row r="128" spans="1:37" ht="21" x14ac:dyDescent="0.35">
      <c r="A128" s="300" t="s">
        <v>10</v>
      </c>
      <c r="B128" s="218" t="str">
        <f t="shared" si="65"/>
        <v>TreasuryCorporate Express (to bank)</v>
      </c>
      <c r="C128" s="5" t="s">
        <v>48</v>
      </c>
      <c r="D128" s="10"/>
      <c r="E128" s="117"/>
      <c r="F128" s="117"/>
      <c r="G128" s="117"/>
      <c r="H128" s="184" t="s">
        <v>44</v>
      </c>
      <c r="I128" s="164"/>
      <c r="J128" s="67"/>
      <c r="K128" s="67"/>
      <c r="L128" s="67"/>
      <c r="M128" s="40" t="str">
        <f>J128&amp;" days @ "&amp;K128</f>
        <v xml:space="preserve"> days @ </v>
      </c>
      <c r="N128" s="447"/>
      <c r="O128" s="242"/>
      <c r="P128" s="92"/>
      <c r="Q128" s="37"/>
      <c r="R128" s="38" t="s">
        <v>44</v>
      </c>
      <c r="S128" s="164"/>
      <c r="T128" s="67"/>
      <c r="U128" s="67"/>
      <c r="V128" s="67"/>
      <c r="W128" s="40" t="str">
        <f>T128&amp;" days @ "&amp;U128</f>
        <v xml:space="preserve"> days @ </v>
      </c>
      <c r="X128" s="93"/>
      <c r="Y128" s="242"/>
      <c r="Z128" s="92"/>
      <c r="AA128" s="37"/>
      <c r="AB128" s="38"/>
      <c r="AC128" s="164"/>
      <c r="AD128" s="67"/>
      <c r="AE128" s="67"/>
      <c r="AF128" s="67"/>
      <c r="AG128" s="40" t="str">
        <f>AD128&amp;" days @ "&amp;AE128</f>
        <v xml:space="preserve"> days @ </v>
      </c>
      <c r="AH128" s="94"/>
      <c r="AI128" s="242"/>
      <c r="AJ128" s="164"/>
      <c r="AK128" s="93"/>
    </row>
    <row r="129" spans="1:37" ht="21" x14ac:dyDescent="0.35">
      <c r="A129" s="300" t="s">
        <v>10</v>
      </c>
      <c r="B129" s="218" t="str">
        <f t="shared" si="65"/>
        <v>TreasuryTotal Other</v>
      </c>
      <c r="C129" s="124" t="s">
        <v>50</v>
      </c>
      <c r="D129" s="10"/>
      <c r="E129" s="116">
        <f>I129</f>
        <v>1375289.8824865601</v>
      </c>
      <c r="F129" s="116">
        <f>S129</f>
        <v>144598.16108980749</v>
      </c>
      <c r="G129" s="116">
        <f>AC129</f>
        <v>5005.9564236322876</v>
      </c>
      <c r="H129" s="185" t="s">
        <v>45</v>
      </c>
      <c r="I129" s="165">
        <f>SUM(I123:I128)</f>
        <v>1375289.8824865601</v>
      </c>
      <c r="J129" s="68"/>
      <c r="K129" s="68"/>
      <c r="L129" s="68"/>
      <c r="M129" s="66"/>
      <c r="N129" s="449">
        <f>I129</f>
        <v>1375289.8824865601</v>
      </c>
      <c r="O129" s="233">
        <f>N129/N132</f>
        <v>0.99871641509901365</v>
      </c>
      <c r="P129" s="92"/>
      <c r="Q129" s="68"/>
      <c r="R129" s="49" t="s">
        <v>45</v>
      </c>
      <c r="S129" s="165">
        <f>SUM(S123:S128)</f>
        <v>144598.16108980749</v>
      </c>
      <c r="T129" s="68"/>
      <c r="U129" s="68"/>
      <c r="V129" s="68"/>
      <c r="W129" s="66"/>
      <c r="X129" s="165">
        <f>S129</f>
        <v>144598.16108980749</v>
      </c>
      <c r="Y129" s="233">
        <f>X129/X132</f>
        <v>0.98792360657799283</v>
      </c>
      <c r="Z129" s="92"/>
      <c r="AA129" s="68"/>
      <c r="AB129" s="49" t="s">
        <v>45</v>
      </c>
      <c r="AC129" s="165">
        <f>SUM(AC123:AC128)</f>
        <v>5005.9564236322876</v>
      </c>
      <c r="AD129" s="68"/>
      <c r="AE129" s="68"/>
      <c r="AF129" s="68"/>
      <c r="AG129" s="66"/>
      <c r="AH129" s="414">
        <f>AC129</f>
        <v>5005.9564236322876</v>
      </c>
      <c r="AI129" s="233">
        <f>AH129/AH132</f>
        <v>0.73904728449181623</v>
      </c>
      <c r="AJ129" s="165">
        <f>I129+S129+AC129</f>
        <v>1524894</v>
      </c>
      <c r="AK129" s="165"/>
    </row>
    <row r="130" spans="1:37" ht="21.75" thickBot="1" x14ac:dyDescent="0.4">
      <c r="A130" s="300" t="s">
        <v>10</v>
      </c>
      <c r="B130" s="218" t="str">
        <f t="shared" si="65"/>
        <v>Treasury</v>
      </c>
      <c r="C130" s="5" t="s">
        <v>48</v>
      </c>
      <c r="D130" s="10"/>
      <c r="E130" s="117"/>
      <c r="F130" s="117"/>
      <c r="G130" s="117"/>
      <c r="H130" s="178"/>
      <c r="I130" s="178"/>
      <c r="J130" s="101"/>
      <c r="K130" s="101"/>
      <c r="L130" s="101"/>
      <c r="M130" s="102"/>
      <c r="N130" s="450"/>
      <c r="O130" s="178"/>
      <c r="P130" s="101"/>
      <c r="Q130" s="101"/>
      <c r="R130" s="100"/>
      <c r="S130" s="178"/>
      <c r="T130" s="101"/>
      <c r="U130" s="101"/>
      <c r="V130" s="101"/>
      <c r="W130" s="102"/>
      <c r="X130" s="178"/>
      <c r="Y130" s="178"/>
      <c r="Z130" s="101"/>
      <c r="AA130" s="101"/>
      <c r="AB130" s="100"/>
      <c r="AC130" s="178"/>
      <c r="AD130" s="101"/>
      <c r="AE130" s="101"/>
      <c r="AF130" s="101"/>
      <c r="AG130" s="102"/>
      <c r="AH130" s="415"/>
      <c r="AI130" s="178"/>
      <c r="AJ130" s="178"/>
      <c r="AK130" s="178"/>
    </row>
    <row r="131" spans="1:37" ht="21.75" thickTop="1" x14ac:dyDescent="0.35">
      <c r="A131" s="300" t="s">
        <v>10</v>
      </c>
      <c r="B131" s="218" t="str">
        <f t="shared" si="65"/>
        <v>TreasuryTOTALS</v>
      </c>
      <c r="C131" s="5" t="s">
        <v>48</v>
      </c>
      <c r="D131" s="10"/>
      <c r="E131" s="117"/>
      <c r="F131" s="117"/>
      <c r="G131" s="117"/>
      <c r="H131" s="186" t="s">
        <v>28</v>
      </c>
      <c r="I131" s="418"/>
      <c r="J131" s="103"/>
      <c r="K131" s="103"/>
      <c r="L131" s="103"/>
      <c r="M131" s="104"/>
      <c r="N131" s="446"/>
      <c r="O131" s="136"/>
      <c r="P131" s="92"/>
      <c r="Q131" s="37"/>
      <c r="R131" s="61" t="s">
        <v>28</v>
      </c>
      <c r="S131" s="418"/>
      <c r="T131" s="103"/>
      <c r="U131" s="103"/>
      <c r="V131" s="103"/>
      <c r="W131" s="104"/>
      <c r="X131" s="90"/>
      <c r="Y131" s="136"/>
      <c r="Z131" s="92"/>
      <c r="AA131" s="37"/>
      <c r="AB131" s="61" t="s">
        <v>28</v>
      </c>
      <c r="AC131" s="418"/>
      <c r="AD131" s="103"/>
      <c r="AE131" s="103"/>
      <c r="AF131" s="103"/>
      <c r="AG131" s="104"/>
      <c r="AH131" s="91"/>
      <c r="AI131" s="136"/>
      <c r="AJ131" s="418"/>
      <c r="AK131" s="90"/>
    </row>
    <row r="132" spans="1:37" ht="21" x14ac:dyDescent="0.35">
      <c r="A132" s="300" t="s">
        <v>10</v>
      </c>
      <c r="B132" s="218" t="str">
        <f t="shared" si="65"/>
        <v>TreasuryPER YEAR</v>
      </c>
      <c r="C132" s="124" t="s">
        <v>50</v>
      </c>
      <c r="D132" s="10"/>
      <c r="E132" s="117"/>
      <c r="F132" s="117"/>
      <c r="G132" s="117"/>
      <c r="H132" s="190" t="s">
        <v>46</v>
      </c>
      <c r="I132" s="417">
        <f>I103+I108+I115+I120+I129</f>
        <v>1377057.4526405602</v>
      </c>
      <c r="J132" s="106"/>
      <c r="K132" s="106"/>
      <c r="L132" s="106"/>
      <c r="M132" s="107"/>
      <c r="N132" s="443">
        <f>SUM(N103:N130)</f>
        <v>1377057.4526405602</v>
      </c>
      <c r="O132" s="233">
        <f>SUM(O103:O130)</f>
        <v>0.99999999999999989</v>
      </c>
      <c r="P132" s="92"/>
      <c r="Q132" s="37"/>
      <c r="R132" s="105" t="s">
        <v>46</v>
      </c>
      <c r="S132" s="417">
        <f>S103+S108+S115+S120+S129</f>
        <v>146365.73124380747</v>
      </c>
      <c r="T132" s="106"/>
      <c r="U132" s="106"/>
      <c r="V132" s="106"/>
      <c r="W132" s="107"/>
      <c r="X132" s="52">
        <f>SUM(X103:X130)</f>
        <v>146365.73124380747</v>
      </c>
      <c r="Y132" s="233">
        <f>SUM(Y103:Y130)</f>
        <v>1</v>
      </c>
      <c r="Z132" s="92"/>
      <c r="AA132" s="37"/>
      <c r="AB132" s="105" t="s">
        <v>46</v>
      </c>
      <c r="AC132" s="417">
        <f>AC103+AC108+AC115+AC120+AC129</f>
        <v>6773.5265776322876</v>
      </c>
      <c r="AD132" s="106"/>
      <c r="AE132" s="106"/>
      <c r="AF132" s="106"/>
      <c r="AG132" s="107"/>
      <c r="AH132" s="420">
        <f>SUM(AH103:AH130)</f>
        <v>6773.5265776322876</v>
      </c>
      <c r="AI132" s="233">
        <f>SUM(AI103:AI130)</f>
        <v>1</v>
      </c>
      <c r="AJ132" s="417">
        <f>I132+S132+AC132</f>
        <v>1530196.710462</v>
      </c>
      <c r="AK132" s="52"/>
    </row>
    <row r="133" spans="1:37" ht="21" x14ac:dyDescent="0.35">
      <c r="A133" s="300" t="s">
        <v>10</v>
      </c>
      <c r="B133" s="218" t="str">
        <f t="shared" si="65"/>
        <v>TreasuryPER PAYMENT</v>
      </c>
      <c r="C133" s="124" t="s">
        <v>50</v>
      </c>
      <c r="D133" s="10"/>
      <c r="E133" s="117"/>
      <c r="F133" s="117"/>
      <c r="G133" s="117"/>
      <c r="H133" s="185" t="s">
        <v>47</v>
      </c>
      <c r="I133" s="419">
        <f>I132/I$6</f>
        <v>0.20003951997755937</v>
      </c>
      <c r="J133" s="108"/>
      <c r="K133" s="108"/>
      <c r="L133" s="108"/>
      <c r="M133" s="109"/>
      <c r="N133" s="448"/>
      <c r="O133" s="243"/>
      <c r="P133" s="99"/>
      <c r="Q133" s="60"/>
      <c r="R133" s="49" t="s">
        <v>47</v>
      </c>
      <c r="S133" s="419">
        <f>S132/S$6</f>
        <v>0.20222489971884638</v>
      </c>
      <c r="T133" s="108"/>
      <c r="U133" s="108"/>
      <c r="V133" s="108"/>
      <c r="W133" s="109"/>
      <c r="X133" s="97"/>
      <c r="Y133" s="243"/>
      <c r="Z133" s="99"/>
      <c r="AA133" s="60"/>
      <c r="AB133" s="49" t="s">
        <v>47</v>
      </c>
      <c r="AC133" s="419">
        <f>AC132/AC$6</f>
        <v>0.27032472273745012</v>
      </c>
      <c r="AD133" s="108"/>
      <c r="AE133" s="108"/>
      <c r="AF133" s="108"/>
      <c r="AG133" s="109"/>
      <c r="AH133" s="98"/>
      <c r="AI133" s="243"/>
      <c r="AJ133" s="419">
        <f>I133+S133+AC133</f>
        <v>0.67258914243385592</v>
      </c>
      <c r="AK133" s="97"/>
    </row>
    <row r="134" spans="1:37" ht="15.75" x14ac:dyDescent="0.25">
      <c r="A134" s="300" t="s">
        <v>10</v>
      </c>
      <c r="B134" s="218"/>
      <c r="C134" s="220"/>
      <c r="D134" s="10"/>
      <c r="E134" s="10"/>
      <c r="F134" s="10"/>
      <c r="G134" s="10"/>
      <c r="H134" s="137" t="s">
        <v>553</v>
      </c>
      <c r="I134" s="652">
        <f>I103+I108</f>
        <v>1767.570154</v>
      </c>
      <c r="J134" s="108"/>
      <c r="K134" s="108"/>
      <c r="L134" s="108"/>
      <c r="M134" s="109"/>
      <c r="N134" s="649"/>
      <c r="O134" s="650"/>
      <c r="P134" s="92"/>
      <c r="Q134" s="37"/>
      <c r="R134" s="137" t="s">
        <v>553</v>
      </c>
      <c r="S134" s="652">
        <f>S103+S108</f>
        <v>1767.570154</v>
      </c>
      <c r="T134" s="108"/>
      <c r="U134" s="108"/>
      <c r="V134" s="108"/>
      <c r="W134" s="109"/>
      <c r="X134" s="651"/>
      <c r="Y134" s="650"/>
      <c r="Z134" s="92"/>
      <c r="AA134" s="37"/>
      <c r="AB134" s="137" t="s">
        <v>553</v>
      </c>
      <c r="AC134" s="652">
        <f>AC103+AC108</f>
        <v>1767.570154</v>
      </c>
      <c r="AD134" s="108"/>
      <c r="AE134" s="108"/>
      <c r="AF134" s="108"/>
      <c r="AG134" s="109"/>
      <c r="AH134" s="649"/>
      <c r="AI134" s="137"/>
      <c r="AJ134" s="652">
        <f>I134+S134+AC134</f>
        <v>5302.710462</v>
      </c>
      <c r="AK134" s="252"/>
    </row>
    <row r="135" spans="1:37" ht="15.75" x14ac:dyDescent="0.25">
      <c r="A135" s="300" t="s">
        <v>10</v>
      </c>
      <c r="B135" s="218"/>
      <c r="C135" s="220"/>
      <c r="D135" s="10"/>
      <c r="E135" s="10"/>
      <c r="F135" s="10"/>
      <c r="G135" s="10"/>
      <c r="H135" s="137" t="s">
        <v>554</v>
      </c>
      <c r="I135" s="652">
        <f>I129+I120+I115</f>
        <v>1375289.8824865601</v>
      </c>
      <c r="J135" s="108"/>
      <c r="K135" s="652"/>
      <c r="L135" s="108"/>
      <c r="M135" s="109"/>
      <c r="N135" s="649"/>
      <c r="O135" s="650"/>
      <c r="P135" s="92"/>
      <c r="Q135" s="37"/>
      <c r="R135" s="137" t="s">
        <v>554</v>
      </c>
      <c r="S135" s="652">
        <f>S129+S120+S115</f>
        <v>144598.16108980749</v>
      </c>
      <c r="T135" s="108"/>
      <c r="U135" s="652"/>
      <c r="V135" s="108"/>
      <c r="W135" s="109"/>
      <c r="X135" s="651"/>
      <c r="Y135" s="650"/>
      <c r="Z135" s="92"/>
      <c r="AA135" s="37"/>
      <c r="AB135" s="137" t="s">
        <v>554</v>
      </c>
      <c r="AC135" s="652">
        <f>AC129+AC120+AC115</f>
        <v>5005.9564236322876</v>
      </c>
      <c r="AD135" s="108"/>
      <c r="AE135" s="652"/>
      <c r="AF135" s="108"/>
      <c r="AG135" s="109"/>
      <c r="AH135" s="649"/>
      <c r="AI135" s="137"/>
      <c r="AJ135" s="652">
        <f>I135+S135+AC135</f>
        <v>1524894</v>
      </c>
      <c r="AK135" s="252"/>
    </row>
    <row r="136" spans="1:37" ht="15.75" x14ac:dyDescent="0.25">
      <c r="A136" s="300" t="s">
        <v>10</v>
      </c>
      <c r="B136" s="218"/>
      <c r="C136" s="220"/>
      <c r="D136" s="10"/>
      <c r="E136" s="10"/>
      <c r="F136" s="10"/>
      <c r="G136" s="10"/>
      <c r="H136" s="137" t="s">
        <v>552</v>
      </c>
      <c r="I136" s="652">
        <f>I132</f>
        <v>1377057.4526405602</v>
      </c>
      <c r="J136" s="108"/>
      <c r="K136" s="108"/>
      <c r="L136" s="108"/>
      <c r="M136" s="109"/>
      <c r="N136" s="649"/>
      <c r="O136" s="650"/>
      <c r="P136" s="92"/>
      <c r="Q136" s="37"/>
      <c r="R136" s="137" t="s">
        <v>552</v>
      </c>
      <c r="S136" s="652">
        <f>S132</f>
        <v>146365.73124380747</v>
      </c>
      <c r="T136" s="108"/>
      <c r="U136" s="108"/>
      <c r="V136" s="108"/>
      <c r="W136" s="109"/>
      <c r="X136" s="651"/>
      <c r="Y136" s="650"/>
      <c r="Z136" s="92"/>
      <c r="AA136" s="37"/>
      <c r="AB136" s="137" t="s">
        <v>552</v>
      </c>
      <c r="AC136" s="652">
        <f>AC132</f>
        <v>6773.5265776322876</v>
      </c>
      <c r="AD136" s="108"/>
      <c r="AE136" s="108"/>
      <c r="AF136" s="108"/>
      <c r="AG136" s="109"/>
      <c r="AH136" s="649"/>
      <c r="AI136" s="137"/>
      <c r="AJ136" s="652">
        <f>I136+S136+AC136</f>
        <v>1530196.710462</v>
      </c>
      <c r="AK136" s="252"/>
    </row>
    <row r="137" spans="1:37" x14ac:dyDescent="0.25">
      <c r="A137" s="2" t="s">
        <v>50</v>
      </c>
      <c r="D137" s="648"/>
      <c r="E137" s="648"/>
      <c r="F137" s="648"/>
      <c r="G137" s="648"/>
    </row>
    <row r="138" spans="1:37" ht="15.75" x14ac:dyDescent="0.25">
      <c r="A138" s="261"/>
      <c r="D138" s="648"/>
      <c r="E138" s="648"/>
      <c r="F138" s="648"/>
      <c r="G138" s="648"/>
      <c r="H138" s="261" t="s">
        <v>67</v>
      </c>
      <c r="I138" s="660">
        <f>I134+I93+I48</f>
        <v>403256.47667900001</v>
      </c>
      <c r="R138" s="261" t="s">
        <v>67</v>
      </c>
      <c r="S138" s="660">
        <f>S134+S93+S48</f>
        <v>41466.982129999997</v>
      </c>
      <c r="AB138" s="261" t="s">
        <v>67</v>
      </c>
      <c r="AC138" s="660">
        <f>AC134+AC93+AC48</f>
        <v>4041.0284739999997</v>
      </c>
      <c r="AJ138" s="660"/>
    </row>
    <row r="139" spans="1:37" ht="15.75" x14ac:dyDescent="0.25">
      <c r="A139" s="261"/>
      <c r="D139" s="648"/>
      <c r="E139" s="648"/>
      <c r="F139" s="648"/>
      <c r="G139" s="648"/>
      <c r="H139" s="261" t="s">
        <v>551</v>
      </c>
      <c r="I139" s="660">
        <f t="shared" ref="I139:I140" si="66">I135+I94+I49</f>
        <v>1622810.6384865602</v>
      </c>
      <c r="R139" s="261" t="s">
        <v>551</v>
      </c>
      <c r="S139" s="660">
        <f t="shared" ref="S139:S140" si="67">S135+S94+S49</f>
        <v>160710.86508980748</v>
      </c>
      <c r="AB139" s="261" t="s">
        <v>551</v>
      </c>
      <c r="AC139" s="660">
        <f t="shared" ref="AC139:AC140" si="68">AC135+AC94+AC49</f>
        <v>5042.4964236322876</v>
      </c>
      <c r="AJ139" s="660">
        <f>I139+S139+AC139</f>
        <v>1788564</v>
      </c>
    </row>
    <row r="140" spans="1:37" ht="15.75" x14ac:dyDescent="0.25">
      <c r="A140" s="261"/>
      <c r="D140" s="648"/>
      <c r="E140" s="648"/>
      <c r="F140" s="648"/>
      <c r="G140" s="648"/>
      <c r="H140" s="261" t="s">
        <v>552</v>
      </c>
      <c r="I140" s="660">
        <f t="shared" si="66"/>
        <v>2026067.11516556</v>
      </c>
      <c r="R140" s="261" t="s">
        <v>552</v>
      </c>
      <c r="S140" s="660">
        <f t="shared" si="67"/>
        <v>202177.84721980747</v>
      </c>
      <c r="AB140" s="261" t="s">
        <v>552</v>
      </c>
      <c r="AC140" s="660">
        <f t="shared" si="68"/>
        <v>9083.5248976322873</v>
      </c>
      <c r="AJ140" s="660">
        <f>I140+S140+AC140</f>
        <v>2237328.4872829998</v>
      </c>
    </row>
    <row r="141" spans="1:37" ht="15.75" x14ac:dyDescent="0.25">
      <c r="A141" s="261" t="s">
        <v>50</v>
      </c>
      <c r="D141" s="648"/>
      <c r="E141" s="648"/>
      <c r="F141" s="648"/>
      <c r="G141" s="648"/>
      <c r="AJ141" s="660">
        <f>I141+S141+AC141</f>
        <v>0</v>
      </c>
    </row>
    <row r="142" spans="1:37" ht="15.75" x14ac:dyDescent="0.25">
      <c r="A142" s="261"/>
      <c r="D142" s="648"/>
      <c r="E142" s="648"/>
      <c r="F142" s="648"/>
      <c r="G142" s="648"/>
      <c r="H142" s="261" t="s">
        <v>556</v>
      </c>
      <c r="I142" s="660">
        <f>SUM(I140,S140,AC140)</f>
        <v>2237328.4872829998</v>
      </c>
    </row>
  </sheetData>
  <autoFilter ref="A6:AU6" xr:uid="{00000000-0009-0000-0000-000003000000}"/>
  <mergeCells count="7">
    <mergeCell ref="M82:M83"/>
    <mergeCell ref="W82:W83"/>
    <mergeCell ref="AG82:AG83"/>
    <mergeCell ref="H4:Q4"/>
    <mergeCell ref="R4:AA4"/>
    <mergeCell ref="AB4:AL4"/>
    <mergeCell ref="I5:M5"/>
  </mergeCells>
  <printOptions horizontalCentered="1"/>
  <pageMargins left="0.28999999999999998" right="0.35" top="0.54" bottom="0.38" header="0.23" footer="0.17"/>
  <pageSetup paperSize="17" scale="22" orientation="landscape" r:id="rId1"/>
  <headerFooter>
    <oddHeader>&amp;C&amp;"-,Bold"&amp;22METER TO CASH MATRIX&amp;RExh. RJW-2 Wyman WP5</oddHeader>
    <oddFooter>&amp;L&amp;Z&amp;F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U273"/>
  <sheetViews>
    <sheetView zoomScale="60" zoomScaleNormal="60" workbookViewId="0">
      <pane xSplit="7" ySplit="6" topLeftCell="R7" activePane="bottomRight" state="frozen"/>
      <selection pane="topRight" activeCell="H1" sqref="H1"/>
      <selection pane="bottomLeft" activeCell="A7" sqref="A7"/>
      <selection pane="bottomRight" activeCell="AB5" sqref="AB5"/>
    </sheetView>
  </sheetViews>
  <sheetFormatPr defaultRowHeight="15" x14ac:dyDescent="0.25"/>
  <cols>
    <col min="1" max="1" width="17.7109375" style="2" customWidth="1"/>
    <col min="2" max="2" width="11.140625" style="214" hidden="1" customWidth="1"/>
    <col min="3" max="3" width="10.85546875" style="215" hidden="1" customWidth="1"/>
    <col min="4" max="4" width="30.85546875" style="1" customWidth="1"/>
    <col min="5" max="6" width="12.5703125" style="1" hidden="1" customWidth="1"/>
    <col min="7" max="7" width="13.7109375" style="1" hidden="1" customWidth="1"/>
    <col min="8" max="8" width="25.7109375" customWidth="1"/>
    <col min="9" max="9" width="12.28515625" customWidth="1"/>
    <col min="10" max="11" width="10.7109375" customWidth="1"/>
    <col min="12" max="12" width="6.85546875" customWidth="1"/>
    <col min="13" max="13" width="12.5703125" customWidth="1"/>
    <col min="14" max="14" width="11.28515625" customWidth="1"/>
    <col min="15" max="15" width="9.140625" customWidth="1"/>
    <col min="16" max="16" width="0" hidden="1" customWidth="1"/>
    <col min="17" max="17" width="25" hidden="1" customWidth="1"/>
    <col min="18" max="18" width="25.7109375" customWidth="1"/>
    <col min="19" max="19" width="10.42578125" customWidth="1"/>
    <col min="20" max="21" width="10.7109375" customWidth="1"/>
    <col min="22" max="22" width="6.85546875" customWidth="1"/>
    <col min="23" max="23" width="12.5703125" customWidth="1"/>
    <col min="24" max="24" width="10.7109375" customWidth="1"/>
    <col min="25" max="25" width="8.28515625" customWidth="1"/>
    <col min="26" max="26" width="0" hidden="1" customWidth="1"/>
    <col min="27" max="27" width="25" hidden="1" customWidth="1"/>
    <col min="28" max="28" width="25.85546875" customWidth="1"/>
    <col min="29" max="29" width="9" customWidth="1"/>
    <col min="30" max="31" width="10.7109375" customWidth="1"/>
    <col min="32" max="32" width="6.85546875" customWidth="1"/>
    <col min="33" max="33" width="12.5703125" customWidth="1"/>
    <col min="34" max="34" width="10.7109375" customWidth="1"/>
    <col min="35" max="35" width="9.140625" customWidth="1"/>
    <col min="36" max="36" width="12.5703125" customWidth="1"/>
    <col min="37" max="37" width="6.7109375" customWidth="1"/>
    <col min="38" max="38" width="20.7109375" customWidth="1"/>
  </cols>
  <sheetData>
    <row r="1" spans="1:47" x14ac:dyDescent="0.25">
      <c r="R1" s="2"/>
      <c r="S1" s="2"/>
      <c r="T1" s="303">
        <v>0.157</v>
      </c>
      <c r="U1" s="2" t="s">
        <v>388</v>
      </c>
    </row>
    <row r="2" spans="1:47" s="2" customFormat="1" ht="18.75" customHeight="1" x14ac:dyDescent="0.35">
      <c r="B2" s="216"/>
      <c r="C2" s="217"/>
      <c r="D2" s="14"/>
      <c r="E2" s="15" t="s">
        <v>18</v>
      </c>
      <c r="F2" s="16" t="s">
        <v>19</v>
      </c>
      <c r="G2" s="21" t="s">
        <v>20</v>
      </c>
      <c r="M2" s="2" t="s">
        <v>129</v>
      </c>
      <c r="N2"/>
      <c r="O2" s="303">
        <f>'2018 Projection Inputs'!B34</f>
        <v>0.9859</v>
      </c>
    </row>
    <row r="3" spans="1:47" s="2" customFormat="1" ht="50.45" customHeight="1" x14ac:dyDescent="0.35">
      <c r="B3" s="216"/>
      <c r="C3" s="217"/>
      <c r="D3" s="484" t="s">
        <v>228</v>
      </c>
      <c r="E3" s="17" t="s">
        <v>18</v>
      </c>
      <c r="F3" s="18" t="s">
        <v>21</v>
      </c>
      <c r="G3" s="378" t="s">
        <v>20</v>
      </c>
      <c r="H3" s="225" t="str">
        <f>+D3</f>
        <v>COLLECTIONS</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931</v>
      </c>
      <c r="AC4" s="762"/>
      <c r="AD4" s="762"/>
      <c r="AE4" s="762"/>
      <c r="AF4" s="762"/>
      <c r="AG4" s="762"/>
      <c r="AH4" s="762"/>
      <c r="AI4" s="762"/>
      <c r="AJ4" s="762"/>
      <c r="AK4" s="762"/>
      <c r="AL4" s="762"/>
    </row>
    <row r="5" spans="1:47" ht="22.5" thickTop="1" thickBot="1" x14ac:dyDescent="0.4">
      <c r="D5" s="138" t="s">
        <v>26</v>
      </c>
      <c r="E5" s="115"/>
      <c r="F5" s="115"/>
      <c r="G5" s="115"/>
      <c r="H5" s="25"/>
      <c r="I5" s="770" t="s">
        <v>278</v>
      </c>
      <c r="J5" s="770"/>
      <c r="K5" s="770"/>
      <c r="L5" s="770"/>
      <c r="M5" s="770"/>
      <c r="N5" s="26"/>
      <c r="O5" s="26"/>
      <c r="P5" s="25"/>
      <c r="Q5" s="3"/>
    </row>
    <row r="6" spans="1:47" s="2" customFormat="1" ht="21.75" thickTop="1" x14ac:dyDescent="0.35">
      <c r="B6" s="216"/>
      <c r="C6" s="217"/>
      <c r="D6" s="112" t="s">
        <v>3</v>
      </c>
      <c r="E6" s="113"/>
      <c r="F6" s="114"/>
      <c r="G6" s="114"/>
      <c r="H6" s="202" t="s">
        <v>27</v>
      </c>
      <c r="I6" s="416">
        <f>Customers!M3+Customers!M4</f>
        <v>146794</v>
      </c>
      <c r="J6" s="203" t="s">
        <v>127</v>
      </c>
      <c r="K6" s="203" t="s">
        <v>128</v>
      </c>
      <c r="L6" s="155" t="s">
        <v>29</v>
      </c>
      <c r="M6" s="28" t="s">
        <v>371</v>
      </c>
      <c r="N6" s="29" t="s">
        <v>28</v>
      </c>
      <c r="O6" s="230" t="s">
        <v>29</v>
      </c>
      <c r="P6" s="31"/>
      <c r="Q6" s="32" t="s">
        <v>30</v>
      </c>
      <c r="R6" s="202" t="s">
        <v>27</v>
      </c>
      <c r="S6" s="609">
        <f>Customers!N3+Customers!N4</f>
        <v>7035</v>
      </c>
      <c r="T6" s="203" t="s">
        <v>127</v>
      </c>
      <c r="U6" s="203" t="s">
        <v>128</v>
      </c>
      <c r="V6" s="155" t="s">
        <v>29</v>
      </c>
      <c r="W6" s="28" t="s">
        <v>371</v>
      </c>
      <c r="X6" s="29" t="s">
        <v>28</v>
      </c>
      <c r="Y6" s="230" t="s">
        <v>29</v>
      </c>
      <c r="Z6" s="31"/>
      <c r="AA6" s="32" t="s">
        <v>30</v>
      </c>
      <c r="AB6" s="202" t="s">
        <v>27</v>
      </c>
      <c r="AC6" s="27">
        <f>Customers!O3+Customers!O4</f>
        <v>23</v>
      </c>
      <c r="AD6" s="203" t="s">
        <v>127</v>
      </c>
      <c r="AE6" s="203" t="s">
        <v>128</v>
      </c>
      <c r="AF6" s="155" t="s">
        <v>29</v>
      </c>
      <c r="AG6" s="28" t="s">
        <v>371</v>
      </c>
      <c r="AH6" s="29" t="s">
        <v>28</v>
      </c>
      <c r="AI6" s="230" t="s">
        <v>29</v>
      </c>
      <c r="AJ6" s="380" t="s">
        <v>557</v>
      </c>
      <c r="AK6" s="247" t="s">
        <v>30</v>
      </c>
      <c r="AU6" s="6"/>
    </row>
    <row r="7" spans="1:47" ht="93" customHeight="1" x14ac:dyDescent="0.25">
      <c r="A7" s="299" t="s">
        <v>8</v>
      </c>
      <c r="B7" s="218" t="str">
        <f>A7&amp;H7</f>
        <v>Account ServicesLABOR: NON-SUPERVISORY</v>
      </c>
      <c r="C7" s="218" t="s">
        <v>225</v>
      </c>
      <c r="D7" s="10" t="str">
        <f>'2015Summary METER to CASH (Base'!O9</f>
        <v>* Bad debt exception work
* Liaison to collecting agencies
* Collection agency fees
* Paper Stock</v>
      </c>
      <c r="E7" s="116">
        <f>N45</f>
        <v>288258.248226</v>
      </c>
      <c r="F7" s="117">
        <f>X45</f>
        <v>24334.117876</v>
      </c>
      <c r="G7" s="117">
        <f>AC45</f>
        <v>0</v>
      </c>
      <c r="H7" s="183" t="s">
        <v>31</v>
      </c>
      <c r="I7" s="157"/>
      <c r="J7" s="118"/>
      <c r="K7" s="118"/>
      <c r="L7" s="118"/>
      <c r="M7" s="119"/>
      <c r="N7" s="121"/>
      <c r="O7" s="135"/>
      <c r="P7" s="381"/>
      <c r="Q7" s="123"/>
      <c r="R7" s="183" t="s">
        <v>31</v>
      </c>
      <c r="S7" s="157"/>
      <c r="T7" s="118"/>
      <c r="U7" s="118"/>
      <c r="V7" s="118"/>
      <c r="W7" s="119"/>
      <c r="X7" s="121"/>
      <c r="Y7" s="135"/>
      <c r="Z7" s="381"/>
      <c r="AA7" s="123"/>
      <c r="AB7" s="183" t="s">
        <v>31</v>
      </c>
      <c r="AC7" s="157"/>
      <c r="AD7" s="118"/>
      <c r="AE7" s="118"/>
      <c r="AF7" s="118"/>
      <c r="AG7" s="119"/>
      <c r="AH7" s="121"/>
      <c r="AI7" s="135"/>
      <c r="AJ7" s="157"/>
      <c r="AK7" s="157"/>
    </row>
    <row r="8" spans="1:47" ht="15.75" x14ac:dyDescent="0.25">
      <c r="A8" s="299" t="s">
        <v>8</v>
      </c>
      <c r="B8" s="218" t="str">
        <f t="shared" ref="B8:B75" si="0">A8&amp;H8</f>
        <v>Account ServicesAccountant (Grade 145)</v>
      </c>
      <c r="C8" s="217" t="s">
        <v>48</v>
      </c>
      <c r="D8" s="10"/>
      <c r="E8" s="10"/>
      <c r="F8" s="10"/>
      <c r="G8" s="10"/>
      <c r="H8" s="255" t="s">
        <v>239</v>
      </c>
      <c r="I8" s="158">
        <f>J8*K8</f>
        <v>1369.11</v>
      </c>
      <c r="J8" s="42">
        <f>+ROUND('FTE Alloc OR &amp; WA'!M31*2080,0)</f>
        <v>47</v>
      </c>
      <c r="K8" s="259">
        <v>29.13</v>
      </c>
      <c r="L8" s="39"/>
      <c r="M8" s="40" t="str">
        <f>J8&amp;" hrs @ "&amp;K8</f>
        <v>47 hrs @ 29.13</v>
      </c>
      <c r="N8" s="35"/>
      <c r="O8" s="136"/>
      <c r="P8" s="382"/>
      <c r="Q8" s="41"/>
      <c r="R8" s="255" t="s">
        <v>239</v>
      </c>
      <c r="S8" s="158">
        <f>T8*U8</f>
        <v>0</v>
      </c>
      <c r="T8" s="42">
        <f>+ROUND('FTE Alloc OR &amp; WA'!N30*2080,0)</f>
        <v>0</v>
      </c>
      <c r="U8" s="259">
        <v>29.13</v>
      </c>
      <c r="V8" s="39"/>
      <c r="W8" s="40" t="str">
        <f>T8&amp;" hrs @ "&amp;U8</f>
        <v>0 hrs @ 29.13</v>
      </c>
      <c r="X8" s="35"/>
      <c r="Y8" s="136"/>
      <c r="Z8" s="382"/>
      <c r="AA8" s="41"/>
      <c r="AB8" s="255" t="s">
        <v>239</v>
      </c>
      <c r="AC8" s="158">
        <f>AD8*AE8</f>
        <v>0</v>
      </c>
      <c r="AD8" s="42">
        <f>+ROUND('FTE Alloc OR &amp; WA'!O30*2080,0)</f>
        <v>0</v>
      </c>
      <c r="AE8" s="259">
        <v>29.13</v>
      </c>
      <c r="AF8" s="39"/>
      <c r="AG8" s="40" t="str">
        <f>AD8&amp;" hrs @ "&amp;AE8</f>
        <v>0 hrs @ 29.13</v>
      </c>
      <c r="AH8" s="35"/>
      <c r="AI8" s="136"/>
      <c r="AJ8" s="158">
        <f t="shared" ref="AJ8:AJ14" si="1">I8+S8+AC8</f>
        <v>1369.11</v>
      </c>
      <c r="AK8" s="158"/>
    </row>
    <row r="9" spans="1:47" ht="22.5" x14ac:dyDescent="0.25">
      <c r="A9" s="299" t="s">
        <v>8</v>
      </c>
      <c r="B9" s="218" t="str">
        <f t="shared" si="0"/>
        <v>Account ServicesSr Coll Rep (Grade 140)</v>
      </c>
      <c r="C9" s="217" t="s">
        <v>48</v>
      </c>
      <c r="D9" s="10"/>
      <c r="E9" s="10"/>
      <c r="F9" s="10"/>
      <c r="G9" s="10"/>
      <c r="H9" s="184" t="s">
        <v>240</v>
      </c>
      <c r="I9" s="158">
        <f t="shared" ref="I9:I10" si="2">J9*K9</f>
        <v>53868.38</v>
      </c>
      <c r="J9" s="42">
        <f>+ROUND('FTE Alloc OR &amp; WA'!M37*2080,0)</f>
        <v>1979</v>
      </c>
      <c r="K9" s="259">
        <v>27.22</v>
      </c>
      <c r="L9" s="42"/>
      <c r="M9" s="40" t="str">
        <f t="shared" ref="M9:M11" si="3">J9&amp;" hrs @ "&amp;K9</f>
        <v>1979 hrs @ 27.22</v>
      </c>
      <c r="N9" s="35"/>
      <c r="O9" s="136"/>
      <c r="P9" s="382"/>
      <c r="Q9" s="3"/>
      <c r="R9" s="184" t="s">
        <v>240</v>
      </c>
      <c r="S9" s="158">
        <f t="shared" ref="S9:S10" si="4">T9*U9</f>
        <v>3729.14</v>
      </c>
      <c r="T9" s="42">
        <f>+ROUND('FTE Alloc OR &amp; WA'!N37*2080,0)</f>
        <v>137</v>
      </c>
      <c r="U9" s="259">
        <v>27.22</v>
      </c>
      <c r="V9" s="42"/>
      <c r="W9" s="40" t="str">
        <f t="shared" ref="W9:W11" si="5">T9&amp;" hrs @ "&amp;U9</f>
        <v>137 hrs @ 27.22</v>
      </c>
      <c r="X9" s="35"/>
      <c r="Y9" s="136"/>
      <c r="Z9" s="382"/>
      <c r="AA9" s="3"/>
      <c r="AB9" s="184" t="s">
        <v>240</v>
      </c>
      <c r="AC9" s="158">
        <f t="shared" ref="AC9:AC10" si="6">AD9*AE9</f>
        <v>0</v>
      </c>
      <c r="AD9" s="42">
        <f>+ROUND('FTE Alloc OR &amp; WA'!O36*2080,0)</f>
        <v>0</v>
      </c>
      <c r="AE9" s="259">
        <v>27.22</v>
      </c>
      <c r="AF9" s="42"/>
      <c r="AG9" s="40" t="str">
        <f t="shared" ref="AG9:AG11" si="7">AD9&amp;" hrs @ "&amp;AE9</f>
        <v>0 hrs @ 27.22</v>
      </c>
      <c r="AH9" s="35"/>
      <c r="AI9" s="136"/>
      <c r="AJ9" s="158">
        <f t="shared" si="1"/>
        <v>57597.52</v>
      </c>
      <c r="AK9" s="158"/>
    </row>
    <row r="10" spans="1:47" ht="15.75" x14ac:dyDescent="0.25">
      <c r="A10" s="299" t="s">
        <v>8</v>
      </c>
      <c r="B10" s="218" t="str">
        <f t="shared" si="0"/>
        <v>Account ServicesSr Biller/ PP Clerk (Grade 135)</v>
      </c>
      <c r="C10" s="217" t="s">
        <v>48</v>
      </c>
      <c r="D10" s="10"/>
      <c r="E10" s="10"/>
      <c r="F10" s="10"/>
      <c r="G10" s="10"/>
      <c r="H10" s="184" t="s">
        <v>242</v>
      </c>
      <c r="I10" s="158">
        <f t="shared" si="2"/>
        <v>1195.68</v>
      </c>
      <c r="J10" s="42">
        <f>+ROUND(('FTE Alloc OR &amp; WA'!M31+'FTE Alloc OR &amp; WA'!M34)*2080,0)</f>
        <v>47</v>
      </c>
      <c r="K10" s="259">
        <v>25.44</v>
      </c>
      <c r="L10" s="42"/>
      <c r="M10" s="40" t="str">
        <f t="shared" si="3"/>
        <v>47 hrs @ 25.44</v>
      </c>
      <c r="N10" s="35"/>
      <c r="O10" s="136"/>
      <c r="P10" s="382"/>
      <c r="Q10" s="41"/>
      <c r="R10" s="184" t="s">
        <v>242</v>
      </c>
      <c r="S10" s="158">
        <f t="shared" si="4"/>
        <v>0</v>
      </c>
      <c r="T10" s="42">
        <f>+ROUND(('FTE Alloc OR &amp; WA'!N31+'FTE Alloc OR &amp; WA'!N34)*2080,0)</f>
        <v>0</v>
      </c>
      <c r="U10" s="259">
        <v>25.44</v>
      </c>
      <c r="V10" s="42"/>
      <c r="W10" s="40" t="str">
        <f t="shared" si="5"/>
        <v>0 hrs @ 25.44</v>
      </c>
      <c r="X10" s="35"/>
      <c r="Y10" s="136"/>
      <c r="Z10" s="382"/>
      <c r="AA10" s="41"/>
      <c r="AB10" s="184" t="s">
        <v>242</v>
      </c>
      <c r="AC10" s="158">
        <f t="shared" si="6"/>
        <v>0</v>
      </c>
      <c r="AD10" s="42">
        <f>+ROUND(('FTE Alloc OR &amp; WA'!O31+'FTE Alloc OR &amp; WA'!O34)*2080,0)</f>
        <v>0</v>
      </c>
      <c r="AE10" s="259">
        <v>25.44</v>
      </c>
      <c r="AF10" s="42"/>
      <c r="AG10" s="40" t="str">
        <f t="shared" si="7"/>
        <v>0 hrs @ 25.44</v>
      </c>
      <c r="AH10" s="35"/>
      <c r="AI10" s="136"/>
      <c r="AJ10" s="158">
        <f t="shared" si="1"/>
        <v>1195.68</v>
      </c>
      <c r="AK10" s="158"/>
    </row>
    <row r="11" spans="1:47" ht="15.75" x14ac:dyDescent="0.25">
      <c r="A11" s="299" t="s">
        <v>8</v>
      </c>
      <c r="B11" s="218" t="str">
        <f t="shared" si="0"/>
        <v>Account ServicesBiller (Grade 125)</v>
      </c>
      <c r="C11" s="217" t="s">
        <v>48</v>
      </c>
      <c r="D11" s="10"/>
      <c r="E11" s="10"/>
      <c r="F11" s="10"/>
      <c r="G11" s="10"/>
      <c r="H11" s="179" t="s">
        <v>241</v>
      </c>
      <c r="I11" s="173">
        <f>J11*K11</f>
        <v>1034.47</v>
      </c>
      <c r="J11" s="174">
        <f>+ROUND('FTE Alloc OR &amp; WA'!M32*2080,0)</f>
        <v>47</v>
      </c>
      <c r="K11" s="260">
        <v>22.01</v>
      </c>
      <c r="L11" s="181"/>
      <c r="M11" s="176" t="str">
        <f t="shared" si="3"/>
        <v>47 hrs @ 22.01</v>
      </c>
      <c r="N11" s="35"/>
      <c r="O11" s="136"/>
      <c r="P11" s="382"/>
      <c r="Q11" s="44"/>
      <c r="R11" s="179" t="s">
        <v>241</v>
      </c>
      <c r="S11" s="173">
        <f>T11*U11</f>
        <v>0</v>
      </c>
      <c r="T11" s="174">
        <f>+ROUND('FTE Alloc OR &amp; WA'!N32*2080,0)</f>
        <v>0</v>
      </c>
      <c r="U11" s="260">
        <v>22.01</v>
      </c>
      <c r="V11" s="181"/>
      <c r="W11" s="176" t="str">
        <f t="shared" si="5"/>
        <v>0 hrs @ 22.01</v>
      </c>
      <c r="X11" s="35"/>
      <c r="Y11" s="136"/>
      <c r="Z11" s="382"/>
      <c r="AA11" s="44"/>
      <c r="AB11" s="179" t="s">
        <v>241</v>
      </c>
      <c r="AC11" s="173">
        <f>AD11*AE11</f>
        <v>0</v>
      </c>
      <c r="AD11" s="174">
        <f>+ROUND('FTE Alloc OR &amp; WA'!O32*2080,0)</f>
        <v>0</v>
      </c>
      <c r="AE11" s="260">
        <v>22.01</v>
      </c>
      <c r="AF11" s="181"/>
      <c r="AG11" s="176" t="str">
        <f t="shared" si="7"/>
        <v>0 hrs @ 22.01</v>
      </c>
      <c r="AH11" s="35"/>
      <c r="AI11" s="136"/>
      <c r="AJ11" s="173">
        <f t="shared" si="1"/>
        <v>1034.47</v>
      </c>
      <c r="AK11" s="173"/>
    </row>
    <row r="12" spans="1:47" ht="15.75" x14ac:dyDescent="0.25">
      <c r="A12" s="299" t="s">
        <v>8</v>
      </c>
      <c r="B12" s="218" t="str">
        <f t="shared" si="0"/>
        <v>Account ServicesTotal Wages</v>
      </c>
      <c r="C12" s="217" t="s">
        <v>48</v>
      </c>
      <c r="D12" s="10"/>
      <c r="E12" s="10"/>
      <c r="F12" s="10"/>
      <c r="G12" s="10"/>
      <c r="H12" s="184" t="s">
        <v>32</v>
      </c>
      <c r="I12" s="158">
        <f>SUM(I8:I11)</f>
        <v>57467.64</v>
      </c>
      <c r="J12" s="42"/>
      <c r="K12" s="39"/>
      <c r="L12" s="39"/>
      <c r="M12" s="40"/>
      <c r="N12" s="35"/>
      <c r="O12" s="231"/>
      <c r="P12" s="382"/>
      <c r="Q12" s="41"/>
      <c r="R12" s="184" t="s">
        <v>32</v>
      </c>
      <c r="S12" s="158">
        <f>SUM(S8:S11)</f>
        <v>3729.14</v>
      </c>
      <c r="T12" s="42"/>
      <c r="U12" s="39"/>
      <c r="V12" s="39"/>
      <c r="W12" s="40"/>
      <c r="X12" s="35"/>
      <c r="Y12" s="231"/>
      <c r="Z12" s="382"/>
      <c r="AA12" s="41"/>
      <c r="AB12" s="184" t="s">
        <v>32</v>
      </c>
      <c r="AC12" s="158">
        <f>SUM(AC8:AC11)</f>
        <v>0</v>
      </c>
      <c r="AD12" s="42"/>
      <c r="AE12" s="39"/>
      <c r="AF12" s="39"/>
      <c r="AG12" s="40"/>
      <c r="AH12" s="35"/>
      <c r="AI12" s="231"/>
      <c r="AJ12" s="158">
        <f t="shared" si="1"/>
        <v>61196.78</v>
      </c>
      <c r="AK12" s="158"/>
    </row>
    <row r="13" spans="1:47" ht="15.75" x14ac:dyDescent="0.25">
      <c r="A13" s="299" t="s">
        <v>8</v>
      </c>
      <c r="B13" s="218" t="str">
        <f t="shared" si="0"/>
        <v>Account ServicesBenefits</v>
      </c>
      <c r="C13" s="217" t="s">
        <v>48</v>
      </c>
      <c r="D13" s="10"/>
      <c r="E13" s="10"/>
      <c r="F13" s="10"/>
      <c r="G13" s="10"/>
      <c r="H13" s="184" t="s">
        <v>33</v>
      </c>
      <c r="I13" s="159">
        <f>I12*$O$2</f>
        <v>56657.346275999997</v>
      </c>
      <c r="J13" s="42"/>
      <c r="K13" s="39"/>
      <c r="M13" s="45" t="str">
        <f>"@ "&amp;$O$2*100&amp;" %"</f>
        <v>@ 98.59 %</v>
      </c>
      <c r="N13" s="47"/>
      <c r="O13" s="232"/>
      <c r="P13" s="383"/>
      <c r="Q13" s="41"/>
      <c r="R13" s="184" t="s">
        <v>33</v>
      </c>
      <c r="S13" s="159">
        <f>S12*$O$2</f>
        <v>3676.5591259999997</v>
      </c>
      <c r="T13" s="42"/>
      <c r="U13" s="39"/>
      <c r="W13" s="45" t="str">
        <f>"@ "&amp;$O$2*100&amp;" %"</f>
        <v>@ 98.59 %</v>
      </c>
      <c r="X13" s="47"/>
      <c r="Y13" s="232"/>
      <c r="Z13" s="383"/>
      <c r="AA13" s="41"/>
      <c r="AB13" s="184" t="s">
        <v>33</v>
      </c>
      <c r="AC13" s="159">
        <f>AC12*$O$2</f>
        <v>0</v>
      </c>
      <c r="AD13" s="42"/>
      <c r="AE13" s="39"/>
      <c r="AG13" s="45" t="str">
        <f>"@ "&amp;$O$2*100&amp;" %"</f>
        <v>@ 98.59 %</v>
      </c>
      <c r="AH13" s="47"/>
      <c r="AI13" s="232"/>
      <c r="AJ13" s="159">
        <f t="shared" si="1"/>
        <v>60333.905401999997</v>
      </c>
      <c r="AK13" s="159"/>
    </row>
    <row r="14" spans="1:47" ht="15.75" x14ac:dyDescent="0.25">
      <c r="A14" s="299" t="s">
        <v>8</v>
      </c>
      <c r="B14" s="218" t="str">
        <f t="shared" si="0"/>
        <v>Account ServicesTotal</v>
      </c>
      <c r="C14" s="219" t="s">
        <v>50</v>
      </c>
      <c r="D14" s="10"/>
      <c r="E14" s="10"/>
      <c r="F14" s="10"/>
      <c r="G14" s="10"/>
      <c r="H14" s="185" t="s">
        <v>34</v>
      </c>
      <c r="I14" s="160">
        <f>I12+I13</f>
        <v>114124.986276</v>
      </c>
      <c r="J14" s="42"/>
      <c r="K14" s="39"/>
      <c r="L14" s="50"/>
      <c r="M14" s="51"/>
      <c r="N14" s="420">
        <f>I14</f>
        <v>114124.986276</v>
      </c>
      <c r="O14" s="233">
        <f>N14/N45</f>
        <v>0.3959123007870492</v>
      </c>
      <c r="P14" s="384"/>
      <c r="Q14" s="37"/>
      <c r="R14" s="185" t="s">
        <v>34</v>
      </c>
      <c r="S14" s="160">
        <f>S12+S13</f>
        <v>7405.6991259999995</v>
      </c>
      <c r="T14" s="42"/>
      <c r="U14" s="39"/>
      <c r="V14" s="50"/>
      <c r="W14" s="51"/>
      <c r="X14" s="420">
        <f>S14</f>
        <v>7405.6991259999995</v>
      </c>
      <c r="Y14" s="233">
        <f>X14/X45</f>
        <v>0.3043339875206249</v>
      </c>
      <c r="Z14" s="384"/>
      <c r="AA14" s="37"/>
      <c r="AB14" s="185" t="s">
        <v>34</v>
      </c>
      <c r="AC14" s="160">
        <f>AC12+AC13</f>
        <v>0</v>
      </c>
      <c r="AD14" s="42"/>
      <c r="AE14" s="39"/>
      <c r="AF14" s="50"/>
      <c r="AG14" s="51"/>
      <c r="AH14" s="420">
        <f>AC14</f>
        <v>0</v>
      </c>
      <c r="AI14" s="233" t="e">
        <f>AH14/AH45</f>
        <v>#DIV/0!</v>
      </c>
      <c r="AJ14" s="160">
        <f t="shared" si="1"/>
        <v>121530.685402</v>
      </c>
      <c r="AK14" s="160"/>
    </row>
    <row r="15" spans="1:47" ht="15.75" x14ac:dyDescent="0.25">
      <c r="A15" s="299" t="s">
        <v>8</v>
      </c>
      <c r="B15" s="218" t="str">
        <f t="shared" si="0"/>
        <v>Account Services</v>
      </c>
      <c r="C15" s="217" t="s">
        <v>48</v>
      </c>
      <c r="D15" s="10"/>
      <c r="E15" s="10"/>
      <c r="F15" s="10"/>
      <c r="G15" s="10"/>
      <c r="H15" s="179"/>
      <c r="I15" s="161"/>
      <c r="J15" s="55"/>
      <c r="K15" s="55"/>
      <c r="L15" s="55"/>
      <c r="M15" s="56"/>
      <c r="N15" s="58"/>
      <c r="O15" s="231"/>
      <c r="P15" s="385"/>
      <c r="Q15" s="60"/>
      <c r="R15" s="179"/>
      <c r="S15" s="161"/>
      <c r="T15" s="55"/>
      <c r="U15" s="55"/>
      <c r="V15" s="55"/>
      <c r="W15" s="56"/>
      <c r="X15" s="58"/>
      <c r="Y15" s="231"/>
      <c r="Z15" s="385"/>
      <c r="AA15" s="60"/>
      <c r="AB15" s="179"/>
      <c r="AC15" s="161"/>
      <c r="AD15" s="55"/>
      <c r="AE15" s="55"/>
      <c r="AF15" s="55"/>
      <c r="AG15" s="56"/>
      <c r="AH15" s="58"/>
      <c r="AI15" s="231"/>
      <c r="AJ15" s="161"/>
      <c r="AK15" s="161"/>
    </row>
    <row r="16" spans="1:47" ht="15.75" x14ac:dyDescent="0.25">
      <c r="A16" s="299" t="s">
        <v>8</v>
      </c>
      <c r="B16" s="218" t="str">
        <f t="shared" si="0"/>
        <v>Account ServicesLABOR: SUPERVISORY</v>
      </c>
      <c r="C16" s="220" t="s">
        <v>50</v>
      </c>
      <c r="D16" s="10"/>
      <c r="E16" s="10"/>
      <c r="F16" s="10"/>
      <c r="G16" s="10"/>
      <c r="H16" s="186" t="s">
        <v>35</v>
      </c>
      <c r="I16" s="162"/>
      <c r="J16" s="62"/>
      <c r="K16" s="62"/>
      <c r="L16" s="62"/>
      <c r="M16" s="63"/>
      <c r="N16" s="26"/>
      <c r="O16" s="234"/>
      <c r="P16" s="386"/>
      <c r="Q16" s="37"/>
      <c r="R16" s="186" t="s">
        <v>35</v>
      </c>
      <c r="S16" s="162"/>
      <c r="T16" s="62"/>
      <c r="U16" s="62"/>
      <c r="V16" s="62"/>
      <c r="W16" s="63"/>
      <c r="X16" s="26"/>
      <c r="Y16" s="234"/>
      <c r="Z16" s="386"/>
      <c r="AA16" s="37"/>
      <c r="AB16" s="186" t="s">
        <v>35</v>
      </c>
      <c r="AC16" s="162"/>
      <c r="AD16" s="62"/>
      <c r="AE16" s="62"/>
      <c r="AF16" s="62"/>
      <c r="AG16" s="63"/>
      <c r="AH16" s="26"/>
      <c r="AI16" s="234"/>
      <c r="AJ16" s="162"/>
      <c r="AK16" s="162"/>
    </row>
    <row r="17" spans="1:37" ht="15.75" x14ac:dyDescent="0.25">
      <c r="A17" s="299" t="s">
        <v>8</v>
      </c>
      <c r="B17" s="218"/>
      <c r="C17" s="220"/>
      <c r="D17" s="10"/>
      <c r="E17" s="10"/>
      <c r="F17" s="10"/>
      <c r="G17" s="10"/>
      <c r="H17" s="184" t="s">
        <v>372</v>
      </c>
      <c r="I17" s="162"/>
      <c r="J17" s="62"/>
      <c r="K17" s="62">
        <v>50.91</v>
      </c>
      <c r="L17" s="62"/>
      <c r="M17" s="40" t="str">
        <f t="shared" ref="M17" si="8">J17&amp;" hrs @ "&amp;K17</f>
        <v xml:space="preserve"> hrs @ 50.91</v>
      </c>
      <c r="N17" s="26"/>
      <c r="O17" s="234"/>
      <c r="P17" s="386"/>
      <c r="Q17" s="37"/>
      <c r="R17" s="184" t="s">
        <v>372</v>
      </c>
      <c r="S17" s="162">
        <f t="shared" ref="S17" si="9">T17*U17</f>
        <v>0</v>
      </c>
      <c r="T17" s="62"/>
      <c r="U17" s="62">
        <v>50.91</v>
      </c>
      <c r="V17" s="62"/>
      <c r="W17" s="40" t="str">
        <f t="shared" ref="W17" si="10">T17&amp;" hrs @ "&amp;U17</f>
        <v xml:space="preserve"> hrs @ 50.91</v>
      </c>
      <c r="X17" s="26"/>
      <c r="Y17" s="234"/>
      <c r="Z17" s="386"/>
      <c r="AA17" s="37"/>
      <c r="AB17" s="184" t="s">
        <v>372</v>
      </c>
      <c r="AC17" s="162">
        <f t="shared" ref="AC17" si="11">AD17*AE17</f>
        <v>0</v>
      </c>
      <c r="AD17" s="62"/>
      <c r="AE17" s="62">
        <v>50.91</v>
      </c>
      <c r="AF17" s="62"/>
      <c r="AG17" s="40" t="str">
        <f t="shared" ref="AG17" si="12">AD17&amp;" hrs @ "&amp;AE17</f>
        <v xml:space="preserve"> hrs @ 50.91</v>
      </c>
      <c r="AH17" s="26"/>
      <c r="AI17" s="234"/>
      <c r="AJ17" s="162">
        <f>I17+S17+AC17</f>
        <v>0</v>
      </c>
      <c r="AK17" s="162"/>
    </row>
    <row r="18" spans="1:37" ht="15.75" x14ac:dyDescent="0.25">
      <c r="A18" s="299" t="s">
        <v>8</v>
      </c>
      <c r="B18" s="218" t="str">
        <f t="shared" si="0"/>
        <v>Account ServicesSupervisor</v>
      </c>
      <c r="C18" s="217" t="s">
        <v>48</v>
      </c>
      <c r="D18" s="10"/>
      <c r="E18" s="10"/>
      <c r="F18" s="10"/>
      <c r="G18" s="10"/>
      <c r="H18" s="184" t="s">
        <v>373</v>
      </c>
      <c r="I18" s="158">
        <f t="shared" ref="I18" si="13">J18*K18</f>
        <v>21910.5</v>
      </c>
      <c r="J18" s="42">
        <v>541</v>
      </c>
      <c r="K18" s="259">
        <v>40.5</v>
      </c>
      <c r="L18" s="43"/>
      <c r="M18" s="40" t="str">
        <f t="shared" ref="M18" si="14">J18&amp;" hrs @ "&amp;K18</f>
        <v>541 hrs @ 40.5</v>
      </c>
      <c r="N18" s="26"/>
      <c r="O18" s="235"/>
      <c r="P18" s="386"/>
      <c r="Q18" s="41"/>
      <c r="R18" s="184" t="s">
        <v>373</v>
      </c>
      <c r="S18" s="158">
        <f t="shared" ref="S18" si="15">T18*U18</f>
        <v>5062.5</v>
      </c>
      <c r="T18" s="42">
        <v>125</v>
      </c>
      <c r="U18" s="259">
        <v>40.5</v>
      </c>
      <c r="V18" s="43"/>
      <c r="W18" s="40" t="str">
        <f t="shared" ref="W18" si="16">T18&amp;" hrs @ "&amp;U18</f>
        <v>125 hrs @ 40.5</v>
      </c>
      <c r="X18" s="26"/>
      <c r="Y18" s="235"/>
      <c r="Z18" s="386"/>
      <c r="AA18" s="41"/>
      <c r="AB18" s="184" t="s">
        <v>373</v>
      </c>
      <c r="AC18" s="158">
        <f t="shared" ref="AC18" si="17">AD18*AE18</f>
        <v>0</v>
      </c>
      <c r="AD18" s="42">
        <f>+ROUND('FTE Alloc OR &amp; WA'!O31*2080,0)</f>
        <v>0</v>
      </c>
      <c r="AE18" s="259">
        <v>40.5</v>
      </c>
      <c r="AF18" s="43"/>
      <c r="AG18" s="40" t="str">
        <f t="shared" ref="AG18" si="18">AD18&amp;" hrs @ "&amp;AE18</f>
        <v>0 hrs @ 40.5</v>
      </c>
      <c r="AH18" s="26"/>
      <c r="AI18" s="235"/>
      <c r="AJ18" s="158">
        <f>I18+S18+AC18</f>
        <v>26973</v>
      </c>
      <c r="AK18" s="158"/>
    </row>
    <row r="19" spans="1:37" ht="15.75" x14ac:dyDescent="0.25">
      <c r="A19" s="299" t="s">
        <v>8</v>
      </c>
      <c r="B19" s="218"/>
      <c r="C19" s="217"/>
      <c r="D19" s="10"/>
      <c r="E19" s="10"/>
      <c r="F19" s="10"/>
      <c r="G19" s="10"/>
      <c r="H19" s="255" t="s">
        <v>32</v>
      </c>
      <c r="I19" s="393">
        <f>SUM(I16:I18)</f>
        <v>21910.5</v>
      </c>
      <c r="J19" s="394"/>
      <c r="K19" s="395"/>
      <c r="L19" s="395"/>
      <c r="M19" s="396"/>
      <c r="N19" s="26"/>
      <c r="O19" s="234"/>
      <c r="P19" s="386"/>
      <c r="Q19" s="41"/>
      <c r="R19" s="255" t="s">
        <v>32</v>
      </c>
      <c r="S19" s="393">
        <f>SUM(S16:S18)</f>
        <v>5062.5</v>
      </c>
      <c r="T19" s="394"/>
      <c r="U19" s="395"/>
      <c r="V19" s="395"/>
      <c r="W19" s="396"/>
      <c r="X19" s="26"/>
      <c r="Y19" s="234"/>
      <c r="Z19" s="386"/>
      <c r="AA19" s="41"/>
      <c r="AB19" s="255" t="s">
        <v>32</v>
      </c>
      <c r="AC19" s="393">
        <f>SUM(AC16:AC18)</f>
        <v>0</v>
      </c>
      <c r="AD19" s="394"/>
      <c r="AE19" s="395"/>
      <c r="AF19" s="395"/>
      <c r="AG19" s="396"/>
      <c r="AH19" s="26"/>
      <c r="AI19" s="234"/>
      <c r="AJ19" s="393">
        <f>I19+S19+AC19</f>
        <v>26973</v>
      </c>
      <c r="AK19" s="393"/>
    </row>
    <row r="20" spans="1:37" ht="15.75" x14ac:dyDescent="0.25">
      <c r="A20" s="299" t="s">
        <v>8</v>
      </c>
      <c r="B20" s="218" t="str">
        <f t="shared" si="0"/>
        <v>Account ServicesBenefits</v>
      </c>
      <c r="C20" s="217" t="s">
        <v>48</v>
      </c>
      <c r="D20" s="10"/>
      <c r="E20" s="10"/>
      <c r="F20" s="10"/>
      <c r="G20" s="10"/>
      <c r="H20" s="184" t="s">
        <v>33</v>
      </c>
      <c r="I20" s="159">
        <f>I19*$O$2</f>
        <v>21601.561949999999</v>
      </c>
      <c r="J20" s="42"/>
      <c r="K20" s="39"/>
      <c r="L20" s="156"/>
      <c r="M20" s="45" t="str">
        <f>"@ "&amp;$O$2*100&amp;" %"</f>
        <v>@ 98.59 %</v>
      </c>
      <c r="N20" s="26"/>
      <c r="O20" s="236"/>
      <c r="P20" s="386"/>
      <c r="Q20" s="41"/>
      <c r="R20" s="184" t="s">
        <v>33</v>
      </c>
      <c r="S20" s="159">
        <f>S19*$O$2</f>
        <v>4991.1187499999996</v>
      </c>
      <c r="T20" s="42"/>
      <c r="U20" s="39"/>
      <c r="V20" s="156"/>
      <c r="W20" s="45" t="str">
        <f>"@ "&amp;$O$2*100&amp;" %"</f>
        <v>@ 98.59 %</v>
      </c>
      <c r="X20" s="26"/>
      <c r="Y20" s="236"/>
      <c r="Z20" s="386"/>
      <c r="AA20" s="41"/>
      <c r="AB20" s="184" t="s">
        <v>33</v>
      </c>
      <c r="AC20" s="159">
        <f>AC19*$O$2</f>
        <v>0</v>
      </c>
      <c r="AD20" s="42"/>
      <c r="AE20" s="39"/>
      <c r="AF20" s="156"/>
      <c r="AG20" s="45" t="str">
        <f>"@ "&amp;$O$2*100&amp;" %"</f>
        <v>@ 98.59 %</v>
      </c>
      <c r="AH20" s="26"/>
      <c r="AI20" s="236"/>
      <c r="AJ20" s="159">
        <f>I20+S20+AC20</f>
        <v>26592.680699999997</v>
      </c>
      <c r="AK20" s="159"/>
    </row>
    <row r="21" spans="1:37" ht="15.75" x14ac:dyDescent="0.25">
      <c r="A21" s="299" t="s">
        <v>8</v>
      </c>
      <c r="B21" s="218" t="str">
        <f t="shared" si="0"/>
        <v>Account ServicesTotal</v>
      </c>
      <c r="C21" s="220" t="s">
        <v>50</v>
      </c>
      <c r="D21" s="10"/>
      <c r="E21" s="10"/>
      <c r="F21" s="10"/>
      <c r="G21" s="10"/>
      <c r="H21" s="185" t="s">
        <v>34</v>
      </c>
      <c r="I21" s="165">
        <f>I20+I18</f>
        <v>43512.061950000003</v>
      </c>
      <c r="J21" s="68"/>
      <c r="K21" s="68"/>
      <c r="L21" s="68"/>
      <c r="M21" s="63"/>
      <c r="N21" s="420">
        <f>I21</f>
        <v>43512.061950000003</v>
      </c>
      <c r="O21" s="233">
        <f>N21/N45</f>
        <v>0.15094819391216766</v>
      </c>
      <c r="P21" s="386"/>
      <c r="Q21" s="41"/>
      <c r="R21" s="185" t="s">
        <v>34</v>
      </c>
      <c r="S21" s="165">
        <f>S20+S18</f>
        <v>10053.61875</v>
      </c>
      <c r="T21" s="68"/>
      <c r="U21" s="68"/>
      <c r="V21" s="68"/>
      <c r="W21" s="63"/>
      <c r="X21" s="420">
        <f>S21</f>
        <v>10053.61875</v>
      </c>
      <c r="Y21" s="233">
        <f>X21/X45</f>
        <v>0.41314909384554177</v>
      </c>
      <c r="Z21" s="386"/>
      <c r="AA21" s="41"/>
      <c r="AB21" s="185" t="s">
        <v>34</v>
      </c>
      <c r="AC21" s="165">
        <f>AC20+AC18</f>
        <v>0</v>
      </c>
      <c r="AD21" s="68"/>
      <c r="AE21" s="68"/>
      <c r="AF21" s="68"/>
      <c r="AG21" s="63"/>
      <c r="AH21" s="420">
        <f>AC21</f>
        <v>0</v>
      </c>
      <c r="AI21" s="233" t="e">
        <f>AH21/AH45</f>
        <v>#DIV/0!</v>
      </c>
      <c r="AJ21" s="165">
        <f>I21+S21+AC21</f>
        <v>53565.680700000004</v>
      </c>
      <c r="AK21" s="165"/>
    </row>
    <row r="22" spans="1:37" ht="15.75" x14ac:dyDescent="0.25">
      <c r="A22" s="299" t="s">
        <v>8</v>
      </c>
      <c r="B22" s="218" t="str">
        <f t="shared" si="0"/>
        <v>Account Services</v>
      </c>
      <c r="C22" s="217" t="s">
        <v>48</v>
      </c>
      <c r="D22" s="10"/>
      <c r="E22" s="10"/>
      <c r="F22" s="10"/>
      <c r="G22" s="10"/>
      <c r="H22" s="179"/>
      <c r="I22" s="166"/>
      <c r="J22" s="69"/>
      <c r="K22" s="69"/>
      <c r="L22" s="69"/>
      <c r="M22" s="70"/>
      <c r="N22" s="72"/>
      <c r="O22" s="235"/>
      <c r="P22" s="387"/>
      <c r="Q22" s="60"/>
      <c r="R22" s="179"/>
      <c r="S22" s="166"/>
      <c r="T22" s="69"/>
      <c r="U22" s="69"/>
      <c r="V22" s="69"/>
      <c r="W22" s="70"/>
      <c r="X22" s="72"/>
      <c r="Y22" s="235"/>
      <c r="Z22" s="387"/>
      <c r="AA22" s="60"/>
      <c r="AB22" s="179"/>
      <c r="AC22" s="166"/>
      <c r="AD22" s="69"/>
      <c r="AE22" s="69"/>
      <c r="AF22" s="69"/>
      <c r="AG22" s="70"/>
      <c r="AH22" s="72"/>
      <c r="AI22" s="235"/>
      <c r="AJ22" s="166"/>
      <c r="AK22" s="166"/>
    </row>
    <row r="23" spans="1:37" ht="15.75" x14ac:dyDescent="0.25">
      <c r="A23" s="299" t="s">
        <v>8</v>
      </c>
      <c r="B23" s="218" t="str">
        <f t="shared" si="0"/>
        <v>Account ServicesEQUIPMENT</v>
      </c>
      <c r="C23" s="220" t="s">
        <v>50</v>
      </c>
      <c r="D23" s="10"/>
      <c r="E23" s="10"/>
      <c r="F23" s="10"/>
      <c r="G23" s="10"/>
      <c r="H23" s="186" t="s">
        <v>36</v>
      </c>
      <c r="I23" s="167"/>
      <c r="J23" s="74"/>
      <c r="K23" s="74"/>
      <c r="L23" s="74"/>
      <c r="M23" s="66"/>
      <c r="N23" s="76"/>
      <c r="O23" s="237"/>
      <c r="P23" s="386"/>
      <c r="Q23" s="37"/>
      <c r="R23" s="186" t="s">
        <v>36</v>
      </c>
      <c r="S23" s="167"/>
      <c r="T23" s="74"/>
      <c r="U23" s="74"/>
      <c r="V23" s="74"/>
      <c r="W23" s="66"/>
      <c r="X23" s="76"/>
      <c r="Y23" s="237"/>
      <c r="Z23" s="386"/>
      <c r="AA23" s="37"/>
      <c r="AB23" s="186" t="s">
        <v>36</v>
      </c>
      <c r="AC23" s="167"/>
      <c r="AD23" s="74"/>
      <c r="AE23" s="74"/>
      <c r="AF23" s="74"/>
      <c r="AG23" s="66"/>
      <c r="AH23" s="76"/>
      <c r="AI23" s="237"/>
      <c r="AJ23" s="167"/>
      <c r="AK23" s="167"/>
    </row>
    <row r="24" spans="1:37" ht="15.75" x14ac:dyDescent="0.25">
      <c r="A24" s="299" t="s">
        <v>8</v>
      </c>
      <c r="B24" s="218" t="str">
        <f t="shared" si="0"/>
        <v>Account Services</v>
      </c>
      <c r="C24" s="217" t="s">
        <v>48</v>
      </c>
      <c r="D24" s="10"/>
      <c r="E24" s="10"/>
      <c r="F24" s="10"/>
      <c r="G24" s="10"/>
      <c r="H24" s="187"/>
      <c r="I24" s="158">
        <f t="shared" ref="I24:I27" si="19">J24*K24</f>
        <v>0</v>
      </c>
      <c r="J24" s="42"/>
      <c r="K24" s="39"/>
      <c r="L24" s="39"/>
      <c r="M24" s="40" t="str">
        <f>J24&amp;" hrs @ "&amp;K24</f>
        <v xml:space="preserve"> hrs @ </v>
      </c>
      <c r="N24" s="76"/>
      <c r="O24" s="237"/>
      <c r="P24" s="386"/>
      <c r="Q24" s="37"/>
      <c r="R24" s="187"/>
      <c r="S24" s="158">
        <f t="shared" ref="S24:S27" si="20">T24*U24</f>
        <v>0</v>
      </c>
      <c r="T24" s="42"/>
      <c r="U24" s="39"/>
      <c r="V24" s="39"/>
      <c r="W24" s="40" t="str">
        <f>T24&amp;" hrs @ "&amp;U24</f>
        <v xml:space="preserve"> hrs @ </v>
      </c>
      <c r="X24" s="76"/>
      <c r="Y24" s="237"/>
      <c r="Z24" s="386"/>
      <c r="AA24" s="37"/>
      <c r="AB24" s="187"/>
      <c r="AC24" s="158">
        <f t="shared" ref="AC24:AC27" si="21">AD24*AE24</f>
        <v>0</v>
      </c>
      <c r="AD24" s="42"/>
      <c r="AE24" s="39"/>
      <c r="AF24" s="39"/>
      <c r="AG24" s="40" t="str">
        <f>AD24&amp;" hrs @ "&amp;AE24</f>
        <v xml:space="preserve"> hrs @ </v>
      </c>
      <c r="AH24" s="76"/>
      <c r="AI24" s="237"/>
      <c r="AJ24" s="158"/>
      <c r="AK24" s="158"/>
    </row>
    <row r="25" spans="1:37" ht="15.75" x14ac:dyDescent="0.25">
      <c r="A25" s="299" t="s">
        <v>8</v>
      </c>
      <c r="B25" s="218" t="str">
        <f t="shared" si="0"/>
        <v>Account Services</v>
      </c>
      <c r="C25" s="217" t="s">
        <v>48</v>
      </c>
      <c r="D25" s="10"/>
      <c r="E25" s="10"/>
      <c r="F25" s="10"/>
      <c r="G25" s="10"/>
      <c r="H25" s="187"/>
      <c r="I25" s="158">
        <f t="shared" si="19"/>
        <v>0</v>
      </c>
      <c r="J25" s="42"/>
      <c r="K25" s="39"/>
      <c r="L25" s="42"/>
      <c r="M25" s="40" t="str">
        <f t="shared" ref="M25:M27" si="22">J25&amp;" hrs @ "&amp;K25</f>
        <v xml:space="preserve"> hrs @ </v>
      </c>
      <c r="N25" s="79"/>
      <c r="O25" s="238"/>
      <c r="P25" s="388"/>
      <c r="Q25" s="81"/>
      <c r="R25" s="187"/>
      <c r="S25" s="158">
        <f t="shared" si="20"/>
        <v>0</v>
      </c>
      <c r="T25" s="42"/>
      <c r="U25" s="39"/>
      <c r="V25" s="42"/>
      <c r="W25" s="40" t="str">
        <f t="shared" ref="W25:W27" si="23">T25&amp;" hrs @ "&amp;U25</f>
        <v xml:space="preserve"> hrs @ </v>
      </c>
      <c r="X25" s="79"/>
      <c r="Y25" s="238"/>
      <c r="Z25" s="388"/>
      <c r="AA25" s="81"/>
      <c r="AB25" s="187"/>
      <c r="AC25" s="158">
        <f t="shared" si="21"/>
        <v>0</v>
      </c>
      <c r="AD25" s="42"/>
      <c r="AE25" s="39"/>
      <c r="AF25" s="42"/>
      <c r="AG25" s="40" t="str">
        <f t="shared" ref="AG25:AG27" si="24">AD25&amp;" hrs @ "&amp;AE25</f>
        <v xml:space="preserve"> hrs @ </v>
      </c>
      <c r="AH25" s="79"/>
      <c r="AI25" s="238"/>
      <c r="AJ25" s="158"/>
      <c r="AK25" s="158"/>
    </row>
    <row r="26" spans="1:37" ht="15.75" x14ac:dyDescent="0.25">
      <c r="A26" s="299" t="s">
        <v>8</v>
      </c>
      <c r="B26" s="218" t="str">
        <f t="shared" si="0"/>
        <v>Account Services</v>
      </c>
      <c r="C26" s="217" t="s">
        <v>48</v>
      </c>
      <c r="D26" s="10"/>
      <c r="E26" s="10"/>
      <c r="F26" s="10"/>
      <c r="G26" s="10"/>
      <c r="H26" s="187"/>
      <c r="I26" s="158">
        <f t="shared" si="19"/>
        <v>0</v>
      </c>
      <c r="J26" s="42"/>
      <c r="K26" s="39"/>
      <c r="L26" s="42"/>
      <c r="M26" s="40" t="str">
        <f t="shared" si="22"/>
        <v xml:space="preserve"> hrs @ </v>
      </c>
      <c r="N26" s="79"/>
      <c r="O26" s="238"/>
      <c r="P26" s="388"/>
      <c r="Q26" s="81"/>
      <c r="R26" s="187"/>
      <c r="S26" s="158">
        <f t="shared" si="20"/>
        <v>0</v>
      </c>
      <c r="T26" s="42"/>
      <c r="U26" s="39"/>
      <c r="V26" s="42"/>
      <c r="W26" s="40" t="str">
        <f t="shared" si="23"/>
        <v xml:space="preserve"> hrs @ </v>
      </c>
      <c r="X26" s="79"/>
      <c r="Y26" s="238"/>
      <c r="Z26" s="388"/>
      <c r="AA26" s="81"/>
      <c r="AB26" s="187"/>
      <c r="AC26" s="158">
        <f t="shared" si="21"/>
        <v>0</v>
      </c>
      <c r="AD26" s="42"/>
      <c r="AE26" s="39"/>
      <c r="AF26" s="42"/>
      <c r="AG26" s="40" t="str">
        <f t="shared" si="24"/>
        <v xml:space="preserve"> hrs @ </v>
      </c>
      <c r="AH26" s="79"/>
      <c r="AI26" s="238"/>
      <c r="AJ26" s="158"/>
      <c r="AK26" s="158"/>
    </row>
    <row r="27" spans="1:37" ht="15.75" x14ac:dyDescent="0.25">
      <c r="A27" s="299" t="s">
        <v>8</v>
      </c>
      <c r="B27" s="218" t="str">
        <f t="shared" si="0"/>
        <v>Account Services</v>
      </c>
      <c r="C27" s="217" t="s">
        <v>48</v>
      </c>
      <c r="D27" s="10"/>
      <c r="E27" s="10"/>
      <c r="F27" s="10"/>
      <c r="G27" s="10"/>
      <c r="H27" s="187"/>
      <c r="I27" s="158">
        <f t="shared" si="19"/>
        <v>0</v>
      </c>
      <c r="J27" s="42"/>
      <c r="K27" s="39"/>
      <c r="L27" s="43"/>
      <c r="M27" s="40" t="str">
        <f t="shared" si="22"/>
        <v xml:space="preserve"> hrs @ </v>
      </c>
      <c r="N27" s="79"/>
      <c r="O27" s="239"/>
      <c r="P27" s="388"/>
      <c r="Q27" s="81"/>
      <c r="R27" s="187"/>
      <c r="S27" s="158">
        <f t="shared" si="20"/>
        <v>0</v>
      </c>
      <c r="T27" s="42"/>
      <c r="U27" s="39"/>
      <c r="V27" s="43"/>
      <c r="W27" s="40" t="str">
        <f t="shared" si="23"/>
        <v xml:space="preserve"> hrs @ </v>
      </c>
      <c r="X27" s="79"/>
      <c r="Y27" s="239"/>
      <c r="Z27" s="388"/>
      <c r="AA27" s="81"/>
      <c r="AB27" s="187"/>
      <c r="AC27" s="158">
        <f t="shared" si="21"/>
        <v>0</v>
      </c>
      <c r="AD27" s="42"/>
      <c r="AE27" s="39"/>
      <c r="AF27" s="43"/>
      <c r="AG27" s="40" t="str">
        <f t="shared" si="24"/>
        <v xml:space="preserve"> hrs @ </v>
      </c>
      <c r="AH27" s="79"/>
      <c r="AI27" s="239"/>
      <c r="AJ27" s="158"/>
      <c r="AK27" s="158"/>
    </row>
    <row r="28" spans="1:37" ht="15.75" x14ac:dyDescent="0.25">
      <c r="A28" s="299" t="s">
        <v>8</v>
      </c>
      <c r="B28" s="218" t="str">
        <f t="shared" si="0"/>
        <v>Account ServicesTotal Equipment</v>
      </c>
      <c r="C28" s="220" t="s">
        <v>50</v>
      </c>
      <c r="D28" s="10"/>
      <c r="E28" s="116">
        <f>I28</f>
        <v>0</v>
      </c>
      <c r="F28" s="116">
        <f>S28</f>
        <v>0</v>
      </c>
      <c r="G28" s="116">
        <f>AC28</f>
        <v>0</v>
      </c>
      <c r="H28" s="188" t="s">
        <v>37</v>
      </c>
      <c r="I28" s="165">
        <f>SUM(I24:I27)</f>
        <v>0</v>
      </c>
      <c r="J28" s="68"/>
      <c r="K28" s="68"/>
      <c r="L28" s="68"/>
      <c r="M28" s="66"/>
      <c r="N28" s="420">
        <f>I28</f>
        <v>0</v>
      </c>
      <c r="O28" s="240">
        <f>N28/N45</f>
        <v>0</v>
      </c>
      <c r="P28" s="388"/>
      <c r="Q28" s="81"/>
      <c r="R28" s="188" t="s">
        <v>37</v>
      </c>
      <c r="S28" s="165">
        <f>SUM(S24:S27)</f>
        <v>0</v>
      </c>
      <c r="T28" s="68"/>
      <c r="U28" s="68"/>
      <c r="V28" s="68"/>
      <c r="W28" s="66"/>
      <c r="X28" s="420">
        <f>S28</f>
        <v>0</v>
      </c>
      <c r="Y28" s="240">
        <f>X28/X45</f>
        <v>0</v>
      </c>
      <c r="Z28" s="388"/>
      <c r="AA28" s="81"/>
      <c r="AB28" s="188" t="s">
        <v>37</v>
      </c>
      <c r="AC28" s="165">
        <f>SUM(AC24:AC27)</f>
        <v>0</v>
      </c>
      <c r="AD28" s="68"/>
      <c r="AE28" s="68"/>
      <c r="AF28" s="68"/>
      <c r="AG28" s="66"/>
      <c r="AH28" s="420">
        <f>AC28</f>
        <v>0</v>
      </c>
      <c r="AI28" s="240" t="e">
        <f>AH28/AH45</f>
        <v>#DIV/0!</v>
      </c>
      <c r="AJ28" s="165">
        <f>I28+S28+AC28</f>
        <v>0</v>
      </c>
      <c r="AK28" s="165"/>
    </row>
    <row r="29" spans="1:37" ht="15.75" x14ac:dyDescent="0.25">
      <c r="A29" s="299" t="s">
        <v>8</v>
      </c>
      <c r="B29" s="218" t="str">
        <f t="shared" si="0"/>
        <v>Account Services</v>
      </c>
      <c r="C29" s="217" t="s">
        <v>48</v>
      </c>
      <c r="D29" s="10"/>
      <c r="E29" s="10"/>
      <c r="F29" s="10"/>
      <c r="G29" s="10"/>
      <c r="H29" s="189"/>
      <c r="I29" s="169"/>
      <c r="J29" s="85"/>
      <c r="K29" s="85"/>
      <c r="L29" s="85"/>
      <c r="M29" s="86"/>
      <c r="N29" s="88"/>
      <c r="O29" s="241"/>
      <c r="P29" s="389"/>
      <c r="Q29" s="60"/>
      <c r="R29" s="189"/>
      <c r="S29" s="169"/>
      <c r="T29" s="85"/>
      <c r="U29" s="85"/>
      <c r="V29" s="85"/>
      <c r="W29" s="86"/>
      <c r="X29" s="88"/>
      <c r="Y29" s="241"/>
      <c r="Z29" s="389"/>
      <c r="AA29" s="60"/>
      <c r="AB29" s="189"/>
      <c r="AC29" s="169"/>
      <c r="AD29" s="85"/>
      <c r="AE29" s="85"/>
      <c r="AF29" s="85"/>
      <c r="AG29" s="86"/>
      <c r="AH29" s="88"/>
      <c r="AI29" s="241"/>
      <c r="AJ29" s="169"/>
      <c r="AK29" s="169"/>
    </row>
    <row r="30" spans="1:37" ht="15.75" x14ac:dyDescent="0.25">
      <c r="A30" s="299" t="s">
        <v>8</v>
      </c>
      <c r="B30" s="218" t="str">
        <f t="shared" si="0"/>
        <v>Account ServicesIS SUPPORT</v>
      </c>
      <c r="C30" s="220" t="s">
        <v>50</v>
      </c>
      <c r="D30" s="10"/>
      <c r="E30" s="10"/>
      <c r="F30" s="10"/>
      <c r="G30" s="10"/>
      <c r="H30" s="186" t="s">
        <v>38</v>
      </c>
      <c r="I30" s="167"/>
      <c r="J30" s="74"/>
      <c r="K30" s="74"/>
      <c r="L30" s="74"/>
      <c r="M30" s="66"/>
      <c r="N30" s="91"/>
      <c r="O30" s="227"/>
      <c r="P30" s="390"/>
      <c r="Q30" s="37"/>
      <c r="R30" s="186" t="s">
        <v>38</v>
      </c>
      <c r="S30" s="167"/>
      <c r="T30" s="74"/>
      <c r="U30" s="74"/>
      <c r="V30" s="74"/>
      <c r="W30" s="66"/>
      <c r="X30" s="91"/>
      <c r="Y30" s="227"/>
      <c r="Z30" s="390"/>
      <c r="AA30" s="37"/>
      <c r="AB30" s="186" t="s">
        <v>38</v>
      </c>
      <c r="AC30" s="167"/>
      <c r="AD30" s="74"/>
      <c r="AE30" s="74"/>
      <c r="AF30" s="74"/>
      <c r="AG30" s="66"/>
      <c r="AH30" s="91"/>
      <c r="AI30" s="227"/>
      <c r="AJ30" s="167"/>
      <c r="AK30" s="167"/>
    </row>
    <row r="31" spans="1:37" ht="15.75" x14ac:dyDescent="0.25">
      <c r="A31" s="299" t="s">
        <v>8</v>
      </c>
      <c r="B31" s="218" t="str">
        <f t="shared" si="0"/>
        <v>Account ServicesAnalyst Labor</v>
      </c>
      <c r="C31" s="217" t="s">
        <v>48</v>
      </c>
      <c r="D31" s="10"/>
      <c r="E31" s="10"/>
      <c r="F31" s="10"/>
      <c r="G31" s="10"/>
      <c r="H31" s="184" t="s">
        <v>39</v>
      </c>
      <c r="I31" s="162">
        <f>J31*K31</f>
        <v>0</v>
      </c>
      <c r="J31" s="42"/>
      <c r="K31" s="39"/>
      <c r="L31" s="39"/>
      <c r="M31" s="40" t="str">
        <f>J31&amp;" hrs @ "&amp;K31</f>
        <v xml:space="preserve"> hrs @ </v>
      </c>
      <c r="N31" s="94"/>
      <c r="O31" s="242"/>
      <c r="P31" s="390"/>
      <c r="Q31" s="37"/>
      <c r="R31" s="184" t="s">
        <v>39</v>
      </c>
      <c r="S31" s="162">
        <f>T31*U31</f>
        <v>0</v>
      </c>
      <c r="T31" s="42"/>
      <c r="U31" s="39"/>
      <c r="V31" s="39"/>
      <c r="W31" s="40" t="str">
        <f>T31&amp;" hrs @ "&amp;U31</f>
        <v xml:space="preserve"> hrs @ </v>
      </c>
      <c r="X31" s="94"/>
      <c r="Y31" s="242"/>
      <c r="Z31" s="390"/>
      <c r="AA31" s="37"/>
      <c r="AB31" s="184" t="s">
        <v>39</v>
      </c>
      <c r="AC31" s="162">
        <f>AD31*AE31</f>
        <v>0</v>
      </c>
      <c r="AD31" s="42"/>
      <c r="AE31" s="39"/>
      <c r="AF31" s="39"/>
      <c r="AG31" s="40" t="str">
        <f>AD31&amp;" hrs @ "&amp;AE31</f>
        <v xml:space="preserve"> hrs @ </v>
      </c>
      <c r="AH31" s="94"/>
      <c r="AI31" s="242"/>
      <c r="AJ31" s="162"/>
      <c r="AK31" s="162"/>
    </row>
    <row r="32" spans="1:37" ht="15.75" x14ac:dyDescent="0.25">
      <c r="A32" s="299" t="s">
        <v>8</v>
      </c>
      <c r="B32" s="218" t="str">
        <f t="shared" si="0"/>
        <v>Account ServicesAnalyst Benefits</v>
      </c>
      <c r="C32" s="217" t="s">
        <v>48</v>
      </c>
      <c r="D32" s="10"/>
      <c r="E32" s="10"/>
      <c r="F32" s="10"/>
      <c r="G32" s="10"/>
      <c r="H32" s="184" t="s">
        <v>40</v>
      </c>
      <c r="I32" s="159">
        <f>I31*$O$2</f>
        <v>0</v>
      </c>
      <c r="J32" s="42"/>
      <c r="K32" s="39"/>
      <c r="L32" s="156"/>
      <c r="M32" s="45" t="str">
        <f>"@ "&amp;$O$2*100&amp;" %"</f>
        <v>@ 98.59 %</v>
      </c>
      <c r="N32" s="94"/>
      <c r="O32" s="228"/>
      <c r="P32" s="390"/>
      <c r="Q32" s="37"/>
      <c r="R32" s="184" t="s">
        <v>40</v>
      </c>
      <c r="S32" s="159">
        <f>S31*$O$2</f>
        <v>0</v>
      </c>
      <c r="T32" s="42"/>
      <c r="U32" s="39"/>
      <c r="V32" s="156"/>
      <c r="W32" s="45" t="str">
        <f>"@ "&amp;$O$2*100&amp;" %"</f>
        <v>@ 98.59 %</v>
      </c>
      <c r="X32" s="94"/>
      <c r="Y32" s="228"/>
      <c r="Z32" s="390"/>
      <c r="AA32" s="37"/>
      <c r="AB32" s="184" t="s">
        <v>40</v>
      </c>
      <c r="AC32" s="159">
        <f>AC31*$O$2</f>
        <v>0</v>
      </c>
      <c r="AD32" s="42"/>
      <c r="AE32" s="39"/>
      <c r="AF32" s="156"/>
      <c r="AG32" s="45" t="str">
        <f>"@ "&amp;$O$2*100&amp;" %"</f>
        <v>@ 98.59 %</v>
      </c>
      <c r="AH32" s="94"/>
      <c r="AI32" s="228"/>
      <c r="AJ32" s="159"/>
      <c r="AK32" s="159"/>
    </row>
    <row r="33" spans="1:37" ht="15.75" x14ac:dyDescent="0.25">
      <c r="A33" s="299" t="s">
        <v>8</v>
      </c>
      <c r="B33" s="218" t="str">
        <f t="shared" si="0"/>
        <v>Account ServicesTotal IS</v>
      </c>
      <c r="C33" s="220" t="s">
        <v>50</v>
      </c>
      <c r="D33" s="10"/>
      <c r="E33" s="10"/>
      <c r="F33" s="10"/>
      <c r="G33" s="10"/>
      <c r="H33" s="185" t="s">
        <v>41</v>
      </c>
      <c r="I33" s="165">
        <f>I31+I32</f>
        <v>0</v>
      </c>
      <c r="J33" s="68"/>
      <c r="K33" s="68"/>
      <c r="L33" s="68"/>
      <c r="M33" s="66"/>
      <c r="N33" s="420">
        <f>I33</f>
        <v>0</v>
      </c>
      <c r="O33" s="240">
        <f>N33/N45</f>
        <v>0</v>
      </c>
      <c r="P33" s="390"/>
      <c r="Q33" s="37"/>
      <c r="R33" s="185" t="s">
        <v>41</v>
      </c>
      <c r="S33" s="165">
        <f>S31+S32</f>
        <v>0</v>
      </c>
      <c r="T33" s="68"/>
      <c r="U33" s="68"/>
      <c r="V33" s="68"/>
      <c r="W33" s="66"/>
      <c r="X33" s="420">
        <f>S33</f>
        <v>0</v>
      </c>
      <c r="Y33" s="240">
        <f>X33/X45</f>
        <v>0</v>
      </c>
      <c r="Z33" s="390"/>
      <c r="AA33" s="37"/>
      <c r="AB33" s="185" t="s">
        <v>41</v>
      </c>
      <c r="AC33" s="165">
        <f>AC31+AC32</f>
        <v>0</v>
      </c>
      <c r="AD33" s="68"/>
      <c r="AE33" s="68"/>
      <c r="AF33" s="68"/>
      <c r="AG33" s="66"/>
      <c r="AH33" s="420">
        <f>AC33</f>
        <v>0</v>
      </c>
      <c r="AI33" s="240" t="e">
        <f>AH33/AH45</f>
        <v>#DIV/0!</v>
      </c>
      <c r="AJ33" s="165">
        <f>I33+S33+AC33</f>
        <v>0</v>
      </c>
      <c r="AK33" s="165"/>
    </row>
    <row r="34" spans="1:37" ht="15.75" x14ac:dyDescent="0.25">
      <c r="A34" s="299" t="s">
        <v>8</v>
      </c>
      <c r="B34" s="218" t="str">
        <f t="shared" si="0"/>
        <v>Account Services</v>
      </c>
      <c r="C34" s="217" t="s">
        <v>48</v>
      </c>
      <c r="D34" s="10"/>
      <c r="E34" s="10"/>
      <c r="F34" s="10"/>
      <c r="G34" s="10"/>
      <c r="H34" s="179"/>
      <c r="I34" s="170"/>
      <c r="J34" s="95"/>
      <c r="K34" s="95"/>
      <c r="L34" s="95"/>
      <c r="M34" s="96"/>
      <c r="N34" s="98"/>
      <c r="O34" s="246"/>
      <c r="P34" s="391"/>
      <c r="Q34" s="60"/>
      <c r="R34" s="179"/>
      <c r="S34" s="170"/>
      <c r="T34" s="95"/>
      <c r="U34" s="95"/>
      <c r="V34" s="95"/>
      <c r="W34" s="96"/>
      <c r="X34" s="98"/>
      <c r="Y34" s="246"/>
      <c r="Z34" s="391"/>
      <c r="AA34" s="60"/>
      <c r="AB34" s="179"/>
      <c r="AC34" s="170"/>
      <c r="AD34" s="95"/>
      <c r="AE34" s="95"/>
      <c r="AF34" s="95"/>
      <c r="AG34" s="96"/>
      <c r="AH34" s="98"/>
      <c r="AI34" s="246"/>
      <c r="AJ34" s="170"/>
      <c r="AK34" s="170"/>
    </row>
    <row r="35" spans="1:37" ht="15.75" x14ac:dyDescent="0.25">
      <c r="A35" s="299" t="s">
        <v>8</v>
      </c>
      <c r="B35" s="218" t="str">
        <f t="shared" si="0"/>
        <v>Account ServicesOTHER</v>
      </c>
      <c r="C35" s="220" t="s">
        <v>50</v>
      </c>
      <c r="D35" s="10"/>
      <c r="E35" s="10"/>
      <c r="F35" s="10"/>
      <c r="G35" s="10"/>
      <c r="H35" s="186" t="s">
        <v>42</v>
      </c>
      <c r="I35" s="167"/>
      <c r="J35" s="74"/>
      <c r="K35" s="74"/>
      <c r="L35" s="74"/>
      <c r="M35" s="66"/>
      <c r="N35" s="91"/>
      <c r="O35" s="226"/>
      <c r="P35" s="390"/>
      <c r="Q35" s="37"/>
      <c r="R35" s="186" t="s">
        <v>42</v>
      </c>
      <c r="S35" s="167"/>
      <c r="T35" s="74"/>
      <c r="U35" s="74"/>
      <c r="V35" s="74"/>
      <c r="W35" s="66"/>
      <c r="X35" s="91"/>
      <c r="Y35" s="226"/>
      <c r="Z35" s="390"/>
      <c r="AA35" s="37"/>
      <c r="AB35" s="186" t="s">
        <v>42</v>
      </c>
      <c r="AC35" s="167"/>
      <c r="AD35" s="74"/>
      <c r="AE35" s="74"/>
      <c r="AF35" s="74"/>
      <c r="AG35" s="66"/>
      <c r="AH35" s="91"/>
      <c r="AI35" s="226"/>
      <c r="AJ35" s="167"/>
      <c r="AK35" s="167"/>
    </row>
    <row r="36" spans="1:37" ht="15.75" x14ac:dyDescent="0.25">
      <c r="A36" s="299" t="s">
        <v>8</v>
      </c>
      <c r="B36" s="218" t="str">
        <f t="shared" si="0"/>
        <v>Account ServicesColl Agency Fees</v>
      </c>
      <c r="C36" s="217" t="s">
        <v>48</v>
      </c>
      <c r="D36" s="10"/>
      <c r="E36" s="10"/>
      <c r="F36" s="10"/>
      <c r="G36" s="10"/>
      <c r="H36" s="184" t="s">
        <v>236</v>
      </c>
      <c r="I36" s="158">
        <f t="shared" ref="I36:I41" si="25">J36*K36</f>
        <v>130621.2</v>
      </c>
      <c r="J36" s="293">
        <v>0.95</v>
      </c>
      <c r="K36" s="39">
        <v>137496</v>
      </c>
      <c r="L36" s="42"/>
      <c r="M36" s="66"/>
      <c r="N36" s="91"/>
      <c r="O36" s="227"/>
      <c r="P36" s="390"/>
      <c r="Q36" s="37"/>
      <c r="R36" s="184" t="s">
        <v>236</v>
      </c>
      <c r="S36" s="158">
        <f t="shared" ref="S36:S41" si="26">T36*U36</f>
        <v>6874.8</v>
      </c>
      <c r="T36" s="293">
        <v>0.05</v>
      </c>
      <c r="U36" s="39">
        <v>137496</v>
      </c>
      <c r="V36" s="42"/>
      <c r="W36" s="66"/>
      <c r="X36" s="91"/>
      <c r="Y36" s="227"/>
      <c r="Z36" s="390"/>
      <c r="AA36" s="37"/>
      <c r="AB36" s="184" t="s">
        <v>236</v>
      </c>
      <c r="AC36" s="158">
        <f t="shared" ref="AC36:AC41" si="27">AD36*AE36</f>
        <v>0</v>
      </c>
      <c r="AD36" s="293"/>
      <c r="AE36" s="39"/>
      <c r="AF36" s="42"/>
      <c r="AG36" s="66"/>
      <c r="AH36" s="91"/>
      <c r="AI36" s="227"/>
      <c r="AJ36" s="158"/>
      <c r="AK36" s="158"/>
    </row>
    <row r="37" spans="1:37" ht="15.75" x14ac:dyDescent="0.25">
      <c r="A37" s="299" t="s">
        <v>8</v>
      </c>
      <c r="B37" s="218" t="str">
        <f t="shared" si="0"/>
        <v>Account Services</v>
      </c>
      <c r="C37" s="217" t="s">
        <v>48</v>
      </c>
      <c r="D37" s="10"/>
      <c r="E37" s="10"/>
      <c r="F37" s="10"/>
      <c r="G37" s="10"/>
      <c r="H37" s="184"/>
      <c r="I37" s="158">
        <f t="shared" si="25"/>
        <v>0</v>
      </c>
      <c r="J37" s="42"/>
      <c r="K37" s="39"/>
      <c r="L37" s="42"/>
      <c r="M37" s="66"/>
      <c r="N37" s="91"/>
      <c r="O37" s="227"/>
      <c r="P37" s="390"/>
      <c r="Q37" s="37"/>
      <c r="R37" s="184"/>
      <c r="S37" s="158">
        <f t="shared" si="26"/>
        <v>0</v>
      </c>
      <c r="T37" s="42"/>
      <c r="U37" s="39"/>
      <c r="V37" s="42"/>
      <c r="W37" s="66"/>
      <c r="X37" s="91"/>
      <c r="Y37" s="227"/>
      <c r="Z37" s="390"/>
      <c r="AA37" s="37"/>
      <c r="AB37" s="184"/>
      <c r="AC37" s="158">
        <f t="shared" si="27"/>
        <v>0</v>
      </c>
      <c r="AD37" s="42"/>
      <c r="AE37" s="39"/>
      <c r="AF37" s="42"/>
      <c r="AG37" s="66"/>
      <c r="AH37" s="91"/>
      <c r="AI37" s="227"/>
      <c r="AJ37" s="158"/>
      <c r="AK37" s="158"/>
    </row>
    <row r="38" spans="1:37" ht="15.75" x14ac:dyDescent="0.25">
      <c r="A38" s="299" t="s">
        <v>8</v>
      </c>
      <c r="B38" s="218" t="str">
        <f t="shared" si="0"/>
        <v>Account Services</v>
      </c>
      <c r="C38" s="217" t="s">
        <v>48</v>
      </c>
      <c r="D38" s="10"/>
      <c r="E38" s="10"/>
      <c r="F38" s="10"/>
      <c r="G38" s="10"/>
      <c r="H38" s="184"/>
      <c r="I38" s="158">
        <f t="shared" si="25"/>
        <v>0</v>
      </c>
      <c r="J38" s="42"/>
      <c r="K38" s="39"/>
      <c r="L38" s="42"/>
      <c r="M38" s="66"/>
      <c r="N38" s="91"/>
      <c r="O38" s="227"/>
      <c r="P38" s="390"/>
      <c r="Q38" s="37"/>
      <c r="R38" s="184"/>
      <c r="S38" s="158">
        <f t="shared" si="26"/>
        <v>0</v>
      </c>
      <c r="T38" s="42"/>
      <c r="U38" s="39"/>
      <c r="V38" s="42"/>
      <c r="W38" s="66"/>
      <c r="X38" s="91"/>
      <c r="Y38" s="227"/>
      <c r="Z38" s="390"/>
      <c r="AA38" s="37"/>
      <c r="AB38" s="184"/>
      <c r="AC38" s="158">
        <f t="shared" si="27"/>
        <v>0</v>
      </c>
      <c r="AD38" s="42"/>
      <c r="AE38" s="39"/>
      <c r="AF38" s="42"/>
      <c r="AG38" s="66"/>
      <c r="AH38" s="91"/>
      <c r="AI38" s="227"/>
      <c r="AJ38" s="158"/>
      <c r="AK38" s="158"/>
    </row>
    <row r="39" spans="1:37" ht="15.75" x14ac:dyDescent="0.25">
      <c r="A39" s="299" t="s">
        <v>8</v>
      </c>
      <c r="B39" s="218" t="str">
        <f t="shared" si="0"/>
        <v>Account Services</v>
      </c>
      <c r="C39" s="217" t="s">
        <v>48</v>
      </c>
      <c r="D39" s="10"/>
      <c r="E39" s="10"/>
      <c r="F39" s="10"/>
      <c r="G39" s="10"/>
      <c r="H39" s="184"/>
      <c r="I39" s="158">
        <f t="shared" si="25"/>
        <v>0</v>
      </c>
      <c r="J39" s="42"/>
      <c r="K39" s="39"/>
      <c r="L39" s="42"/>
      <c r="M39" s="66"/>
      <c r="N39" s="91"/>
      <c r="O39" s="227"/>
      <c r="P39" s="390"/>
      <c r="Q39" s="37"/>
      <c r="R39" s="184"/>
      <c r="S39" s="158">
        <f t="shared" si="26"/>
        <v>0</v>
      </c>
      <c r="T39" s="42"/>
      <c r="U39" s="39"/>
      <c r="V39" s="42"/>
      <c r="W39" s="66"/>
      <c r="X39" s="91"/>
      <c r="Y39" s="227"/>
      <c r="Z39" s="390"/>
      <c r="AA39" s="37"/>
      <c r="AB39" s="184"/>
      <c r="AC39" s="158">
        <f t="shared" si="27"/>
        <v>0</v>
      </c>
      <c r="AD39" s="42"/>
      <c r="AE39" s="39"/>
      <c r="AF39" s="42"/>
      <c r="AG39" s="66"/>
      <c r="AH39" s="91"/>
      <c r="AI39" s="227"/>
      <c r="AJ39" s="158"/>
      <c r="AK39" s="158"/>
    </row>
    <row r="40" spans="1:37" ht="15.75" x14ac:dyDescent="0.25">
      <c r="A40" s="299" t="s">
        <v>8</v>
      </c>
      <c r="B40" s="218" t="str">
        <f t="shared" si="0"/>
        <v>Account Services</v>
      </c>
      <c r="C40" s="217" t="s">
        <v>48</v>
      </c>
      <c r="D40" s="10"/>
      <c r="E40" s="10"/>
      <c r="F40" s="10"/>
      <c r="G40" s="10"/>
      <c r="H40" s="184"/>
      <c r="I40" s="158">
        <f t="shared" si="25"/>
        <v>0</v>
      </c>
      <c r="J40" s="42"/>
      <c r="K40" s="39"/>
      <c r="L40" s="42"/>
      <c r="M40" s="66"/>
      <c r="N40" s="91"/>
      <c r="O40" s="227"/>
      <c r="P40" s="390"/>
      <c r="Q40" s="37"/>
      <c r="R40" s="184"/>
      <c r="S40" s="158">
        <f t="shared" si="26"/>
        <v>0</v>
      </c>
      <c r="T40" s="42"/>
      <c r="U40" s="39"/>
      <c r="V40" s="42"/>
      <c r="W40" s="66"/>
      <c r="X40" s="91"/>
      <c r="Y40" s="227"/>
      <c r="Z40" s="390"/>
      <c r="AA40" s="37"/>
      <c r="AB40" s="184"/>
      <c r="AC40" s="158">
        <f t="shared" si="27"/>
        <v>0</v>
      </c>
      <c r="AD40" s="42"/>
      <c r="AE40" s="39"/>
      <c r="AF40" s="42"/>
      <c r="AG40" s="66"/>
      <c r="AH40" s="91"/>
      <c r="AI40" s="227"/>
      <c r="AJ40" s="158"/>
      <c r="AK40" s="158"/>
    </row>
    <row r="41" spans="1:37" ht="15.75" x14ac:dyDescent="0.25">
      <c r="A41" s="299" t="s">
        <v>8</v>
      </c>
      <c r="B41" s="218" t="str">
        <f t="shared" si="0"/>
        <v>Account Services</v>
      </c>
      <c r="C41" s="217" t="s">
        <v>48</v>
      </c>
      <c r="D41" s="10"/>
      <c r="E41" s="10"/>
      <c r="F41" s="10"/>
      <c r="G41" s="10"/>
      <c r="H41" s="184"/>
      <c r="I41" s="158">
        <f t="shared" si="25"/>
        <v>0</v>
      </c>
      <c r="J41" s="82"/>
      <c r="K41" s="82"/>
      <c r="L41" s="67"/>
      <c r="M41" s="177"/>
      <c r="N41" s="94"/>
      <c r="O41" s="228"/>
      <c r="P41" s="390"/>
      <c r="Q41" s="37"/>
      <c r="R41" s="184"/>
      <c r="S41" s="158">
        <f t="shared" si="26"/>
        <v>0</v>
      </c>
      <c r="T41" s="82"/>
      <c r="U41" s="82"/>
      <c r="V41" s="67"/>
      <c r="W41" s="177"/>
      <c r="X41" s="94"/>
      <c r="Y41" s="228"/>
      <c r="Z41" s="390"/>
      <c r="AA41" s="37"/>
      <c r="AB41" s="184"/>
      <c r="AC41" s="158">
        <f t="shared" si="27"/>
        <v>0</v>
      </c>
      <c r="AD41" s="82"/>
      <c r="AE41" s="82"/>
      <c r="AF41" s="67"/>
      <c r="AG41" s="177"/>
      <c r="AH41" s="94"/>
      <c r="AI41" s="228"/>
      <c r="AJ41" s="158"/>
      <c r="AK41" s="158"/>
    </row>
    <row r="42" spans="1:37" ht="15.75" x14ac:dyDescent="0.25">
      <c r="A42" s="299" t="s">
        <v>8</v>
      </c>
      <c r="B42" s="218" t="str">
        <f t="shared" si="0"/>
        <v>Account ServicesTotal Other</v>
      </c>
      <c r="C42" s="220" t="s">
        <v>50</v>
      </c>
      <c r="D42" s="10"/>
      <c r="E42" s="116">
        <f>I42</f>
        <v>130621.2</v>
      </c>
      <c r="F42" s="116">
        <f>S42</f>
        <v>6874.8</v>
      </c>
      <c r="G42" s="116">
        <f>AC42</f>
        <v>0</v>
      </c>
      <c r="H42" s="223" t="s">
        <v>45</v>
      </c>
      <c r="I42" s="222">
        <f>SUM(I36:I41)</f>
        <v>130621.2</v>
      </c>
      <c r="J42" s="152"/>
      <c r="K42" s="152"/>
      <c r="L42" s="152"/>
      <c r="M42" s="86"/>
      <c r="N42" s="180">
        <f>I42</f>
        <v>130621.2</v>
      </c>
      <c r="O42" s="229">
        <f>N42/N45</f>
        <v>0.45313950530078317</v>
      </c>
      <c r="P42" s="391"/>
      <c r="Q42" s="60"/>
      <c r="R42" s="223" t="s">
        <v>45</v>
      </c>
      <c r="S42" s="222">
        <f>SUM(S36:S41)</f>
        <v>6874.8</v>
      </c>
      <c r="T42" s="152"/>
      <c r="U42" s="152"/>
      <c r="V42" s="152"/>
      <c r="W42" s="86"/>
      <c r="X42" s="180">
        <f>S42</f>
        <v>6874.8</v>
      </c>
      <c r="Y42" s="229">
        <f>X42/X45</f>
        <v>0.28251691863383327</v>
      </c>
      <c r="Z42" s="391"/>
      <c r="AA42" s="60"/>
      <c r="AB42" s="223" t="s">
        <v>45</v>
      </c>
      <c r="AC42" s="222">
        <f>SUM(AC36:AC41)</f>
        <v>0</v>
      </c>
      <c r="AD42" s="152"/>
      <c r="AE42" s="152"/>
      <c r="AF42" s="152"/>
      <c r="AG42" s="86"/>
      <c r="AH42" s="180">
        <f>AC42</f>
        <v>0</v>
      </c>
      <c r="AI42" s="229" t="e">
        <f>AH42/AH45</f>
        <v>#DIV/0!</v>
      </c>
      <c r="AJ42" s="222">
        <f>I42+S42+AC42</f>
        <v>137496</v>
      </c>
      <c r="AK42" s="222"/>
    </row>
    <row r="43" spans="1:37" ht="15.75" x14ac:dyDescent="0.25">
      <c r="A43" s="299" t="s">
        <v>8</v>
      </c>
      <c r="B43" s="218" t="str">
        <f t="shared" si="0"/>
        <v>Account Services</v>
      </c>
      <c r="C43" s="217" t="s">
        <v>48</v>
      </c>
      <c r="D43" s="10"/>
      <c r="E43" s="10"/>
      <c r="F43" s="10"/>
      <c r="G43" s="10"/>
      <c r="H43" s="135"/>
      <c r="I43" s="171"/>
      <c r="J43" s="153"/>
      <c r="K43" s="153"/>
      <c r="L43" s="153"/>
      <c r="M43" s="66"/>
      <c r="N43" s="91"/>
      <c r="O43" s="136"/>
      <c r="P43" s="390"/>
      <c r="Q43" s="37"/>
      <c r="R43" s="135"/>
      <c r="S43" s="171"/>
      <c r="T43" s="153"/>
      <c r="U43" s="153"/>
      <c r="V43" s="153"/>
      <c r="W43" s="66"/>
      <c r="X43" s="91"/>
      <c r="Y43" s="136"/>
      <c r="Z43" s="390"/>
      <c r="AA43" s="37"/>
      <c r="AB43" s="135"/>
      <c r="AC43" s="171"/>
      <c r="AD43" s="153"/>
      <c r="AE43" s="153"/>
      <c r="AF43" s="153"/>
      <c r="AG43" s="66"/>
      <c r="AH43" s="91"/>
      <c r="AI43" s="136"/>
      <c r="AJ43" s="171"/>
      <c r="AK43" s="171"/>
    </row>
    <row r="44" spans="1:37" ht="15.75" x14ac:dyDescent="0.25">
      <c r="A44" s="299" t="s">
        <v>8</v>
      </c>
      <c r="B44" s="218" t="str">
        <f t="shared" si="0"/>
        <v>Account ServicesTOTALS</v>
      </c>
      <c r="C44" s="217" t="s">
        <v>48</v>
      </c>
      <c r="D44" s="10"/>
      <c r="E44" s="10"/>
      <c r="F44" s="10"/>
      <c r="G44" s="10"/>
      <c r="H44" s="136" t="s">
        <v>28</v>
      </c>
      <c r="I44" s="172"/>
      <c r="J44" s="42"/>
      <c r="K44" s="39"/>
      <c r="L44" s="154"/>
      <c r="M44" s="33"/>
      <c r="N44" s="91"/>
      <c r="O44" s="136"/>
      <c r="P44" s="390"/>
      <c r="Q44" s="37"/>
      <c r="R44" s="136" t="s">
        <v>28</v>
      </c>
      <c r="S44" s="172"/>
      <c r="T44" s="42"/>
      <c r="U44" s="39"/>
      <c r="V44" s="154"/>
      <c r="W44" s="33"/>
      <c r="X44" s="91"/>
      <c r="Y44" s="136"/>
      <c r="Z44" s="390"/>
      <c r="AA44" s="37"/>
      <c r="AB44" s="136" t="s">
        <v>28</v>
      </c>
      <c r="AC44" s="172"/>
      <c r="AD44" s="42"/>
      <c r="AE44" s="39"/>
      <c r="AF44" s="154"/>
      <c r="AG44" s="33"/>
      <c r="AH44" s="91"/>
      <c r="AI44" s="136"/>
      <c r="AJ44" s="172"/>
      <c r="AK44" s="172"/>
    </row>
    <row r="45" spans="1:37" ht="15.75" x14ac:dyDescent="0.25">
      <c r="A45" s="299" t="s">
        <v>8</v>
      </c>
      <c r="B45" s="218" t="str">
        <f t="shared" si="0"/>
        <v>Account ServicesPER YEAR</v>
      </c>
      <c r="C45" s="220" t="s">
        <v>50</v>
      </c>
      <c r="D45" s="10"/>
      <c r="E45" s="116">
        <f>I45</f>
        <v>288258.248226</v>
      </c>
      <c r="F45" s="116">
        <f>S45</f>
        <v>24334.117876</v>
      </c>
      <c r="G45" s="116">
        <f>S45</f>
        <v>24334.117876</v>
      </c>
      <c r="H45" s="190" t="s">
        <v>46</v>
      </c>
      <c r="I45" s="417">
        <f>I14+I21+I28+I33+I42</f>
        <v>288258.248226</v>
      </c>
      <c r="J45" s="106"/>
      <c r="K45" s="106"/>
      <c r="L45" s="106"/>
      <c r="M45" s="107"/>
      <c r="N45" s="420">
        <f>SUM(N14:N43)</f>
        <v>288258.248226</v>
      </c>
      <c r="O45" s="233">
        <f>SUM(O14:O43)</f>
        <v>1</v>
      </c>
      <c r="P45" s="390"/>
      <c r="Q45" s="37"/>
      <c r="R45" s="190" t="s">
        <v>46</v>
      </c>
      <c r="S45" s="417">
        <f>S14+S21+S28+S33+S42</f>
        <v>24334.117876</v>
      </c>
      <c r="T45" s="106"/>
      <c r="U45" s="106"/>
      <c r="V45" s="106"/>
      <c r="W45" s="107"/>
      <c r="X45" s="420">
        <f>SUM(X14:X43)</f>
        <v>24334.117876</v>
      </c>
      <c r="Y45" s="233">
        <f>SUM(Y14:Y43)</f>
        <v>1</v>
      </c>
      <c r="Z45" s="390"/>
      <c r="AA45" s="37"/>
      <c r="AB45" s="190" t="s">
        <v>46</v>
      </c>
      <c r="AC45" s="417">
        <f>AC14+AC21+AC28+AC33+AC42</f>
        <v>0</v>
      </c>
      <c r="AD45" s="106"/>
      <c r="AE45" s="106"/>
      <c r="AF45" s="106"/>
      <c r="AG45" s="107"/>
      <c r="AH45" s="420">
        <f>SUM(AH14:AH43)</f>
        <v>0</v>
      </c>
      <c r="AI45" s="233" t="e">
        <f>SUM(AI14:AI43)</f>
        <v>#DIV/0!</v>
      </c>
      <c r="AJ45" s="417">
        <f>I45+S45+AC45</f>
        <v>312592.366102</v>
      </c>
      <c r="AK45" s="417"/>
    </row>
    <row r="46" spans="1:37" ht="15.75" x14ac:dyDescent="0.25">
      <c r="A46" s="299" t="s">
        <v>8</v>
      </c>
      <c r="B46" s="218" t="str">
        <f t="shared" si="0"/>
        <v>Account ServicesPER PAYMENT</v>
      </c>
      <c r="C46" s="220" t="s">
        <v>50</v>
      </c>
      <c r="D46" s="10"/>
      <c r="E46" s="10"/>
      <c r="F46" s="10"/>
      <c r="G46" s="10"/>
      <c r="H46" s="185" t="s">
        <v>47</v>
      </c>
      <c r="I46" s="419">
        <f>I45/I$6</f>
        <v>1.9636923050397155</v>
      </c>
      <c r="J46" s="108"/>
      <c r="K46" s="108"/>
      <c r="L46" s="108"/>
      <c r="M46" s="109"/>
      <c r="N46" s="98"/>
      <c r="O46" s="245"/>
      <c r="P46" s="391"/>
      <c r="Q46" s="60"/>
      <c r="R46" s="185" t="s">
        <v>47</v>
      </c>
      <c r="S46" s="419">
        <f>S45/S$6</f>
        <v>3.4590075161336178</v>
      </c>
      <c r="T46" s="108"/>
      <c r="U46" s="108"/>
      <c r="V46" s="108"/>
      <c r="W46" s="109"/>
      <c r="X46" s="98"/>
      <c r="Y46" s="245"/>
      <c r="Z46" s="391"/>
      <c r="AA46" s="60"/>
      <c r="AB46" s="185" t="s">
        <v>47</v>
      </c>
      <c r="AC46" s="419">
        <f>AC45/AC$6</f>
        <v>0</v>
      </c>
      <c r="AD46" s="108"/>
      <c r="AE46" s="108"/>
      <c r="AF46" s="108"/>
      <c r="AG46" s="109"/>
      <c r="AH46" s="98"/>
      <c r="AI46" s="245"/>
      <c r="AJ46" s="419">
        <f>I46+S46+AC46</f>
        <v>5.4226998211733335</v>
      </c>
      <c r="AK46" s="419"/>
    </row>
    <row r="47" spans="1:37" ht="15.75" x14ac:dyDescent="0.25">
      <c r="A47" s="301" t="s">
        <v>8</v>
      </c>
      <c r="B47" s="218"/>
      <c r="C47" s="220"/>
      <c r="D47" s="10"/>
      <c r="E47" s="10"/>
      <c r="F47" s="10"/>
      <c r="G47" s="10"/>
      <c r="H47" s="137" t="s">
        <v>553</v>
      </c>
      <c r="I47" s="652">
        <f>I14+I21</f>
        <v>157637.04822599998</v>
      </c>
      <c r="J47" s="108"/>
      <c r="K47" s="108"/>
      <c r="L47" s="108"/>
      <c r="M47" s="109"/>
      <c r="N47" s="649"/>
      <c r="O47" s="650"/>
      <c r="P47" s="92"/>
      <c r="Q47" s="37"/>
      <c r="R47" s="137" t="s">
        <v>553</v>
      </c>
      <c r="S47" s="652">
        <f>S14+S21</f>
        <v>17459.317876000001</v>
      </c>
      <c r="T47" s="108"/>
      <c r="U47" s="108"/>
      <c r="V47" s="108"/>
      <c r="W47" s="109"/>
      <c r="X47" s="651"/>
      <c r="Y47" s="650"/>
      <c r="Z47" s="92"/>
      <c r="AA47" s="37"/>
      <c r="AB47" s="137" t="s">
        <v>553</v>
      </c>
      <c r="AC47" s="652">
        <f>AC14+AC21</f>
        <v>0</v>
      </c>
      <c r="AD47" s="108"/>
      <c r="AE47" s="108"/>
      <c r="AF47" s="108"/>
      <c r="AG47" s="109"/>
      <c r="AH47" s="649"/>
      <c r="AI47" s="137"/>
      <c r="AJ47" s="652">
        <f>I47+S47+AC47</f>
        <v>175096.366102</v>
      </c>
      <c r="AK47" s="652"/>
    </row>
    <row r="48" spans="1:37" ht="15.75" x14ac:dyDescent="0.25">
      <c r="A48" s="301" t="s">
        <v>8</v>
      </c>
      <c r="B48" s="218"/>
      <c r="C48" s="220"/>
      <c r="D48" s="10"/>
      <c r="E48" s="10"/>
      <c r="F48" s="10"/>
      <c r="G48" s="10"/>
      <c r="H48" s="137" t="s">
        <v>554</v>
      </c>
      <c r="I48" s="652">
        <f>I42+I33+I28</f>
        <v>130621.2</v>
      </c>
      <c r="J48" s="108"/>
      <c r="K48" s="652"/>
      <c r="L48" s="108"/>
      <c r="M48" s="109"/>
      <c r="N48" s="649"/>
      <c r="O48" s="650"/>
      <c r="P48" s="92"/>
      <c r="Q48" s="37"/>
      <c r="R48" s="137" t="s">
        <v>554</v>
      </c>
      <c r="S48" s="652">
        <f>S42+S33+S28</f>
        <v>6874.8</v>
      </c>
      <c r="T48" s="108"/>
      <c r="U48" s="652"/>
      <c r="V48" s="108"/>
      <c r="W48" s="109"/>
      <c r="X48" s="651"/>
      <c r="Y48" s="650"/>
      <c r="Z48" s="92"/>
      <c r="AA48" s="37"/>
      <c r="AB48" s="137" t="s">
        <v>554</v>
      </c>
      <c r="AC48" s="652">
        <f>AC42+AC33+AC28</f>
        <v>0</v>
      </c>
      <c r="AD48" s="108"/>
      <c r="AE48" s="652"/>
      <c r="AF48" s="108"/>
      <c r="AG48" s="109"/>
      <c r="AH48" s="649"/>
      <c r="AI48" s="137"/>
      <c r="AJ48" s="652">
        <f>I48+S48+AC48</f>
        <v>137496</v>
      </c>
      <c r="AK48" s="652"/>
    </row>
    <row r="49" spans="1:37" ht="15.75" x14ac:dyDescent="0.25">
      <c r="A49" s="301" t="s">
        <v>8</v>
      </c>
      <c r="B49" s="218"/>
      <c r="C49" s="220"/>
      <c r="D49" s="10"/>
      <c r="E49" s="10"/>
      <c r="F49" s="10"/>
      <c r="G49" s="10"/>
      <c r="H49" s="137" t="s">
        <v>552</v>
      </c>
      <c r="I49" s="652">
        <f>I45</f>
        <v>288258.248226</v>
      </c>
      <c r="J49" s="108"/>
      <c r="K49" s="108"/>
      <c r="L49" s="108"/>
      <c r="M49" s="109"/>
      <c r="N49" s="649"/>
      <c r="O49" s="650"/>
      <c r="P49" s="92"/>
      <c r="Q49" s="37"/>
      <c r="R49" s="137" t="s">
        <v>552</v>
      </c>
      <c r="S49" s="652">
        <f>S45</f>
        <v>24334.117876</v>
      </c>
      <c r="T49" s="108"/>
      <c r="U49" s="108"/>
      <c r="V49" s="108"/>
      <c r="W49" s="109"/>
      <c r="X49" s="651"/>
      <c r="Y49" s="650"/>
      <c r="Z49" s="92"/>
      <c r="AA49" s="37"/>
      <c r="AB49" s="137" t="s">
        <v>552</v>
      </c>
      <c r="AC49" s="652">
        <f>AC45</f>
        <v>0</v>
      </c>
      <c r="AD49" s="108"/>
      <c r="AE49" s="108"/>
      <c r="AF49" s="108"/>
      <c r="AG49" s="109"/>
      <c r="AH49" s="649"/>
      <c r="AI49" s="137"/>
      <c r="AJ49" s="652">
        <f>I49+S49+AC49</f>
        <v>312592.366102</v>
      </c>
      <c r="AK49" s="652"/>
    </row>
    <row r="50" spans="1:37" ht="346.9" customHeight="1" x14ac:dyDescent="0.25">
      <c r="A50" s="299" t="s">
        <v>4</v>
      </c>
      <c r="B50" s="218" t="str">
        <f t="shared" si="0"/>
        <v>Contact CenterLABOR: NON-SUPERVISORY</v>
      </c>
      <c r="C50" s="12" t="s">
        <v>4</v>
      </c>
      <c r="D50" s="11" t="str">
        <f>'2015Summary METER to CASH (Base'!O12</f>
        <v>* Review delinquent notices batches
* Call ahead reminders
* Plan arrangements with customers
* Notice envelopes
* Postage
* Work non-deliverable mailed bill/ notices 
* Bill documentation for collections process  
* Billing investigation and complaint resolution such as with WARM bills
* PUC Complaints
* Pre and post curb valve notice
* Bankruptcy
* NSF checks
* Energy assistance resolution (medical assistance)
* Non-sufficient funds</v>
      </c>
      <c r="E50" s="117">
        <f>N93</f>
        <v>1254638.709617347</v>
      </c>
      <c r="F50" s="117">
        <f>X93</f>
        <v>60127.684524967197</v>
      </c>
      <c r="G50" s="117">
        <f>AC93</f>
        <v>196.5794945379169</v>
      </c>
      <c r="H50" s="183" t="s">
        <v>31</v>
      </c>
      <c r="I50" s="157"/>
      <c r="J50" s="302">
        <v>1800</v>
      </c>
      <c r="K50" s="302" t="s">
        <v>295</v>
      </c>
      <c r="L50" s="118"/>
      <c r="M50" s="119"/>
      <c r="N50" s="121"/>
      <c r="O50" s="135"/>
      <c r="P50" s="381"/>
      <c r="Q50" s="123"/>
      <c r="R50" s="183" t="s">
        <v>31</v>
      </c>
      <c r="S50" s="157"/>
      <c r="T50" s="302">
        <v>1800</v>
      </c>
      <c r="U50" s="302" t="s">
        <v>295</v>
      </c>
      <c r="V50" s="118"/>
      <c r="W50" s="119"/>
      <c r="X50" s="121"/>
      <c r="Y50" s="135"/>
      <c r="Z50" s="381"/>
      <c r="AA50" s="123"/>
      <c r="AB50" s="183" t="s">
        <v>31</v>
      </c>
      <c r="AC50" s="157"/>
      <c r="AD50" s="302">
        <v>1800</v>
      </c>
      <c r="AE50" s="302" t="s">
        <v>295</v>
      </c>
      <c r="AF50" s="118"/>
      <c r="AG50" s="119"/>
      <c r="AH50" s="121"/>
      <c r="AI50" s="135"/>
      <c r="AJ50" s="157"/>
      <c r="AK50" s="157"/>
    </row>
    <row r="51" spans="1:37" ht="22.5" x14ac:dyDescent="0.35">
      <c r="A51" s="299" t="s">
        <v>4</v>
      </c>
      <c r="B51" s="218" t="str">
        <f t="shared" si="0"/>
        <v>Contact CenterCust Svc 3/Operat Sppt 2  (4)</v>
      </c>
      <c r="C51" s="5" t="s">
        <v>48</v>
      </c>
      <c r="D51" s="10"/>
      <c r="E51" s="117"/>
      <c r="F51" s="117"/>
      <c r="G51" s="117"/>
      <c r="H51" s="184" t="s">
        <v>290</v>
      </c>
      <c r="I51" s="163">
        <f>J51*K51</f>
        <v>29357.929838234148</v>
      </c>
      <c r="J51" s="42">
        <f>((J50)*4*L51)*(I$6/($I$6+$S$6+$AC$6))</f>
        <v>1078.5426097808283</v>
      </c>
      <c r="K51" s="39">
        <v>27.22</v>
      </c>
      <c r="L51" s="304">
        <f>$T$1</f>
        <v>0.157</v>
      </c>
      <c r="M51" s="40" t="str">
        <f>ROUND(J51,0)&amp;" hrs @ "&amp;K51</f>
        <v>1079 hrs @ 27.22</v>
      </c>
      <c r="N51" s="35"/>
      <c r="O51" s="136"/>
      <c r="P51" s="382"/>
      <c r="Q51" s="41"/>
      <c r="R51" s="184" t="s">
        <v>290</v>
      </c>
      <c r="S51" s="163">
        <f>T51*U51</f>
        <v>1406.9582981046722</v>
      </c>
      <c r="T51" s="42">
        <f>((T50)*4*V51)*(S$6/($I$6+$S$6+$AC$6))</f>
        <v>51.688401840730059</v>
      </c>
      <c r="U51" s="39">
        <v>27.22</v>
      </c>
      <c r="V51" s="304">
        <f>$T$1</f>
        <v>0.157</v>
      </c>
      <c r="W51" s="40" t="str">
        <f>ROUND(T51,0)&amp;" hrs @ "&amp;U51</f>
        <v>52 hrs @ 27.22</v>
      </c>
      <c r="X51" s="35"/>
      <c r="Y51" s="136"/>
      <c r="Z51" s="382"/>
      <c r="AA51" s="41"/>
      <c r="AB51" s="184" t="s">
        <v>290</v>
      </c>
      <c r="AC51" s="163">
        <f>AD51*AE51</f>
        <v>4.5998636611808754</v>
      </c>
      <c r="AD51" s="42">
        <f>((AD50)*4*AF51)*(AC$6/($I$6+$S$6+$AC$6))</f>
        <v>0.16898837844161924</v>
      </c>
      <c r="AE51" s="39">
        <v>27.22</v>
      </c>
      <c r="AF51" s="304">
        <f>$T$1</f>
        <v>0.157</v>
      </c>
      <c r="AG51" s="40" t="str">
        <f>ROUND(AD51,0)&amp;" hrs @ "&amp;AE51</f>
        <v>0 hrs @ 27.22</v>
      </c>
      <c r="AH51" s="35"/>
      <c r="AI51" s="136"/>
      <c r="AJ51" s="163">
        <f t="shared" ref="AJ51:AJ58" si="28">I51+S51+AC51</f>
        <v>30769.488000000001</v>
      </c>
      <c r="AK51" s="163"/>
    </row>
    <row r="52" spans="1:37" ht="22.5" x14ac:dyDescent="0.35">
      <c r="A52" s="299" t="s">
        <v>4</v>
      </c>
      <c r="B52" s="218" t="str">
        <f t="shared" si="0"/>
        <v>Contact CenterCustomer Service 2  (34)</v>
      </c>
      <c r="C52" s="5" t="s">
        <v>48</v>
      </c>
      <c r="D52" s="10"/>
      <c r="E52" s="117"/>
      <c r="F52" s="117"/>
      <c r="G52" s="117"/>
      <c r="H52" s="184" t="s">
        <v>291</v>
      </c>
      <c r="I52" s="163">
        <f>J52*K52</f>
        <v>213330.33550159892</v>
      </c>
      <c r="J52" s="42">
        <f>((J50)*34*L52)*(I$6/($I$6+$S$6+$AC$6))</f>
        <v>9167.6121831370401</v>
      </c>
      <c r="K52" s="39">
        <v>23.27</v>
      </c>
      <c r="L52" s="304">
        <f>$T$1</f>
        <v>0.157</v>
      </c>
      <c r="M52" s="40" t="str">
        <f t="shared" ref="M52:M55" si="29">ROUND(J52,0)&amp;" hrs @ "&amp;K52</f>
        <v>9168 hrs @ 23.27</v>
      </c>
      <c r="N52" s="35"/>
      <c r="O52" s="136"/>
      <c r="P52" s="382"/>
      <c r="Q52" s="3"/>
      <c r="R52" s="184" t="s">
        <v>291</v>
      </c>
      <c r="S52" s="163">
        <f>T52*U52</f>
        <v>10223.7074420872</v>
      </c>
      <c r="T52" s="42">
        <f>((T50)*34*V52)*(S$6/($I$6+$S$6+$AC$6))</f>
        <v>439.3514156462054</v>
      </c>
      <c r="U52" s="39">
        <v>23.27</v>
      </c>
      <c r="V52" s="304">
        <f>$T$1</f>
        <v>0.157</v>
      </c>
      <c r="W52" s="40" t="str">
        <f t="shared" ref="W52:W55" si="30">ROUND(T52,0)&amp;" hrs @ "&amp;U52</f>
        <v>439 hrs @ 23.27</v>
      </c>
      <c r="X52" s="35"/>
      <c r="Y52" s="136"/>
      <c r="Z52" s="382"/>
      <c r="AA52" s="3"/>
      <c r="AB52" s="184" t="s">
        <v>291</v>
      </c>
      <c r="AC52" s="163">
        <f>AD52*AE52</f>
        <v>33.425056313860068</v>
      </c>
      <c r="AD52" s="42">
        <f>((AD50)*34*AF52)*(AC$6/($I$6+$S$6+$AC$6))</f>
        <v>1.4364012167537632</v>
      </c>
      <c r="AE52" s="39">
        <v>23.27</v>
      </c>
      <c r="AF52" s="304">
        <f>$T$1</f>
        <v>0.157</v>
      </c>
      <c r="AG52" s="40" t="str">
        <f t="shared" ref="AG52:AG55" si="31">ROUND(AD52,0)&amp;" hrs @ "&amp;AE52</f>
        <v>1 hrs @ 23.27</v>
      </c>
      <c r="AH52" s="35"/>
      <c r="AI52" s="136"/>
      <c r="AJ52" s="163">
        <f t="shared" si="28"/>
        <v>223587.46799999999</v>
      </c>
      <c r="AK52" s="163"/>
    </row>
    <row r="53" spans="1:37" ht="22.5" x14ac:dyDescent="0.35">
      <c r="A53" s="299" t="s">
        <v>4</v>
      </c>
      <c r="B53" s="218" t="str">
        <f t="shared" ref="B53:B56" si="32">A53&amp;H53</f>
        <v>Contact CenterCustomer Service 3  (35)</v>
      </c>
      <c r="C53" s="5" t="s">
        <v>48</v>
      </c>
      <c r="D53" s="10"/>
      <c r="E53" s="117"/>
      <c r="F53" s="117"/>
      <c r="G53" s="117"/>
      <c r="H53" s="184" t="s">
        <v>292</v>
      </c>
      <c r="I53" s="163">
        <f>J53*K53*L53</f>
        <v>39885.961742218242</v>
      </c>
      <c r="J53" s="42">
        <f>((J50)*35*L53)*(I$6/($I$6+$S$6+$AC$6))</f>
        <v>9437.2478355822477</v>
      </c>
      <c r="K53" s="39">
        <v>26.92</v>
      </c>
      <c r="L53" s="304">
        <f>$T$1</f>
        <v>0.157</v>
      </c>
      <c r="M53" s="40" t="str">
        <f t="shared" si="29"/>
        <v>9437 hrs @ 26.92</v>
      </c>
      <c r="N53" s="35"/>
      <c r="O53" s="136"/>
      <c r="P53" s="382"/>
      <c r="Q53" s="3"/>
      <c r="R53" s="184" t="s">
        <v>292</v>
      </c>
      <c r="S53" s="163">
        <f>T53*U53*V53</f>
        <v>1911.5068794126823</v>
      </c>
      <c r="T53" s="42">
        <f>((T50)*35*V53)*(S$6/($I$6+$S$6+$AC$6))</f>
        <v>452.27351610638794</v>
      </c>
      <c r="U53" s="39">
        <v>26.92</v>
      </c>
      <c r="V53" s="304">
        <f>$T$1</f>
        <v>0.157</v>
      </c>
      <c r="W53" s="40" t="str">
        <f t="shared" si="30"/>
        <v>452 hrs @ 26.92</v>
      </c>
      <c r="X53" s="35"/>
      <c r="Y53" s="136"/>
      <c r="Z53" s="382"/>
      <c r="AA53" s="3"/>
      <c r="AB53" s="184" t="s">
        <v>292</v>
      </c>
      <c r="AC53" s="163">
        <f>AD53*AE53*AF53</f>
        <v>6.2494183690819751</v>
      </c>
      <c r="AD53" s="42">
        <f>((AD50)*35*AF53)*(AC$6/($I$6+$S$6+$AC$6))</f>
        <v>1.4786483113641682</v>
      </c>
      <c r="AE53" s="39">
        <v>26.92</v>
      </c>
      <c r="AF53" s="304">
        <f>$T$1</f>
        <v>0.157</v>
      </c>
      <c r="AG53" s="40" t="str">
        <f t="shared" si="31"/>
        <v>1 hrs @ 26.92</v>
      </c>
      <c r="AH53" s="35"/>
      <c r="AI53" s="136"/>
      <c r="AJ53" s="163">
        <f t="shared" si="28"/>
        <v>41803.718040000007</v>
      </c>
      <c r="AK53" s="163"/>
    </row>
    <row r="54" spans="1:37" ht="22.5" x14ac:dyDescent="0.35">
      <c r="A54" s="299" t="s">
        <v>4</v>
      </c>
      <c r="B54" s="218" t="str">
        <f t="shared" si="32"/>
        <v>Contact CenterCustomer Service 4  (18)</v>
      </c>
      <c r="C54" s="5" t="s">
        <v>48</v>
      </c>
      <c r="D54" s="10"/>
      <c r="E54" s="117"/>
      <c r="F54" s="117"/>
      <c r="G54" s="117"/>
      <c r="H54" s="184" t="s">
        <v>293</v>
      </c>
      <c r="I54" s="163">
        <f>J54*K54</f>
        <v>148806.5238714609</v>
      </c>
      <c r="J54" s="42">
        <f>((J50)*18*L54)*(I$6/($I$6+$S$6+$AC$6))</f>
        <v>4853.4417440137277</v>
      </c>
      <c r="K54" s="39">
        <v>30.66</v>
      </c>
      <c r="L54" s="304">
        <f>$T$1</f>
        <v>0.157</v>
      </c>
      <c r="M54" s="40" t="str">
        <f t="shared" si="29"/>
        <v>4853 hrs @ 30.66</v>
      </c>
      <c r="N54" s="35"/>
      <c r="O54" s="136"/>
      <c r="P54" s="382"/>
      <c r="Q54" s="41"/>
      <c r="R54" s="184" t="s">
        <v>293</v>
      </c>
      <c r="S54" s="163">
        <f>T54*U54</f>
        <v>7131.4488019655255</v>
      </c>
      <c r="T54" s="42">
        <f>((T50)*18*V54)*(S$6/($I$6+$S$6+$AC$6))</f>
        <v>232.59780828328525</v>
      </c>
      <c r="U54" s="39">
        <v>30.66</v>
      </c>
      <c r="V54" s="304">
        <f>$T$1</f>
        <v>0.157</v>
      </c>
      <c r="W54" s="40" t="str">
        <f t="shared" si="30"/>
        <v>233 hrs @ 30.66</v>
      </c>
      <c r="X54" s="35"/>
      <c r="Y54" s="136"/>
      <c r="Z54" s="382"/>
      <c r="AA54" s="41"/>
      <c r="AB54" s="184" t="s">
        <v>293</v>
      </c>
      <c r="AC54" s="163">
        <f>AD54*AE54</f>
        <v>23.315326573590202</v>
      </c>
      <c r="AD54" s="42">
        <f>((AD50)*18*AF54)*(AC$6/($I$6+$S$6+$AC$6))</f>
        <v>0.76044770298728648</v>
      </c>
      <c r="AE54" s="39">
        <v>30.66</v>
      </c>
      <c r="AF54" s="304">
        <f>$T$1</f>
        <v>0.157</v>
      </c>
      <c r="AG54" s="40" t="str">
        <f t="shared" si="31"/>
        <v>1 hrs @ 30.66</v>
      </c>
      <c r="AH54" s="35"/>
      <c r="AI54" s="136"/>
      <c r="AJ54" s="163">
        <f t="shared" si="28"/>
        <v>155961.28800000003</v>
      </c>
      <c r="AK54" s="163"/>
    </row>
    <row r="55" spans="1:37" ht="22.5" x14ac:dyDescent="0.35">
      <c r="A55" s="299" t="s">
        <v>4</v>
      </c>
      <c r="B55" s="218" t="str">
        <f t="shared" si="32"/>
        <v>Contact CenterOperational Support 1</v>
      </c>
      <c r="C55" s="5" t="s">
        <v>48</v>
      </c>
      <c r="D55" s="10"/>
      <c r="E55" s="117"/>
      <c r="F55" s="117"/>
      <c r="G55" s="117"/>
      <c r="H55" s="179" t="s">
        <v>294</v>
      </c>
      <c r="I55" s="161">
        <f>J55*K55</f>
        <v>5233.6280139614692</v>
      </c>
      <c r="J55" s="174">
        <f>((J50)*1*L55)*(I$6/($I$6+$S$6+$AC$6))</f>
        <v>269.63565244520709</v>
      </c>
      <c r="K55" s="175">
        <v>19.41</v>
      </c>
      <c r="L55" s="305">
        <f>$T$1</f>
        <v>0.157</v>
      </c>
      <c r="M55" s="176" t="str">
        <f t="shared" si="29"/>
        <v>270 hrs @ 19.41</v>
      </c>
      <c r="N55" s="35"/>
      <c r="O55" s="136"/>
      <c r="P55" s="382"/>
      <c r="Q55" s="44"/>
      <c r="R55" s="179" t="s">
        <v>294</v>
      </c>
      <c r="S55" s="161">
        <f>T55*U55</f>
        <v>250.8179699321426</v>
      </c>
      <c r="T55" s="174">
        <f>((T50)*1*V55)*(S$6/($I$6+$S$6+$AC$6))</f>
        <v>12.922100460182515</v>
      </c>
      <c r="U55" s="175">
        <v>19.41</v>
      </c>
      <c r="V55" s="305">
        <f>$T$1</f>
        <v>0.157</v>
      </c>
      <c r="W55" s="176" t="str">
        <f t="shared" si="30"/>
        <v>13 hrs @ 19.41</v>
      </c>
      <c r="X55" s="35"/>
      <c r="Y55" s="136"/>
      <c r="Z55" s="382"/>
      <c r="AA55" s="44"/>
      <c r="AB55" s="179" t="s">
        <v>294</v>
      </c>
      <c r="AC55" s="161">
        <f>AD55*AE55</f>
        <v>0.8200161063879573</v>
      </c>
      <c r="AD55" s="174">
        <f>((AD50)*1*AF55)*(AC$6/($I$6+$S$6+$AC$6))</f>
        <v>4.2247094610404809E-2</v>
      </c>
      <c r="AE55" s="175">
        <v>19.41</v>
      </c>
      <c r="AF55" s="305">
        <f>$T$1</f>
        <v>0.157</v>
      </c>
      <c r="AG55" s="176" t="str">
        <f t="shared" si="31"/>
        <v>0 hrs @ 19.41</v>
      </c>
      <c r="AH55" s="35"/>
      <c r="AI55" s="136"/>
      <c r="AJ55" s="161">
        <f t="shared" si="28"/>
        <v>5485.2659999999996</v>
      </c>
      <c r="AK55" s="161"/>
    </row>
    <row r="56" spans="1:37" ht="21" x14ac:dyDescent="0.35">
      <c r="A56" s="299" t="s">
        <v>4</v>
      </c>
      <c r="B56" s="218" t="str">
        <f t="shared" si="32"/>
        <v>Contact CenterTotal Wages</v>
      </c>
      <c r="C56" s="5" t="s">
        <v>48</v>
      </c>
      <c r="D56" s="10"/>
      <c r="E56" s="117"/>
      <c r="F56" s="117"/>
      <c r="G56" s="117"/>
      <c r="H56" s="184" t="s">
        <v>32</v>
      </c>
      <c r="I56" s="158">
        <f>SUM(I51:I55)</f>
        <v>436614.37896747375</v>
      </c>
      <c r="J56" s="42"/>
      <c r="K56" s="39"/>
      <c r="L56" s="39"/>
      <c r="M56" s="40"/>
      <c r="N56" s="35"/>
      <c r="O56" s="136"/>
      <c r="P56" s="382"/>
      <c r="Q56" s="41"/>
      <c r="R56" s="184" t="s">
        <v>32</v>
      </c>
      <c r="S56" s="158">
        <f>SUM(S51:S55)</f>
        <v>20924.439391502219</v>
      </c>
      <c r="T56" s="42"/>
      <c r="U56" s="39"/>
      <c r="V56" s="39"/>
      <c r="W56" s="40"/>
      <c r="X56" s="35"/>
      <c r="Y56" s="136"/>
      <c r="Z56" s="382"/>
      <c r="AA56" s="41"/>
      <c r="AB56" s="184" t="s">
        <v>32</v>
      </c>
      <c r="AC56" s="158">
        <f>SUM(AC51:AC55)</f>
        <v>68.409681024101076</v>
      </c>
      <c r="AD56" s="42"/>
      <c r="AE56" s="39"/>
      <c r="AF56" s="39"/>
      <c r="AG56" s="40"/>
      <c r="AH56" s="35"/>
      <c r="AI56" s="136"/>
      <c r="AJ56" s="158">
        <f t="shared" si="28"/>
        <v>457607.22804000007</v>
      </c>
      <c r="AK56" s="158"/>
    </row>
    <row r="57" spans="1:37" ht="21" x14ac:dyDescent="0.35">
      <c r="A57" s="299" t="s">
        <v>4</v>
      </c>
      <c r="B57" s="218" t="str">
        <f t="shared" ref="B57:B66" si="33">A57&amp;H57</f>
        <v>Contact CenterBenefits</v>
      </c>
      <c r="C57" s="5" t="s">
        <v>48</v>
      </c>
      <c r="D57" s="10"/>
      <c r="E57" s="117"/>
      <c r="F57" s="117"/>
      <c r="G57" s="117"/>
      <c r="H57" s="184" t="s">
        <v>33</v>
      </c>
      <c r="I57" s="159">
        <f>I56*$O$2</f>
        <v>430458.11622403236</v>
      </c>
      <c r="J57" s="42"/>
      <c r="K57" s="39"/>
      <c r="M57" s="45" t="str">
        <f>"@ "&amp;$O$2*100&amp;" %"</f>
        <v>@ 98.59 %</v>
      </c>
      <c r="N57" s="47"/>
      <c r="O57" s="432"/>
      <c r="P57" s="383"/>
      <c r="Q57" s="41"/>
      <c r="R57" s="184" t="s">
        <v>33</v>
      </c>
      <c r="S57" s="159">
        <f>S56*$O$2</f>
        <v>20629.404796082039</v>
      </c>
      <c r="T57" s="42"/>
      <c r="U57" s="39"/>
      <c r="W57" s="45" t="str">
        <f>"@ "&amp;$O$2*100&amp;" %"</f>
        <v>@ 98.59 %</v>
      </c>
      <c r="X57" s="47"/>
      <c r="Y57" s="432"/>
      <c r="Z57" s="383"/>
      <c r="AA57" s="41"/>
      <c r="AB57" s="184" t="s">
        <v>33</v>
      </c>
      <c r="AC57" s="159">
        <f>AC56*$O$2</f>
        <v>67.44510452166125</v>
      </c>
      <c r="AD57" s="42"/>
      <c r="AE57" s="39"/>
      <c r="AG57" s="45" t="str">
        <f>"@ "&amp;$O$2*100&amp;" %"</f>
        <v>@ 98.59 %</v>
      </c>
      <c r="AH57" s="47"/>
      <c r="AI57" s="432"/>
      <c r="AJ57" s="159">
        <f t="shared" si="28"/>
        <v>451154.96612463606</v>
      </c>
      <c r="AK57" s="159"/>
    </row>
    <row r="58" spans="1:37" ht="21" x14ac:dyDescent="0.35">
      <c r="A58" s="299" t="s">
        <v>4</v>
      </c>
      <c r="B58" s="218" t="str">
        <f t="shared" si="33"/>
        <v>Contact CenterTotal</v>
      </c>
      <c r="C58" s="5" t="s">
        <v>48</v>
      </c>
      <c r="D58" s="10"/>
      <c r="E58" s="117"/>
      <c r="F58" s="117"/>
      <c r="G58" s="117"/>
      <c r="H58" s="185" t="s">
        <v>34</v>
      </c>
      <c r="I58" s="160">
        <f>I56+I57</f>
        <v>867072.49519150611</v>
      </c>
      <c r="J58" s="42"/>
      <c r="K58" s="39"/>
      <c r="L58" s="50"/>
      <c r="M58" s="51"/>
      <c r="N58" s="420">
        <f>I58</f>
        <v>867072.49519150611</v>
      </c>
      <c r="O58" s="233">
        <f>N58/N93</f>
        <v>0.69109337098004497</v>
      </c>
      <c r="P58" s="384"/>
      <c r="Q58" s="37"/>
      <c r="R58" s="185" t="s">
        <v>34</v>
      </c>
      <c r="S58" s="160">
        <f>S56+S57</f>
        <v>41553.844187584255</v>
      </c>
      <c r="T58" s="42"/>
      <c r="U58" s="39"/>
      <c r="V58" s="50"/>
      <c r="W58" s="51"/>
      <c r="X58" s="420">
        <f>S58</f>
        <v>41553.844187584255</v>
      </c>
      <c r="Y58" s="233">
        <f>X58/X93</f>
        <v>0.69109337098004486</v>
      </c>
      <c r="Z58" s="384"/>
      <c r="AA58" s="37"/>
      <c r="AB58" s="185" t="s">
        <v>34</v>
      </c>
      <c r="AC58" s="160">
        <f>AC56+AC57</f>
        <v>135.85478554576233</v>
      </c>
      <c r="AD58" s="42"/>
      <c r="AE58" s="39"/>
      <c r="AF58" s="50"/>
      <c r="AG58" s="51"/>
      <c r="AH58" s="420">
        <f>AC58</f>
        <v>135.85478554576233</v>
      </c>
      <c r="AI58" s="233">
        <f>AH58/AH93</f>
        <v>0.69109337098004497</v>
      </c>
      <c r="AJ58" s="160">
        <f t="shared" si="28"/>
        <v>908762.19416463608</v>
      </c>
      <c r="AK58" s="160"/>
    </row>
    <row r="59" spans="1:37" ht="21" x14ac:dyDescent="0.35">
      <c r="A59" s="299" t="s">
        <v>4</v>
      </c>
      <c r="B59" s="218" t="str">
        <f t="shared" si="33"/>
        <v>Contact Center</v>
      </c>
      <c r="C59" s="5" t="s">
        <v>48</v>
      </c>
      <c r="D59" s="10"/>
      <c r="E59" s="117"/>
      <c r="F59" s="117"/>
      <c r="G59" s="117"/>
      <c r="H59" s="179"/>
      <c r="I59" s="166"/>
      <c r="J59" s="69"/>
      <c r="K59" s="69"/>
      <c r="L59" s="69"/>
      <c r="M59" s="70"/>
      <c r="N59" s="58"/>
      <c r="O59" s="231"/>
      <c r="P59" s="385"/>
      <c r="Q59" s="60"/>
      <c r="R59" s="179"/>
      <c r="S59" s="166"/>
      <c r="T59" s="69"/>
      <c r="U59" s="69"/>
      <c r="V59" s="69"/>
      <c r="W59" s="70"/>
      <c r="X59" s="58"/>
      <c r="Y59" s="231"/>
      <c r="Z59" s="385"/>
      <c r="AA59" s="60"/>
      <c r="AB59" s="179"/>
      <c r="AC59" s="166"/>
      <c r="AD59" s="69"/>
      <c r="AE59" s="69"/>
      <c r="AF59" s="69"/>
      <c r="AG59" s="70"/>
      <c r="AH59" s="58"/>
      <c r="AI59" s="231"/>
      <c r="AJ59" s="166"/>
      <c r="AK59" s="166"/>
    </row>
    <row r="60" spans="1:37" ht="21" x14ac:dyDescent="0.35">
      <c r="A60" s="299" t="s">
        <v>4</v>
      </c>
      <c r="B60" s="218" t="str">
        <f t="shared" si="33"/>
        <v>Contact CenterLABOR: SUPERVISORY</v>
      </c>
      <c r="C60" s="5" t="s">
        <v>48</v>
      </c>
      <c r="D60" s="10"/>
      <c r="E60" s="117"/>
      <c r="F60" s="117"/>
      <c r="G60" s="117"/>
      <c r="H60" s="186" t="s">
        <v>35</v>
      </c>
      <c r="I60" s="167"/>
      <c r="J60" s="302">
        <v>1800</v>
      </c>
      <c r="K60" s="302" t="s">
        <v>295</v>
      </c>
      <c r="L60" s="74"/>
      <c r="M60" s="66"/>
      <c r="N60" s="26"/>
      <c r="O60" s="234"/>
      <c r="P60" s="386"/>
      <c r="Q60" s="37"/>
      <c r="R60" s="186" t="s">
        <v>35</v>
      </c>
      <c r="S60" s="167"/>
      <c r="T60" s="302">
        <v>1800</v>
      </c>
      <c r="U60" s="302" t="s">
        <v>295</v>
      </c>
      <c r="V60" s="74"/>
      <c r="W60" s="66"/>
      <c r="X60" s="26"/>
      <c r="Y60" s="234"/>
      <c r="Z60" s="386"/>
      <c r="AA60" s="37"/>
      <c r="AB60" s="186" t="s">
        <v>35</v>
      </c>
      <c r="AC60" s="167"/>
      <c r="AD60" s="302">
        <v>1800</v>
      </c>
      <c r="AE60" s="302" t="s">
        <v>295</v>
      </c>
      <c r="AF60" s="74"/>
      <c r="AG60" s="66"/>
      <c r="AH60" s="26"/>
      <c r="AI60" s="234"/>
      <c r="AJ60" s="167"/>
      <c r="AK60" s="167"/>
    </row>
    <row r="61" spans="1:37" ht="22.5" x14ac:dyDescent="0.35">
      <c r="A61" s="299" t="s">
        <v>4</v>
      </c>
      <c r="B61" s="218" t="str">
        <f t="shared" si="33"/>
        <v>Contact CenterCustomer Contact Ctr Sr Manager</v>
      </c>
      <c r="C61" s="5" t="s">
        <v>48</v>
      </c>
      <c r="D61" s="10"/>
      <c r="E61" s="117"/>
      <c r="F61" s="117"/>
      <c r="G61" s="117"/>
      <c r="H61" s="184" t="s">
        <v>296</v>
      </c>
      <c r="I61" s="163">
        <f>J61*K61</f>
        <v>15040.276693393651</v>
      </c>
      <c r="J61" s="42">
        <f>((J60)*1*L61)*(I$6/($I$6+$S$6+$AC$6))</f>
        <v>269.63565244520709</v>
      </c>
      <c r="K61" s="39">
        <v>55.78</v>
      </c>
      <c r="L61" s="304">
        <f>$T$1</f>
        <v>0.157</v>
      </c>
      <c r="M61" s="40" t="str">
        <f>ROUND(J61,0)&amp;" hrs @ "&amp;K61</f>
        <v>270 hrs @ 55.78</v>
      </c>
      <c r="N61" s="26"/>
      <c r="O61" s="234"/>
      <c r="P61" s="386"/>
      <c r="Q61" s="37"/>
      <c r="R61" s="184" t="s">
        <v>296</v>
      </c>
      <c r="S61" s="163">
        <f>T61*U61</f>
        <v>720.79476366898064</v>
      </c>
      <c r="T61" s="42">
        <f>((T60)*1*V61)*(S$6/($I$6+$S$6+$AC$6))</f>
        <v>12.922100460182515</v>
      </c>
      <c r="U61" s="39">
        <v>55.78</v>
      </c>
      <c r="V61" s="304">
        <f>$T$1</f>
        <v>0.157</v>
      </c>
      <c r="W61" s="40" t="str">
        <f>ROUND(T61,0)&amp;" hrs @ "&amp;U61</f>
        <v>13 hrs @ 55.78</v>
      </c>
      <c r="X61" s="26"/>
      <c r="Y61" s="234"/>
      <c r="Z61" s="386"/>
      <c r="AA61" s="37"/>
      <c r="AB61" s="184" t="s">
        <v>296</v>
      </c>
      <c r="AC61" s="163">
        <f>AD61*AE61</f>
        <v>2.3565429373683804</v>
      </c>
      <c r="AD61" s="42">
        <f>((AD60)*1*AF61)*(AC$6/($I$6+$S$6+$AC$6))</f>
        <v>4.2247094610404809E-2</v>
      </c>
      <c r="AE61" s="39">
        <v>55.78</v>
      </c>
      <c r="AF61" s="304">
        <f>$T$1</f>
        <v>0.157</v>
      </c>
      <c r="AG61" s="40" t="str">
        <f>ROUND(AD61,0)&amp;" hrs @ "&amp;AE61</f>
        <v>0 hrs @ 55.78</v>
      </c>
      <c r="AH61" s="26"/>
      <c r="AI61" s="234"/>
      <c r="AJ61" s="163">
        <f t="shared" ref="AJ61:AJ69" si="34">I61+S61+AC61</f>
        <v>15763.428</v>
      </c>
      <c r="AK61" s="163"/>
    </row>
    <row r="62" spans="1:37" ht="22.5" x14ac:dyDescent="0.35">
      <c r="A62" s="299" t="s">
        <v>4</v>
      </c>
      <c r="B62" s="218" t="str">
        <f t="shared" si="33"/>
        <v>Contact CenterAccounting Supervisor</v>
      </c>
      <c r="C62" s="5" t="s">
        <v>48</v>
      </c>
      <c r="D62" s="10"/>
      <c r="E62" s="117"/>
      <c r="F62" s="117"/>
      <c r="G62" s="117"/>
      <c r="H62" s="184" t="s">
        <v>297</v>
      </c>
      <c r="I62" s="163">
        <f>J62*K62</f>
        <v>12705.231943218158</v>
      </c>
      <c r="J62" s="42">
        <f>((J60)*1*L62)*(I$6/($I$6+$S$6+$AC$6))</f>
        <v>269.63565244520709</v>
      </c>
      <c r="K62" s="39">
        <v>47.12</v>
      </c>
      <c r="L62" s="304">
        <f>$T$1</f>
        <v>0.157</v>
      </c>
      <c r="M62" s="40" t="str">
        <f t="shared" ref="M62:M64" si="35">ROUND(J62,0)&amp;" hrs @ "&amp;K62</f>
        <v>270 hrs @ 47.12</v>
      </c>
      <c r="N62" s="26"/>
      <c r="O62" s="234"/>
      <c r="P62" s="386"/>
      <c r="Q62" s="37"/>
      <c r="R62" s="184" t="s">
        <v>297</v>
      </c>
      <c r="S62" s="163">
        <f>T62*U62</f>
        <v>608.88937368380005</v>
      </c>
      <c r="T62" s="42">
        <f>((T60)*1*V62)*(S$6/($I$6+$S$6+$AC$6))</f>
        <v>12.922100460182515</v>
      </c>
      <c r="U62" s="39">
        <v>47.12</v>
      </c>
      <c r="V62" s="304">
        <f>$T$1</f>
        <v>0.157</v>
      </c>
      <c r="W62" s="40" t="str">
        <f t="shared" ref="W62:W64" si="36">ROUND(T62,0)&amp;" hrs @ "&amp;U62</f>
        <v>13 hrs @ 47.12</v>
      </c>
      <c r="X62" s="26"/>
      <c r="Y62" s="234"/>
      <c r="Z62" s="386"/>
      <c r="AA62" s="37"/>
      <c r="AB62" s="184" t="s">
        <v>297</v>
      </c>
      <c r="AC62" s="163">
        <f>AD62*AE62</f>
        <v>1.9906830980422745</v>
      </c>
      <c r="AD62" s="42">
        <f>((AD60)*1*AF62)*(AC$6/($I$6+$S$6+$AC$6))</f>
        <v>4.2247094610404809E-2</v>
      </c>
      <c r="AE62" s="39">
        <v>47.12</v>
      </c>
      <c r="AF62" s="304">
        <f>$T$1</f>
        <v>0.157</v>
      </c>
      <c r="AG62" s="40" t="str">
        <f t="shared" ref="AG62:AG64" si="37">ROUND(AD62,0)&amp;" hrs @ "&amp;AE62</f>
        <v>0 hrs @ 47.12</v>
      </c>
      <c r="AH62" s="26"/>
      <c r="AI62" s="234"/>
      <c r="AJ62" s="163">
        <f t="shared" si="34"/>
        <v>13316.111999999999</v>
      </c>
      <c r="AK62" s="163"/>
    </row>
    <row r="63" spans="1:37" ht="22.5" x14ac:dyDescent="0.35">
      <c r="A63" s="299" t="s">
        <v>4</v>
      </c>
      <c r="B63" s="218" t="str">
        <f t="shared" si="33"/>
        <v>Contact CenterCustomer Contact Ctr Supervisor (7)</v>
      </c>
      <c r="C63" s="5" t="s">
        <v>48</v>
      </c>
      <c r="D63" s="10"/>
      <c r="E63" s="117"/>
      <c r="F63" s="117"/>
      <c r="G63" s="117"/>
      <c r="H63" s="184" t="s">
        <v>298</v>
      </c>
      <c r="I63" s="163">
        <f>J63*K63*L63</f>
        <v>11141.992284601827</v>
      </c>
      <c r="J63" s="42">
        <f>((J60)*7*L63)*(I$6/($I$6+$S$6+$AC$6))</f>
        <v>1887.4495671164498</v>
      </c>
      <c r="K63" s="39">
        <v>37.6</v>
      </c>
      <c r="L63" s="304">
        <f>$T$1</f>
        <v>0.157</v>
      </c>
      <c r="M63" s="40" t="str">
        <f t="shared" si="35"/>
        <v>1887 hrs @ 37.6</v>
      </c>
      <c r="N63" s="26"/>
      <c r="O63" s="234"/>
      <c r="P63" s="386"/>
      <c r="Q63" s="37"/>
      <c r="R63" s="184" t="s">
        <v>298</v>
      </c>
      <c r="S63" s="163">
        <f>T63*U63*V63</f>
        <v>533.97220405584596</v>
      </c>
      <c r="T63" s="42">
        <f>((T60)*7*V63)*(S$6/($I$6+$S$6+$AC$6))</f>
        <v>90.454703221277597</v>
      </c>
      <c r="U63" s="39">
        <v>37.6</v>
      </c>
      <c r="V63" s="304">
        <f>$T$1</f>
        <v>0.157</v>
      </c>
      <c r="W63" s="40" t="str">
        <f t="shared" si="36"/>
        <v>90 hrs @ 37.6</v>
      </c>
      <c r="X63" s="26"/>
      <c r="Y63" s="234"/>
      <c r="Z63" s="386"/>
      <c r="AA63" s="37"/>
      <c r="AB63" s="184" t="s">
        <v>298</v>
      </c>
      <c r="AC63" s="163">
        <f>AD63*AE63*AF63</f>
        <v>1.7457513423289919</v>
      </c>
      <c r="AD63" s="42">
        <f>((AD60)*7*AF63)*(AC$6/($I$6+$S$6+$AC$6))</f>
        <v>0.29572966227283365</v>
      </c>
      <c r="AE63" s="39">
        <v>37.6</v>
      </c>
      <c r="AF63" s="304">
        <f>$T$1</f>
        <v>0.157</v>
      </c>
      <c r="AG63" s="40" t="str">
        <f t="shared" si="37"/>
        <v>0 hrs @ 37.6</v>
      </c>
      <c r="AH63" s="26"/>
      <c r="AI63" s="234"/>
      <c r="AJ63" s="163">
        <f t="shared" si="34"/>
        <v>11677.710240000002</v>
      </c>
      <c r="AK63" s="163"/>
    </row>
    <row r="64" spans="1:37" ht="22.5" x14ac:dyDescent="0.35">
      <c r="A64" s="299" t="s">
        <v>4</v>
      </c>
      <c r="B64" s="218" t="str">
        <f t="shared" si="33"/>
        <v>Contact CenterCustomer Contact Ctr Analyst 2 (1) @ 16%</v>
      </c>
      <c r="C64" s="5" t="s">
        <v>48</v>
      </c>
      <c r="D64" s="10"/>
      <c r="E64" s="117"/>
      <c r="F64" s="117"/>
      <c r="G64" s="117"/>
      <c r="H64" s="184" t="s">
        <v>352</v>
      </c>
      <c r="I64" s="163">
        <f>J64*K64</f>
        <v>8701.1425044068328</v>
      </c>
      <c r="J64" s="42">
        <f>((J60)*1*L64)*(I$6/($I$6+$S$6+$AC$6))</f>
        <v>269.63565244520709</v>
      </c>
      <c r="K64" s="39">
        <v>32.270000000000003</v>
      </c>
      <c r="L64" s="304">
        <f>$T$1</f>
        <v>0.157</v>
      </c>
      <c r="M64" s="40" t="str">
        <f t="shared" si="35"/>
        <v>270 hrs @ 32.27</v>
      </c>
      <c r="N64" s="26"/>
      <c r="O64" s="234"/>
      <c r="P64" s="386"/>
      <c r="Q64" s="37"/>
      <c r="R64" s="184" t="s">
        <v>352</v>
      </c>
      <c r="S64" s="163">
        <f>T64*U64</f>
        <v>416.99618185008978</v>
      </c>
      <c r="T64" s="42">
        <f>((T60)*1*V64)*(S$6/($I$6+$S$6+$AC$6))</f>
        <v>12.922100460182515</v>
      </c>
      <c r="U64" s="39">
        <v>32.270000000000003</v>
      </c>
      <c r="V64" s="304">
        <f>$T$1</f>
        <v>0.157</v>
      </c>
      <c r="W64" s="40" t="str">
        <f t="shared" si="36"/>
        <v>13 hrs @ 32.27</v>
      </c>
      <c r="X64" s="26"/>
      <c r="Y64" s="234"/>
      <c r="Z64" s="386"/>
      <c r="AA64" s="37"/>
      <c r="AB64" s="184" t="s">
        <v>352</v>
      </c>
      <c r="AC64" s="163">
        <f>AD64*AE64</f>
        <v>1.3633137430777633</v>
      </c>
      <c r="AD64" s="42">
        <f>((AD60)*1*AF64)*(AC$6/($I$6+$S$6+$AC$6))</f>
        <v>4.2247094610404809E-2</v>
      </c>
      <c r="AE64" s="39">
        <v>32.270000000000003</v>
      </c>
      <c r="AF64" s="304">
        <f>$T$1</f>
        <v>0.157</v>
      </c>
      <c r="AG64" s="40" t="str">
        <f t="shared" si="37"/>
        <v>0 hrs @ 32.27</v>
      </c>
      <c r="AH64" s="26"/>
      <c r="AI64" s="234"/>
      <c r="AJ64" s="163">
        <f t="shared" si="34"/>
        <v>9119.5020000000004</v>
      </c>
      <c r="AK64" s="163"/>
    </row>
    <row r="65" spans="1:37" ht="21" x14ac:dyDescent="0.35">
      <c r="A65" s="299" t="s">
        <v>4</v>
      </c>
      <c r="B65" s="218" t="str">
        <f t="shared" si="33"/>
        <v>Contact Center</v>
      </c>
      <c r="C65" s="5" t="s">
        <v>48</v>
      </c>
      <c r="D65" s="10"/>
      <c r="E65" s="117"/>
      <c r="F65" s="117"/>
      <c r="G65" s="117"/>
      <c r="H65" s="179"/>
      <c r="I65" s="173"/>
      <c r="J65" s="174"/>
      <c r="K65" s="175"/>
      <c r="L65" s="181"/>
      <c r="M65" s="176"/>
      <c r="N65" s="26"/>
      <c r="O65" s="234"/>
      <c r="P65" s="386"/>
      <c r="Q65" s="37"/>
      <c r="R65" s="179"/>
      <c r="S65" s="173"/>
      <c r="T65" s="174"/>
      <c r="U65" s="175"/>
      <c r="V65" s="181"/>
      <c r="W65" s="176"/>
      <c r="X65" s="26"/>
      <c r="Y65" s="234"/>
      <c r="Z65" s="386"/>
      <c r="AA65" s="37"/>
      <c r="AB65" s="179"/>
      <c r="AC65" s="173"/>
      <c r="AD65" s="174"/>
      <c r="AE65" s="175"/>
      <c r="AF65" s="181"/>
      <c r="AG65" s="176"/>
      <c r="AH65" s="26"/>
      <c r="AI65" s="234"/>
      <c r="AJ65" s="173">
        <f t="shared" si="34"/>
        <v>0</v>
      </c>
      <c r="AK65" s="173"/>
    </row>
    <row r="66" spans="1:37" ht="21" x14ac:dyDescent="0.35">
      <c r="A66" s="299" t="s">
        <v>4</v>
      </c>
      <c r="B66" s="218" t="str">
        <f t="shared" si="33"/>
        <v>Contact CenterTotal Wages</v>
      </c>
      <c r="C66" s="5" t="s">
        <v>48</v>
      </c>
      <c r="D66" s="10"/>
      <c r="E66" s="117"/>
      <c r="F66" s="117"/>
      <c r="G66" s="117"/>
      <c r="H66" s="184" t="s">
        <v>32</v>
      </c>
      <c r="I66" s="158">
        <f>SUM(I61:I65)</f>
        <v>47588.643425620467</v>
      </c>
      <c r="J66" s="42"/>
      <c r="K66" s="39"/>
      <c r="L66" s="39"/>
      <c r="M66" s="40"/>
      <c r="N66" s="26"/>
      <c r="O66" s="234"/>
      <c r="P66" s="386"/>
      <c r="Q66" s="41"/>
      <c r="R66" s="184" t="s">
        <v>32</v>
      </c>
      <c r="S66" s="158">
        <f>SUM(S61:S65)</f>
        <v>2280.6525232587164</v>
      </c>
      <c r="T66" s="42"/>
      <c r="U66" s="39"/>
      <c r="V66" s="39"/>
      <c r="W66" s="40"/>
      <c r="X66" s="26"/>
      <c r="Y66" s="234"/>
      <c r="Z66" s="386"/>
      <c r="AA66" s="41"/>
      <c r="AB66" s="184" t="s">
        <v>32</v>
      </c>
      <c r="AC66" s="158">
        <f>SUM(AC61:AC65)</f>
        <v>7.4562911208174105</v>
      </c>
      <c r="AD66" s="42"/>
      <c r="AE66" s="39"/>
      <c r="AF66" s="39"/>
      <c r="AG66" s="40"/>
      <c r="AH66" s="26"/>
      <c r="AI66" s="234"/>
      <c r="AJ66" s="158">
        <f t="shared" si="34"/>
        <v>49876.752240000002</v>
      </c>
      <c r="AK66" s="158"/>
    </row>
    <row r="67" spans="1:37" ht="21" x14ac:dyDescent="0.35">
      <c r="A67" s="299"/>
      <c r="B67" s="218" t="str">
        <f t="shared" si="0"/>
        <v/>
      </c>
      <c r="C67" s="5"/>
      <c r="D67" s="10"/>
      <c r="E67" s="117"/>
      <c r="F67" s="117"/>
      <c r="G67" s="117"/>
      <c r="H67" s="184"/>
      <c r="I67" s="159"/>
      <c r="J67" s="42"/>
      <c r="K67" s="39"/>
      <c r="M67" s="45"/>
      <c r="N67" s="26"/>
      <c r="O67" s="234"/>
      <c r="P67" s="386"/>
      <c r="Q67" s="41"/>
      <c r="R67" s="184" t="s">
        <v>222</v>
      </c>
      <c r="S67" s="159"/>
      <c r="T67" s="42"/>
      <c r="U67" s="39"/>
      <c r="W67" s="45"/>
      <c r="X67" s="26"/>
      <c r="Y67" s="234"/>
      <c r="Z67" s="386"/>
      <c r="AA67" s="41"/>
      <c r="AB67" s="184" t="s">
        <v>222</v>
      </c>
      <c r="AC67" s="159"/>
      <c r="AD67" s="42"/>
      <c r="AE67" s="39"/>
      <c r="AG67" s="45"/>
      <c r="AH67" s="26"/>
      <c r="AI67" s="234"/>
      <c r="AJ67" s="159">
        <f t="shared" si="34"/>
        <v>0</v>
      </c>
      <c r="AK67" s="159"/>
    </row>
    <row r="68" spans="1:37" ht="21" x14ac:dyDescent="0.35">
      <c r="A68" s="299" t="s">
        <v>4</v>
      </c>
      <c r="B68" s="218" t="str">
        <f t="shared" ref="B68:B72" si="38">A68&amp;H68</f>
        <v>Contact CenterBenefits</v>
      </c>
      <c r="C68" s="5" t="s">
        <v>48</v>
      </c>
      <c r="D68" s="10"/>
      <c r="E68" s="117"/>
      <c r="F68" s="117"/>
      <c r="G68" s="117"/>
      <c r="H68" s="184" t="s">
        <v>33</v>
      </c>
      <c r="I68" s="159">
        <f>I66*$O$2</f>
        <v>46917.64355331922</v>
      </c>
      <c r="J68" s="42"/>
      <c r="K68" s="39"/>
      <c r="M68" s="45" t="str">
        <f>"@ "&amp;$O$2*100&amp;" %"</f>
        <v>@ 98.59 %</v>
      </c>
      <c r="N68" s="26"/>
      <c r="O68" s="234"/>
      <c r="P68" s="386"/>
      <c r="Q68" s="41"/>
      <c r="R68" s="184" t="s">
        <v>33</v>
      </c>
      <c r="S68" s="159">
        <f>S66*$O$2</f>
        <v>2248.4953226807684</v>
      </c>
      <c r="T68" s="42"/>
      <c r="U68" s="39"/>
      <c r="W68" s="45" t="str">
        <f>"@ "&amp;$O$2*100&amp;" %"</f>
        <v>@ 98.59 %</v>
      </c>
      <c r="X68" s="26"/>
      <c r="Y68" s="234"/>
      <c r="Z68" s="386"/>
      <c r="AA68" s="41"/>
      <c r="AB68" s="184" t="s">
        <v>33</v>
      </c>
      <c r="AC68" s="159">
        <f>AC66*$O$2</f>
        <v>7.3511574160138853</v>
      </c>
      <c r="AD68" s="42"/>
      <c r="AE68" s="39"/>
      <c r="AG68" s="45" t="str">
        <f>"@ "&amp;$O$2*100&amp;" %"</f>
        <v>@ 98.59 %</v>
      </c>
      <c r="AH68" s="26"/>
      <c r="AI68" s="234"/>
      <c r="AJ68" s="159">
        <f t="shared" si="34"/>
        <v>49173.490033416005</v>
      </c>
      <c r="AK68" s="159"/>
    </row>
    <row r="69" spans="1:37" ht="21" x14ac:dyDescent="0.35">
      <c r="A69" s="299" t="s">
        <v>4</v>
      </c>
      <c r="B69" s="218" t="str">
        <f t="shared" si="38"/>
        <v>Contact CenterTotal</v>
      </c>
      <c r="C69" s="5" t="s">
        <v>48</v>
      </c>
      <c r="D69" s="10"/>
      <c r="E69" s="117"/>
      <c r="F69" s="117"/>
      <c r="G69" s="117"/>
      <c r="H69" s="185" t="s">
        <v>34</v>
      </c>
      <c r="I69" s="160">
        <f>I66+I68</f>
        <v>94506.286978939694</v>
      </c>
      <c r="J69" s="42"/>
      <c r="K69" s="39"/>
      <c r="L69" s="50"/>
      <c r="M69" s="51"/>
      <c r="N69" s="420">
        <f>I69</f>
        <v>94506.286978939694</v>
      </c>
      <c r="O69" s="233">
        <f>N69/N93</f>
        <v>7.5325499089505393E-2</v>
      </c>
      <c r="P69" s="386"/>
      <c r="Q69" s="41"/>
      <c r="R69" s="185" t="s">
        <v>34</v>
      </c>
      <c r="S69" s="160">
        <f>S66+S68</f>
        <v>4529.1478459394848</v>
      </c>
      <c r="T69" s="42"/>
      <c r="U69" s="39"/>
      <c r="V69" s="50"/>
      <c r="W69" s="51"/>
      <c r="X69" s="420">
        <f>S69</f>
        <v>4529.1478459394848</v>
      </c>
      <c r="Y69" s="233">
        <f>X69/X93</f>
        <v>7.5325499089505407E-2</v>
      </c>
      <c r="Z69" s="386"/>
      <c r="AA69" s="41"/>
      <c r="AB69" s="185" t="s">
        <v>34</v>
      </c>
      <c r="AC69" s="160">
        <f>AC66+AC68</f>
        <v>14.807448536831295</v>
      </c>
      <c r="AD69" s="42"/>
      <c r="AE69" s="39"/>
      <c r="AF69" s="50"/>
      <c r="AG69" s="51"/>
      <c r="AH69" s="420">
        <f>AC69</f>
        <v>14.807448536831295</v>
      </c>
      <c r="AI69" s="233">
        <f>AH69/AH93</f>
        <v>7.5325499089505421E-2</v>
      </c>
      <c r="AJ69" s="160">
        <f t="shared" si="34"/>
        <v>99050.242273416006</v>
      </c>
      <c r="AK69" s="160"/>
    </row>
    <row r="70" spans="1:37" ht="21" x14ac:dyDescent="0.35">
      <c r="A70" s="299" t="s">
        <v>4</v>
      </c>
      <c r="B70" s="218" t="str">
        <f t="shared" si="38"/>
        <v>Contact Center</v>
      </c>
      <c r="C70" s="5" t="s">
        <v>48</v>
      </c>
      <c r="D70" s="10"/>
      <c r="E70" s="117"/>
      <c r="F70" s="117"/>
      <c r="G70" s="117"/>
      <c r="H70" s="179"/>
      <c r="I70" s="166"/>
      <c r="J70" s="69"/>
      <c r="K70" s="69"/>
      <c r="L70" s="69"/>
      <c r="M70" s="70"/>
      <c r="N70" s="72"/>
      <c r="O70" s="235"/>
      <c r="P70" s="387"/>
      <c r="Q70" s="60"/>
      <c r="R70" s="179"/>
      <c r="S70" s="166"/>
      <c r="T70" s="69"/>
      <c r="U70" s="69"/>
      <c r="V70" s="69"/>
      <c r="W70" s="70"/>
      <c r="X70" s="72"/>
      <c r="Y70" s="235"/>
      <c r="Z70" s="387"/>
      <c r="AA70" s="60"/>
      <c r="AB70" s="179"/>
      <c r="AC70" s="166"/>
      <c r="AD70" s="69"/>
      <c r="AE70" s="69"/>
      <c r="AF70" s="69"/>
      <c r="AG70" s="70"/>
      <c r="AH70" s="72"/>
      <c r="AI70" s="235"/>
      <c r="AJ70" s="166"/>
      <c r="AK70" s="166"/>
    </row>
    <row r="71" spans="1:37" ht="21" x14ac:dyDescent="0.35">
      <c r="A71" s="299" t="s">
        <v>4</v>
      </c>
      <c r="B71" s="218" t="str">
        <f t="shared" si="38"/>
        <v>Contact CenterEQUIPMENT</v>
      </c>
      <c r="C71" s="5" t="s">
        <v>48</v>
      </c>
      <c r="D71" s="10"/>
      <c r="E71" s="117"/>
      <c r="F71" s="117"/>
      <c r="G71" s="117"/>
      <c r="H71" s="186" t="s">
        <v>36</v>
      </c>
      <c r="I71" s="167"/>
      <c r="J71" s="74"/>
      <c r="K71" s="74"/>
      <c r="L71" s="74"/>
      <c r="M71" s="66"/>
      <c r="N71" s="76"/>
      <c r="O71" s="237"/>
      <c r="P71" s="386"/>
      <c r="Q71" s="37"/>
      <c r="R71" s="186" t="s">
        <v>36</v>
      </c>
      <c r="S71" s="167"/>
      <c r="T71" s="74"/>
      <c r="U71" s="74"/>
      <c r="V71" s="74"/>
      <c r="W71" s="66"/>
      <c r="X71" s="76"/>
      <c r="Y71" s="237"/>
      <c r="Z71" s="386"/>
      <c r="AA71" s="37"/>
      <c r="AB71" s="186" t="s">
        <v>36</v>
      </c>
      <c r="AC71" s="167"/>
      <c r="AD71" s="74"/>
      <c r="AE71" s="74"/>
      <c r="AF71" s="74"/>
      <c r="AG71" s="66"/>
      <c r="AH71" s="76"/>
      <c r="AI71" s="237"/>
      <c r="AJ71" s="167"/>
      <c r="AK71" s="167"/>
    </row>
    <row r="72" spans="1:37" ht="21" x14ac:dyDescent="0.35">
      <c r="A72" s="299" t="s">
        <v>4</v>
      </c>
      <c r="B72" s="218" t="str">
        <f t="shared" si="38"/>
        <v>Contact CenterTelephone, Office Supplies, Printing, &amp; Other</v>
      </c>
      <c r="C72" s="5" t="s">
        <v>48</v>
      </c>
      <c r="D72" s="10"/>
      <c r="E72" s="117"/>
      <c r="F72" s="117"/>
      <c r="G72" s="117"/>
      <c r="H72" s="184" t="s">
        <v>300</v>
      </c>
      <c r="I72" s="163">
        <f>J72*K72*L72</f>
        <v>79034.119448650672</v>
      </c>
      <c r="J72" s="306">
        <f>1*(I$6/($I$6+$S$6+$AC$6))</f>
        <v>0.95412474325975616</v>
      </c>
      <c r="K72" s="39">
        <v>527606.10000000009</v>
      </c>
      <c r="L72" s="304">
        <f>$T$1</f>
        <v>0.157</v>
      </c>
      <c r="M72" s="66"/>
      <c r="N72" s="76"/>
      <c r="O72" s="237"/>
      <c r="P72" s="386"/>
      <c r="Q72" s="37"/>
      <c r="R72" s="184" t="s">
        <v>300</v>
      </c>
      <c r="S72" s="163">
        <f>T72*U72*V72</f>
        <v>3787.6550153361677</v>
      </c>
      <c r="T72" s="306">
        <f>1*(S$6/($I$6+$S$6+$AC$6))</f>
        <v>4.5725762421028E-2</v>
      </c>
      <c r="U72" s="39">
        <v>527606.10000000009</v>
      </c>
      <c r="V72" s="304">
        <f>$T$1</f>
        <v>0.157</v>
      </c>
      <c r="W72" s="66"/>
      <c r="X72" s="76"/>
      <c r="Y72" s="237"/>
      <c r="Z72" s="386"/>
      <c r="AA72" s="37"/>
      <c r="AB72" s="184" t="s">
        <v>300</v>
      </c>
      <c r="AC72" s="163">
        <f>AD72*AE72*AF72</f>
        <v>12.3832360131815</v>
      </c>
      <c r="AD72" s="306">
        <f>1*(AC$6/($I$6+$S$6+$AC$6))</f>
        <v>1.4949431921586979E-4</v>
      </c>
      <c r="AE72" s="39">
        <v>527606.10000000009</v>
      </c>
      <c r="AF72" s="304">
        <f>$T$1</f>
        <v>0.157</v>
      </c>
      <c r="AG72" s="66"/>
      <c r="AH72" s="76"/>
      <c r="AI72" s="237"/>
      <c r="AJ72" s="163">
        <f>I72+S72+AC72</f>
        <v>82834.157700000011</v>
      </c>
      <c r="AK72" s="163"/>
    </row>
    <row r="73" spans="1:37" ht="21" x14ac:dyDescent="0.35">
      <c r="A73" s="299" t="s">
        <v>4</v>
      </c>
      <c r="B73" s="218" t="str">
        <f t="shared" si="0"/>
        <v>Contact Center</v>
      </c>
      <c r="C73" s="5" t="s">
        <v>48</v>
      </c>
      <c r="D73" s="10"/>
      <c r="E73" s="117"/>
      <c r="F73" s="117"/>
      <c r="G73" s="117"/>
      <c r="H73" s="187"/>
      <c r="I73" s="163"/>
      <c r="J73" s="42"/>
      <c r="K73" s="39"/>
      <c r="L73" s="39"/>
      <c r="M73" s="66"/>
      <c r="N73" s="79"/>
      <c r="O73" s="238"/>
      <c r="P73" s="388"/>
      <c r="Q73" s="81"/>
      <c r="R73" s="187"/>
      <c r="S73" s="163"/>
      <c r="T73" s="42"/>
      <c r="U73" s="39"/>
      <c r="V73" s="39"/>
      <c r="W73" s="66"/>
      <c r="X73" s="79"/>
      <c r="Y73" s="238"/>
      <c r="Z73" s="388"/>
      <c r="AA73" s="81"/>
      <c r="AB73" s="187"/>
      <c r="AC73" s="163"/>
      <c r="AD73" s="42"/>
      <c r="AE73" s="39"/>
      <c r="AF73" s="39"/>
      <c r="AG73" s="66"/>
      <c r="AH73" s="79"/>
      <c r="AI73" s="238"/>
      <c r="AJ73" s="163"/>
      <c r="AK73" s="163"/>
    </row>
    <row r="74" spans="1:37" ht="21" x14ac:dyDescent="0.35">
      <c r="A74" s="299" t="s">
        <v>4</v>
      </c>
      <c r="B74" s="218" t="str">
        <f t="shared" si="0"/>
        <v>Contact Center</v>
      </c>
      <c r="C74" s="5" t="s">
        <v>48</v>
      </c>
      <c r="D74" s="10"/>
      <c r="E74" s="117"/>
      <c r="F74" s="117"/>
      <c r="G74" s="117"/>
      <c r="H74" s="187"/>
      <c r="I74" s="168"/>
      <c r="J74" s="42"/>
      <c r="K74" s="39"/>
      <c r="L74" s="42"/>
      <c r="M74" s="66"/>
      <c r="N74" s="79"/>
      <c r="O74" s="238"/>
      <c r="P74" s="388"/>
      <c r="Q74" s="81"/>
      <c r="R74" s="187"/>
      <c r="S74" s="168"/>
      <c r="T74" s="42"/>
      <c r="U74" s="39"/>
      <c r="V74" s="42"/>
      <c r="W74" s="66"/>
      <c r="X74" s="79"/>
      <c r="Y74" s="238"/>
      <c r="Z74" s="388"/>
      <c r="AA74" s="81"/>
      <c r="AB74" s="187"/>
      <c r="AC74" s="168"/>
      <c r="AD74" s="42"/>
      <c r="AE74" s="39"/>
      <c r="AF74" s="42"/>
      <c r="AG74" s="66"/>
      <c r="AH74" s="79"/>
      <c r="AI74" s="238"/>
      <c r="AJ74" s="168"/>
      <c r="AK74" s="168"/>
    </row>
    <row r="75" spans="1:37" ht="21" x14ac:dyDescent="0.35">
      <c r="A75" s="299" t="s">
        <v>4</v>
      </c>
      <c r="B75" s="218" t="str">
        <f t="shared" si="0"/>
        <v>Contact Center</v>
      </c>
      <c r="C75" s="5" t="s">
        <v>48</v>
      </c>
      <c r="D75" s="10"/>
      <c r="E75" s="117"/>
      <c r="F75" s="117"/>
      <c r="G75" s="117"/>
      <c r="H75" s="187"/>
      <c r="I75" s="164"/>
      <c r="J75" s="42"/>
      <c r="K75" s="39"/>
      <c r="L75" s="43"/>
      <c r="M75" s="66"/>
      <c r="N75" s="79"/>
      <c r="O75" s="238"/>
      <c r="P75" s="388"/>
      <c r="Q75" s="81"/>
      <c r="R75" s="187"/>
      <c r="S75" s="164"/>
      <c r="T75" s="42"/>
      <c r="U75" s="39"/>
      <c r="V75" s="43"/>
      <c r="W75" s="66" t="str">
        <f t="shared" ref="W75" si="39">T75&amp;" hrs @ "&amp;U75</f>
        <v xml:space="preserve"> hrs @ </v>
      </c>
      <c r="X75" s="79"/>
      <c r="Y75" s="238"/>
      <c r="Z75" s="388"/>
      <c r="AA75" s="81"/>
      <c r="AB75" s="187"/>
      <c r="AC75" s="164"/>
      <c r="AD75" s="42"/>
      <c r="AE75" s="39"/>
      <c r="AF75" s="43"/>
      <c r="AG75" s="66"/>
      <c r="AH75" s="79"/>
      <c r="AI75" s="238"/>
      <c r="AJ75" s="164"/>
      <c r="AK75" s="164"/>
    </row>
    <row r="76" spans="1:37" ht="21" x14ac:dyDescent="0.35">
      <c r="A76" s="299" t="s">
        <v>4</v>
      </c>
      <c r="B76" s="218" t="str">
        <f t="shared" ref="B76:B139" si="40">A76&amp;H76</f>
        <v>Contact CenterTotal Equipment</v>
      </c>
      <c r="C76" s="124" t="s">
        <v>50</v>
      </c>
      <c r="D76" s="10"/>
      <c r="E76" s="116">
        <f>I76</f>
        <v>79034.119448650672</v>
      </c>
      <c r="F76" s="116">
        <f>S76</f>
        <v>3787.6550153361677</v>
      </c>
      <c r="G76" s="116">
        <f>AC76</f>
        <v>12.3832360131815</v>
      </c>
      <c r="H76" s="188" t="s">
        <v>37</v>
      </c>
      <c r="I76" s="165">
        <f>SUM(I72:I75)</f>
        <v>79034.119448650672</v>
      </c>
      <c r="J76" s="68"/>
      <c r="K76" s="68"/>
      <c r="L76" s="68"/>
      <c r="M76" s="66"/>
      <c r="N76" s="420">
        <f>I76</f>
        <v>79034.119448650672</v>
      </c>
      <c r="O76" s="233">
        <f>N76/N93</f>
        <v>6.299352860932797E-2</v>
      </c>
      <c r="P76" s="388"/>
      <c r="Q76" s="81"/>
      <c r="R76" s="188" t="s">
        <v>37</v>
      </c>
      <c r="S76" s="165">
        <f>SUM(S72:S75)</f>
        <v>3787.6550153361677</v>
      </c>
      <c r="T76" s="68"/>
      <c r="U76" s="68"/>
      <c r="V76" s="68"/>
      <c r="W76" s="66"/>
      <c r="X76" s="420">
        <f>S76</f>
        <v>3787.6550153361677</v>
      </c>
      <c r="Y76" s="233">
        <f>X76/X93</f>
        <v>6.299352860932797E-2</v>
      </c>
      <c r="Z76" s="388"/>
      <c r="AA76" s="81"/>
      <c r="AB76" s="188" t="s">
        <v>37</v>
      </c>
      <c r="AC76" s="165">
        <f>SUM(AC72:AC75)</f>
        <v>12.3832360131815</v>
      </c>
      <c r="AD76" s="68"/>
      <c r="AE76" s="68"/>
      <c r="AF76" s="68"/>
      <c r="AG76" s="66"/>
      <c r="AH76" s="420">
        <f>AC76</f>
        <v>12.3832360131815</v>
      </c>
      <c r="AI76" s="233">
        <f>AH76/AH93</f>
        <v>6.299352860932797E-2</v>
      </c>
      <c r="AJ76" s="165">
        <f>I76+S76+AC76</f>
        <v>82834.157700000011</v>
      </c>
      <c r="AK76" s="165"/>
    </row>
    <row r="77" spans="1:37" ht="21" x14ac:dyDescent="0.35">
      <c r="A77" s="299" t="s">
        <v>4</v>
      </c>
      <c r="B77" s="218" t="str">
        <f t="shared" si="40"/>
        <v>Contact Center</v>
      </c>
      <c r="C77" s="5" t="s">
        <v>48</v>
      </c>
      <c r="D77" s="10"/>
      <c r="E77" s="117"/>
      <c r="F77" s="117"/>
      <c r="G77" s="117"/>
      <c r="H77" s="189"/>
      <c r="I77" s="166"/>
      <c r="J77" s="69"/>
      <c r="K77" s="69"/>
      <c r="L77" s="69"/>
      <c r="M77" s="70"/>
      <c r="N77" s="88"/>
      <c r="O77" s="241"/>
      <c r="P77" s="389"/>
      <c r="Q77" s="60"/>
      <c r="R77" s="189"/>
      <c r="S77" s="166"/>
      <c r="T77" s="69"/>
      <c r="U77" s="69"/>
      <c r="V77" s="69"/>
      <c r="W77" s="70"/>
      <c r="X77" s="88"/>
      <c r="Y77" s="241"/>
      <c r="Z77" s="389"/>
      <c r="AA77" s="60"/>
      <c r="AB77" s="189"/>
      <c r="AC77" s="166"/>
      <c r="AD77" s="69"/>
      <c r="AE77" s="69"/>
      <c r="AF77" s="69"/>
      <c r="AG77" s="70"/>
      <c r="AH77" s="88"/>
      <c r="AI77" s="241"/>
      <c r="AJ77" s="166"/>
      <c r="AK77" s="166"/>
    </row>
    <row r="78" spans="1:37" ht="21" x14ac:dyDescent="0.35">
      <c r="A78" s="299" t="s">
        <v>4</v>
      </c>
      <c r="B78" s="218" t="str">
        <f t="shared" si="40"/>
        <v>Contact CenterIS SUPPORT</v>
      </c>
      <c r="C78" s="124" t="s">
        <v>50</v>
      </c>
      <c r="D78" s="10"/>
      <c r="E78" s="117"/>
      <c r="F78" s="117"/>
      <c r="G78" s="117"/>
      <c r="H78" s="186" t="s">
        <v>38</v>
      </c>
      <c r="I78" s="167"/>
      <c r="J78" s="302">
        <v>1800</v>
      </c>
      <c r="K78" s="302" t="s">
        <v>295</v>
      </c>
      <c r="L78" s="74"/>
      <c r="M78" s="66"/>
      <c r="N78" s="91"/>
      <c r="O78" s="227"/>
      <c r="P78" s="390"/>
      <c r="Q78" s="37"/>
      <c r="R78" s="186" t="s">
        <v>38</v>
      </c>
      <c r="S78" s="167"/>
      <c r="T78" s="302">
        <v>1800</v>
      </c>
      <c r="U78" s="302" t="s">
        <v>295</v>
      </c>
      <c r="V78" s="74"/>
      <c r="W78" s="66"/>
      <c r="X78" s="91"/>
      <c r="Y78" s="227"/>
      <c r="Z78" s="390"/>
      <c r="AA78" s="37"/>
      <c r="AB78" s="186" t="s">
        <v>38</v>
      </c>
      <c r="AC78" s="167"/>
      <c r="AD78" s="302">
        <v>1800</v>
      </c>
      <c r="AE78" s="302" t="s">
        <v>295</v>
      </c>
      <c r="AF78" s="74"/>
      <c r="AG78" s="66"/>
      <c r="AH78" s="91"/>
      <c r="AI78" s="227"/>
      <c r="AJ78" s="167"/>
      <c r="AK78" s="167"/>
    </row>
    <row r="79" spans="1:37" ht="22.5" x14ac:dyDescent="0.35">
      <c r="A79" s="299" t="s">
        <v>4</v>
      </c>
      <c r="B79" s="218" t="str">
        <f t="shared" si="40"/>
        <v>Contact CenterBusiness Syst Info Svc Spec 3</v>
      </c>
      <c r="C79" s="5" t="s">
        <v>48</v>
      </c>
      <c r="D79" s="10"/>
      <c r="E79" s="117"/>
      <c r="F79" s="117"/>
      <c r="G79" s="117"/>
      <c r="H79" s="184" t="s">
        <v>302</v>
      </c>
      <c r="I79" s="163">
        <f>J79*K79</f>
        <v>10467.256027922938</v>
      </c>
      <c r="J79" s="42">
        <f>((J78)*1*L79)*(I$6/($I$6+$S$6+$AC$6))</f>
        <v>269.63565244520709</v>
      </c>
      <c r="K79" s="39">
        <v>38.82</v>
      </c>
      <c r="L79" s="304">
        <f>$T$1</f>
        <v>0.157</v>
      </c>
      <c r="M79" s="40" t="str">
        <f>ROUND(J79,0)&amp;" hrs @ "&amp;K79</f>
        <v>270 hrs @ 38.82</v>
      </c>
      <c r="N79" s="94"/>
      <c r="O79" s="242"/>
      <c r="P79" s="390"/>
      <c r="Q79" s="37"/>
      <c r="R79" s="184" t="s">
        <v>302</v>
      </c>
      <c r="S79" s="163">
        <f>T79*U79</f>
        <v>501.63593986428521</v>
      </c>
      <c r="T79" s="42">
        <f>((T78)*1*V79)*(S$6/($I$6+$S$6+$AC$6))</f>
        <v>12.922100460182515</v>
      </c>
      <c r="U79" s="39">
        <v>38.82</v>
      </c>
      <c r="V79" s="304">
        <f>$T$1</f>
        <v>0.157</v>
      </c>
      <c r="W79" s="40" t="str">
        <f>ROUND(T79,0)&amp;" hrs @ "&amp;U79</f>
        <v>13 hrs @ 38.82</v>
      </c>
      <c r="X79" s="94"/>
      <c r="Y79" s="242"/>
      <c r="Z79" s="390"/>
      <c r="AA79" s="37"/>
      <c r="AB79" s="184" t="s">
        <v>302</v>
      </c>
      <c r="AC79" s="163">
        <f>AD79*AE79</f>
        <v>1.6400322127759146</v>
      </c>
      <c r="AD79" s="42">
        <f>((AD78)*1*AF79)*(AC$6/($I$6+$S$6+$AC$6))</f>
        <v>4.2247094610404809E-2</v>
      </c>
      <c r="AE79" s="39">
        <v>38.82</v>
      </c>
      <c r="AF79" s="304">
        <f>$T$1</f>
        <v>0.157</v>
      </c>
      <c r="AG79" s="40" t="str">
        <f>ROUND(AD79,0)&amp;" hrs @ "&amp;AE79</f>
        <v>0 hrs @ 38.82</v>
      </c>
      <c r="AH79" s="94"/>
      <c r="AI79" s="242"/>
      <c r="AJ79" s="163">
        <f>I79+S79+AC79</f>
        <v>10970.531999999999</v>
      </c>
      <c r="AK79" s="163"/>
    </row>
    <row r="80" spans="1:37" ht="21" x14ac:dyDescent="0.35">
      <c r="A80" s="299" t="s">
        <v>4</v>
      </c>
      <c r="B80" s="218" t="str">
        <f t="shared" si="40"/>
        <v>Contact CenterBenefits</v>
      </c>
      <c r="C80" s="5" t="s">
        <v>48</v>
      </c>
      <c r="D80" s="10"/>
      <c r="E80" s="117"/>
      <c r="F80" s="117"/>
      <c r="G80" s="117"/>
      <c r="H80" s="184" t="s">
        <v>33</v>
      </c>
      <c r="I80" s="159">
        <f>I79*$O$2</f>
        <v>10319.667717929226</v>
      </c>
      <c r="J80" s="42"/>
      <c r="K80" s="39"/>
      <c r="L80" s="156"/>
      <c r="M80" s="45" t="str">
        <f>"@ "&amp;$O$2*100&amp;" %"</f>
        <v>@ 98.59 %</v>
      </c>
      <c r="N80" s="94"/>
      <c r="O80" s="242"/>
      <c r="P80" s="390"/>
      <c r="Q80" s="37"/>
      <c r="R80" s="184" t="s">
        <v>33</v>
      </c>
      <c r="S80" s="159">
        <f>S79*$O$2</f>
        <v>494.56287311219876</v>
      </c>
      <c r="T80" s="42"/>
      <c r="U80" s="39"/>
      <c r="V80" s="156"/>
      <c r="W80" s="45" t="str">
        <f>"@ "&amp;$O$2*100&amp;" %"</f>
        <v>@ 98.59 %</v>
      </c>
      <c r="X80" s="94"/>
      <c r="Y80" s="242"/>
      <c r="Z80" s="390"/>
      <c r="AA80" s="37"/>
      <c r="AB80" s="184" t="s">
        <v>33</v>
      </c>
      <c r="AC80" s="159">
        <f>AC79*$O$2</f>
        <v>1.6169077585757743</v>
      </c>
      <c r="AD80" s="42"/>
      <c r="AE80" s="39"/>
      <c r="AF80" s="156"/>
      <c r="AG80" s="45" t="str">
        <f>"@ "&amp;$O$2*100&amp;" %"</f>
        <v>@ 98.59 %</v>
      </c>
      <c r="AH80" s="94"/>
      <c r="AI80" s="242"/>
      <c r="AJ80" s="159">
        <f>I80+S80+AC80</f>
        <v>10815.847498800002</v>
      </c>
      <c r="AK80" s="159"/>
    </row>
    <row r="81" spans="1:37" ht="21" x14ac:dyDescent="0.35">
      <c r="A81" s="299" t="s">
        <v>4</v>
      </c>
      <c r="B81" s="218" t="str">
        <f t="shared" si="40"/>
        <v>Contact CenterTotal IS</v>
      </c>
      <c r="C81" s="124" t="s">
        <v>50</v>
      </c>
      <c r="D81" s="10"/>
      <c r="E81" s="117"/>
      <c r="F81" s="117"/>
      <c r="G81" s="117"/>
      <c r="H81" s="185" t="s">
        <v>41</v>
      </c>
      <c r="I81" s="165">
        <f>I79+I80</f>
        <v>20786.923745852164</v>
      </c>
      <c r="J81" s="68"/>
      <c r="K81" s="68"/>
      <c r="L81" s="68"/>
      <c r="M81" s="66"/>
      <c r="N81" s="420">
        <f>I81</f>
        <v>20786.923745852164</v>
      </c>
      <c r="O81" s="233">
        <f>N81/N93</f>
        <v>1.6568055478052308E-2</v>
      </c>
      <c r="P81" s="390"/>
      <c r="Q81" s="37"/>
      <c r="R81" s="185" t="s">
        <v>41</v>
      </c>
      <c r="S81" s="165">
        <f>S79+S80</f>
        <v>996.19881297648396</v>
      </c>
      <c r="T81" s="68"/>
      <c r="U81" s="68"/>
      <c r="V81" s="68"/>
      <c r="W81" s="66"/>
      <c r="X81" s="420">
        <f>S81</f>
        <v>996.19881297648396</v>
      </c>
      <c r="Y81" s="233">
        <f>X81/X93</f>
        <v>1.6568055478052311E-2</v>
      </c>
      <c r="Z81" s="390"/>
      <c r="AA81" s="37"/>
      <c r="AB81" s="185" t="s">
        <v>41</v>
      </c>
      <c r="AC81" s="165">
        <f>AC79+AC80</f>
        <v>3.2569399713516889</v>
      </c>
      <c r="AD81" s="68"/>
      <c r="AE81" s="68"/>
      <c r="AF81" s="68"/>
      <c r="AG81" s="66"/>
      <c r="AH81" s="420">
        <f>AC81</f>
        <v>3.2569399713516889</v>
      </c>
      <c r="AI81" s="233">
        <f>AH81/AH93</f>
        <v>1.6568055478052315E-2</v>
      </c>
      <c r="AJ81" s="165">
        <f>I81+S81+AC81</f>
        <v>21786.379498799997</v>
      </c>
      <c r="AK81" s="165"/>
    </row>
    <row r="82" spans="1:37" ht="21" x14ac:dyDescent="0.35">
      <c r="A82" s="299" t="s">
        <v>4</v>
      </c>
      <c r="B82" s="218" t="str">
        <f t="shared" si="40"/>
        <v>Contact Center</v>
      </c>
      <c r="C82" s="5" t="s">
        <v>48</v>
      </c>
      <c r="D82" s="10"/>
      <c r="E82" s="117"/>
      <c r="F82" s="117"/>
      <c r="G82" s="117"/>
      <c r="H82" s="179"/>
      <c r="I82" s="166"/>
      <c r="J82" s="69"/>
      <c r="K82" s="69"/>
      <c r="L82" s="69"/>
      <c r="M82" s="70"/>
      <c r="N82" s="98"/>
      <c r="O82" s="243"/>
      <c r="P82" s="391"/>
      <c r="Q82" s="60"/>
      <c r="R82" s="179"/>
      <c r="S82" s="166"/>
      <c r="T82" s="69"/>
      <c r="U82" s="69"/>
      <c r="V82" s="69"/>
      <c r="W82" s="70"/>
      <c r="X82" s="98"/>
      <c r="Y82" s="243"/>
      <c r="Z82" s="391"/>
      <c r="AA82" s="60"/>
      <c r="AB82" s="179"/>
      <c r="AC82" s="166"/>
      <c r="AD82" s="69"/>
      <c r="AE82" s="69"/>
      <c r="AF82" s="69"/>
      <c r="AG82" s="70"/>
      <c r="AH82" s="98"/>
      <c r="AI82" s="243"/>
      <c r="AJ82" s="166"/>
      <c r="AK82" s="166"/>
    </row>
    <row r="83" spans="1:37" ht="21" x14ac:dyDescent="0.35">
      <c r="A83" s="299" t="s">
        <v>4</v>
      </c>
      <c r="B83" s="218" t="str">
        <f t="shared" si="40"/>
        <v>Contact CenterOTHER</v>
      </c>
      <c r="C83" s="124" t="s">
        <v>50</v>
      </c>
      <c r="D83" s="10"/>
      <c r="E83" s="117"/>
      <c r="F83" s="117"/>
      <c r="G83" s="117"/>
      <c r="H83" s="186" t="s">
        <v>42</v>
      </c>
      <c r="I83" s="167"/>
      <c r="J83" s="74"/>
      <c r="K83" s="74"/>
      <c r="L83" s="74"/>
      <c r="M83" s="66"/>
      <c r="N83" s="91"/>
      <c r="O83" s="227"/>
      <c r="P83" s="390"/>
      <c r="Q83" s="37"/>
      <c r="R83" s="186" t="s">
        <v>42</v>
      </c>
      <c r="S83" s="167"/>
      <c r="T83" s="74"/>
      <c r="U83" s="74"/>
      <c r="V83" s="74"/>
      <c r="W83" s="66"/>
      <c r="X83" s="91"/>
      <c r="Y83" s="227"/>
      <c r="Z83" s="390"/>
      <c r="AA83" s="37"/>
      <c r="AB83" s="186" t="s">
        <v>42</v>
      </c>
      <c r="AC83" s="167"/>
      <c r="AD83" s="74"/>
      <c r="AE83" s="74"/>
      <c r="AF83" s="74"/>
      <c r="AG83" s="66"/>
      <c r="AH83" s="91"/>
      <c r="AI83" s="227"/>
      <c r="AJ83" s="167"/>
      <c r="AK83" s="167"/>
    </row>
    <row r="84" spans="1:37" ht="21" x14ac:dyDescent="0.35">
      <c r="A84" s="299" t="s">
        <v>4</v>
      </c>
      <c r="B84" s="218" t="str">
        <f t="shared" si="40"/>
        <v>Contact CenterContract Labor- Telesource  (16%)</v>
      </c>
      <c r="C84" s="5" t="s">
        <v>48</v>
      </c>
      <c r="D84" s="10"/>
      <c r="E84" s="117"/>
      <c r="F84" s="117"/>
      <c r="G84" s="117"/>
      <c r="H84" s="184" t="s">
        <v>351</v>
      </c>
      <c r="I84" s="163">
        <f>J84*K84*L84</f>
        <v>193238.88425239839</v>
      </c>
      <c r="J84" s="306">
        <f>1*(I$6/($I$6+$S$6+$AC$6))</f>
        <v>0.95412474325975616</v>
      </c>
      <c r="K84" s="39">
        <v>1290000</v>
      </c>
      <c r="L84" s="304">
        <f>$T$1</f>
        <v>0.157</v>
      </c>
      <c r="M84" s="66"/>
      <c r="N84" s="76"/>
      <c r="O84" s="237"/>
      <c r="P84" s="386"/>
      <c r="Q84" s="37"/>
      <c r="R84" s="184" t="s">
        <v>351</v>
      </c>
      <c r="S84" s="163">
        <f>T84*U84*V84</f>
        <v>9260.8386631308003</v>
      </c>
      <c r="T84" s="306">
        <f>1*(S$6/($I$6+$S$6+$AC$6))</f>
        <v>4.5725762421028E-2</v>
      </c>
      <c r="U84" s="39">
        <v>1290000</v>
      </c>
      <c r="V84" s="304">
        <f>$T$1</f>
        <v>0.157</v>
      </c>
      <c r="W84" s="66"/>
      <c r="X84" s="76"/>
      <c r="Y84" s="237"/>
      <c r="Z84" s="386"/>
      <c r="AA84" s="37"/>
      <c r="AB84" s="184" t="s">
        <v>351</v>
      </c>
      <c r="AC84" s="163">
        <f>AD84*AE84*AF84</f>
        <v>30.277084470790111</v>
      </c>
      <c r="AD84" s="306">
        <f>1*(AC$6/($I$6+$S$6+$AC$6))</f>
        <v>1.4949431921586979E-4</v>
      </c>
      <c r="AE84" s="39">
        <v>1290000</v>
      </c>
      <c r="AF84" s="304">
        <f>$T$1</f>
        <v>0.157</v>
      </c>
      <c r="AG84" s="66"/>
      <c r="AH84" s="76"/>
      <c r="AI84" s="237"/>
      <c r="AJ84" s="163">
        <f>I84+S84+AC84</f>
        <v>202529.99999999997</v>
      </c>
      <c r="AK84" s="163"/>
    </row>
    <row r="85" spans="1:37" ht="21" x14ac:dyDescent="0.35">
      <c r="A85" s="299" t="s">
        <v>4</v>
      </c>
      <c r="B85" s="218" t="str">
        <f t="shared" si="40"/>
        <v>Contact Center</v>
      </c>
      <c r="C85" s="5" t="s">
        <v>48</v>
      </c>
      <c r="D85" s="10"/>
      <c r="E85" s="117"/>
      <c r="F85" s="117"/>
      <c r="G85" s="117"/>
      <c r="H85" s="184"/>
      <c r="I85" s="168"/>
      <c r="J85" s="42"/>
      <c r="K85" s="39"/>
      <c r="L85" s="42"/>
      <c r="M85" s="66"/>
      <c r="N85" s="91"/>
      <c r="O85" s="227"/>
      <c r="P85" s="390"/>
      <c r="Q85" s="37"/>
      <c r="R85" s="184"/>
      <c r="S85" s="168"/>
      <c r="T85" s="42"/>
      <c r="U85" s="39"/>
      <c r="V85" s="42"/>
      <c r="W85" s="66"/>
      <c r="X85" s="91"/>
      <c r="Y85" s="227"/>
      <c r="Z85" s="390"/>
      <c r="AA85" s="37"/>
      <c r="AB85" s="184"/>
      <c r="AC85" s="168"/>
      <c r="AD85" s="42"/>
      <c r="AE85" s="39"/>
      <c r="AF85" s="42"/>
      <c r="AG85" s="66"/>
      <c r="AH85" s="91"/>
      <c r="AI85" s="227"/>
      <c r="AJ85" s="168"/>
      <c r="AK85" s="168"/>
    </row>
    <row r="86" spans="1:37" ht="21" x14ac:dyDescent="0.35">
      <c r="A86" s="299" t="s">
        <v>4</v>
      </c>
      <c r="B86" s="218" t="str">
        <f t="shared" si="40"/>
        <v>Contact Center</v>
      </c>
      <c r="C86" s="5" t="s">
        <v>48</v>
      </c>
      <c r="D86" s="10"/>
      <c r="E86" s="117"/>
      <c r="F86" s="117"/>
      <c r="G86" s="117"/>
      <c r="H86" s="184"/>
      <c r="I86" s="168"/>
      <c r="J86" s="42"/>
      <c r="K86" s="39"/>
      <c r="L86" s="42"/>
      <c r="M86" s="66"/>
      <c r="N86" s="91"/>
      <c r="O86" s="227"/>
      <c r="P86" s="390"/>
      <c r="Q86" s="37"/>
      <c r="R86" s="184"/>
      <c r="S86" s="168"/>
      <c r="T86" s="42"/>
      <c r="U86" s="39"/>
      <c r="V86" s="42"/>
      <c r="W86" s="66"/>
      <c r="X86" s="91"/>
      <c r="Y86" s="227"/>
      <c r="Z86" s="390"/>
      <c r="AA86" s="37"/>
      <c r="AB86" s="184"/>
      <c r="AC86" s="168"/>
      <c r="AD86" s="42"/>
      <c r="AE86" s="39"/>
      <c r="AF86" s="42"/>
      <c r="AG86" s="66"/>
      <c r="AH86" s="91"/>
      <c r="AI86" s="227"/>
      <c r="AJ86" s="168"/>
      <c r="AK86" s="168"/>
    </row>
    <row r="87" spans="1:37" ht="21" x14ac:dyDescent="0.35">
      <c r="A87" s="299" t="s">
        <v>4</v>
      </c>
      <c r="B87" s="218" t="str">
        <f t="shared" si="40"/>
        <v>Contact Center</v>
      </c>
      <c r="C87" s="5" t="s">
        <v>48</v>
      </c>
      <c r="D87" s="10"/>
      <c r="E87" s="117"/>
      <c r="F87" s="117"/>
      <c r="G87" s="117"/>
      <c r="H87" s="184"/>
      <c r="I87" s="168"/>
      <c r="J87" s="42"/>
      <c r="K87" s="39"/>
      <c r="L87" s="42"/>
      <c r="M87" s="66"/>
      <c r="N87" s="91"/>
      <c r="O87" s="227"/>
      <c r="P87" s="390"/>
      <c r="Q87" s="37"/>
      <c r="R87" s="184"/>
      <c r="S87" s="168"/>
      <c r="T87" s="42"/>
      <c r="U87" s="39"/>
      <c r="V87" s="42"/>
      <c r="W87" s="66"/>
      <c r="X87" s="91"/>
      <c r="Y87" s="227"/>
      <c r="Z87" s="390"/>
      <c r="AA87" s="37"/>
      <c r="AB87" s="184"/>
      <c r="AC87" s="168"/>
      <c r="AD87" s="42"/>
      <c r="AE87" s="39"/>
      <c r="AF87" s="42"/>
      <c r="AG87" s="66"/>
      <c r="AH87" s="91"/>
      <c r="AI87" s="227"/>
      <c r="AJ87" s="168"/>
      <c r="AK87" s="168"/>
    </row>
    <row r="88" spans="1:37" ht="21" x14ac:dyDescent="0.35">
      <c r="A88" s="299" t="s">
        <v>4</v>
      </c>
      <c r="B88" s="218" t="str">
        <f t="shared" si="40"/>
        <v>Contact Center</v>
      </c>
      <c r="C88" s="5" t="s">
        <v>48</v>
      </c>
      <c r="D88" s="10"/>
      <c r="E88" s="117"/>
      <c r="F88" s="117"/>
      <c r="G88" s="117"/>
      <c r="H88" s="184"/>
      <c r="I88" s="168"/>
      <c r="J88" s="42"/>
      <c r="K88" s="39"/>
      <c r="L88" s="42"/>
      <c r="M88" s="66"/>
      <c r="N88" s="91"/>
      <c r="O88" s="227"/>
      <c r="P88" s="390"/>
      <c r="Q88" s="37"/>
      <c r="R88" s="184"/>
      <c r="S88" s="168"/>
      <c r="T88" s="42"/>
      <c r="U88" s="39"/>
      <c r="V88" s="42"/>
      <c r="W88" s="66"/>
      <c r="X88" s="91"/>
      <c r="Y88" s="227"/>
      <c r="Z88" s="390"/>
      <c r="AA88" s="37"/>
      <c r="AB88" s="184"/>
      <c r="AC88" s="168"/>
      <c r="AD88" s="42"/>
      <c r="AE88" s="39"/>
      <c r="AF88" s="42"/>
      <c r="AG88" s="66"/>
      <c r="AH88" s="91"/>
      <c r="AI88" s="227"/>
      <c r="AJ88" s="168"/>
      <c r="AK88" s="168"/>
    </row>
    <row r="89" spans="1:37" ht="21" x14ac:dyDescent="0.35">
      <c r="A89" s="299" t="s">
        <v>4</v>
      </c>
      <c r="B89" s="218" t="str">
        <f t="shared" si="40"/>
        <v>Contact Center</v>
      </c>
      <c r="C89" s="5" t="s">
        <v>48</v>
      </c>
      <c r="D89" s="10"/>
      <c r="E89" s="117"/>
      <c r="F89" s="117"/>
      <c r="G89" s="117"/>
      <c r="H89" s="184"/>
      <c r="I89" s="164"/>
      <c r="J89" s="67"/>
      <c r="K89" s="67"/>
      <c r="L89" s="67"/>
      <c r="M89" s="40" t="str">
        <f>J89&amp;" days @ "&amp;K89</f>
        <v xml:space="preserve"> days @ </v>
      </c>
      <c r="N89" s="94"/>
      <c r="O89" s="242"/>
      <c r="P89" s="390"/>
      <c r="Q89" s="37"/>
      <c r="R89" s="184"/>
      <c r="S89" s="164"/>
      <c r="T89" s="67"/>
      <c r="U89" s="67"/>
      <c r="V89" s="67"/>
      <c r="W89" s="40" t="str">
        <f>T89&amp;" days @ "&amp;U89</f>
        <v xml:space="preserve"> days @ </v>
      </c>
      <c r="X89" s="94"/>
      <c r="Y89" s="242"/>
      <c r="Z89" s="390"/>
      <c r="AA89" s="37"/>
      <c r="AB89" s="184"/>
      <c r="AC89" s="164"/>
      <c r="AD89" s="67"/>
      <c r="AE89" s="67"/>
      <c r="AF89" s="67"/>
      <c r="AG89" s="40" t="str">
        <f>AD89&amp;" days @ "&amp;AE89</f>
        <v xml:space="preserve"> days @ </v>
      </c>
      <c r="AH89" s="94"/>
      <c r="AI89" s="242"/>
      <c r="AJ89" s="164"/>
      <c r="AK89" s="164"/>
    </row>
    <row r="90" spans="1:37" ht="21" x14ac:dyDescent="0.35">
      <c r="A90" s="299" t="s">
        <v>4</v>
      </c>
      <c r="B90" s="218" t="str">
        <f t="shared" si="40"/>
        <v>Contact CenterTotal Other</v>
      </c>
      <c r="C90" s="124" t="s">
        <v>50</v>
      </c>
      <c r="D90" s="10"/>
      <c r="E90" s="116">
        <f>I90</f>
        <v>193238.88425239839</v>
      </c>
      <c r="F90" s="116">
        <f>S90</f>
        <v>9260.8386631308003</v>
      </c>
      <c r="G90" s="116">
        <f>AC90</f>
        <v>30.277084470790111</v>
      </c>
      <c r="H90" s="185" t="s">
        <v>45</v>
      </c>
      <c r="I90" s="165">
        <f>SUM(I84:I89)</f>
        <v>193238.88425239839</v>
      </c>
      <c r="J90" s="68"/>
      <c r="K90" s="68"/>
      <c r="L90" s="68"/>
      <c r="M90" s="66"/>
      <c r="N90" s="414">
        <f>I90</f>
        <v>193238.88425239839</v>
      </c>
      <c r="O90" s="233">
        <f>N90/N93</f>
        <v>0.15401954584306937</v>
      </c>
      <c r="P90" s="390"/>
      <c r="Q90" s="68"/>
      <c r="R90" s="185" t="s">
        <v>45</v>
      </c>
      <c r="S90" s="165">
        <f>SUM(S84:S89)</f>
        <v>9260.8386631308003</v>
      </c>
      <c r="T90" s="68"/>
      <c r="U90" s="68"/>
      <c r="V90" s="68"/>
      <c r="W90" s="66"/>
      <c r="X90" s="414">
        <f>S90</f>
        <v>9260.8386631308003</v>
      </c>
      <c r="Y90" s="233">
        <f>X90/X93</f>
        <v>0.1540195458430694</v>
      </c>
      <c r="Z90" s="390"/>
      <c r="AA90" s="68"/>
      <c r="AB90" s="185" t="s">
        <v>45</v>
      </c>
      <c r="AC90" s="165">
        <f>SUM(AC84:AC89)</f>
        <v>30.277084470790111</v>
      </c>
      <c r="AD90" s="68"/>
      <c r="AE90" s="68"/>
      <c r="AF90" s="68"/>
      <c r="AG90" s="66"/>
      <c r="AH90" s="414">
        <f>AC90</f>
        <v>30.277084470790111</v>
      </c>
      <c r="AI90" s="233">
        <f>AH90/AH93</f>
        <v>0.15401954584306946</v>
      </c>
      <c r="AJ90" s="165">
        <f>I90+S90+AC90</f>
        <v>202529.99999999997</v>
      </c>
      <c r="AK90" s="165"/>
    </row>
    <row r="91" spans="1:37" ht="21.75" thickBot="1" x14ac:dyDescent="0.4">
      <c r="A91" s="299" t="s">
        <v>4</v>
      </c>
      <c r="B91" s="218" t="str">
        <f t="shared" si="40"/>
        <v>Contact Center</v>
      </c>
      <c r="C91" s="5" t="s">
        <v>48</v>
      </c>
      <c r="D91" s="10"/>
      <c r="E91" s="117"/>
      <c r="F91" s="117"/>
      <c r="G91" s="117"/>
      <c r="H91" s="178"/>
      <c r="I91" s="178"/>
      <c r="J91" s="101"/>
      <c r="K91" s="101"/>
      <c r="L91" s="101"/>
      <c r="M91" s="102"/>
      <c r="N91" s="415"/>
      <c r="O91" s="178"/>
      <c r="P91" s="101"/>
      <c r="Q91" s="101"/>
      <c r="R91" s="178"/>
      <c r="S91" s="178"/>
      <c r="T91" s="101"/>
      <c r="U91" s="101"/>
      <c r="V91" s="101"/>
      <c r="W91" s="102"/>
      <c r="X91" s="415"/>
      <c r="Y91" s="178"/>
      <c r="Z91" s="101"/>
      <c r="AA91" s="101"/>
      <c r="AB91" s="178"/>
      <c r="AC91" s="178"/>
      <c r="AD91" s="101"/>
      <c r="AE91" s="101"/>
      <c r="AF91" s="101"/>
      <c r="AG91" s="102"/>
      <c r="AH91" s="415"/>
      <c r="AI91" s="178"/>
      <c r="AJ91" s="178"/>
      <c r="AK91" s="178"/>
    </row>
    <row r="92" spans="1:37" ht="21.75" thickTop="1" x14ac:dyDescent="0.35">
      <c r="A92" s="299" t="s">
        <v>4</v>
      </c>
      <c r="B92" s="218" t="str">
        <f t="shared" si="40"/>
        <v>Contact CenterTOTALS</v>
      </c>
      <c r="C92" s="5" t="s">
        <v>48</v>
      </c>
      <c r="D92" s="10"/>
      <c r="E92" s="117"/>
      <c r="F92" s="117"/>
      <c r="G92" s="117"/>
      <c r="H92" s="186" t="s">
        <v>28</v>
      </c>
      <c r="I92" s="418"/>
      <c r="J92" s="103"/>
      <c r="K92" s="103"/>
      <c r="L92" s="103"/>
      <c r="M92" s="104"/>
      <c r="N92" s="91"/>
      <c r="O92" s="136"/>
      <c r="P92" s="390"/>
      <c r="Q92" s="37"/>
      <c r="R92" s="186" t="s">
        <v>28</v>
      </c>
      <c r="S92" s="418"/>
      <c r="T92" s="103"/>
      <c r="U92" s="435"/>
      <c r="V92" s="435"/>
      <c r="W92" s="436"/>
      <c r="X92" s="91"/>
      <c r="Y92" s="136"/>
      <c r="Z92" s="390"/>
      <c r="AA92" s="37"/>
      <c r="AB92" s="186" t="s">
        <v>28</v>
      </c>
      <c r="AC92" s="418"/>
      <c r="AD92" s="435"/>
      <c r="AE92" s="435"/>
      <c r="AF92" s="435"/>
      <c r="AG92" s="436"/>
      <c r="AH92" s="91"/>
      <c r="AI92" s="136"/>
      <c r="AJ92" s="418"/>
      <c r="AK92" s="418"/>
    </row>
    <row r="93" spans="1:37" ht="21" x14ac:dyDescent="0.35">
      <c r="A93" s="299" t="s">
        <v>4</v>
      </c>
      <c r="B93" s="218" t="str">
        <f t="shared" si="40"/>
        <v>Contact CenterPER YEAR</v>
      </c>
      <c r="C93" s="124" t="s">
        <v>50</v>
      </c>
      <c r="D93" s="10"/>
      <c r="E93" s="117"/>
      <c r="F93" s="117"/>
      <c r="G93" s="117"/>
      <c r="H93" s="190" t="s">
        <v>46</v>
      </c>
      <c r="I93" s="417">
        <f>I58+I69+I76+I81+I90</f>
        <v>1254638.709617347</v>
      </c>
      <c r="J93" s="106"/>
      <c r="K93" s="106"/>
      <c r="L93" s="106"/>
      <c r="M93" s="107"/>
      <c r="N93" s="420">
        <f>SUM(N58:N91)</f>
        <v>1254638.709617347</v>
      </c>
      <c r="O93" s="233">
        <f>SUM(O58:O91)</f>
        <v>1</v>
      </c>
      <c r="P93" s="390"/>
      <c r="Q93" s="37"/>
      <c r="R93" s="190" t="s">
        <v>46</v>
      </c>
      <c r="S93" s="417">
        <f>S58+S69+S76+S81+S90</f>
        <v>60127.684524967197</v>
      </c>
      <c r="T93" s="106"/>
      <c r="U93" s="106"/>
      <c r="V93" s="106"/>
      <c r="W93" s="107"/>
      <c r="X93" s="420">
        <f>SUM(X58:X91)</f>
        <v>60127.684524967197</v>
      </c>
      <c r="Y93" s="233">
        <f>SUM(Y58:Y91)</f>
        <v>0.99999999999999989</v>
      </c>
      <c r="Z93" s="390"/>
      <c r="AA93" s="37"/>
      <c r="AB93" s="190" t="s">
        <v>46</v>
      </c>
      <c r="AC93" s="417">
        <f>AC58+AC69+AC76+AC81+AC90</f>
        <v>196.5794945379169</v>
      </c>
      <c r="AD93" s="106"/>
      <c r="AE93" s="106"/>
      <c r="AF93" s="106"/>
      <c r="AG93" s="107"/>
      <c r="AH93" s="420">
        <f>SUM(AH58:AH91)</f>
        <v>196.5794945379169</v>
      </c>
      <c r="AI93" s="233">
        <f>SUM(AI58:AI91)</f>
        <v>1.0000000000000002</v>
      </c>
      <c r="AJ93" s="417">
        <f>I93+S93+AC93</f>
        <v>1314962.9736368521</v>
      </c>
      <c r="AK93" s="417"/>
    </row>
    <row r="94" spans="1:37" ht="21" x14ac:dyDescent="0.35">
      <c r="A94" s="299" t="s">
        <v>4</v>
      </c>
      <c r="B94" s="218" t="str">
        <f t="shared" si="40"/>
        <v>Contact CenterPER PAYMENT</v>
      </c>
      <c r="C94" s="124" t="s">
        <v>50</v>
      </c>
      <c r="D94" s="10"/>
      <c r="E94" s="117"/>
      <c r="F94" s="117"/>
      <c r="G94" s="117"/>
      <c r="H94" s="185" t="s">
        <v>47</v>
      </c>
      <c r="I94" s="419">
        <f>I93/I$6</f>
        <v>8.5469345451268239</v>
      </c>
      <c r="J94" s="108"/>
      <c r="K94" s="108"/>
      <c r="L94" s="108"/>
      <c r="M94" s="109"/>
      <c r="N94" s="98"/>
      <c r="O94" s="246"/>
      <c r="P94" s="391"/>
      <c r="Q94" s="60"/>
      <c r="R94" s="185" t="s">
        <v>47</v>
      </c>
      <c r="S94" s="419">
        <f>S93/S$6</f>
        <v>8.5469345451268222</v>
      </c>
      <c r="T94" s="108"/>
      <c r="U94" s="108"/>
      <c r="V94" s="108"/>
      <c r="W94" s="109"/>
      <c r="X94" s="98"/>
      <c r="Y94" s="246"/>
      <c r="Z94" s="391"/>
      <c r="AA94" s="60"/>
      <c r="AB94" s="185" t="s">
        <v>47</v>
      </c>
      <c r="AC94" s="419">
        <f>AC93/AC$6</f>
        <v>8.5469345451268222</v>
      </c>
      <c r="AD94" s="108"/>
      <c r="AE94" s="108"/>
      <c r="AF94" s="108"/>
      <c r="AG94" s="109"/>
      <c r="AH94" s="98"/>
      <c r="AI94" s="246"/>
      <c r="AJ94" s="419">
        <f>I94+S94+AC94</f>
        <v>25.640803635380472</v>
      </c>
      <c r="AK94" s="419"/>
    </row>
    <row r="95" spans="1:37" ht="15.75" x14ac:dyDescent="0.25">
      <c r="A95" s="299" t="s">
        <v>4</v>
      </c>
      <c r="B95" s="218"/>
      <c r="C95" s="220"/>
      <c r="D95" s="10"/>
      <c r="E95" s="10"/>
      <c r="F95" s="10"/>
      <c r="G95" s="10"/>
      <c r="H95" s="137" t="s">
        <v>553</v>
      </c>
      <c r="I95" s="652">
        <f>I58+I69</f>
        <v>961578.78217044577</v>
      </c>
      <c r="J95" s="108"/>
      <c r="K95" s="108"/>
      <c r="L95" s="108"/>
      <c r="M95" s="109"/>
      <c r="N95" s="649"/>
      <c r="O95" s="650"/>
      <c r="P95" s="92"/>
      <c r="Q95" s="37"/>
      <c r="R95" s="137" t="s">
        <v>553</v>
      </c>
      <c r="S95" s="652">
        <f>S58+S69</f>
        <v>46082.99203352374</v>
      </c>
      <c r="T95" s="108"/>
      <c r="U95" s="108"/>
      <c r="V95" s="108"/>
      <c r="W95" s="109"/>
      <c r="X95" s="651"/>
      <c r="Y95" s="650"/>
      <c r="Z95" s="92"/>
      <c r="AA95" s="37"/>
      <c r="AB95" s="137" t="s">
        <v>553</v>
      </c>
      <c r="AC95" s="652">
        <f>AC58+AC69</f>
        <v>150.66223408259361</v>
      </c>
      <c r="AD95" s="108"/>
      <c r="AE95" s="108"/>
      <c r="AF95" s="108"/>
      <c r="AG95" s="109"/>
      <c r="AH95" s="649"/>
      <c r="AI95" s="137"/>
      <c r="AJ95" s="652">
        <f>I95+S95+AC95</f>
        <v>1007812.4364380521</v>
      </c>
      <c r="AK95" s="652"/>
    </row>
    <row r="96" spans="1:37" ht="15.75" x14ac:dyDescent="0.25">
      <c r="A96" s="299" t="s">
        <v>4</v>
      </c>
      <c r="B96" s="218"/>
      <c r="C96" s="220"/>
      <c r="D96" s="10"/>
      <c r="E96" s="10"/>
      <c r="F96" s="10"/>
      <c r="G96" s="10"/>
      <c r="H96" s="137" t="s">
        <v>554</v>
      </c>
      <c r="I96" s="652">
        <f>I90+I81+I76</f>
        <v>293059.92744690122</v>
      </c>
      <c r="J96" s="108"/>
      <c r="K96" s="652"/>
      <c r="L96" s="108"/>
      <c r="M96" s="109"/>
      <c r="N96" s="649"/>
      <c r="O96" s="650"/>
      <c r="P96" s="92"/>
      <c r="Q96" s="37"/>
      <c r="R96" s="137" t="s">
        <v>554</v>
      </c>
      <c r="S96" s="652">
        <f>S90+S81+S76</f>
        <v>14044.692491443451</v>
      </c>
      <c r="T96" s="108"/>
      <c r="U96" s="652"/>
      <c r="V96" s="108"/>
      <c r="W96" s="109"/>
      <c r="X96" s="651"/>
      <c r="Y96" s="650"/>
      <c r="Z96" s="92"/>
      <c r="AA96" s="37"/>
      <c r="AB96" s="137" t="s">
        <v>554</v>
      </c>
      <c r="AC96" s="652">
        <f>AC90+AC81+AC76</f>
        <v>45.917260455323301</v>
      </c>
      <c r="AD96" s="108"/>
      <c r="AE96" s="652"/>
      <c r="AF96" s="108"/>
      <c r="AG96" s="109"/>
      <c r="AH96" s="649"/>
      <c r="AI96" s="137"/>
      <c r="AJ96" s="652">
        <f>I96+S96+AC96</f>
        <v>307150.53719880001</v>
      </c>
      <c r="AK96" s="652"/>
    </row>
    <row r="97" spans="1:37" ht="15.75" x14ac:dyDescent="0.25">
      <c r="A97" s="299" t="s">
        <v>4</v>
      </c>
      <c r="B97" s="218"/>
      <c r="C97" s="220"/>
      <c r="D97" s="10"/>
      <c r="E97" s="10"/>
      <c r="F97" s="10"/>
      <c r="G97" s="10"/>
      <c r="H97" s="137" t="s">
        <v>552</v>
      </c>
      <c r="I97" s="652">
        <f>I93</f>
        <v>1254638.709617347</v>
      </c>
      <c r="J97" s="108"/>
      <c r="K97" s="108"/>
      <c r="L97" s="108"/>
      <c r="M97" s="109"/>
      <c r="N97" s="649"/>
      <c r="O97" s="650"/>
      <c r="P97" s="92"/>
      <c r="Q97" s="37"/>
      <c r="R97" s="137" t="s">
        <v>552</v>
      </c>
      <c r="S97" s="652">
        <f>S93</f>
        <v>60127.684524967197</v>
      </c>
      <c r="T97" s="108"/>
      <c r="U97" s="108"/>
      <c r="V97" s="108"/>
      <c r="W97" s="109"/>
      <c r="X97" s="651"/>
      <c r="Y97" s="650"/>
      <c r="Z97" s="92"/>
      <c r="AA97" s="37"/>
      <c r="AB97" s="137" t="s">
        <v>552</v>
      </c>
      <c r="AC97" s="652">
        <f>AC93</f>
        <v>196.5794945379169</v>
      </c>
      <c r="AD97" s="108"/>
      <c r="AE97" s="108"/>
      <c r="AF97" s="108"/>
      <c r="AG97" s="109"/>
      <c r="AH97" s="649"/>
      <c r="AI97" s="137"/>
      <c r="AJ97" s="652">
        <f>I97+S97+AC97</f>
        <v>1314962.9736368521</v>
      </c>
      <c r="AK97" s="652"/>
    </row>
    <row r="98" spans="1:37" ht="70.900000000000006" customHeight="1" x14ac:dyDescent="0.25">
      <c r="A98" s="299" t="s">
        <v>5</v>
      </c>
      <c r="B98" s="218" t="str">
        <f t="shared" si="40"/>
        <v>MASTLABOR: NON-SUPERVISORY</v>
      </c>
      <c r="C98" s="218" t="s">
        <v>5</v>
      </c>
      <c r="D98" s="10" t="str">
        <f>'2015Summary METER to CASH (Base'!O15</f>
        <v xml:space="preserve">* Review delinquent notices batches
* Plan arrangements with customers
</v>
      </c>
      <c r="E98" s="117">
        <f>N138</f>
        <v>0</v>
      </c>
      <c r="F98" s="117">
        <f>X138</f>
        <v>30177.796298000001</v>
      </c>
      <c r="G98" s="117">
        <f>AC138</f>
        <v>910.40042400000004</v>
      </c>
      <c r="H98" s="183" t="s">
        <v>31</v>
      </c>
      <c r="I98" s="157"/>
      <c r="J98" s="118"/>
      <c r="K98" s="118"/>
      <c r="L98" s="118"/>
      <c r="M98" s="119"/>
      <c r="N98" s="121"/>
      <c r="O98" s="135"/>
      <c r="P98" s="381"/>
      <c r="Q98" s="123"/>
      <c r="R98" s="183" t="s">
        <v>31</v>
      </c>
      <c r="S98" s="157"/>
      <c r="T98" s="118"/>
      <c r="U98" s="118"/>
      <c r="V98" s="118"/>
      <c r="W98" s="119"/>
      <c r="X98" s="121"/>
      <c r="Y98" s="135"/>
      <c r="Z98" s="381"/>
      <c r="AA98" s="123"/>
      <c r="AB98" s="183" t="s">
        <v>31</v>
      </c>
      <c r="AC98" s="157"/>
      <c r="AD98" s="118"/>
      <c r="AE98" s="118"/>
      <c r="AF98" s="118"/>
      <c r="AG98" s="119"/>
      <c r="AH98" s="121"/>
      <c r="AI98" s="135"/>
      <c r="AJ98" s="157"/>
      <c r="AK98" s="157"/>
    </row>
    <row r="99" spans="1:37" ht="22.5" x14ac:dyDescent="0.25">
      <c r="A99" s="299" t="s">
        <v>5</v>
      </c>
      <c r="B99" s="218" t="str">
        <f t="shared" si="40"/>
        <v>MASTMAST Rep (Grade 145)</v>
      </c>
      <c r="C99" s="217" t="s">
        <v>48</v>
      </c>
      <c r="D99" s="10"/>
      <c r="E99" s="126"/>
      <c r="F99" s="126"/>
      <c r="G99" s="126"/>
      <c r="H99" s="184" t="s">
        <v>243</v>
      </c>
      <c r="I99" s="158">
        <f>J99*K99</f>
        <v>0</v>
      </c>
      <c r="J99" s="42">
        <f>+ROUND('FTE Alloc OR &amp; WA'!M39*2080,0)</f>
        <v>0</v>
      </c>
      <c r="K99" s="259">
        <v>29.13</v>
      </c>
      <c r="L99" s="39"/>
      <c r="M99" s="40" t="str">
        <f>J99&amp;" hrs @ "&amp;K99</f>
        <v>0 hrs @ 29.13</v>
      </c>
      <c r="N99" s="35"/>
      <c r="O99" s="136"/>
      <c r="P99" s="382"/>
      <c r="Q99" s="41"/>
      <c r="R99" s="184" t="s">
        <v>243</v>
      </c>
      <c r="S99" s="158">
        <f>T99*U99</f>
        <v>11331.57</v>
      </c>
      <c r="T99" s="42">
        <f>+ROUND('FTE Alloc OR &amp; WA'!N40*2080,0)</f>
        <v>389</v>
      </c>
      <c r="U99" s="259">
        <v>29.13</v>
      </c>
      <c r="V99" s="39"/>
      <c r="W99" s="40" t="str">
        <f>T99&amp;" hrs @ "&amp;U99</f>
        <v>389 hrs @ 29.13</v>
      </c>
      <c r="X99" s="35"/>
      <c r="Y99" s="136"/>
      <c r="Z99" s="382"/>
      <c r="AA99" s="41"/>
      <c r="AB99" s="184" t="s">
        <v>243</v>
      </c>
      <c r="AC99" s="158">
        <f>AD99*AE99</f>
        <v>0</v>
      </c>
      <c r="AD99" s="42">
        <f>+ROUND('FTE Alloc OR &amp; WA'!O39*2080,0)</f>
        <v>0</v>
      </c>
      <c r="AE99" s="259">
        <v>29.13</v>
      </c>
      <c r="AF99" s="39"/>
      <c r="AG99" s="40" t="str">
        <f>AD99&amp;" hrs @ "&amp;AE99</f>
        <v>0 hrs @ 29.13</v>
      </c>
      <c r="AH99" s="35"/>
      <c r="AI99" s="136"/>
      <c r="AJ99" s="158">
        <f t="shared" ref="AJ99:AJ105" si="41">I99+S99+AC99</f>
        <v>11331.57</v>
      </c>
      <c r="AK99" s="158"/>
    </row>
    <row r="100" spans="1:37" ht="15.75" x14ac:dyDescent="0.25">
      <c r="A100" s="299" t="s">
        <v>5</v>
      </c>
      <c r="B100" s="218" t="str">
        <f t="shared" si="40"/>
        <v>MASTOp Supp 2 (Grade 125)</v>
      </c>
      <c r="C100" s="217" t="s">
        <v>48</v>
      </c>
      <c r="D100" s="10"/>
      <c r="E100" s="126"/>
      <c r="F100" s="126"/>
      <c r="G100" s="126"/>
      <c r="H100" s="184" t="s">
        <v>244</v>
      </c>
      <c r="I100" s="158">
        <f t="shared" ref="I100:I101" si="42">J100*K100</f>
        <v>0</v>
      </c>
      <c r="J100" s="42">
        <f>+ROUND('FTE Alloc OR &amp; WA'!M40*2080,0)</f>
        <v>0</v>
      </c>
      <c r="K100" s="259">
        <v>22.01</v>
      </c>
      <c r="L100" s="42"/>
      <c r="M100" s="40" t="str">
        <f t="shared" ref="M100:M102" si="43">J100&amp;" hrs @ "&amp;K100</f>
        <v>0 hrs @ 22.01</v>
      </c>
      <c r="N100" s="35"/>
      <c r="O100" s="136"/>
      <c r="P100" s="382"/>
      <c r="Q100" s="3"/>
      <c r="R100" s="184" t="s">
        <v>244</v>
      </c>
      <c r="S100" s="158">
        <f t="shared" ref="S100:S101" si="44">T100*U100</f>
        <v>0</v>
      </c>
      <c r="T100" s="42">
        <f>+ROUND('FTE Alloc OR &amp; WA'!N41*2080,0)</f>
        <v>0</v>
      </c>
      <c r="U100" s="259">
        <v>22.01</v>
      </c>
      <c r="V100" s="42"/>
      <c r="W100" s="40" t="str">
        <f t="shared" ref="W100:W102" si="45">T100&amp;" hrs @ "&amp;U100</f>
        <v>0 hrs @ 22.01</v>
      </c>
      <c r="X100" s="35"/>
      <c r="Y100" s="136"/>
      <c r="Z100" s="382"/>
      <c r="AA100" s="3"/>
      <c r="AB100" s="184" t="s">
        <v>244</v>
      </c>
      <c r="AC100" s="158">
        <f t="shared" ref="AC100:AC102" si="46">AD100*AE100</f>
        <v>0</v>
      </c>
      <c r="AD100" s="42">
        <f>+ROUND('FTE Alloc OR &amp; WA'!O40*2080,0)</f>
        <v>0</v>
      </c>
      <c r="AE100" s="259">
        <v>22.01</v>
      </c>
      <c r="AF100" s="42"/>
      <c r="AG100" s="40" t="str">
        <f t="shared" ref="AG100:AG102" si="47">AD100&amp;" hrs @ "&amp;AE100</f>
        <v>0 hrs @ 22.01</v>
      </c>
      <c r="AH100" s="35"/>
      <c r="AI100" s="136"/>
      <c r="AJ100" s="158">
        <f t="shared" si="41"/>
        <v>0</v>
      </c>
      <c r="AK100" s="158"/>
    </row>
    <row r="101" spans="1:37" ht="15.75" x14ac:dyDescent="0.25">
      <c r="A101" s="299" t="s">
        <v>5</v>
      </c>
      <c r="B101" s="218" t="str">
        <f t="shared" si="40"/>
        <v>MASTCustomer Field Service 4</v>
      </c>
      <c r="C101" s="217" t="s">
        <v>48</v>
      </c>
      <c r="D101" s="10"/>
      <c r="E101" s="126"/>
      <c r="F101" s="126"/>
      <c r="G101" s="126"/>
      <c r="H101" s="184" t="s">
        <v>343</v>
      </c>
      <c r="I101" s="158">
        <f t="shared" si="42"/>
        <v>0</v>
      </c>
      <c r="J101" s="42"/>
      <c r="K101" s="39">
        <v>36.78</v>
      </c>
      <c r="L101" s="42"/>
      <c r="M101" s="40" t="str">
        <f t="shared" si="43"/>
        <v xml:space="preserve"> hrs @ 36.78</v>
      </c>
      <c r="N101" s="35"/>
      <c r="O101" s="136"/>
      <c r="P101" s="382"/>
      <c r="Q101" s="41"/>
      <c r="R101" s="184" t="s">
        <v>343</v>
      </c>
      <c r="S101" s="158">
        <f t="shared" si="44"/>
        <v>183.9</v>
      </c>
      <c r="T101" s="42">
        <v>5</v>
      </c>
      <c r="U101" s="39">
        <v>36.78</v>
      </c>
      <c r="V101" s="42"/>
      <c r="W101" s="40" t="str">
        <f t="shared" si="45"/>
        <v>5 hrs @ 36.78</v>
      </c>
      <c r="X101" s="35"/>
      <c r="Y101" s="136"/>
      <c r="Z101" s="382"/>
      <c r="AA101" s="41"/>
      <c r="AB101" s="184" t="s">
        <v>343</v>
      </c>
      <c r="AC101" s="158">
        <f t="shared" si="46"/>
        <v>441.36</v>
      </c>
      <c r="AD101" s="42">
        <v>12</v>
      </c>
      <c r="AE101" s="39">
        <v>36.78</v>
      </c>
      <c r="AF101" s="42"/>
      <c r="AG101" s="40" t="str">
        <f t="shared" si="47"/>
        <v>12 hrs @ 36.78</v>
      </c>
      <c r="AH101" s="35"/>
      <c r="AI101" s="136"/>
      <c r="AJ101" s="158">
        <f t="shared" si="41"/>
        <v>625.26</v>
      </c>
      <c r="AK101" s="158"/>
    </row>
    <row r="102" spans="1:37" ht="15.75" x14ac:dyDescent="0.25">
      <c r="A102" s="299" t="s">
        <v>5</v>
      </c>
      <c r="B102" s="218" t="str">
        <f t="shared" si="40"/>
        <v>MAST</v>
      </c>
      <c r="C102" s="217" t="s">
        <v>48</v>
      </c>
      <c r="D102" s="10"/>
      <c r="E102" s="126"/>
      <c r="F102" s="126"/>
      <c r="G102" s="126"/>
      <c r="H102" s="179"/>
      <c r="I102" s="173">
        <f>J102*K102*L102</f>
        <v>0</v>
      </c>
      <c r="J102" s="174"/>
      <c r="K102" s="175"/>
      <c r="L102" s="181">
        <v>7.0000000000000007E-2</v>
      </c>
      <c r="M102" s="176" t="str">
        <f t="shared" si="43"/>
        <v xml:space="preserve"> hrs @ </v>
      </c>
      <c r="N102" s="35"/>
      <c r="O102" s="136"/>
      <c r="P102" s="382"/>
      <c r="Q102" s="44"/>
      <c r="R102" s="179"/>
      <c r="S102" s="173">
        <f>T102*U102*V102</f>
        <v>0</v>
      </c>
      <c r="T102" s="174"/>
      <c r="U102" s="175"/>
      <c r="V102" s="181">
        <v>7.0000000000000007E-2</v>
      </c>
      <c r="W102" s="176" t="str">
        <f t="shared" si="45"/>
        <v xml:space="preserve"> hrs @ </v>
      </c>
      <c r="X102" s="35"/>
      <c r="Y102" s="136"/>
      <c r="Z102" s="382"/>
      <c r="AA102" s="44"/>
      <c r="AB102" s="179"/>
      <c r="AC102" s="173">
        <f t="shared" si="46"/>
        <v>0</v>
      </c>
      <c r="AD102" s="174"/>
      <c r="AE102" s="175"/>
      <c r="AF102" s="181"/>
      <c r="AG102" s="176" t="str">
        <f t="shared" si="47"/>
        <v xml:space="preserve"> hrs @ </v>
      </c>
      <c r="AH102" s="35"/>
      <c r="AI102" s="136"/>
      <c r="AJ102" s="173">
        <f t="shared" si="41"/>
        <v>0</v>
      </c>
      <c r="AK102" s="173"/>
    </row>
    <row r="103" spans="1:37" ht="15.75" x14ac:dyDescent="0.25">
      <c r="A103" s="299" t="s">
        <v>5</v>
      </c>
      <c r="B103" s="218" t="str">
        <f t="shared" si="40"/>
        <v>MASTTotal Wages</v>
      </c>
      <c r="C103" s="217" t="s">
        <v>48</v>
      </c>
      <c r="D103" s="10"/>
      <c r="E103" s="126"/>
      <c r="F103" s="126"/>
      <c r="G103" s="126"/>
      <c r="H103" s="184" t="s">
        <v>32</v>
      </c>
      <c r="I103" s="158">
        <f>SUM(I99:I102)</f>
        <v>0</v>
      </c>
      <c r="J103" s="42"/>
      <c r="K103" s="39"/>
      <c r="L103" s="39"/>
      <c r="M103" s="40"/>
      <c r="N103" s="35"/>
      <c r="O103" s="231"/>
      <c r="P103" s="382"/>
      <c r="Q103" s="41"/>
      <c r="R103" s="184" t="s">
        <v>32</v>
      </c>
      <c r="S103" s="158">
        <f>SUM(S99:S102)</f>
        <v>11515.47</v>
      </c>
      <c r="T103" s="42"/>
      <c r="U103" s="39"/>
      <c r="V103" s="39"/>
      <c r="W103" s="40"/>
      <c r="X103" s="35"/>
      <c r="Y103" s="231"/>
      <c r="Z103" s="382"/>
      <c r="AA103" s="41"/>
      <c r="AB103" s="184" t="s">
        <v>32</v>
      </c>
      <c r="AC103" s="158">
        <f>SUM(AC99:AC102)</f>
        <v>441.36</v>
      </c>
      <c r="AD103" s="42"/>
      <c r="AE103" s="39"/>
      <c r="AF103" s="39"/>
      <c r="AG103" s="40"/>
      <c r="AH103" s="35"/>
      <c r="AI103" s="231"/>
      <c r="AJ103" s="158">
        <f t="shared" si="41"/>
        <v>11956.83</v>
      </c>
      <c r="AK103" s="158"/>
    </row>
    <row r="104" spans="1:37" ht="15.75" x14ac:dyDescent="0.25">
      <c r="A104" s="299" t="s">
        <v>5</v>
      </c>
      <c r="B104" s="218" t="str">
        <f t="shared" si="40"/>
        <v>MASTBenefits</v>
      </c>
      <c r="C104" s="217" t="s">
        <v>48</v>
      </c>
      <c r="D104" s="10"/>
      <c r="E104" s="126"/>
      <c r="F104" s="126"/>
      <c r="G104" s="126"/>
      <c r="H104" s="184" t="s">
        <v>33</v>
      </c>
      <c r="I104" s="159">
        <f>I103*$O$2</f>
        <v>0</v>
      </c>
      <c r="J104" s="42"/>
      <c r="K104" s="39"/>
      <c r="M104" s="45" t="str">
        <f>"@ "&amp;$O$2*100&amp;" %"</f>
        <v>@ 98.59 %</v>
      </c>
      <c r="N104" s="47"/>
      <c r="O104" s="232"/>
      <c r="P104" s="383"/>
      <c r="Q104" s="41"/>
      <c r="R104" s="184" t="s">
        <v>33</v>
      </c>
      <c r="S104" s="159">
        <f>S103*$O$2</f>
        <v>11353.101873</v>
      </c>
      <c r="T104" s="42"/>
      <c r="U104" s="39"/>
      <c r="W104" s="45" t="str">
        <f>"@ "&amp;$O$2*100&amp;" %"</f>
        <v>@ 98.59 %</v>
      </c>
      <c r="X104" s="47"/>
      <c r="Y104" s="232"/>
      <c r="Z104" s="383"/>
      <c r="AA104" s="41"/>
      <c r="AB104" s="184" t="s">
        <v>33</v>
      </c>
      <c r="AC104" s="159">
        <f>AC103*$O$2</f>
        <v>435.13682399999999</v>
      </c>
      <c r="AD104" s="42"/>
      <c r="AE104" s="39"/>
      <c r="AG104" s="45" t="str">
        <f>"@ "&amp;$O$2*100&amp;" %"</f>
        <v>@ 98.59 %</v>
      </c>
      <c r="AH104" s="47"/>
      <c r="AI104" s="232"/>
      <c r="AJ104" s="159">
        <f t="shared" si="41"/>
        <v>11788.238696999999</v>
      </c>
      <c r="AK104" s="159"/>
    </row>
    <row r="105" spans="1:37" ht="15.75" x14ac:dyDescent="0.25">
      <c r="A105" s="299" t="s">
        <v>5</v>
      </c>
      <c r="B105" s="218" t="str">
        <f t="shared" si="40"/>
        <v>MASTTotal</v>
      </c>
      <c r="C105" s="219" t="s">
        <v>50</v>
      </c>
      <c r="D105" s="10"/>
      <c r="E105" s="126"/>
      <c r="F105" s="126"/>
      <c r="G105" s="126"/>
      <c r="H105" s="185" t="s">
        <v>34</v>
      </c>
      <c r="I105" s="160">
        <f>I103+I104</f>
        <v>0</v>
      </c>
      <c r="J105" s="42"/>
      <c r="K105" s="39"/>
      <c r="L105" s="50"/>
      <c r="M105" s="51"/>
      <c r="N105" s="420">
        <f>I105</f>
        <v>0</v>
      </c>
      <c r="O105" s="233" t="e">
        <f>N105/N138</f>
        <v>#DIV/0!</v>
      </c>
      <c r="P105" s="384"/>
      <c r="Q105" s="37"/>
      <c r="R105" s="185" t="s">
        <v>34</v>
      </c>
      <c r="S105" s="160">
        <f>S103+S104</f>
        <v>22868.571873000001</v>
      </c>
      <c r="T105" s="42"/>
      <c r="U105" s="39"/>
      <c r="V105" s="50"/>
      <c r="W105" s="51"/>
      <c r="X105" s="420">
        <f>S105</f>
        <v>22868.571873000001</v>
      </c>
      <c r="Y105" s="233">
        <f>X105/X138</f>
        <v>0.75779462645904294</v>
      </c>
      <c r="Z105" s="384"/>
      <c r="AA105" s="37"/>
      <c r="AB105" s="185" t="s">
        <v>34</v>
      </c>
      <c r="AC105" s="160">
        <f>AC103+AC104</f>
        <v>876.49682400000006</v>
      </c>
      <c r="AD105" s="42"/>
      <c r="AE105" s="39"/>
      <c r="AF105" s="50"/>
      <c r="AG105" s="51"/>
      <c r="AH105" s="420">
        <f>AC105</f>
        <v>876.49682400000006</v>
      </c>
      <c r="AI105" s="233">
        <f>AH105/AH138</f>
        <v>0.96275968342475204</v>
      </c>
      <c r="AJ105" s="160">
        <f t="shared" si="41"/>
        <v>23745.068697000002</v>
      </c>
      <c r="AK105" s="160"/>
    </row>
    <row r="106" spans="1:37" ht="15.75" x14ac:dyDescent="0.25">
      <c r="A106" s="299" t="s">
        <v>5</v>
      </c>
      <c r="B106" s="218" t="str">
        <f t="shared" si="40"/>
        <v>MAST</v>
      </c>
      <c r="C106" s="217" t="s">
        <v>48</v>
      </c>
      <c r="D106" s="10"/>
      <c r="E106" s="126"/>
      <c r="F106" s="126"/>
      <c r="G106" s="126"/>
      <c r="H106" s="179"/>
      <c r="I106" s="166"/>
      <c r="J106" s="69"/>
      <c r="K106" s="69"/>
      <c r="L106" s="69"/>
      <c r="M106" s="70"/>
      <c r="N106" s="58"/>
      <c r="O106" s="231"/>
      <c r="P106" s="385"/>
      <c r="Q106" s="60"/>
      <c r="R106" s="179"/>
      <c r="S106" s="166"/>
      <c r="T106" s="69"/>
      <c r="U106" s="69"/>
      <c r="V106" s="69"/>
      <c r="W106" s="70"/>
      <c r="X106" s="58"/>
      <c r="Y106" s="231"/>
      <c r="Z106" s="385"/>
      <c r="AA106" s="60"/>
      <c r="AB106" s="179"/>
      <c r="AC106" s="166"/>
      <c r="AD106" s="69"/>
      <c r="AE106" s="69"/>
      <c r="AF106" s="69"/>
      <c r="AG106" s="70"/>
      <c r="AH106" s="58"/>
      <c r="AI106" s="231"/>
      <c r="AJ106" s="166"/>
      <c r="AK106" s="166"/>
    </row>
    <row r="107" spans="1:37" ht="15.75" x14ac:dyDescent="0.25">
      <c r="A107" s="299" t="s">
        <v>5</v>
      </c>
      <c r="B107" s="218" t="str">
        <f t="shared" si="40"/>
        <v>MASTLABOR: SUPERVISORY</v>
      </c>
      <c r="C107" s="220" t="s">
        <v>50</v>
      </c>
      <c r="D107" s="10"/>
      <c r="E107" s="126"/>
      <c r="F107" s="126"/>
      <c r="G107" s="126"/>
      <c r="H107" s="186" t="s">
        <v>35</v>
      </c>
      <c r="I107" s="167"/>
      <c r="J107" s="74"/>
      <c r="K107" s="74"/>
      <c r="L107" s="74"/>
      <c r="M107" s="66"/>
      <c r="N107" s="26"/>
      <c r="O107" s="234"/>
      <c r="P107" s="386"/>
      <c r="Q107" s="37"/>
      <c r="R107" s="186" t="s">
        <v>35</v>
      </c>
      <c r="S107" s="167"/>
      <c r="T107" s="74"/>
      <c r="U107" s="74"/>
      <c r="V107" s="74"/>
      <c r="W107" s="66"/>
      <c r="X107" s="26"/>
      <c r="Y107" s="234"/>
      <c r="Z107" s="386"/>
      <c r="AA107" s="37"/>
      <c r="AB107" s="186" t="s">
        <v>35</v>
      </c>
      <c r="AC107" s="167"/>
      <c r="AD107" s="74"/>
      <c r="AE107" s="74"/>
      <c r="AF107" s="74"/>
      <c r="AG107" s="66"/>
      <c r="AH107" s="26"/>
      <c r="AI107" s="234"/>
      <c r="AJ107" s="167"/>
      <c r="AK107" s="167"/>
    </row>
    <row r="108" spans="1:37" ht="15.75" x14ac:dyDescent="0.25">
      <c r="A108" s="299" t="s">
        <v>5</v>
      </c>
      <c r="B108" s="218" t="str">
        <f t="shared" ref="B108:B109" si="48">A108&amp;H108</f>
        <v>MASTManager (Grade 23)</v>
      </c>
      <c r="C108" s="220"/>
      <c r="D108" s="10"/>
      <c r="E108" s="126"/>
      <c r="F108" s="126"/>
      <c r="G108" s="126"/>
      <c r="H108" s="184" t="s">
        <v>346</v>
      </c>
      <c r="I108" s="158">
        <f t="shared" ref="I108:I109" si="49">J108*K108</f>
        <v>0</v>
      </c>
      <c r="J108" s="42">
        <f>(1/6)*J110</f>
        <v>0</v>
      </c>
      <c r="K108" s="259">
        <v>55.78</v>
      </c>
      <c r="L108" s="43"/>
      <c r="M108" s="40" t="str">
        <f>ROUND(J108,0)&amp;" hrs @ "&amp;K108</f>
        <v>0 hrs @ 55.78</v>
      </c>
      <c r="N108" s="26"/>
      <c r="O108" s="234"/>
      <c r="P108" s="386"/>
      <c r="Q108" s="37"/>
      <c r="R108" s="184" t="s">
        <v>346</v>
      </c>
      <c r="S108" s="158">
        <f t="shared" ref="S108:S109" si="50">T108*U108</f>
        <v>641.47</v>
      </c>
      <c r="T108" s="42">
        <f>(1/6)*T110</f>
        <v>11.5</v>
      </c>
      <c r="U108" s="259">
        <v>55.78</v>
      </c>
      <c r="V108" s="43"/>
      <c r="W108" s="40" t="str">
        <f>ROUND(T108,0)&amp;" hrs @ "&amp;U108</f>
        <v>12 hrs @ 55.78</v>
      </c>
      <c r="X108" s="26"/>
      <c r="Y108" s="234"/>
      <c r="Z108" s="386"/>
      <c r="AA108" s="37"/>
      <c r="AB108" s="184" t="s">
        <v>346</v>
      </c>
      <c r="AC108" s="158">
        <f t="shared" ref="AC108:AC109" si="51">AD108*AE108</f>
        <v>0</v>
      </c>
      <c r="AD108" s="42">
        <f>(1/6)*AD110</f>
        <v>0</v>
      </c>
      <c r="AE108" s="259">
        <v>55.78</v>
      </c>
      <c r="AF108" s="43"/>
      <c r="AG108" s="40" t="str">
        <f>ROUND(AD108,0)&amp;" hrs @ "&amp;AE108</f>
        <v>0 hrs @ 55.78</v>
      </c>
      <c r="AH108" s="26"/>
      <c r="AI108" s="234"/>
      <c r="AJ108" s="158">
        <f>I108+S108+AC108</f>
        <v>641.47</v>
      </c>
      <c r="AK108" s="158"/>
    </row>
    <row r="109" spans="1:37" ht="15.75" x14ac:dyDescent="0.25">
      <c r="A109" s="299" t="s">
        <v>5</v>
      </c>
      <c r="B109" s="218" t="str">
        <f t="shared" si="48"/>
        <v>MASTMAS Supervisor(Grade 21)</v>
      </c>
      <c r="C109" s="220"/>
      <c r="D109" s="10"/>
      <c r="E109" s="126"/>
      <c r="F109" s="126"/>
      <c r="G109" s="126"/>
      <c r="H109" s="184" t="s">
        <v>344</v>
      </c>
      <c r="I109" s="158">
        <f t="shared" si="49"/>
        <v>0</v>
      </c>
      <c r="J109" s="42">
        <f>(1/6)*J112</f>
        <v>0</v>
      </c>
      <c r="K109" s="259">
        <v>45.18</v>
      </c>
      <c r="L109" s="43"/>
      <c r="M109" s="40"/>
      <c r="N109" s="26"/>
      <c r="O109" s="234"/>
      <c r="P109" s="386"/>
      <c r="Q109" s="37"/>
      <c r="R109" s="184" t="s">
        <v>344</v>
      </c>
      <c r="S109" s="158">
        <f t="shared" si="50"/>
        <v>0.15687500000000001</v>
      </c>
      <c r="T109" s="42">
        <f>T101*(T101/(4*1800))</f>
        <v>3.4722222222222225E-3</v>
      </c>
      <c r="U109" s="259">
        <v>45.18</v>
      </c>
      <c r="V109" s="43"/>
      <c r="W109" s="40" t="str">
        <f>ROUND(T109,0)&amp;" hrs @ "&amp;U109</f>
        <v>0 hrs @ 45.18</v>
      </c>
      <c r="X109" s="26"/>
      <c r="Y109" s="234"/>
      <c r="Z109" s="386"/>
      <c r="AA109" s="37"/>
      <c r="AB109" s="184" t="s">
        <v>344</v>
      </c>
      <c r="AC109" s="158">
        <f t="shared" si="51"/>
        <v>0.90359999999999996</v>
      </c>
      <c r="AD109" s="42">
        <f>AD101*(AD101/(4*1800))</f>
        <v>0.02</v>
      </c>
      <c r="AE109" s="259">
        <v>45.18</v>
      </c>
      <c r="AF109" s="43"/>
      <c r="AG109" s="40"/>
      <c r="AH109" s="26"/>
      <c r="AI109" s="234"/>
      <c r="AJ109" s="158">
        <f>I109+S109+AC109</f>
        <v>1.0604750000000001</v>
      </c>
      <c r="AK109" s="158"/>
    </row>
    <row r="110" spans="1:37" ht="15.75" x14ac:dyDescent="0.25">
      <c r="A110" s="299" t="s">
        <v>5</v>
      </c>
      <c r="B110" s="218" t="str">
        <f t="shared" si="40"/>
        <v>MASTSupervisor MAST (Grade 20)</v>
      </c>
      <c r="C110" s="217" t="s">
        <v>48</v>
      </c>
      <c r="D110" s="10"/>
      <c r="E110" s="126"/>
      <c r="F110" s="126"/>
      <c r="G110" s="126"/>
      <c r="H110" s="179" t="s">
        <v>345</v>
      </c>
      <c r="I110" s="173">
        <f t="shared" ref="I110" si="52">J110*K110</f>
        <v>0</v>
      </c>
      <c r="J110" s="174">
        <v>0</v>
      </c>
      <c r="K110" s="175">
        <v>40.5</v>
      </c>
      <c r="L110" s="181"/>
      <c r="M110" s="176" t="str">
        <f t="shared" ref="M110" si="53">J110&amp;" hrs @ "&amp;K110</f>
        <v>0 hrs @ 40.5</v>
      </c>
      <c r="N110" s="26"/>
      <c r="O110" s="235"/>
      <c r="P110" s="386"/>
      <c r="Q110" s="41"/>
      <c r="R110" s="179" t="s">
        <v>345</v>
      </c>
      <c r="S110" s="173">
        <f t="shared" ref="S110" si="54">T110*U110</f>
        <v>2794.5</v>
      </c>
      <c r="T110" s="174">
        <f>+ROUND(('FTE Alloc OR &amp; WA'!N45+'FTE Alloc OR &amp; WA'!N47)*2080,0)</f>
        <v>69</v>
      </c>
      <c r="U110" s="175">
        <v>40.5</v>
      </c>
      <c r="V110" s="181"/>
      <c r="W110" s="176" t="str">
        <f t="shared" ref="W110" si="55">T110&amp;" hrs @ "&amp;U110</f>
        <v>69 hrs @ 40.5</v>
      </c>
      <c r="X110" s="26"/>
      <c r="Y110" s="235"/>
      <c r="Z110" s="386"/>
      <c r="AA110" s="41"/>
      <c r="AB110" s="179" t="s">
        <v>345</v>
      </c>
      <c r="AC110" s="173">
        <f t="shared" ref="AC110" si="56">AD110*AE110</f>
        <v>0</v>
      </c>
      <c r="AD110" s="174">
        <f>+ROUND(('FTE Alloc OR &amp; WA'!O45+'FTE Alloc OR &amp; WA'!O47)*2080,0)</f>
        <v>0</v>
      </c>
      <c r="AE110" s="175">
        <v>40.5</v>
      </c>
      <c r="AF110" s="181"/>
      <c r="AG110" s="176" t="str">
        <f t="shared" ref="AG110" si="57">AD110&amp;" hrs @ "&amp;AE110</f>
        <v>0 hrs @ 40.5</v>
      </c>
      <c r="AH110" s="26"/>
      <c r="AI110" s="235"/>
      <c r="AJ110" s="173">
        <f>I110+S110+AC110</f>
        <v>2794.5</v>
      </c>
      <c r="AK110" s="173"/>
    </row>
    <row r="111" spans="1:37" ht="15.75" x14ac:dyDescent="0.25">
      <c r="A111" s="299" t="s">
        <v>5</v>
      </c>
      <c r="B111" s="10"/>
      <c r="C111" s="38" t="s">
        <v>32</v>
      </c>
      <c r="D111" s="158"/>
      <c r="E111" s="42"/>
      <c r="F111" s="39"/>
      <c r="G111" s="39"/>
      <c r="H111" s="184" t="s">
        <v>32</v>
      </c>
      <c r="I111" s="158">
        <f>SUM(I107:I110)</f>
        <v>0</v>
      </c>
      <c r="J111" s="42"/>
      <c r="K111" s="39"/>
      <c r="L111" s="39"/>
      <c r="M111" s="40"/>
      <c r="N111" s="39"/>
      <c r="O111" s="158"/>
      <c r="P111" s="40"/>
      <c r="Q111" s="35"/>
      <c r="R111" s="184" t="s">
        <v>32</v>
      </c>
      <c r="S111" s="158">
        <f>SUM(S107:S110)</f>
        <v>3436.1268749999999</v>
      </c>
      <c r="T111" s="42"/>
      <c r="U111" s="39"/>
      <c r="V111" s="39"/>
      <c r="W111" s="40"/>
      <c r="X111" s="39"/>
      <c r="Y111" s="158"/>
      <c r="Z111" s="40"/>
      <c r="AA111" s="35"/>
      <c r="AB111" s="184" t="s">
        <v>32</v>
      </c>
      <c r="AC111" s="158">
        <f>SUM(AC107:AC110)</f>
        <v>0.90359999999999996</v>
      </c>
      <c r="AD111" s="42"/>
      <c r="AE111" s="39"/>
      <c r="AF111" s="39"/>
      <c r="AG111" s="40"/>
      <c r="AH111" s="39"/>
      <c r="AI111" s="158"/>
      <c r="AJ111" s="158">
        <f>I111+S111+AC111</f>
        <v>3437.030475</v>
      </c>
      <c r="AK111" s="158"/>
    </row>
    <row r="112" spans="1:37" ht="21" x14ac:dyDescent="0.35">
      <c r="A112" s="299"/>
      <c r="B112" s="218" t="str">
        <f t="shared" si="40"/>
        <v/>
      </c>
      <c r="C112" s="5"/>
      <c r="D112" s="10"/>
      <c r="E112" s="126"/>
      <c r="F112" s="126"/>
      <c r="G112" s="126"/>
      <c r="H112" s="201"/>
      <c r="I112" s="163"/>
      <c r="J112" s="42"/>
      <c r="K112" s="39"/>
      <c r="L112" s="43"/>
      <c r="M112" s="40"/>
      <c r="N112" s="26"/>
      <c r="O112" s="234"/>
      <c r="P112" s="386"/>
      <c r="Q112" s="41"/>
      <c r="R112" s="201"/>
      <c r="S112" s="163"/>
      <c r="T112" s="42"/>
      <c r="U112" s="39"/>
      <c r="V112" s="43"/>
      <c r="W112" s="40"/>
      <c r="X112" s="26"/>
      <c r="Y112" s="234"/>
      <c r="Z112" s="386"/>
      <c r="AA112" s="41"/>
      <c r="AB112" s="201"/>
      <c r="AC112" s="163"/>
      <c r="AD112" s="42"/>
      <c r="AE112" s="39"/>
      <c r="AF112" s="43"/>
      <c r="AG112" s="40"/>
      <c r="AH112" s="26"/>
      <c r="AI112" s="234"/>
      <c r="AJ112" s="163"/>
      <c r="AK112" s="163"/>
    </row>
    <row r="113" spans="1:37" ht="15.75" x14ac:dyDescent="0.25">
      <c r="A113" s="299" t="s">
        <v>5</v>
      </c>
      <c r="B113" s="218" t="str">
        <f t="shared" si="40"/>
        <v>MASTBenefits</v>
      </c>
      <c r="C113" s="217" t="s">
        <v>48</v>
      </c>
      <c r="D113" s="10"/>
      <c r="E113" s="126"/>
      <c r="F113" s="126"/>
      <c r="G113" s="126"/>
      <c r="H113" s="184" t="s">
        <v>33</v>
      </c>
      <c r="I113" s="159">
        <f>I110*$O$2</f>
        <v>0</v>
      </c>
      <c r="J113" s="42"/>
      <c r="K113" s="39"/>
      <c r="L113" s="156"/>
      <c r="M113" s="45" t="str">
        <f>"@ "&amp;$O$2*100&amp;" %"</f>
        <v>@ 98.59 %</v>
      </c>
      <c r="N113" s="26"/>
      <c r="O113" s="236"/>
      <c r="P113" s="386"/>
      <c r="Q113" s="41"/>
      <c r="R113" s="184" t="s">
        <v>33</v>
      </c>
      <c r="S113" s="159">
        <f>S110*$O$2</f>
        <v>2755.09755</v>
      </c>
      <c r="T113" s="42"/>
      <c r="U113" s="39"/>
      <c r="V113" s="156"/>
      <c r="W113" s="45" t="str">
        <f>"@ "&amp;$O$2*100&amp;" %"</f>
        <v>@ 98.59 %</v>
      </c>
      <c r="X113" s="26"/>
      <c r="Y113" s="236"/>
      <c r="Z113" s="386"/>
      <c r="AA113" s="41"/>
      <c r="AB113" s="184" t="s">
        <v>33</v>
      </c>
      <c r="AC113" s="159">
        <f>AC110*$O$2</f>
        <v>0</v>
      </c>
      <c r="AD113" s="42"/>
      <c r="AE113" s="39"/>
      <c r="AF113" s="156"/>
      <c r="AG113" s="45" t="str">
        <f>"@ "&amp;$O$2*100&amp;" %"</f>
        <v>@ 98.59 %</v>
      </c>
      <c r="AH113" s="26"/>
      <c r="AI113" s="236"/>
      <c r="AJ113" s="159">
        <f>I113+S113+AC113</f>
        <v>2755.09755</v>
      </c>
      <c r="AK113" s="159"/>
    </row>
    <row r="114" spans="1:37" ht="15.75" x14ac:dyDescent="0.25">
      <c r="A114" s="299" t="s">
        <v>5</v>
      </c>
      <c r="B114" s="218" t="str">
        <f t="shared" si="40"/>
        <v>MASTTotal</v>
      </c>
      <c r="C114" s="220" t="s">
        <v>50</v>
      </c>
      <c r="D114" s="10"/>
      <c r="E114" s="126"/>
      <c r="F114" s="126"/>
      <c r="G114" s="126"/>
      <c r="H114" s="185" t="s">
        <v>34</v>
      </c>
      <c r="I114" s="165">
        <f>I113+I111</f>
        <v>0</v>
      </c>
      <c r="J114" s="68"/>
      <c r="K114" s="68"/>
      <c r="L114" s="68"/>
      <c r="M114" s="63"/>
      <c r="N114" s="420">
        <f>I114</f>
        <v>0</v>
      </c>
      <c r="O114" s="233" t="e">
        <f>N114/N138</f>
        <v>#DIV/0!</v>
      </c>
      <c r="P114" s="386"/>
      <c r="Q114" s="41"/>
      <c r="R114" s="185" t="s">
        <v>34</v>
      </c>
      <c r="S114" s="397">
        <f>S113+S111</f>
        <v>6191.2244250000003</v>
      </c>
      <c r="T114" s="68"/>
      <c r="U114" s="68"/>
      <c r="V114" s="68"/>
      <c r="W114" s="63"/>
      <c r="X114" s="420">
        <f>S114</f>
        <v>6191.2244250000003</v>
      </c>
      <c r="Y114" s="233">
        <f>X114/X138</f>
        <v>0.20515826814731056</v>
      </c>
      <c r="Z114" s="386"/>
      <c r="AA114" s="41"/>
      <c r="AB114" s="185" t="s">
        <v>34</v>
      </c>
      <c r="AC114" s="397">
        <f>AC113+AC111</f>
        <v>0.90359999999999996</v>
      </c>
      <c r="AD114" s="68"/>
      <c r="AE114" s="68"/>
      <c r="AF114" s="68"/>
      <c r="AG114" s="63"/>
      <c r="AH114" s="420">
        <f>AC114</f>
        <v>0.90359999999999996</v>
      </c>
      <c r="AI114" s="233">
        <f>AH114/AH138</f>
        <v>9.9253029346128689E-4</v>
      </c>
      <c r="AJ114" s="397">
        <f>I114+S114+AC114</f>
        <v>6192.128025</v>
      </c>
      <c r="AK114" s="397"/>
    </row>
    <row r="115" spans="1:37" ht="15.75" x14ac:dyDescent="0.25">
      <c r="A115" s="299" t="s">
        <v>5</v>
      </c>
      <c r="B115" s="218" t="str">
        <f t="shared" si="40"/>
        <v>MAST</v>
      </c>
      <c r="C115" s="217" t="s">
        <v>48</v>
      </c>
      <c r="D115" s="10"/>
      <c r="E115" s="126"/>
      <c r="F115" s="126"/>
      <c r="G115" s="126"/>
      <c r="H115" s="179"/>
      <c r="I115" s="166"/>
      <c r="J115" s="69"/>
      <c r="K115" s="69"/>
      <c r="L115" s="69"/>
      <c r="M115" s="70"/>
      <c r="N115" s="72"/>
      <c r="O115" s="235"/>
      <c r="P115" s="387"/>
      <c r="Q115" s="60"/>
      <c r="R115" s="179"/>
      <c r="S115" s="166"/>
      <c r="T115" s="69"/>
      <c r="U115" s="69"/>
      <c r="V115" s="69"/>
      <c r="W115" s="70"/>
      <c r="X115" s="72"/>
      <c r="Y115" s="235"/>
      <c r="Z115" s="387"/>
      <c r="AA115" s="60"/>
      <c r="AB115" s="179"/>
      <c r="AC115" s="166"/>
      <c r="AD115" s="69"/>
      <c r="AE115" s="69"/>
      <c r="AF115" s="69"/>
      <c r="AG115" s="70"/>
      <c r="AH115" s="72"/>
      <c r="AI115" s="235"/>
      <c r="AJ115" s="166"/>
      <c r="AK115" s="166"/>
    </row>
    <row r="116" spans="1:37" ht="15.75" x14ac:dyDescent="0.25">
      <c r="A116" s="299" t="s">
        <v>5</v>
      </c>
      <c r="B116" s="218" t="str">
        <f t="shared" si="40"/>
        <v>MASTEQUIPMENT</v>
      </c>
      <c r="C116" s="220" t="s">
        <v>50</v>
      </c>
      <c r="D116" s="10"/>
      <c r="E116" s="126"/>
      <c r="F116" s="126"/>
      <c r="G116" s="126"/>
      <c r="H116" s="186" t="s">
        <v>36</v>
      </c>
      <c r="I116" s="167"/>
      <c r="J116" s="74"/>
      <c r="K116" s="74"/>
      <c r="L116" s="74"/>
      <c r="M116" s="66"/>
      <c r="N116" s="76"/>
      <c r="O116" s="237"/>
      <c r="P116" s="386"/>
      <c r="Q116" s="37"/>
      <c r="R116" s="186" t="s">
        <v>36</v>
      </c>
      <c r="S116" s="167"/>
      <c r="T116" s="74"/>
      <c r="U116" s="74"/>
      <c r="V116" s="74"/>
      <c r="W116" s="66"/>
      <c r="X116" s="76"/>
      <c r="Y116" s="237"/>
      <c r="Z116" s="386"/>
      <c r="AA116" s="37"/>
      <c r="AB116" s="186" t="s">
        <v>36</v>
      </c>
      <c r="AC116" s="167"/>
      <c r="AD116" s="74"/>
      <c r="AE116" s="74"/>
      <c r="AF116" s="74"/>
      <c r="AG116" s="66"/>
      <c r="AH116" s="76"/>
      <c r="AI116" s="237"/>
      <c r="AJ116" s="167"/>
      <c r="AK116" s="167"/>
    </row>
    <row r="117" spans="1:37" ht="15.75" x14ac:dyDescent="0.25">
      <c r="A117" s="299" t="s">
        <v>5</v>
      </c>
      <c r="B117" s="218" t="str">
        <f t="shared" si="40"/>
        <v>MAST</v>
      </c>
      <c r="C117" s="217" t="s">
        <v>48</v>
      </c>
      <c r="D117" s="10"/>
      <c r="E117" s="126"/>
      <c r="F117" s="126"/>
      <c r="G117" s="126"/>
      <c r="H117" s="187"/>
      <c r="I117" s="158">
        <f t="shared" ref="I117:I120" si="58">J117*K117</f>
        <v>0</v>
      </c>
      <c r="J117" s="42"/>
      <c r="K117" s="39"/>
      <c r="L117" s="39"/>
      <c r="M117" s="40" t="str">
        <f>J117&amp;" hrs @ "&amp;K117</f>
        <v xml:space="preserve"> hrs @ </v>
      </c>
      <c r="N117" s="76"/>
      <c r="O117" s="237"/>
      <c r="P117" s="386"/>
      <c r="Q117" s="37"/>
      <c r="R117" s="187"/>
      <c r="S117" s="158">
        <f t="shared" ref="S117:S120" si="59">T117*U117</f>
        <v>0</v>
      </c>
      <c r="T117" s="42"/>
      <c r="U117" s="39"/>
      <c r="V117" s="39"/>
      <c r="W117" s="40" t="str">
        <f>T117&amp;" hrs @ "&amp;U117</f>
        <v xml:space="preserve"> hrs @ </v>
      </c>
      <c r="X117" s="76"/>
      <c r="Y117" s="237"/>
      <c r="Z117" s="386"/>
      <c r="AA117" s="37"/>
      <c r="AB117" s="187"/>
      <c r="AC117" s="158">
        <f t="shared" ref="AC117:AC120" si="60">AD117*AE117</f>
        <v>0</v>
      </c>
      <c r="AD117" s="42"/>
      <c r="AE117" s="39"/>
      <c r="AF117" s="39"/>
      <c r="AG117" s="40" t="str">
        <f>AD117&amp;" hrs @ "&amp;AE117</f>
        <v xml:space="preserve"> hrs @ </v>
      </c>
      <c r="AH117" s="76"/>
      <c r="AI117" s="237"/>
      <c r="AJ117" s="158">
        <f>I117+S117+AC117</f>
        <v>0</v>
      </c>
      <c r="AK117" s="158"/>
    </row>
    <row r="118" spans="1:37" ht="15.75" x14ac:dyDescent="0.25">
      <c r="A118" s="299" t="s">
        <v>5</v>
      </c>
      <c r="B118" s="218" t="str">
        <f t="shared" si="40"/>
        <v>MAST</v>
      </c>
      <c r="C118" s="217" t="s">
        <v>48</v>
      </c>
      <c r="D118" s="10"/>
      <c r="E118" s="126"/>
      <c r="F118" s="126"/>
      <c r="G118" s="126"/>
      <c r="H118" s="187"/>
      <c r="I118" s="158">
        <f t="shared" si="58"/>
        <v>0</v>
      </c>
      <c r="J118" s="42"/>
      <c r="K118" s="39"/>
      <c r="L118" s="39"/>
      <c r="M118" s="40" t="str">
        <f t="shared" ref="M118:M120" si="61">J118&amp;" hrs @ "&amp;K118</f>
        <v xml:space="preserve"> hrs @ </v>
      </c>
      <c r="N118" s="79"/>
      <c r="O118" s="238"/>
      <c r="P118" s="388"/>
      <c r="Q118" s="81"/>
      <c r="R118" s="187"/>
      <c r="S118" s="158">
        <f t="shared" si="59"/>
        <v>0</v>
      </c>
      <c r="T118" s="42"/>
      <c r="U118" s="39"/>
      <c r="V118" s="39"/>
      <c r="W118" s="40" t="str">
        <f t="shared" ref="W118:W120" si="62">T118&amp;" hrs @ "&amp;U118</f>
        <v xml:space="preserve"> hrs @ </v>
      </c>
      <c r="X118" s="79"/>
      <c r="Y118" s="238"/>
      <c r="Z118" s="388"/>
      <c r="AA118" s="81"/>
      <c r="AB118" s="187"/>
      <c r="AC118" s="158">
        <f t="shared" si="60"/>
        <v>0</v>
      </c>
      <c r="AD118" s="42"/>
      <c r="AE118" s="39"/>
      <c r="AF118" s="39"/>
      <c r="AG118" s="40" t="str">
        <f t="shared" ref="AG118:AG120" si="63">AD118&amp;" hrs @ "&amp;AE118</f>
        <v xml:space="preserve"> hrs @ </v>
      </c>
      <c r="AH118" s="79"/>
      <c r="AI118" s="238"/>
      <c r="AJ118" s="158">
        <f>I118+S118+AC118</f>
        <v>0</v>
      </c>
      <c r="AK118" s="158"/>
    </row>
    <row r="119" spans="1:37" ht="15.75" x14ac:dyDescent="0.25">
      <c r="A119" s="299" t="s">
        <v>5</v>
      </c>
      <c r="B119" s="218" t="str">
        <f t="shared" si="40"/>
        <v>MAST</v>
      </c>
      <c r="C119" s="217" t="s">
        <v>48</v>
      </c>
      <c r="D119" s="10"/>
      <c r="E119" s="126"/>
      <c r="F119" s="126"/>
      <c r="G119" s="126"/>
      <c r="H119" s="187"/>
      <c r="I119" s="158">
        <f t="shared" si="58"/>
        <v>0</v>
      </c>
      <c r="J119" s="42"/>
      <c r="K119" s="39"/>
      <c r="L119" s="42"/>
      <c r="M119" s="40" t="str">
        <f t="shared" si="61"/>
        <v xml:space="preserve"> hrs @ </v>
      </c>
      <c r="N119" s="79"/>
      <c r="O119" s="238"/>
      <c r="P119" s="388"/>
      <c r="Q119" s="81"/>
      <c r="R119" s="187"/>
      <c r="S119" s="158">
        <f t="shared" si="59"/>
        <v>0</v>
      </c>
      <c r="T119" s="42"/>
      <c r="U119" s="39"/>
      <c r="V119" s="42"/>
      <c r="W119" s="40" t="str">
        <f t="shared" si="62"/>
        <v xml:space="preserve"> hrs @ </v>
      </c>
      <c r="X119" s="79"/>
      <c r="Y119" s="238"/>
      <c r="Z119" s="388"/>
      <c r="AA119" s="81"/>
      <c r="AB119" s="187"/>
      <c r="AC119" s="158">
        <f t="shared" si="60"/>
        <v>0</v>
      </c>
      <c r="AD119" s="42"/>
      <c r="AE119" s="39"/>
      <c r="AF119" s="42"/>
      <c r="AG119" s="40" t="str">
        <f t="shared" si="63"/>
        <v xml:space="preserve"> hrs @ </v>
      </c>
      <c r="AH119" s="79"/>
      <c r="AI119" s="238"/>
      <c r="AJ119" s="158">
        <f>I119+S119+AC119</f>
        <v>0</v>
      </c>
      <c r="AK119" s="158"/>
    </row>
    <row r="120" spans="1:37" ht="15.75" x14ac:dyDescent="0.25">
      <c r="A120" s="299" t="s">
        <v>5</v>
      </c>
      <c r="B120" s="218" t="str">
        <f t="shared" si="40"/>
        <v>MAST</v>
      </c>
      <c r="C120" s="217" t="s">
        <v>48</v>
      </c>
      <c r="D120" s="10"/>
      <c r="E120" s="126"/>
      <c r="F120" s="126"/>
      <c r="G120" s="126"/>
      <c r="H120" s="187"/>
      <c r="I120" s="158">
        <f t="shared" si="58"/>
        <v>0</v>
      </c>
      <c r="J120" s="42"/>
      <c r="K120" s="39"/>
      <c r="L120" s="43"/>
      <c r="M120" s="40" t="str">
        <f t="shared" si="61"/>
        <v xml:space="preserve"> hrs @ </v>
      </c>
      <c r="N120" s="79"/>
      <c r="O120" s="239"/>
      <c r="P120" s="388"/>
      <c r="Q120" s="81"/>
      <c r="R120" s="187"/>
      <c r="S120" s="158">
        <f t="shared" si="59"/>
        <v>0</v>
      </c>
      <c r="T120" s="42"/>
      <c r="U120" s="39"/>
      <c r="V120" s="43"/>
      <c r="W120" s="40" t="str">
        <f t="shared" si="62"/>
        <v xml:space="preserve"> hrs @ </v>
      </c>
      <c r="X120" s="79"/>
      <c r="Y120" s="239"/>
      <c r="Z120" s="388"/>
      <c r="AA120" s="81"/>
      <c r="AB120" s="187"/>
      <c r="AC120" s="158">
        <f t="shared" si="60"/>
        <v>0</v>
      </c>
      <c r="AD120" s="42"/>
      <c r="AE120" s="39"/>
      <c r="AF120" s="43"/>
      <c r="AG120" s="40" t="str">
        <f t="shared" si="63"/>
        <v xml:space="preserve"> hrs @ </v>
      </c>
      <c r="AH120" s="79"/>
      <c r="AI120" s="239"/>
      <c r="AJ120" s="158">
        <f>I120+S120+AC120</f>
        <v>0</v>
      </c>
      <c r="AK120" s="158"/>
    </row>
    <row r="121" spans="1:37" ht="15.75" x14ac:dyDescent="0.25">
      <c r="A121" s="299" t="s">
        <v>5</v>
      </c>
      <c r="B121" s="218" t="str">
        <f t="shared" si="40"/>
        <v>MASTTotal Equipment</v>
      </c>
      <c r="C121" s="220" t="s">
        <v>50</v>
      </c>
      <c r="D121" s="10"/>
      <c r="E121" s="116">
        <f>I121</f>
        <v>0</v>
      </c>
      <c r="F121" s="116">
        <f>S121</f>
        <v>0</v>
      </c>
      <c r="G121" s="116">
        <f>AC121</f>
        <v>0</v>
      </c>
      <c r="H121" s="188" t="s">
        <v>37</v>
      </c>
      <c r="I121" s="165">
        <f>SUM(I117:I120)</f>
        <v>0</v>
      </c>
      <c r="J121" s="68"/>
      <c r="K121" s="68"/>
      <c r="L121" s="68"/>
      <c r="M121" s="66"/>
      <c r="N121" s="420">
        <f>I121</f>
        <v>0</v>
      </c>
      <c r="O121" s="240" t="e">
        <f>N121/N138</f>
        <v>#DIV/0!</v>
      </c>
      <c r="P121" s="388"/>
      <c r="Q121" s="81"/>
      <c r="R121" s="188" t="s">
        <v>37</v>
      </c>
      <c r="S121" s="165">
        <f>SUM(S117:S120)</f>
        <v>0</v>
      </c>
      <c r="T121" s="68"/>
      <c r="U121" s="68"/>
      <c r="V121" s="68"/>
      <c r="W121" s="66"/>
      <c r="X121" s="420">
        <f>S121</f>
        <v>0</v>
      </c>
      <c r="Y121" s="240">
        <f>X121/X138</f>
        <v>0</v>
      </c>
      <c r="Z121" s="388"/>
      <c r="AA121" s="81"/>
      <c r="AB121" s="188" t="s">
        <v>37</v>
      </c>
      <c r="AC121" s="165">
        <f>SUM(AC117:AC120)</f>
        <v>0</v>
      </c>
      <c r="AD121" s="68"/>
      <c r="AE121" s="68"/>
      <c r="AF121" s="68"/>
      <c r="AG121" s="66"/>
      <c r="AH121" s="420">
        <f>AC121</f>
        <v>0</v>
      </c>
      <c r="AI121" s="240">
        <f>AH121/AH138</f>
        <v>0</v>
      </c>
      <c r="AJ121" s="165">
        <f>I121+S121+AC121</f>
        <v>0</v>
      </c>
      <c r="AK121" s="165"/>
    </row>
    <row r="122" spans="1:37" ht="15.75" x14ac:dyDescent="0.25">
      <c r="A122" s="299" t="s">
        <v>5</v>
      </c>
      <c r="B122" s="218" t="str">
        <f t="shared" si="40"/>
        <v>MAST</v>
      </c>
      <c r="C122" s="217" t="s">
        <v>48</v>
      </c>
      <c r="D122" s="10"/>
      <c r="E122" s="126"/>
      <c r="F122" s="126"/>
      <c r="G122" s="126"/>
      <c r="H122" s="189"/>
      <c r="I122" s="166"/>
      <c r="J122" s="69"/>
      <c r="K122" s="69"/>
      <c r="L122" s="69"/>
      <c r="M122" s="70"/>
      <c r="N122" s="88"/>
      <c r="O122" s="241"/>
      <c r="P122" s="389"/>
      <c r="Q122" s="60"/>
      <c r="R122" s="189"/>
      <c r="S122" s="166"/>
      <c r="T122" s="69"/>
      <c r="U122" s="69"/>
      <c r="V122" s="69"/>
      <c r="W122" s="70"/>
      <c r="X122" s="88"/>
      <c r="Y122" s="241"/>
      <c r="Z122" s="389"/>
      <c r="AA122" s="60"/>
      <c r="AB122" s="189"/>
      <c r="AC122" s="166"/>
      <c r="AD122" s="69"/>
      <c r="AE122" s="69"/>
      <c r="AF122" s="69"/>
      <c r="AG122" s="70"/>
      <c r="AH122" s="88"/>
      <c r="AI122" s="241"/>
      <c r="AJ122" s="166"/>
      <c r="AK122" s="166"/>
    </row>
    <row r="123" spans="1:37" ht="15.75" x14ac:dyDescent="0.25">
      <c r="A123" s="299" t="s">
        <v>5</v>
      </c>
      <c r="B123" s="218" t="str">
        <f t="shared" si="40"/>
        <v>MASTIS SUPPORT</v>
      </c>
      <c r="C123" s="220" t="s">
        <v>50</v>
      </c>
      <c r="D123" s="10"/>
      <c r="E123" s="126"/>
      <c r="F123" s="126"/>
      <c r="G123" s="126"/>
      <c r="H123" s="186" t="s">
        <v>38</v>
      </c>
      <c r="I123" s="167"/>
      <c r="J123" s="74"/>
      <c r="K123" s="74"/>
      <c r="L123" s="74"/>
      <c r="M123" s="66"/>
      <c r="N123" s="91"/>
      <c r="O123" s="227"/>
      <c r="P123" s="390"/>
      <c r="Q123" s="37"/>
      <c r="R123" s="186" t="s">
        <v>38</v>
      </c>
      <c r="S123" s="167"/>
      <c r="T123" s="74"/>
      <c r="U123" s="74"/>
      <c r="V123" s="74"/>
      <c r="W123" s="66"/>
      <c r="X123" s="91"/>
      <c r="Y123" s="227"/>
      <c r="Z123" s="390"/>
      <c r="AA123" s="37"/>
      <c r="AB123" s="186" t="s">
        <v>38</v>
      </c>
      <c r="AC123" s="167"/>
      <c r="AD123" s="74"/>
      <c r="AE123" s="74"/>
      <c r="AF123" s="74"/>
      <c r="AG123" s="66"/>
      <c r="AH123" s="91"/>
      <c r="AI123" s="227"/>
      <c r="AJ123" s="167"/>
      <c r="AK123" s="167"/>
    </row>
    <row r="124" spans="1:37" ht="15.75" x14ac:dyDescent="0.25">
      <c r="A124" s="299" t="s">
        <v>5</v>
      </c>
      <c r="B124" s="218" t="str">
        <f t="shared" si="40"/>
        <v>MASTAnalyst Labor</v>
      </c>
      <c r="C124" s="217" t="s">
        <v>48</v>
      </c>
      <c r="D124" s="10"/>
      <c r="E124" s="126"/>
      <c r="F124" s="126"/>
      <c r="G124" s="126"/>
      <c r="H124" s="184" t="s">
        <v>39</v>
      </c>
      <c r="I124" s="162">
        <f>J124*K124</f>
        <v>0</v>
      </c>
      <c r="J124" s="42"/>
      <c r="K124" s="39"/>
      <c r="L124" s="39"/>
      <c r="M124" s="40" t="str">
        <f>J124&amp;" hrs @ "&amp;K124</f>
        <v xml:space="preserve"> hrs @ </v>
      </c>
      <c r="N124" s="94"/>
      <c r="O124" s="242"/>
      <c r="P124" s="390"/>
      <c r="Q124" s="37"/>
      <c r="R124" s="184" t="s">
        <v>39</v>
      </c>
      <c r="S124" s="162">
        <f>T124*U124</f>
        <v>0</v>
      </c>
      <c r="T124" s="42"/>
      <c r="U124" s="39"/>
      <c r="V124" s="39"/>
      <c r="W124" s="40" t="str">
        <f>T124&amp;" hrs @ "&amp;U124</f>
        <v xml:space="preserve"> hrs @ </v>
      </c>
      <c r="X124" s="94"/>
      <c r="Y124" s="242"/>
      <c r="Z124" s="390"/>
      <c r="AA124" s="37"/>
      <c r="AB124" s="184" t="s">
        <v>39</v>
      </c>
      <c r="AC124" s="162">
        <f>AD124*AE124</f>
        <v>0</v>
      </c>
      <c r="AD124" s="42"/>
      <c r="AE124" s="39"/>
      <c r="AF124" s="39"/>
      <c r="AG124" s="40" t="str">
        <f>AD124&amp;" hrs @ "&amp;AE124</f>
        <v xml:space="preserve"> hrs @ </v>
      </c>
      <c r="AH124" s="94"/>
      <c r="AI124" s="242"/>
      <c r="AJ124" s="162"/>
      <c r="AK124" s="162"/>
    </row>
    <row r="125" spans="1:37" ht="15.75" x14ac:dyDescent="0.25">
      <c r="A125" s="299" t="s">
        <v>5</v>
      </c>
      <c r="B125" s="218" t="str">
        <f t="shared" si="40"/>
        <v>MASTAnalyst Benefits</v>
      </c>
      <c r="C125" s="217" t="s">
        <v>48</v>
      </c>
      <c r="D125" s="10"/>
      <c r="E125" s="126"/>
      <c r="F125" s="126"/>
      <c r="G125" s="126"/>
      <c r="H125" s="184" t="s">
        <v>40</v>
      </c>
      <c r="I125" s="159">
        <f>I124*$O$2</f>
        <v>0</v>
      </c>
      <c r="J125" s="42"/>
      <c r="K125" s="39"/>
      <c r="L125" s="156"/>
      <c r="M125" s="45" t="str">
        <f>"@ "&amp;$O$2*100&amp;" %"</f>
        <v>@ 98.59 %</v>
      </c>
      <c r="N125" s="94"/>
      <c r="O125" s="228"/>
      <c r="P125" s="390"/>
      <c r="Q125" s="37"/>
      <c r="R125" s="184" t="s">
        <v>40</v>
      </c>
      <c r="S125" s="159">
        <f>S124*$O$2</f>
        <v>0</v>
      </c>
      <c r="T125" s="42"/>
      <c r="U125" s="39"/>
      <c r="V125" s="156"/>
      <c r="W125" s="45" t="str">
        <f>"@ "&amp;$O$2*100&amp;" %"</f>
        <v>@ 98.59 %</v>
      </c>
      <c r="X125" s="94"/>
      <c r="Y125" s="228"/>
      <c r="Z125" s="390"/>
      <c r="AA125" s="37"/>
      <c r="AB125" s="184" t="s">
        <v>40</v>
      </c>
      <c r="AC125" s="159">
        <f>AC124*$O$2</f>
        <v>0</v>
      </c>
      <c r="AD125" s="42"/>
      <c r="AE125" s="39"/>
      <c r="AF125" s="156"/>
      <c r="AG125" s="45" t="str">
        <f>"@ "&amp;$O$2*100&amp;" %"</f>
        <v>@ 98.59 %</v>
      </c>
      <c r="AH125" s="94"/>
      <c r="AI125" s="228"/>
      <c r="AJ125" s="159"/>
      <c r="AK125" s="159"/>
    </row>
    <row r="126" spans="1:37" ht="15.75" x14ac:dyDescent="0.25">
      <c r="A126" s="299" t="s">
        <v>5</v>
      </c>
      <c r="B126" s="218" t="str">
        <f t="shared" si="40"/>
        <v>MASTTotal IS</v>
      </c>
      <c r="C126" s="220" t="s">
        <v>50</v>
      </c>
      <c r="D126" s="10"/>
      <c r="E126" s="126"/>
      <c r="F126" s="126"/>
      <c r="G126" s="126"/>
      <c r="H126" s="185" t="s">
        <v>41</v>
      </c>
      <c r="I126" s="165">
        <f>I124+I125</f>
        <v>0</v>
      </c>
      <c r="J126" s="68"/>
      <c r="K126" s="68"/>
      <c r="L126" s="68"/>
      <c r="M126" s="66"/>
      <c r="N126" s="420">
        <f>I126</f>
        <v>0</v>
      </c>
      <c r="O126" s="240" t="e">
        <f>N126/N138</f>
        <v>#DIV/0!</v>
      </c>
      <c r="P126" s="390"/>
      <c r="Q126" s="37"/>
      <c r="R126" s="185" t="s">
        <v>41</v>
      </c>
      <c r="S126" s="165">
        <f>S124+S125</f>
        <v>0</v>
      </c>
      <c r="T126" s="68"/>
      <c r="U126" s="68"/>
      <c r="V126" s="68"/>
      <c r="W126" s="66"/>
      <c r="X126" s="420">
        <f>S126</f>
        <v>0</v>
      </c>
      <c r="Y126" s="240">
        <f>X126/X138</f>
        <v>0</v>
      </c>
      <c r="Z126" s="390"/>
      <c r="AA126" s="37"/>
      <c r="AB126" s="185" t="s">
        <v>41</v>
      </c>
      <c r="AC126" s="165">
        <f>AC124+AC125</f>
        <v>0</v>
      </c>
      <c r="AD126" s="68"/>
      <c r="AE126" s="68"/>
      <c r="AF126" s="68"/>
      <c r="AG126" s="66"/>
      <c r="AH126" s="420">
        <f>AC126</f>
        <v>0</v>
      </c>
      <c r="AI126" s="240">
        <f>AH126/AH138</f>
        <v>0</v>
      </c>
      <c r="AJ126" s="165">
        <f>I126+S126+AC126</f>
        <v>0</v>
      </c>
      <c r="AK126" s="165"/>
    </row>
    <row r="127" spans="1:37" ht="15.75" x14ac:dyDescent="0.25">
      <c r="A127" s="299" t="s">
        <v>5</v>
      </c>
      <c r="B127" s="218" t="str">
        <f t="shared" si="40"/>
        <v>MAST</v>
      </c>
      <c r="C127" s="217" t="s">
        <v>48</v>
      </c>
      <c r="D127" s="10"/>
      <c r="E127" s="126"/>
      <c r="F127" s="126"/>
      <c r="G127" s="126"/>
      <c r="H127" s="179"/>
      <c r="I127" s="166"/>
      <c r="J127" s="69"/>
      <c r="K127" s="69"/>
      <c r="L127" s="69"/>
      <c r="M127" s="70"/>
      <c r="N127" s="98"/>
      <c r="O127" s="243"/>
      <c r="P127" s="391"/>
      <c r="Q127" s="60"/>
      <c r="R127" s="179"/>
      <c r="S127" s="166"/>
      <c r="T127" s="69"/>
      <c r="U127" s="69"/>
      <c r="V127" s="69"/>
      <c r="W127" s="70"/>
      <c r="X127" s="98"/>
      <c r="Y127" s="243"/>
      <c r="Z127" s="391"/>
      <c r="AA127" s="60"/>
      <c r="AB127" s="179"/>
      <c r="AC127" s="166"/>
      <c r="AD127" s="69"/>
      <c r="AE127" s="69"/>
      <c r="AF127" s="69"/>
      <c r="AG127" s="70"/>
      <c r="AH127" s="98"/>
      <c r="AI127" s="243"/>
      <c r="AJ127" s="166"/>
      <c r="AK127" s="166"/>
    </row>
    <row r="128" spans="1:37" ht="15.75" x14ac:dyDescent="0.25">
      <c r="A128" s="299" t="s">
        <v>5</v>
      </c>
      <c r="B128" s="218" t="str">
        <f t="shared" si="40"/>
        <v>MASTOTHER</v>
      </c>
      <c r="C128" s="220" t="s">
        <v>50</v>
      </c>
      <c r="D128" s="10"/>
      <c r="E128" s="126"/>
      <c r="F128" s="126"/>
      <c r="G128" s="126"/>
      <c r="H128" s="186" t="s">
        <v>42</v>
      </c>
      <c r="I128" s="167"/>
      <c r="J128" s="74"/>
      <c r="K128" s="74"/>
      <c r="L128" s="74"/>
      <c r="M128" s="66"/>
      <c r="N128" s="91"/>
      <c r="O128" s="227"/>
      <c r="P128" s="390"/>
      <c r="Q128" s="37"/>
      <c r="R128" s="186" t="s">
        <v>42</v>
      </c>
      <c r="S128" s="167"/>
      <c r="T128" s="74"/>
      <c r="U128" s="74"/>
      <c r="V128" s="74"/>
      <c r="W128" s="66"/>
      <c r="X128" s="91"/>
      <c r="Y128" s="227"/>
      <c r="Z128" s="390"/>
      <c r="AA128" s="37"/>
      <c r="AB128" s="186" t="s">
        <v>42</v>
      </c>
      <c r="AC128" s="167"/>
      <c r="AD128" s="74"/>
      <c r="AE128" s="74"/>
      <c r="AF128" s="74"/>
      <c r="AG128" s="66"/>
      <c r="AH128" s="91"/>
      <c r="AI128" s="227"/>
      <c r="AJ128" s="167"/>
      <c r="AK128" s="167"/>
    </row>
    <row r="129" spans="1:37" ht="15.6" customHeight="1" x14ac:dyDescent="0.25">
      <c r="A129" s="299" t="s">
        <v>5</v>
      </c>
      <c r="B129" s="218" t="str">
        <f t="shared" si="40"/>
        <v>MASTManager Non Payroll</v>
      </c>
      <c r="C129" s="217" t="s">
        <v>48</v>
      </c>
      <c r="D129" s="10"/>
      <c r="E129" s="126"/>
      <c r="F129" s="126"/>
      <c r="G129" s="126"/>
      <c r="H129" s="42" t="s">
        <v>546</v>
      </c>
      <c r="I129" s="163">
        <f>ROUND((((I99+I108)*(1+$O$2))/VLOOKUP("MAJ ACCT SERV TEAMPayroll",'Base 2015 actual for Cost Cente'!$A:$F,6,FALSE))*VLOOKUP("MAJ ACCT SERV TEAMNon-Payroll",'Base 2015 actual for Cost Cente'!$A:$F,6,FALSE),0)</f>
        <v>0</v>
      </c>
      <c r="J129" s="74"/>
      <c r="K129" s="74"/>
      <c r="L129" s="74" t="s">
        <v>544</v>
      </c>
      <c r="M129" s="773" t="s">
        <v>369</v>
      </c>
      <c r="N129" s="91"/>
      <c r="O129" s="227"/>
      <c r="P129" s="390"/>
      <c r="Q129" s="37"/>
      <c r="R129" s="42" t="s">
        <v>546</v>
      </c>
      <c r="S129" s="163">
        <f>ROUND((((S99+S108)*(1+$O$2))/VLOOKUP("MAJ ACCT SERV TEAMPayroll",'Base 2015 actual for Cost Cente'!$A:$F,6,FALSE))*VLOOKUP("MAJ ACCT SERV TEAMNon-Payroll",'Base 2015 actual for Cost Cente'!$A:$F,6,FALSE),0)</f>
        <v>717</v>
      </c>
      <c r="T129" s="74"/>
      <c r="U129" s="74"/>
      <c r="V129" s="74" t="s">
        <v>544</v>
      </c>
      <c r="W129" s="773" t="s">
        <v>369</v>
      </c>
      <c r="X129" s="91"/>
      <c r="Y129" s="227"/>
      <c r="Z129" s="390"/>
      <c r="AA129" s="37"/>
      <c r="AB129" s="42" t="s">
        <v>546</v>
      </c>
      <c r="AC129" s="163">
        <f>ROUND((((AC99+AC108)*(1+$O$2))/VLOOKUP("MAJ ACCT SERV TEAMPayroll",'Base 2015 actual for Cost Cente'!$A:$F,6,FALSE))*VLOOKUP("MAJ ACCT SERV TEAMNon-Payroll",'Base 2015 actual for Cost Cente'!$A:$F,6,FALSE),0)</f>
        <v>0</v>
      </c>
      <c r="AD129" s="74"/>
      <c r="AE129" s="74"/>
      <c r="AF129" s="74" t="s">
        <v>544</v>
      </c>
      <c r="AG129" s="773" t="s">
        <v>369</v>
      </c>
      <c r="AH129" s="91"/>
      <c r="AI129" s="227"/>
      <c r="AJ129" s="163">
        <f>I129+S129+AC129</f>
        <v>717</v>
      </c>
      <c r="AK129" s="163"/>
    </row>
    <row r="130" spans="1:37" ht="15.75" x14ac:dyDescent="0.25">
      <c r="A130" s="299" t="s">
        <v>5</v>
      </c>
      <c r="B130" s="218" t="str">
        <f t="shared" si="40"/>
        <v>MASTMAS NonPayroll</v>
      </c>
      <c r="C130" s="217" t="s">
        <v>48</v>
      </c>
      <c r="D130" s="10"/>
      <c r="E130" s="126"/>
      <c r="F130" s="126"/>
      <c r="G130" s="126"/>
      <c r="H130" s="42" t="s">
        <v>547</v>
      </c>
      <c r="I130" s="163">
        <f>ROUND((((I101+I109)*(1+$O$2))/VLOOKUP("FIELD SERVICESPayroll",'Base 2015 actual for Cost Cente'!$A:$F,6,FALSE))*VLOOKUP("FIELD SERVICESNon-Payroll",'Base 2015 actual for Cost Cente'!$A:$F,6,FALSE),0)</f>
        <v>0</v>
      </c>
      <c r="J130" s="42"/>
      <c r="K130" s="39"/>
      <c r="L130" s="42" t="s">
        <v>545</v>
      </c>
      <c r="M130" s="774"/>
      <c r="N130" s="91"/>
      <c r="O130" s="227"/>
      <c r="P130" s="390"/>
      <c r="Q130" s="37"/>
      <c r="R130" s="42" t="s">
        <v>547</v>
      </c>
      <c r="S130" s="163">
        <f>ROUND((((S101+S109)*(1+$O$2))/VLOOKUP("FIELD SERVICESPayroll",'Base 2015 actual for Cost Cente'!$A:$F,6,FALSE))*VLOOKUP("FIELD SERVICESNon-Payroll",'Base 2015 actual for Cost Cente'!$A:$F,6,FALSE),0)</f>
        <v>14</v>
      </c>
      <c r="T130" s="42"/>
      <c r="U130" s="39"/>
      <c r="V130" s="42" t="s">
        <v>545</v>
      </c>
      <c r="W130" s="774"/>
      <c r="X130" s="91"/>
      <c r="Y130" s="227"/>
      <c r="Z130" s="390"/>
      <c r="AA130" s="37"/>
      <c r="AB130" s="42" t="s">
        <v>547</v>
      </c>
      <c r="AC130" s="163">
        <f>ROUND((((AC101+AC109)*(1+$O$2))/VLOOKUP("FIELD SERVICESPayroll",'Base 2015 actual for Cost Cente'!$A:$F,6,FALSE))*VLOOKUP("FIELD SERVICESNon-Payroll",'Base 2015 actual for Cost Cente'!$A:$F,6,FALSE),0)</f>
        <v>33</v>
      </c>
      <c r="AD130" s="42"/>
      <c r="AE130" s="39"/>
      <c r="AF130" s="42" t="s">
        <v>545</v>
      </c>
      <c r="AG130" s="774"/>
      <c r="AH130" s="91"/>
      <c r="AI130" s="227"/>
      <c r="AJ130" s="163">
        <f>I130+S130+AC130</f>
        <v>47</v>
      </c>
      <c r="AK130" s="163"/>
    </row>
    <row r="131" spans="1:37" ht="15.75" x14ac:dyDescent="0.25">
      <c r="A131" s="299" t="s">
        <v>5</v>
      </c>
      <c r="B131" s="218" t="str">
        <f t="shared" si="40"/>
        <v>MASTMAST Payroll</v>
      </c>
      <c r="C131" s="217" t="s">
        <v>48</v>
      </c>
      <c r="D131" s="10"/>
      <c r="E131" s="126"/>
      <c r="F131" s="126"/>
      <c r="G131" s="126"/>
      <c r="H131" s="42" t="s">
        <v>548</v>
      </c>
      <c r="I131" s="163">
        <f>ROUND((((I100+I110)*(1+$O$2))/VLOOKUP("CUST SEG SRVCPayroll",'Base 2015 actual for Cost Cente'!$A:$F,6,FALSE))*VLOOKUP("CUST SEG SRVCNon-Payroll",'Base 2015 actual for Cost Cente'!$A:$F,6,FALSE),0)</f>
        <v>0</v>
      </c>
      <c r="J131" s="42"/>
      <c r="K131" s="39"/>
      <c r="L131" s="42" t="s">
        <v>5</v>
      </c>
      <c r="M131" s="66" t="s">
        <v>542</v>
      </c>
      <c r="N131" s="91"/>
      <c r="O131" s="227"/>
      <c r="P131" s="390"/>
      <c r="Q131" s="37"/>
      <c r="R131" s="42" t="s">
        <v>548</v>
      </c>
      <c r="S131" s="163">
        <f>ROUND((((S100+S110)*(1+$O$2))/VLOOKUP("CUST SEG SRVCPayroll",'Base 2015 actual for Cost Cente'!$A:$F,6,FALSE))*VLOOKUP("CUST SEG SRVCNon-Payroll",'Base 2015 actual for Cost Cente'!$A:$F,6,FALSE),0)</f>
        <v>387</v>
      </c>
      <c r="T131" s="42"/>
      <c r="U131" s="39"/>
      <c r="V131" s="42" t="s">
        <v>5</v>
      </c>
      <c r="W131" s="66" t="s">
        <v>542</v>
      </c>
      <c r="X131" s="91"/>
      <c r="Y131" s="227"/>
      <c r="Z131" s="390"/>
      <c r="AA131" s="37"/>
      <c r="AB131" s="42" t="s">
        <v>548</v>
      </c>
      <c r="AC131" s="163">
        <f>ROUND((((AC100+AC110)*(1+$O$2))/VLOOKUP("CUST SEG SRVCPayroll",'Base 2015 actual for Cost Cente'!$A:$F,6,FALSE))*VLOOKUP("CUST SEG SRVCNon-Payroll",'Base 2015 actual for Cost Cente'!$A:$F,6,FALSE),0)</f>
        <v>0</v>
      </c>
      <c r="AD131" s="42"/>
      <c r="AE131" s="39"/>
      <c r="AF131" s="42" t="s">
        <v>5</v>
      </c>
      <c r="AG131" s="66" t="s">
        <v>542</v>
      </c>
      <c r="AH131" s="91"/>
      <c r="AI131" s="227"/>
      <c r="AJ131" s="163">
        <f>I131+S131+AC131</f>
        <v>387</v>
      </c>
      <c r="AK131" s="163"/>
    </row>
    <row r="132" spans="1:37" ht="15.75" x14ac:dyDescent="0.25">
      <c r="A132" s="299" t="s">
        <v>5</v>
      </c>
      <c r="B132" s="218" t="str">
        <f t="shared" si="40"/>
        <v>MAST</v>
      </c>
      <c r="C132" s="217" t="s">
        <v>48</v>
      </c>
      <c r="D132" s="10"/>
      <c r="E132" s="126"/>
      <c r="F132" s="126"/>
      <c r="G132" s="126"/>
      <c r="H132" s="184"/>
      <c r="I132" s="158">
        <f t="shared" ref="I132:I134" si="64">J132*K132</f>
        <v>0</v>
      </c>
      <c r="J132" s="42"/>
      <c r="K132" s="39"/>
      <c r="L132" s="42"/>
      <c r="M132" s="66"/>
      <c r="N132" s="91"/>
      <c r="O132" s="227"/>
      <c r="P132" s="390"/>
      <c r="Q132" s="37"/>
      <c r="R132" s="184"/>
      <c r="S132" s="158">
        <f t="shared" ref="S132:S134" si="65">T132*U132</f>
        <v>0</v>
      </c>
      <c r="T132" s="42"/>
      <c r="U132" s="39"/>
      <c r="V132" s="42"/>
      <c r="W132" s="66"/>
      <c r="X132" s="91"/>
      <c r="Y132" s="227"/>
      <c r="Z132" s="390"/>
      <c r="AA132" s="37"/>
      <c r="AB132" s="184"/>
      <c r="AC132" s="158">
        <f t="shared" ref="AC132:AC134" si="66">AD132*AE132</f>
        <v>0</v>
      </c>
      <c r="AD132" s="42"/>
      <c r="AE132" s="39"/>
      <c r="AF132" s="42"/>
      <c r="AG132" s="66"/>
      <c r="AH132" s="91"/>
      <c r="AI132" s="227"/>
      <c r="AJ132" s="158"/>
      <c r="AK132" s="158"/>
    </row>
    <row r="133" spans="1:37" ht="15.75" x14ac:dyDescent="0.25">
      <c r="A133" s="299" t="s">
        <v>5</v>
      </c>
      <c r="B133" s="218" t="str">
        <f t="shared" si="40"/>
        <v>MAST</v>
      </c>
      <c r="C133" s="217" t="s">
        <v>48</v>
      </c>
      <c r="D133" s="10"/>
      <c r="E133" s="126"/>
      <c r="F133" s="126"/>
      <c r="G133" s="126"/>
      <c r="H133" s="184"/>
      <c r="I133" s="158">
        <f t="shared" si="64"/>
        <v>0</v>
      </c>
      <c r="J133" s="42"/>
      <c r="K133" s="39"/>
      <c r="L133" s="42"/>
      <c r="M133" s="66"/>
      <c r="N133" s="91"/>
      <c r="O133" s="227"/>
      <c r="P133" s="390"/>
      <c r="Q133" s="37"/>
      <c r="R133" s="184"/>
      <c r="S133" s="158">
        <f t="shared" si="65"/>
        <v>0</v>
      </c>
      <c r="T133" s="42"/>
      <c r="U133" s="39"/>
      <c r="V133" s="42"/>
      <c r="W133" s="66"/>
      <c r="X133" s="91"/>
      <c r="Y133" s="227"/>
      <c r="Z133" s="390"/>
      <c r="AA133" s="37"/>
      <c r="AB133" s="184"/>
      <c r="AC133" s="158">
        <f t="shared" si="66"/>
        <v>0</v>
      </c>
      <c r="AD133" s="42"/>
      <c r="AE133" s="39"/>
      <c r="AF133" s="42"/>
      <c r="AG133" s="66"/>
      <c r="AH133" s="91"/>
      <c r="AI133" s="227"/>
      <c r="AJ133" s="158"/>
      <c r="AK133" s="158"/>
    </row>
    <row r="134" spans="1:37" ht="15.75" x14ac:dyDescent="0.25">
      <c r="A134" s="299" t="s">
        <v>5</v>
      </c>
      <c r="B134" s="218" t="str">
        <f t="shared" si="40"/>
        <v>MAST</v>
      </c>
      <c r="C134" s="217" t="s">
        <v>48</v>
      </c>
      <c r="D134" s="10"/>
      <c r="E134" s="126"/>
      <c r="F134" s="126"/>
      <c r="G134" s="126"/>
      <c r="H134" s="184"/>
      <c r="I134" s="158">
        <f t="shared" si="64"/>
        <v>0</v>
      </c>
      <c r="J134" s="82"/>
      <c r="K134" s="82"/>
      <c r="L134" s="67"/>
      <c r="M134" s="40"/>
      <c r="N134" s="94"/>
      <c r="O134" s="228"/>
      <c r="P134" s="390"/>
      <c r="Q134" s="37"/>
      <c r="R134" s="184"/>
      <c r="S134" s="158">
        <f t="shared" si="65"/>
        <v>0</v>
      </c>
      <c r="T134" s="82"/>
      <c r="U134" s="82"/>
      <c r="V134" s="67"/>
      <c r="W134" s="40"/>
      <c r="X134" s="94"/>
      <c r="Y134" s="228"/>
      <c r="Z134" s="390"/>
      <c r="AA134" s="37"/>
      <c r="AB134" s="184"/>
      <c r="AC134" s="158">
        <f t="shared" si="66"/>
        <v>0</v>
      </c>
      <c r="AD134" s="82"/>
      <c r="AE134" s="82"/>
      <c r="AF134" s="67"/>
      <c r="AG134" s="40"/>
      <c r="AH134" s="94"/>
      <c r="AI134" s="228"/>
      <c r="AJ134" s="158"/>
      <c r="AK134" s="158"/>
    </row>
    <row r="135" spans="1:37" ht="15.75" x14ac:dyDescent="0.25">
      <c r="A135" s="299" t="s">
        <v>5</v>
      </c>
      <c r="B135" s="218" t="str">
        <f t="shared" si="40"/>
        <v>MASTTotal Other</v>
      </c>
      <c r="C135" s="220" t="s">
        <v>50</v>
      </c>
      <c r="D135" s="10"/>
      <c r="E135" s="116">
        <f>I135</f>
        <v>0</v>
      </c>
      <c r="F135" s="116">
        <f>S135</f>
        <v>1118</v>
      </c>
      <c r="G135" s="116">
        <f>AC135</f>
        <v>33</v>
      </c>
      <c r="H135" s="185" t="s">
        <v>45</v>
      </c>
      <c r="I135" s="165">
        <f>SUM(I129:I134)</f>
        <v>0</v>
      </c>
      <c r="J135" s="68"/>
      <c r="K135" s="68"/>
      <c r="L135" s="68"/>
      <c r="M135" s="66"/>
      <c r="N135" s="414">
        <f>I135</f>
        <v>0</v>
      </c>
      <c r="O135" s="240" t="e">
        <f>N135/N138</f>
        <v>#DIV/0!</v>
      </c>
      <c r="P135" s="390"/>
      <c r="Q135" s="68"/>
      <c r="R135" s="185" t="s">
        <v>45</v>
      </c>
      <c r="S135" s="165">
        <f>SUM(S129:S134)</f>
        <v>1118</v>
      </c>
      <c r="T135" s="68"/>
      <c r="U135" s="68"/>
      <c r="V135" s="68"/>
      <c r="W135" s="66"/>
      <c r="X135" s="414">
        <f>S135</f>
        <v>1118</v>
      </c>
      <c r="Y135" s="240">
        <f>X135/X138</f>
        <v>3.7047105393646459E-2</v>
      </c>
      <c r="Z135" s="390"/>
      <c r="AA135" s="68"/>
      <c r="AB135" s="185" t="s">
        <v>45</v>
      </c>
      <c r="AC135" s="165">
        <f>SUM(AC129:AC134)</f>
        <v>33</v>
      </c>
      <c r="AD135" s="68"/>
      <c r="AE135" s="68"/>
      <c r="AF135" s="68"/>
      <c r="AG135" s="66"/>
      <c r="AH135" s="414">
        <f>AC135</f>
        <v>33</v>
      </c>
      <c r="AI135" s="240">
        <f>AH135/AH138</f>
        <v>3.6247786281786702E-2</v>
      </c>
      <c r="AJ135" s="165">
        <f>I135+S135+AC135</f>
        <v>1151</v>
      </c>
      <c r="AK135" s="165"/>
    </row>
    <row r="136" spans="1:37" ht="16.5" thickBot="1" x14ac:dyDescent="0.3">
      <c r="A136" s="299" t="s">
        <v>5</v>
      </c>
      <c r="B136" s="218" t="str">
        <f t="shared" si="40"/>
        <v>MAST</v>
      </c>
      <c r="C136" s="217" t="s">
        <v>48</v>
      </c>
      <c r="D136" s="10"/>
      <c r="E136" s="126"/>
      <c r="F136" s="126"/>
      <c r="G136" s="126"/>
      <c r="H136" s="178"/>
      <c r="I136" s="178"/>
      <c r="J136" s="101"/>
      <c r="K136" s="101"/>
      <c r="L136" s="101"/>
      <c r="M136" s="102"/>
      <c r="N136" s="415"/>
      <c r="O136" s="178"/>
      <c r="P136" s="101"/>
      <c r="Q136" s="101"/>
      <c r="R136" s="178"/>
      <c r="S136" s="178"/>
      <c r="T136" s="101"/>
      <c r="U136" s="101"/>
      <c r="V136" s="101"/>
      <c r="W136" s="102"/>
      <c r="X136" s="415"/>
      <c r="Y136" s="178"/>
      <c r="Z136" s="101"/>
      <c r="AA136" s="101"/>
      <c r="AB136" s="178"/>
      <c r="AC136" s="178"/>
      <c r="AD136" s="101"/>
      <c r="AE136" s="101"/>
      <c r="AF136" s="101"/>
      <c r="AG136" s="102"/>
      <c r="AH136" s="415"/>
      <c r="AI136" s="178"/>
      <c r="AJ136" s="178"/>
      <c r="AK136" s="178"/>
    </row>
    <row r="137" spans="1:37" ht="16.5" thickTop="1" x14ac:dyDescent="0.25">
      <c r="A137" s="299" t="s">
        <v>5</v>
      </c>
      <c r="B137" s="218" t="str">
        <f t="shared" si="40"/>
        <v>MASTTOTALS</v>
      </c>
      <c r="C137" s="217" t="s">
        <v>48</v>
      </c>
      <c r="D137" s="10"/>
      <c r="E137" s="126"/>
      <c r="F137" s="126"/>
      <c r="G137" s="126"/>
      <c r="H137" s="186" t="s">
        <v>28</v>
      </c>
      <c r="I137" s="418"/>
      <c r="J137" s="103"/>
      <c r="K137" s="103"/>
      <c r="L137" s="103"/>
      <c r="M137" s="104"/>
      <c r="N137" s="91"/>
      <c r="O137" s="136"/>
      <c r="P137" s="390"/>
      <c r="Q137" s="37"/>
      <c r="R137" s="186" t="s">
        <v>28</v>
      </c>
      <c r="S137" s="418"/>
      <c r="T137" s="103"/>
      <c r="U137" s="435"/>
      <c r="V137" s="435"/>
      <c r="W137" s="436"/>
      <c r="X137" s="91"/>
      <c r="Y137" s="136"/>
      <c r="Z137" s="390"/>
      <c r="AA137" s="37"/>
      <c r="AB137" s="186" t="s">
        <v>28</v>
      </c>
      <c r="AC137" s="418"/>
      <c r="AD137" s="435"/>
      <c r="AE137" s="435"/>
      <c r="AF137" s="435"/>
      <c r="AG137" s="436"/>
      <c r="AH137" s="91"/>
      <c r="AI137" s="136"/>
      <c r="AJ137" s="418"/>
      <c r="AK137" s="418"/>
    </row>
    <row r="138" spans="1:37" ht="15.75" x14ac:dyDescent="0.25">
      <c r="A138" s="299" t="s">
        <v>5</v>
      </c>
      <c r="B138" s="218" t="str">
        <f t="shared" si="40"/>
        <v>MASTPER YEAR</v>
      </c>
      <c r="C138" s="220" t="s">
        <v>50</v>
      </c>
      <c r="D138" s="10"/>
      <c r="E138" s="116">
        <f>I138</f>
        <v>0</v>
      </c>
      <c r="F138" s="116">
        <f>S138</f>
        <v>30177.796298000001</v>
      </c>
      <c r="G138" s="116">
        <f>S138</f>
        <v>30177.796298000001</v>
      </c>
      <c r="H138" s="190" t="s">
        <v>46</v>
      </c>
      <c r="I138" s="417">
        <f>I105+I114+I121+I126+I135</f>
        <v>0</v>
      </c>
      <c r="J138" s="106"/>
      <c r="K138" s="106"/>
      <c r="L138" s="106"/>
      <c r="M138" s="107"/>
      <c r="N138" s="420">
        <f>SUM(N105:N136)</f>
        <v>0</v>
      </c>
      <c r="O138" s="233" t="e">
        <f>SUM(O105:O136)</f>
        <v>#DIV/0!</v>
      </c>
      <c r="P138" s="390"/>
      <c r="Q138" s="37"/>
      <c r="R138" s="190" t="s">
        <v>46</v>
      </c>
      <c r="S138" s="417">
        <f>S105+S114+S121+S126+S135</f>
        <v>30177.796298000001</v>
      </c>
      <c r="T138" s="106"/>
      <c r="U138" s="106"/>
      <c r="V138" s="106"/>
      <c r="W138" s="107"/>
      <c r="X138" s="420">
        <f>SUM(X105:X136)</f>
        <v>30177.796298000001</v>
      </c>
      <c r="Y138" s="233">
        <f>SUM(Y105:Y136)</f>
        <v>0.99999999999999989</v>
      </c>
      <c r="Z138" s="390"/>
      <c r="AA138" s="37"/>
      <c r="AB138" s="190" t="s">
        <v>46</v>
      </c>
      <c r="AC138" s="417">
        <f>AC105+AC114+AC121+AC126+AC135</f>
        <v>910.40042400000004</v>
      </c>
      <c r="AD138" s="106"/>
      <c r="AE138" s="106"/>
      <c r="AF138" s="106"/>
      <c r="AG138" s="107"/>
      <c r="AH138" s="420">
        <f>SUM(AH105:AH136)</f>
        <v>910.40042400000004</v>
      </c>
      <c r="AI138" s="233">
        <f>SUM(AI105:AI136)</f>
        <v>1</v>
      </c>
      <c r="AJ138" s="417">
        <f>I138+S138+AC138</f>
        <v>31088.196722000001</v>
      </c>
      <c r="AK138" s="417"/>
    </row>
    <row r="139" spans="1:37" ht="15.75" x14ac:dyDescent="0.25">
      <c r="A139" s="299" t="s">
        <v>5</v>
      </c>
      <c r="B139" s="218" t="str">
        <f t="shared" si="40"/>
        <v>MASTPER CUSTOMER</v>
      </c>
      <c r="C139" s="220" t="s">
        <v>50</v>
      </c>
      <c r="D139" s="10"/>
      <c r="E139" s="126"/>
      <c r="F139" s="126"/>
      <c r="G139" s="126"/>
      <c r="H139" s="185" t="s">
        <v>284</v>
      </c>
      <c r="I139" s="419">
        <f>I138/I$6</f>
        <v>0</v>
      </c>
      <c r="J139" s="108"/>
      <c r="K139" s="108"/>
      <c r="L139" s="108"/>
      <c r="M139" s="109"/>
      <c r="N139" s="98"/>
      <c r="O139" s="243"/>
      <c r="P139" s="391"/>
      <c r="Q139" s="60"/>
      <c r="R139" s="185" t="s">
        <v>284</v>
      </c>
      <c r="S139" s="419">
        <f>S138/S$6</f>
        <v>4.2896654297085997</v>
      </c>
      <c r="T139" s="108"/>
      <c r="U139" s="108"/>
      <c r="V139" s="108"/>
      <c r="W139" s="109"/>
      <c r="X139" s="98"/>
      <c r="Y139" s="243"/>
      <c r="Z139" s="391"/>
      <c r="AA139" s="60"/>
      <c r="AB139" s="185" t="s">
        <v>284</v>
      </c>
      <c r="AC139" s="419">
        <f>AC138/AC$6</f>
        <v>39.582627130434787</v>
      </c>
      <c r="AD139" s="108"/>
      <c r="AE139" s="108"/>
      <c r="AF139" s="108"/>
      <c r="AG139" s="109"/>
      <c r="AH139" s="98"/>
      <c r="AI139" s="243"/>
      <c r="AJ139" s="419">
        <f>I139+S139+AC139</f>
        <v>43.872292560143386</v>
      </c>
      <c r="AK139" s="419"/>
    </row>
    <row r="140" spans="1:37" ht="15.75" x14ac:dyDescent="0.25">
      <c r="A140" s="299" t="s">
        <v>5</v>
      </c>
      <c r="B140" s="218"/>
      <c r="C140" s="220"/>
      <c r="D140" s="10"/>
      <c r="E140" s="10"/>
      <c r="F140" s="10"/>
      <c r="G140" s="10"/>
      <c r="H140" s="137" t="s">
        <v>553</v>
      </c>
      <c r="I140" s="652">
        <f>I105+I114</f>
        <v>0</v>
      </c>
      <c r="J140" s="108"/>
      <c r="K140" s="108"/>
      <c r="L140" s="108"/>
      <c r="M140" s="109"/>
      <c r="N140" s="649"/>
      <c r="O140" s="650"/>
      <c r="P140" s="92"/>
      <c r="Q140" s="37"/>
      <c r="R140" s="137" t="s">
        <v>553</v>
      </c>
      <c r="S140" s="652">
        <f>S105+S114</f>
        <v>29059.796298000001</v>
      </c>
      <c r="T140" s="108"/>
      <c r="U140" s="108"/>
      <c r="V140" s="108"/>
      <c r="W140" s="109"/>
      <c r="X140" s="651"/>
      <c r="Y140" s="650"/>
      <c r="Z140" s="92"/>
      <c r="AA140" s="37"/>
      <c r="AB140" s="137" t="s">
        <v>553</v>
      </c>
      <c r="AC140" s="652">
        <f>AC105+AC114</f>
        <v>877.40042400000004</v>
      </c>
      <c r="AD140" s="108"/>
      <c r="AE140" s="108"/>
      <c r="AF140" s="108"/>
      <c r="AG140" s="109"/>
      <c r="AH140" s="649"/>
      <c r="AI140" s="137"/>
      <c r="AJ140" s="652">
        <f>I140+S140+AC140</f>
        <v>29937.196722000001</v>
      </c>
      <c r="AK140" s="652"/>
    </row>
    <row r="141" spans="1:37" ht="15.75" x14ac:dyDescent="0.25">
      <c r="A141" s="299" t="s">
        <v>5</v>
      </c>
      <c r="B141" s="218"/>
      <c r="C141" s="220"/>
      <c r="D141" s="10"/>
      <c r="E141" s="10"/>
      <c r="F141" s="10"/>
      <c r="G141" s="10"/>
      <c r="H141" s="137" t="s">
        <v>554</v>
      </c>
      <c r="I141" s="652">
        <f>I135+I126+I121</f>
        <v>0</v>
      </c>
      <c r="J141" s="108"/>
      <c r="K141" s="652"/>
      <c r="L141" s="108"/>
      <c r="M141" s="109"/>
      <c r="N141" s="649"/>
      <c r="O141" s="650"/>
      <c r="P141" s="92"/>
      <c r="Q141" s="37"/>
      <c r="R141" s="137" t="s">
        <v>554</v>
      </c>
      <c r="S141" s="652">
        <f>S135+S126+S121</f>
        <v>1118</v>
      </c>
      <c r="T141" s="108"/>
      <c r="U141" s="652"/>
      <c r="V141" s="108"/>
      <c r="W141" s="109"/>
      <c r="X141" s="651"/>
      <c r="Y141" s="650"/>
      <c r="Z141" s="92"/>
      <c r="AA141" s="37"/>
      <c r="AB141" s="137" t="s">
        <v>554</v>
      </c>
      <c r="AC141" s="652">
        <f>AC135+AC126+AC121</f>
        <v>33</v>
      </c>
      <c r="AD141" s="108"/>
      <c r="AE141" s="652"/>
      <c r="AF141" s="108"/>
      <c r="AG141" s="109"/>
      <c r="AH141" s="649"/>
      <c r="AI141" s="137"/>
      <c r="AJ141" s="652">
        <f>I141+S141+AC141</f>
        <v>1151</v>
      </c>
      <c r="AK141" s="652"/>
    </row>
    <row r="142" spans="1:37" ht="15.75" x14ac:dyDescent="0.25">
      <c r="A142" s="299" t="s">
        <v>5</v>
      </c>
      <c r="B142" s="218"/>
      <c r="C142" s="220"/>
      <c r="D142" s="10"/>
      <c r="E142" s="10"/>
      <c r="F142" s="10"/>
      <c r="G142" s="10"/>
      <c r="H142" s="137" t="s">
        <v>552</v>
      </c>
      <c r="I142" s="652">
        <f>I138</f>
        <v>0</v>
      </c>
      <c r="J142" s="108"/>
      <c r="K142" s="108"/>
      <c r="L142" s="108"/>
      <c r="M142" s="109"/>
      <c r="N142" s="649"/>
      <c r="O142" s="650"/>
      <c r="P142" s="92"/>
      <c r="Q142" s="37"/>
      <c r="R142" s="137" t="s">
        <v>552</v>
      </c>
      <c r="S142" s="652">
        <f>S138</f>
        <v>30177.796298000001</v>
      </c>
      <c r="T142" s="108"/>
      <c r="U142" s="108"/>
      <c r="V142" s="108"/>
      <c r="W142" s="109"/>
      <c r="X142" s="651"/>
      <c r="Y142" s="650"/>
      <c r="Z142" s="92"/>
      <c r="AA142" s="37"/>
      <c r="AB142" s="137" t="s">
        <v>552</v>
      </c>
      <c r="AC142" s="652">
        <f>AC138</f>
        <v>910.40042400000004</v>
      </c>
      <c r="AD142" s="108"/>
      <c r="AE142" s="108"/>
      <c r="AF142" s="108"/>
      <c r="AG142" s="109"/>
      <c r="AH142" s="649"/>
      <c r="AI142" s="137"/>
      <c r="AJ142" s="652">
        <f>I142+S142+AC142</f>
        <v>31088.196722000001</v>
      </c>
      <c r="AK142" s="652"/>
    </row>
    <row r="143" spans="1:37" ht="94.5" x14ac:dyDescent="0.25">
      <c r="A143" s="299" t="s">
        <v>6</v>
      </c>
      <c r="B143" s="218" t="str">
        <f t="shared" ref="B143:B203" si="67">A143&amp;H143</f>
        <v>RMCLABOR: NON-SUPERVISORY</v>
      </c>
      <c r="C143" s="12" t="s">
        <v>6</v>
      </c>
      <c r="D143" s="10" t="str">
        <f>'2015Summary METER to CASH (Base'!O18</f>
        <v xml:space="preserve">* Forecast, plan &amp; assign all turn of and reconnects.
* Dispatch meter investigation and curb valve installation orders to field personnel
</v>
      </c>
      <c r="E143" s="117">
        <f>N179</f>
        <v>83229.288039999999</v>
      </c>
      <c r="F143" s="117">
        <f>X179</f>
        <v>4048.2711599999998</v>
      </c>
      <c r="G143" s="117">
        <f>AC179</f>
        <v>0</v>
      </c>
      <c r="H143" s="183" t="s">
        <v>31</v>
      </c>
      <c r="I143" s="157"/>
      <c r="J143" s="118"/>
      <c r="K143" s="118"/>
      <c r="L143" s="118"/>
      <c r="M143" s="119"/>
      <c r="N143" s="121"/>
      <c r="O143" s="135"/>
      <c r="P143" s="381"/>
      <c r="Q143" s="123"/>
      <c r="R143" s="183" t="s">
        <v>31</v>
      </c>
      <c r="S143" s="157"/>
      <c r="T143" s="118"/>
      <c r="U143" s="118"/>
      <c r="V143" s="118"/>
      <c r="W143" s="119"/>
      <c r="X143" s="121"/>
      <c r="Y143" s="135"/>
      <c r="Z143" s="381"/>
      <c r="AA143" s="123"/>
      <c r="AB143" s="183" t="s">
        <v>31</v>
      </c>
      <c r="AC143" s="157"/>
      <c r="AD143" s="118"/>
      <c r="AE143" s="118"/>
      <c r="AF143" s="118"/>
      <c r="AG143" s="119"/>
      <c r="AH143" s="121"/>
      <c r="AI143" s="135"/>
      <c r="AJ143" s="157"/>
      <c r="AK143" s="157"/>
    </row>
    <row r="144" spans="1:37" ht="21" x14ac:dyDescent="0.35">
      <c r="A144" s="299" t="s">
        <v>6</v>
      </c>
      <c r="B144" s="218" t="str">
        <f t="shared" si="67"/>
        <v>RMCReso Mgmt Spec (Grade 18)</v>
      </c>
      <c r="C144" s="5" t="s">
        <v>48</v>
      </c>
      <c r="D144" s="10"/>
      <c r="E144" s="116"/>
      <c r="F144" s="116"/>
      <c r="G144" s="116"/>
      <c r="H144" s="184" t="s">
        <v>312</v>
      </c>
      <c r="I144" s="163">
        <f>J144*K144</f>
        <v>36974</v>
      </c>
      <c r="J144" s="42">
        <f>ROUND(1020*(I$6/($I$6+$S$6+$AC$6)),0)</f>
        <v>973</v>
      </c>
      <c r="K144" s="39">
        <v>38</v>
      </c>
      <c r="L144" s="39"/>
      <c r="M144" s="40" t="str">
        <f>J144&amp;" hrs @ "&amp;K144</f>
        <v>973 hrs @ 38</v>
      </c>
      <c r="N144" s="35"/>
      <c r="O144" s="136"/>
      <c r="P144" s="382"/>
      <c r="Q144" s="41"/>
      <c r="R144" s="184" t="s">
        <v>312</v>
      </c>
      <c r="S144" s="163">
        <f>T144*U144</f>
        <v>1786</v>
      </c>
      <c r="T144" s="42">
        <f>ROUND(1020*(S$6/($I$6+$S$6+$AC$6)),0)</f>
        <v>47</v>
      </c>
      <c r="U144" s="39">
        <v>38</v>
      </c>
      <c r="V144" s="39"/>
      <c r="W144" s="40" t="str">
        <f>T144&amp;" hrs @ "&amp;U144</f>
        <v>47 hrs @ 38</v>
      </c>
      <c r="X144" s="35"/>
      <c r="Y144" s="136"/>
      <c r="Z144" s="382"/>
      <c r="AA144" s="41"/>
      <c r="AB144" s="184" t="s">
        <v>312</v>
      </c>
      <c r="AC144" s="163">
        <f>AD144*AE144</f>
        <v>0</v>
      </c>
      <c r="AD144" s="42">
        <f>ROUND(1020*(AC$6/($I$6+$S$6+$AC$6)),0)</f>
        <v>0</v>
      </c>
      <c r="AE144" s="39">
        <v>38</v>
      </c>
      <c r="AF144" s="39"/>
      <c r="AG144" s="40" t="str">
        <f>AD144&amp;" hrs @ "&amp;AE144</f>
        <v>0 hrs @ 38</v>
      </c>
      <c r="AH144" s="35"/>
      <c r="AI144" s="136"/>
      <c r="AJ144" s="163">
        <f>I144+S144+AC144</f>
        <v>38760</v>
      </c>
      <c r="AK144" s="163"/>
    </row>
    <row r="145" spans="1:37" ht="21" x14ac:dyDescent="0.35">
      <c r="A145" s="299" t="s">
        <v>6</v>
      </c>
      <c r="B145" s="218" t="str">
        <f t="shared" si="67"/>
        <v>RMC</v>
      </c>
      <c r="C145" s="5" t="s">
        <v>48</v>
      </c>
      <c r="D145" s="10"/>
      <c r="E145" s="116"/>
      <c r="F145" s="116"/>
      <c r="G145" s="116"/>
      <c r="H145" s="184"/>
      <c r="I145" s="158"/>
      <c r="J145" s="42"/>
      <c r="K145" s="39"/>
      <c r="L145" s="42"/>
      <c r="M145" s="40" t="str">
        <f t="shared" ref="M145:M147" si="68">J145&amp;" hrs @ "&amp;K145</f>
        <v xml:space="preserve"> hrs @ </v>
      </c>
      <c r="N145" s="35"/>
      <c r="O145" s="136"/>
      <c r="P145" s="382"/>
      <c r="Q145" s="3"/>
      <c r="R145" s="184"/>
      <c r="S145" s="158"/>
      <c r="T145" s="42"/>
      <c r="U145" s="39"/>
      <c r="V145" s="42"/>
      <c r="W145" s="40" t="str">
        <f t="shared" ref="W145:W147" si="69">T145&amp;" hrs @ "&amp;U145</f>
        <v xml:space="preserve"> hrs @ </v>
      </c>
      <c r="X145" s="35"/>
      <c r="Y145" s="136"/>
      <c r="Z145" s="382"/>
      <c r="AA145" s="3"/>
      <c r="AB145" s="184"/>
      <c r="AC145" s="158"/>
      <c r="AD145" s="42"/>
      <c r="AE145" s="39"/>
      <c r="AF145" s="42"/>
      <c r="AG145" s="40" t="str">
        <f t="shared" ref="AG145:AG147" si="70">AD145&amp;" hrs @ "&amp;AE145</f>
        <v xml:space="preserve"> hrs @ </v>
      </c>
      <c r="AH145" s="35"/>
      <c r="AI145" s="136"/>
      <c r="AJ145" s="158"/>
      <c r="AK145" s="158"/>
    </row>
    <row r="146" spans="1:37" ht="21" x14ac:dyDescent="0.35">
      <c r="A146" s="299" t="s">
        <v>6</v>
      </c>
      <c r="B146" s="218" t="str">
        <f t="shared" si="67"/>
        <v>RMC</v>
      </c>
      <c r="C146" s="5" t="s">
        <v>48</v>
      </c>
      <c r="D146" s="10"/>
      <c r="E146" s="116"/>
      <c r="F146" s="116"/>
      <c r="G146" s="116"/>
      <c r="H146" s="184"/>
      <c r="I146" s="158"/>
      <c r="J146" s="42"/>
      <c r="K146" s="39"/>
      <c r="L146" s="42"/>
      <c r="M146" s="40" t="str">
        <f t="shared" si="68"/>
        <v xml:space="preserve"> hrs @ </v>
      </c>
      <c r="N146" s="35"/>
      <c r="O146" s="136"/>
      <c r="P146" s="382"/>
      <c r="Q146" s="41"/>
      <c r="R146" s="184"/>
      <c r="S146" s="158"/>
      <c r="T146" s="42"/>
      <c r="U146" s="39"/>
      <c r="V146" s="42"/>
      <c r="W146" s="40" t="str">
        <f t="shared" si="69"/>
        <v xml:space="preserve"> hrs @ </v>
      </c>
      <c r="X146" s="35"/>
      <c r="Y146" s="136"/>
      <c r="Z146" s="382"/>
      <c r="AA146" s="41"/>
      <c r="AB146" s="184"/>
      <c r="AC146" s="158"/>
      <c r="AD146" s="42"/>
      <c r="AE146" s="39"/>
      <c r="AF146" s="42"/>
      <c r="AG146" s="40" t="str">
        <f t="shared" si="70"/>
        <v xml:space="preserve"> hrs @ </v>
      </c>
      <c r="AH146" s="35"/>
      <c r="AI146" s="136"/>
      <c r="AJ146" s="158"/>
      <c r="AK146" s="158"/>
    </row>
    <row r="147" spans="1:37" ht="21" x14ac:dyDescent="0.35">
      <c r="A147" s="299" t="s">
        <v>6</v>
      </c>
      <c r="B147" s="218" t="str">
        <f t="shared" si="67"/>
        <v>RMC</v>
      </c>
      <c r="C147" s="5" t="s">
        <v>48</v>
      </c>
      <c r="D147" s="10"/>
      <c r="E147" s="116"/>
      <c r="F147" s="116"/>
      <c r="G147" s="116"/>
      <c r="H147" s="179"/>
      <c r="I147" s="173"/>
      <c r="J147" s="174"/>
      <c r="K147" s="175"/>
      <c r="L147" s="181">
        <v>7.0000000000000007E-2</v>
      </c>
      <c r="M147" s="176" t="str">
        <f t="shared" si="68"/>
        <v xml:space="preserve"> hrs @ </v>
      </c>
      <c r="N147" s="35"/>
      <c r="O147" s="136"/>
      <c r="P147" s="382"/>
      <c r="Q147" s="44"/>
      <c r="R147" s="179"/>
      <c r="S147" s="173"/>
      <c r="T147" s="174"/>
      <c r="U147" s="175"/>
      <c r="V147" s="181">
        <v>7.0000000000000007E-2</v>
      </c>
      <c r="W147" s="176" t="str">
        <f t="shared" si="69"/>
        <v xml:space="preserve"> hrs @ </v>
      </c>
      <c r="X147" s="35"/>
      <c r="Y147" s="136"/>
      <c r="Z147" s="382"/>
      <c r="AA147" s="44"/>
      <c r="AB147" s="179"/>
      <c r="AC147" s="173"/>
      <c r="AD147" s="174"/>
      <c r="AE147" s="175"/>
      <c r="AF147" s="181"/>
      <c r="AG147" s="176" t="str">
        <f t="shared" si="70"/>
        <v xml:space="preserve"> hrs @ </v>
      </c>
      <c r="AH147" s="35"/>
      <c r="AI147" s="136"/>
      <c r="AJ147" s="173"/>
      <c r="AK147" s="173"/>
    </row>
    <row r="148" spans="1:37" ht="21" x14ac:dyDescent="0.35">
      <c r="A148" s="299" t="s">
        <v>6</v>
      </c>
      <c r="B148" s="218" t="str">
        <f t="shared" si="67"/>
        <v>RMCTotal Wages</v>
      </c>
      <c r="C148" s="5" t="s">
        <v>48</v>
      </c>
      <c r="D148" s="10"/>
      <c r="E148" s="116"/>
      <c r="F148" s="116"/>
      <c r="G148" s="116"/>
      <c r="H148" s="184" t="s">
        <v>32</v>
      </c>
      <c r="I148" s="158">
        <f>SUM(I144:I147)</f>
        <v>36974</v>
      </c>
      <c r="J148" s="42"/>
      <c r="K148" s="39"/>
      <c r="L148" s="39"/>
      <c r="M148" s="40"/>
      <c r="N148" s="35"/>
      <c r="O148" s="136"/>
      <c r="P148" s="382"/>
      <c r="Q148" s="41"/>
      <c r="R148" s="184" t="s">
        <v>32</v>
      </c>
      <c r="S148" s="158">
        <f>SUM(S144:S147)</f>
        <v>1786</v>
      </c>
      <c r="T148" s="42"/>
      <c r="U148" s="39"/>
      <c r="V148" s="39"/>
      <c r="W148" s="40"/>
      <c r="X148" s="35"/>
      <c r="Y148" s="136"/>
      <c r="Z148" s="382"/>
      <c r="AA148" s="41"/>
      <c r="AB148" s="184" t="s">
        <v>32</v>
      </c>
      <c r="AC148" s="158">
        <f>SUM(AC144:AC147)</f>
        <v>0</v>
      </c>
      <c r="AD148" s="42"/>
      <c r="AE148" s="39"/>
      <c r="AF148" s="39"/>
      <c r="AG148" s="40"/>
      <c r="AH148" s="35"/>
      <c r="AI148" s="136"/>
      <c r="AJ148" s="158">
        <f>I148+S148+AC148</f>
        <v>38760</v>
      </c>
      <c r="AK148" s="158"/>
    </row>
    <row r="149" spans="1:37" ht="21" x14ac:dyDescent="0.35">
      <c r="A149" s="299" t="s">
        <v>6</v>
      </c>
      <c r="B149" s="218" t="str">
        <f t="shared" si="67"/>
        <v>RMCBenefits</v>
      </c>
      <c r="C149" s="5" t="s">
        <v>48</v>
      </c>
      <c r="D149" s="10"/>
      <c r="E149" s="116"/>
      <c r="F149" s="116"/>
      <c r="G149" s="116"/>
      <c r="H149" s="184" t="s">
        <v>33</v>
      </c>
      <c r="I149" s="159">
        <f>I148*$O$2</f>
        <v>36452.666599999997</v>
      </c>
      <c r="J149" s="42"/>
      <c r="K149" s="39"/>
      <c r="M149" s="45" t="str">
        <f>"@ "&amp;$O$2*100&amp;" %"</f>
        <v>@ 98.59 %</v>
      </c>
      <c r="N149" s="47"/>
      <c r="O149" s="432"/>
      <c r="P149" s="383"/>
      <c r="Q149" s="41"/>
      <c r="R149" s="184" t="s">
        <v>33</v>
      </c>
      <c r="S149" s="159">
        <f>S148*$O$2</f>
        <v>1760.8173999999999</v>
      </c>
      <c r="T149" s="42"/>
      <c r="U149" s="39"/>
      <c r="W149" s="45" t="str">
        <f>"@ "&amp;$O$2*100&amp;" %"</f>
        <v>@ 98.59 %</v>
      </c>
      <c r="X149" s="47"/>
      <c r="Y149" s="432"/>
      <c r="Z149" s="383"/>
      <c r="AA149" s="41"/>
      <c r="AB149" s="184" t="s">
        <v>33</v>
      </c>
      <c r="AC149" s="159">
        <f>AC148*$O$2</f>
        <v>0</v>
      </c>
      <c r="AD149" s="42"/>
      <c r="AE149" s="39"/>
      <c r="AG149" s="45" t="str">
        <f>"@ "&amp;$O$2*100&amp;" %"</f>
        <v>@ 98.59 %</v>
      </c>
      <c r="AH149" s="47"/>
      <c r="AI149" s="432"/>
      <c r="AJ149" s="159">
        <f>I149+S149+AC149</f>
        <v>38213.483999999997</v>
      </c>
      <c r="AK149" s="159"/>
    </row>
    <row r="150" spans="1:37" ht="21" x14ac:dyDescent="0.25">
      <c r="A150" s="299" t="s">
        <v>6</v>
      </c>
      <c r="B150" s="218" t="str">
        <f t="shared" si="67"/>
        <v>RMCTotal</v>
      </c>
      <c r="C150" s="125" t="s">
        <v>50</v>
      </c>
      <c r="D150" s="10"/>
      <c r="E150" s="116"/>
      <c r="F150" s="116"/>
      <c r="G150" s="116"/>
      <c r="H150" s="185" t="s">
        <v>34</v>
      </c>
      <c r="I150" s="160">
        <f>I148+I149</f>
        <v>73426.666599999997</v>
      </c>
      <c r="J150" s="42"/>
      <c r="K150" s="39"/>
      <c r="L150" s="50"/>
      <c r="M150" s="51"/>
      <c r="N150" s="420">
        <f>I150</f>
        <v>73426.666599999997</v>
      </c>
      <c r="O150" s="233">
        <f>N150/N179</f>
        <v>0.88222149112595005</v>
      </c>
      <c r="P150" s="384"/>
      <c r="Q150" s="37"/>
      <c r="R150" s="185" t="s">
        <v>34</v>
      </c>
      <c r="S150" s="160">
        <f>S148+S149</f>
        <v>3546.8173999999999</v>
      </c>
      <c r="T150" s="42"/>
      <c r="U150" s="39"/>
      <c r="V150" s="50"/>
      <c r="W150" s="51"/>
      <c r="X150" s="420">
        <f>S150</f>
        <v>3546.8173999999999</v>
      </c>
      <c r="Y150" s="233">
        <f>X150/X179</f>
        <v>0.87613138048786243</v>
      </c>
      <c r="Z150" s="384"/>
      <c r="AA150" s="37"/>
      <c r="AB150" s="185" t="s">
        <v>34</v>
      </c>
      <c r="AC150" s="160">
        <f>AC148+AC149</f>
        <v>0</v>
      </c>
      <c r="AD150" s="42"/>
      <c r="AE150" s="39"/>
      <c r="AF150" s="50"/>
      <c r="AG150" s="51"/>
      <c r="AH150" s="420">
        <f>AC150</f>
        <v>0</v>
      </c>
      <c r="AI150" s="233" t="e">
        <f>AH150/AH179</f>
        <v>#DIV/0!</v>
      </c>
      <c r="AJ150" s="160">
        <f>I150+S150+AC150</f>
        <v>76973.483999999997</v>
      </c>
      <c r="AK150" s="160"/>
    </row>
    <row r="151" spans="1:37" ht="21" x14ac:dyDescent="0.35">
      <c r="A151" s="299" t="s">
        <v>6</v>
      </c>
      <c r="B151" s="218" t="str">
        <f t="shared" si="67"/>
        <v>RMC</v>
      </c>
      <c r="C151" s="5" t="s">
        <v>48</v>
      </c>
      <c r="D151" s="10"/>
      <c r="E151" s="116"/>
      <c r="F151" s="116"/>
      <c r="G151" s="116"/>
      <c r="H151" s="179"/>
      <c r="I151" s="166"/>
      <c r="J151" s="69"/>
      <c r="K151" s="69"/>
      <c r="L151" s="69"/>
      <c r="M151" s="70"/>
      <c r="N151" s="58"/>
      <c r="O151" s="231"/>
      <c r="P151" s="385"/>
      <c r="Q151" s="60"/>
      <c r="R151" s="179"/>
      <c r="S151" s="166"/>
      <c r="T151" s="69"/>
      <c r="U151" s="69"/>
      <c r="V151" s="69"/>
      <c r="W151" s="70"/>
      <c r="X151" s="58"/>
      <c r="Y151" s="231"/>
      <c r="Z151" s="385"/>
      <c r="AA151" s="60"/>
      <c r="AB151" s="179"/>
      <c r="AC151" s="166"/>
      <c r="AD151" s="69"/>
      <c r="AE151" s="69"/>
      <c r="AF151" s="69"/>
      <c r="AG151" s="70"/>
      <c r="AH151" s="58"/>
      <c r="AI151" s="231"/>
      <c r="AJ151" s="166"/>
      <c r="AK151" s="166"/>
    </row>
    <row r="152" spans="1:37" ht="21" x14ac:dyDescent="0.35">
      <c r="A152" s="299" t="s">
        <v>6</v>
      </c>
      <c r="B152" s="218" t="str">
        <f t="shared" si="67"/>
        <v>RMCLABOR: SUPERVISORY</v>
      </c>
      <c r="C152" s="124" t="s">
        <v>50</v>
      </c>
      <c r="D152" s="10"/>
      <c r="E152" s="116"/>
      <c r="F152" s="116"/>
      <c r="G152" s="116"/>
      <c r="H152" s="186" t="s">
        <v>35</v>
      </c>
      <c r="I152" s="167"/>
      <c r="J152" s="74"/>
      <c r="K152" s="74"/>
      <c r="L152" s="74"/>
      <c r="M152" s="66"/>
      <c r="N152" s="26"/>
      <c r="O152" s="234"/>
      <c r="P152" s="386"/>
      <c r="Q152" s="37"/>
      <c r="R152" s="186" t="s">
        <v>35</v>
      </c>
      <c r="S152" s="167"/>
      <c r="T152" s="74"/>
      <c r="U152" s="74"/>
      <c r="V152" s="74"/>
      <c r="W152" s="66"/>
      <c r="X152" s="26"/>
      <c r="Y152" s="234"/>
      <c r="Z152" s="386"/>
      <c r="AA152" s="37"/>
      <c r="AB152" s="186" t="s">
        <v>35</v>
      </c>
      <c r="AC152" s="167"/>
      <c r="AD152" s="74"/>
      <c r="AE152" s="74"/>
      <c r="AF152" s="74"/>
      <c r="AG152" s="66"/>
      <c r="AH152" s="26"/>
      <c r="AI152" s="234"/>
      <c r="AJ152" s="167"/>
      <c r="AK152" s="167"/>
    </row>
    <row r="153" spans="1:37" ht="21" x14ac:dyDescent="0.35">
      <c r="A153" s="299" t="s">
        <v>6</v>
      </c>
      <c r="B153" s="218" t="str">
        <f t="shared" si="67"/>
        <v>RMCResource Mgmt Supv</v>
      </c>
      <c r="C153" s="5" t="s">
        <v>48</v>
      </c>
      <c r="D153" s="10"/>
      <c r="E153" s="116"/>
      <c r="F153" s="116"/>
      <c r="G153" s="116"/>
      <c r="H153" s="184" t="s">
        <v>311</v>
      </c>
      <c r="I153" s="163">
        <f>J153*K153</f>
        <v>3161.6</v>
      </c>
      <c r="J153" s="42">
        <f>ROUND(80*(I$6/($I$6+$S$6+$AC$6)),0)</f>
        <v>76</v>
      </c>
      <c r="K153" s="39">
        <v>41.6</v>
      </c>
      <c r="L153" s="43"/>
      <c r="M153" s="40" t="str">
        <f t="shared" ref="M153" si="71">J153&amp;" hrs @ "&amp;K153</f>
        <v>76 hrs @ 41.6</v>
      </c>
      <c r="N153" s="26"/>
      <c r="O153" s="234"/>
      <c r="P153" s="386"/>
      <c r="Q153" s="41"/>
      <c r="R153" s="184" t="s">
        <v>311</v>
      </c>
      <c r="S153" s="163">
        <f>T153*U153</f>
        <v>166.4</v>
      </c>
      <c r="T153" s="42">
        <f>ROUND(80*(S$6/($I$6+$S$6+$AC$6)),0)</f>
        <v>4</v>
      </c>
      <c r="U153" s="39">
        <v>41.6</v>
      </c>
      <c r="V153" s="43"/>
      <c r="W153" s="40" t="str">
        <f t="shared" ref="W153" si="72">T153&amp;" hrs @ "&amp;U153</f>
        <v>4 hrs @ 41.6</v>
      </c>
      <c r="X153" s="26"/>
      <c r="Y153" s="234"/>
      <c r="Z153" s="386"/>
      <c r="AA153" s="41"/>
      <c r="AB153" s="184" t="s">
        <v>311</v>
      </c>
      <c r="AC153" s="163">
        <f>AD153*AE153</f>
        <v>0</v>
      </c>
      <c r="AD153" s="42">
        <f>ROUND(80*(AC$6/($I$6+$S$6+$AC$6)),0)</f>
        <v>0</v>
      </c>
      <c r="AE153" s="39">
        <v>41.6</v>
      </c>
      <c r="AF153" s="43"/>
      <c r="AG153" s="40" t="str">
        <f t="shared" ref="AG153" si="73">AD153&amp;" hrs @ "&amp;AE153</f>
        <v>0 hrs @ 41.6</v>
      </c>
      <c r="AH153" s="26"/>
      <c r="AI153" s="234"/>
      <c r="AJ153" s="163">
        <f>I153+S153+AC153</f>
        <v>3328</v>
      </c>
      <c r="AK153" s="163"/>
    </row>
    <row r="154" spans="1:37" ht="21" x14ac:dyDescent="0.35">
      <c r="A154" s="299" t="s">
        <v>6</v>
      </c>
      <c r="B154" s="218" t="str">
        <f t="shared" si="67"/>
        <v>RMCBenefits</v>
      </c>
      <c r="C154" s="5" t="s">
        <v>48</v>
      </c>
      <c r="D154" s="10"/>
      <c r="E154" s="116"/>
      <c r="F154" s="116"/>
      <c r="G154" s="116"/>
      <c r="H154" s="184" t="s">
        <v>33</v>
      </c>
      <c r="I154" s="159">
        <f>I153*$O$2</f>
        <v>3117.02144</v>
      </c>
      <c r="J154" s="42"/>
      <c r="K154" s="39"/>
      <c r="L154" s="156"/>
      <c r="M154" s="45" t="str">
        <f>"@ "&amp;$O$2*100&amp;" %"</f>
        <v>@ 98.59 %</v>
      </c>
      <c r="N154" s="26"/>
      <c r="O154" s="234"/>
      <c r="P154" s="386"/>
      <c r="Q154" s="41"/>
      <c r="R154" s="184" t="s">
        <v>33</v>
      </c>
      <c r="S154" s="159">
        <f>S153*$O$2</f>
        <v>164.05376000000001</v>
      </c>
      <c r="T154" s="42"/>
      <c r="U154" s="39"/>
      <c r="V154" s="156"/>
      <c r="W154" s="45" t="str">
        <f>"@ "&amp;$O$2*100&amp;" %"</f>
        <v>@ 98.59 %</v>
      </c>
      <c r="X154" s="26"/>
      <c r="Y154" s="234"/>
      <c r="Z154" s="386"/>
      <c r="AA154" s="41"/>
      <c r="AB154" s="184" t="s">
        <v>33</v>
      </c>
      <c r="AC154" s="159">
        <f>AC153*$O$2</f>
        <v>0</v>
      </c>
      <c r="AD154" s="42"/>
      <c r="AE154" s="39"/>
      <c r="AF154" s="156"/>
      <c r="AG154" s="45" t="str">
        <f>"@ "&amp;$O$2*100&amp;" %"</f>
        <v>@ 98.59 %</v>
      </c>
      <c r="AH154" s="26"/>
      <c r="AI154" s="234"/>
      <c r="AJ154" s="159">
        <f>I154+S154+AC154</f>
        <v>3281.0752000000002</v>
      </c>
      <c r="AK154" s="159"/>
    </row>
    <row r="155" spans="1:37" ht="21" x14ac:dyDescent="0.35">
      <c r="A155" s="299" t="s">
        <v>6</v>
      </c>
      <c r="B155" s="218" t="str">
        <f t="shared" si="67"/>
        <v>RMCTotal</v>
      </c>
      <c r="C155" s="124" t="s">
        <v>50</v>
      </c>
      <c r="D155" s="10"/>
      <c r="E155" s="116"/>
      <c r="F155" s="116"/>
      <c r="G155" s="116"/>
      <c r="H155" s="185" t="s">
        <v>34</v>
      </c>
      <c r="I155" s="165">
        <f>I154+I153</f>
        <v>6278.6214399999999</v>
      </c>
      <c r="J155" s="68"/>
      <c r="K155" s="68"/>
      <c r="L155" s="68"/>
      <c r="M155" s="63"/>
      <c r="N155" s="420">
        <f>I155</f>
        <v>6278.6214399999999</v>
      </c>
      <c r="O155" s="233">
        <f>N155/N179</f>
        <v>7.5437644462157283E-2</v>
      </c>
      <c r="P155" s="386"/>
      <c r="Q155" s="41"/>
      <c r="R155" s="185" t="s">
        <v>34</v>
      </c>
      <c r="S155" s="165">
        <f>S154+S153</f>
        <v>330.45375999999999</v>
      </c>
      <c r="T155" s="68"/>
      <c r="U155" s="68"/>
      <c r="V155" s="68"/>
      <c r="W155" s="63"/>
      <c r="X155" s="420">
        <f>S155</f>
        <v>330.45375999999999</v>
      </c>
      <c r="Y155" s="233">
        <f>X155/X179</f>
        <v>8.1628366020817633E-2</v>
      </c>
      <c r="Z155" s="386"/>
      <c r="AA155" s="41"/>
      <c r="AB155" s="185" t="s">
        <v>34</v>
      </c>
      <c r="AC155" s="165">
        <f>AC154+AC153</f>
        <v>0</v>
      </c>
      <c r="AD155" s="68"/>
      <c r="AE155" s="68"/>
      <c r="AF155" s="68"/>
      <c r="AG155" s="63"/>
      <c r="AH155" s="420">
        <f>AC155</f>
        <v>0</v>
      </c>
      <c r="AI155" s="233" t="e">
        <f>AH155/AH179</f>
        <v>#DIV/0!</v>
      </c>
      <c r="AJ155" s="165">
        <f>I155+S155+AC155</f>
        <v>6609.0752000000002</v>
      </c>
      <c r="AK155" s="165"/>
    </row>
    <row r="156" spans="1:37" ht="21" x14ac:dyDescent="0.35">
      <c r="A156" s="299" t="s">
        <v>6</v>
      </c>
      <c r="B156" s="218" t="str">
        <f t="shared" si="67"/>
        <v>RMC</v>
      </c>
      <c r="C156" s="5" t="s">
        <v>48</v>
      </c>
      <c r="D156" s="10"/>
      <c r="E156" s="116"/>
      <c r="F156" s="116"/>
      <c r="G156" s="116"/>
      <c r="H156" s="179"/>
      <c r="I156" s="166"/>
      <c r="J156" s="69"/>
      <c r="K156" s="69"/>
      <c r="L156" s="69"/>
      <c r="M156" s="70"/>
      <c r="N156" s="72"/>
      <c r="O156" s="235"/>
      <c r="P156" s="387"/>
      <c r="Q156" s="60"/>
      <c r="R156" s="179"/>
      <c r="S156" s="166"/>
      <c r="T156" s="69"/>
      <c r="U156" s="69"/>
      <c r="V156" s="69"/>
      <c r="W156" s="70"/>
      <c r="X156" s="72"/>
      <c r="Y156" s="235"/>
      <c r="Z156" s="387"/>
      <c r="AA156" s="60"/>
      <c r="AB156" s="179"/>
      <c r="AC156" s="166"/>
      <c r="AD156" s="69"/>
      <c r="AE156" s="69"/>
      <c r="AF156" s="69"/>
      <c r="AG156" s="70"/>
      <c r="AH156" s="72"/>
      <c r="AI156" s="235"/>
      <c r="AJ156" s="166"/>
      <c r="AK156" s="166"/>
    </row>
    <row r="157" spans="1:37" ht="21" x14ac:dyDescent="0.35">
      <c r="A157" s="299" t="s">
        <v>6</v>
      </c>
      <c r="B157" s="218" t="str">
        <f t="shared" si="67"/>
        <v>RMCEQUIPMENT</v>
      </c>
      <c r="C157" s="124" t="s">
        <v>50</v>
      </c>
      <c r="D157" s="10"/>
      <c r="E157" s="116"/>
      <c r="F157" s="116"/>
      <c r="G157" s="116"/>
      <c r="H157" s="186" t="s">
        <v>36</v>
      </c>
      <c r="I157" s="167"/>
      <c r="J157" s="74"/>
      <c r="K157" s="74"/>
      <c r="L157" s="74"/>
      <c r="M157" s="66"/>
      <c r="N157" s="76"/>
      <c r="O157" s="237"/>
      <c r="P157" s="386"/>
      <c r="Q157" s="37"/>
      <c r="R157" s="186" t="s">
        <v>36</v>
      </c>
      <c r="S157" s="167"/>
      <c r="T157" s="74"/>
      <c r="U157" s="74"/>
      <c r="V157" s="74"/>
      <c r="W157" s="66"/>
      <c r="X157" s="76"/>
      <c r="Y157" s="237"/>
      <c r="Z157" s="386"/>
      <c r="AA157" s="37"/>
      <c r="AB157" s="186" t="s">
        <v>36</v>
      </c>
      <c r="AC157" s="167"/>
      <c r="AD157" s="74"/>
      <c r="AE157" s="74"/>
      <c r="AF157" s="74"/>
      <c r="AG157" s="66"/>
      <c r="AH157" s="76"/>
      <c r="AI157" s="237"/>
      <c r="AJ157" s="167"/>
      <c r="AK157" s="167"/>
    </row>
    <row r="158" spans="1:37" ht="21" x14ac:dyDescent="0.35">
      <c r="A158" s="299" t="s">
        <v>6</v>
      </c>
      <c r="B158" s="218" t="str">
        <f t="shared" si="67"/>
        <v>RMC</v>
      </c>
      <c r="C158" s="5" t="s">
        <v>48</v>
      </c>
      <c r="D158" s="10"/>
      <c r="E158" s="116"/>
      <c r="F158" s="116"/>
      <c r="G158" s="116"/>
      <c r="H158" s="187"/>
      <c r="I158" s="163"/>
      <c r="J158" s="42"/>
      <c r="K158" s="39"/>
      <c r="L158" s="39"/>
      <c r="M158" s="40" t="str">
        <f>J158&amp;" hrs @ "&amp;K158</f>
        <v xml:space="preserve"> hrs @ </v>
      </c>
      <c r="N158" s="76"/>
      <c r="O158" s="237"/>
      <c r="P158" s="386"/>
      <c r="Q158" s="37"/>
      <c r="R158" s="187"/>
      <c r="S158" s="163"/>
      <c r="T158" s="42"/>
      <c r="U158" s="39"/>
      <c r="V158" s="39"/>
      <c r="W158" s="40" t="str">
        <f>T158&amp;" hrs @ "&amp;U158</f>
        <v xml:space="preserve"> hrs @ </v>
      </c>
      <c r="X158" s="76"/>
      <c r="Y158" s="237"/>
      <c r="Z158" s="386"/>
      <c r="AA158" s="37"/>
      <c r="AB158" s="187"/>
      <c r="AC158" s="163"/>
      <c r="AD158" s="42"/>
      <c r="AE158" s="39"/>
      <c r="AF158" s="39"/>
      <c r="AG158" s="40" t="str">
        <f>AD158&amp;" hrs @ "&amp;AE158</f>
        <v xml:space="preserve"> hrs @ </v>
      </c>
      <c r="AH158" s="76"/>
      <c r="AI158" s="237"/>
      <c r="AJ158" s="163"/>
      <c r="AK158" s="163"/>
    </row>
    <row r="159" spans="1:37" ht="21" x14ac:dyDescent="0.35">
      <c r="A159" s="299" t="s">
        <v>6</v>
      </c>
      <c r="B159" s="218" t="str">
        <f t="shared" si="67"/>
        <v>RMC</v>
      </c>
      <c r="C159" s="5" t="s">
        <v>48</v>
      </c>
      <c r="D159" s="10"/>
      <c r="E159" s="116"/>
      <c r="F159" s="116"/>
      <c r="G159" s="116"/>
      <c r="H159" s="187"/>
      <c r="I159" s="163"/>
      <c r="J159" s="42"/>
      <c r="K159" s="39"/>
      <c r="L159" s="39"/>
      <c r="M159" s="40" t="str">
        <f t="shared" ref="M159:M161" si="74">J159&amp;" hrs @ "&amp;K159</f>
        <v xml:space="preserve"> hrs @ </v>
      </c>
      <c r="N159" s="79"/>
      <c r="O159" s="238"/>
      <c r="P159" s="388"/>
      <c r="Q159" s="81"/>
      <c r="R159" s="187"/>
      <c r="S159" s="163"/>
      <c r="T159" s="42"/>
      <c r="U159" s="39"/>
      <c r="V159" s="39"/>
      <c r="W159" s="40" t="str">
        <f t="shared" ref="W159:W161" si="75">T159&amp;" hrs @ "&amp;U159</f>
        <v xml:space="preserve"> hrs @ </v>
      </c>
      <c r="X159" s="79"/>
      <c r="Y159" s="238"/>
      <c r="Z159" s="388"/>
      <c r="AA159" s="81"/>
      <c r="AB159" s="187"/>
      <c r="AC159" s="163"/>
      <c r="AD159" s="42"/>
      <c r="AE159" s="39"/>
      <c r="AF159" s="39"/>
      <c r="AG159" s="40" t="str">
        <f t="shared" ref="AG159:AG161" si="76">AD159&amp;" hrs @ "&amp;AE159</f>
        <v xml:space="preserve"> hrs @ </v>
      </c>
      <c r="AH159" s="79"/>
      <c r="AI159" s="238"/>
      <c r="AJ159" s="163"/>
      <c r="AK159" s="163"/>
    </row>
    <row r="160" spans="1:37" ht="21" x14ac:dyDescent="0.35">
      <c r="A160" s="299" t="s">
        <v>6</v>
      </c>
      <c r="B160" s="218" t="str">
        <f t="shared" si="67"/>
        <v>RMC</v>
      </c>
      <c r="C160" s="5" t="s">
        <v>48</v>
      </c>
      <c r="D160" s="10"/>
      <c r="E160" s="116"/>
      <c r="F160" s="116"/>
      <c r="G160" s="116"/>
      <c r="H160" s="187"/>
      <c r="I160" s="168"/>
      <c r="J160" s="42"/>
      <c r="K160" s="39"/>
      <c r="L160" s="42"/>
      <c r="M160" s="40" t="str">
        <f t="shared" si="74"/>
        <v xml:space="preserve"> hrs @ </v>
      </c>
      <c r="N160" s="79"/>
      <c r="O160" s="238"/>
      <c r="P160" s="388"/>
      <c r="Q160" s="81"/>
      <c r="R160" s="187"/>
      <c r="S160" s="168"/>
      <c r="T160" s="42"/>
      <c r="U160" s="39"/>
      <c r="V160" s="42"/>
      <c r="W160" s="40" t="str">
        <f t="shared" si="75"/>
        <v xml:space="preserve"> hrs @ </v>
      </c>
      <c r="X160" s="79"/>
      <c r="Y160" s="238"/>
      <c r="Z160" s="388"/>
      <c r="AA160" s="81"/>
      <c r="AB160" s="187"/>
      <c r="AC160" s="168"/>
      <c r="AD160" s="42"/>
      <c r="AE160" s="39"/>
      <c r="AF160" s="42"/>
      <c r="AG160" s="40" t="str">
        <f t="shared" si="76"/>
        <v xml:space="preserve"> hrs @ </v>
      </c>
      <c r="AH160" s="79"/>
      <c r="AI160" s="238"/>
      <c r="AJ160" s="168"/>
      <c r="AK160" s="168"/>
    </row>
    <row r="161" spans="1:37" ht="21" x14ac:dyDescent="0.35">
      <c r="A161" s="299" t="s">
        <v>6</v>
      </c>
      <c r="B161" s="218" t="str">
        <f t="shared" si="67"/>
        <v>RMC</v>
      </c>
      <c r="C161" s="5" t="s">
        <v>48</v>
      </c>
      <c r="D161" s="10"/>
      <c r="E161" s="116"/>
      <c r="F161" s="116"/>
      <c r="G161" s="116"/>
      <c r="H161" s="187"/>
      <c r="I161" s="164"/>
      <c r="J161" s="42"/>
      <c r="K161" s="39"/>
      <c r="L161" s="43"/>
      <c r="M161" s="40" t="str">
        <f t="shared" si="74"/>
        <v xml:space="preserve"> hrs @ </v>
      </c>
      <c r="N161" s="79"/>
      <c r="O161" s="238"/>
      <c r="P161" s="388"/>
      <c r="Q161" s="81"/>
      <c r="R161" s="187"/>
      <c r="S161" s="164"/>
      <c r="T161" s="42"/>
      <c r="U161" s="39"/>
      <c r="V161" s="43"/>
      <c r="W161" s="40" t="str">
        <f t="shared" si="75"/>
        <v xml:space="preserve"> hrs @ </v>
      </c>
      <c r="X161" s="79"/>
      <c r="Y161" s="238"/>
      <c r="Z161" s="388"/>
      <c r="AA161" s="81"/>
      <c r="AB161" s="187"/>
      <c r="AC161" s="164"/>
      <c r="AD161" s="42"/>
      <c r="AE161" s="39"/>
      <c r="AF161" s="43"/>
      <c r="AG161" s="40" t="str">
        <f t="shared" si="76"/>
        <v xml:space="preserve"> hrs @ </v>
      </c>
      <c r="AH161" s="79"/>
      <c r="AI161" s="238"/>
      <c r="AJ161" s="164"/>
      <c r="AK161" s="164"/>
    </row>
    <row r="162" spans="1:37" ht="21" x14ac:dyDescent="0.35">
      <c r="A162" s="299" t="s">
        <v>6</v>
      </c>
      <c r="B162" s="218" t="str">
        <f t="shared" si="67"/>
        <v>RMCTotal Equipment</v>
      </c>
      <c r="C162" s="124" t="s">
        <v>50</v>
      </c>
      <c r="D162" s="10"/>
      <c r="E162" s="116">
        <f>I162</f>
        <v>0</v>
      </c>
      <c r="F162" s="116">
        <f>S162</f>
        <v>0</v>
      </c>
      <c r="G162" s="116">
        <f>AC162</f>
        <v>0</v>
      </c>
      <c r="H162" s="188" t="s">
        <v>37</v>
      </c>
      <c r="I162" s="165">
        <f>SUM(I158:I161)</f>
        <v>0</v>
      </c>
      <c r="J162" s="68"/>
      <c r="K162" s="68"/>
      <c r="L162" s="68"/>
      <c r="M162" s="66"/>
      <c r="N162" s="420">
        <f>I162</f>
        <v>0</v>
      </c>
      <c r="O162" s="233">
        <f>N162/N179</f>
        <v>0</v>
      </c>
      <c r="P162" s="388"/>
      <c r="Q162" s="81"/>
      <c r="R162" s="188" t="s">
        <v>37</v>
      </c>
      <c r="S162" s="165">
        <f>SUM(S158:S161)</f>
        <v>0</v>
      </c>
      <c r="T162" s="68"/>
      <c r="U162" s="68"/>
      <c r="V162" s="68"/>
      <c r="W162" s="66"/>
      <c r="X162" s="420">
        <f>S162</f>
        <v>0</v>
      </c>
      <c r="Y162" s="233">
        <f>X162/X179</f>
        <v>0</v>
      </c>
      <c r="Z162" s="388"/>
      <c r="AA162" s="81"/>
      <c r="AB162" s="188" t="s">
        <v>37</v>
      </c>
      <c r="AC162" s="165">
        <f>SUM(AC158:AC161)</f>
        <v>0</v>
      </c>
      <c r="AD162" s="68"/>
      <c r="AE162" s="68"/>
      <c r="AF162" s="68"/>
      <c r="AG162" s="66"/>
      <c r="AH162" s="420">
        <f>AC162</f>
        <v>0</v>
      </c>
      <c r="AI162" s="233" t="e">
        <f>AH162/AH179</f>
        <v>#DIV/0!</v>
      </c>
      <c r="AJ162" s="165">
        <f>I162+S162+AC162</f>
        <v>0</v>
      </c>
      <c r="AK162" s="165"/>
    </row>
    <row r="163" spans="1:37" ht="21" x14ac:dyDescent="0.35">
      <c r="A163" s="299" t="s">
        <v>6</v>
      </c>
      <c r="B163" s="218" t="str">
        <f t="shared" si="67"/>
        <v>RMC</v>
      </c>
      <c r="C163" s="5" t="s">
        <v>48</v>
      </c>
      <c r="D163" s="10"/>
      <c r="E163" s="116"/>
      <c r="F163" s="116"/>
      <c r="G163" s="116"/>
      <c r="H163" s="189"/>
      <c r="I163" s="166"/>
      <c r="J163" s="69"/>
      <c r="K163" s="69"/>
      <c r="L163" s="69"/>
      <c r="M163" s="70"/>
      <c r="N163" s="88"/>
      <c r="O163" s="241"/>
      <c r="P163" s="389"/>
      <c r="Q163" s="60"/>
      <c r="R163" s="189"/>
      <c r="S163" s="166"/>
      <c r="T163" s="69"/>
      <c r="U163" s="69"/>
      <c r="V163" s="69"/>
      <c r="W163" s="70"/>
      <c r="X163" s="88"/>
      <c r="Y163" s="241"/>
      <c r="Z163" s="389"/>
      <c r="AA163" s="60"/>
      <c r="AB163" s="189"/>
      <c r="AC163" s="166"/>
      <c r="AD163" s="69"/>
      <c r="AE163" s="69"/>
      <c r="AF163" s="69"/>
      <c r="AG163" s="70"/>
      <c r="AH163" s="88"/>
      <c r="AI163" s="241"/>
      <c r="AJ163" s="166"/>
      <c r="AK163" s="166"/>
    </row>
    <row r="164" spans="1:37" ht="21" x14ac:dyDescent="0.35">
      <c r="A164" s="299" t="s">
        <v>6</v>
      </c>
      <c r="B164" s="218" t="str">
        <f t="shared" si="67"/>
        <v>RMCIS SUPPORT</v>
      </c>
      <c r="C164" s="124" t="s">
        <v>50</v>
      </c>
      <c r="D164" s="10"/>
      <c r="E164" s="116"/>
      <c r="F164" s="116"/>
      <c r="G164" s="116"/>
      <c r="H164" s="186" t="s">
        <v>38</v>
      </c>
      <c r="I164" s="167"/>
      <c r="J164" s="74"/>
      <c r="K164" s="74"/>
      <c r="L164" s="74"/>
      <c r="M164" s="66"/>
      <c r="N164" s="91"/>
      <c r="O164" s="227"/>
      <c r="P164" s="390"/>
      <c r="Q164" s="37"/>
      <c r="R164" s="186" t="s">
        <v>38</v>
      </c>
      <c r="S164" s="167"/>
      <c r="T164" s="74"/>
      <c r="U164" s="74"/>
      <c r="V164" s="74"/>
      <c r="W164" s="66"/>
      <c r="X164" s="91"/>
      <c r="Y164" s="227"/>
      <c r="Z164" s="390"/>
      <c r="AA164" s="37"/>
      <c r="AB164" s="186" t="s">
        <v>38</v>
      </c>
      <c r="AC164" s="167"/>
      <c r="AD164" s="74"/>
      <c r="AE164" s="74"/>
      <c r="AF164" s="74"/>
      <c r="AG164" s="66"/>
      <c r="AH164" s="91"/>
      <c r="AI164" s="227"/>
      <c r="AJ164" s="167"/>
      <c r="AK164" s="167"/>
    </row>
    <row r="165" spans="1:37" ht="21" x14ac:dyDescent="0.35">
      <c r="A165" s="299" t="s">
        <v>6</v>
      </c>
      <c r="B165" s="218" t="str">
        <f t="shared" si="67"/>
        <v>RMC</v>
      </c>
      <c r="C165" s="5" t="s">
        <v>48</v>
      </c>
      <c r="D165" s="10"/>
      <c r="E165" s="116"/>
      <c r="F165" s="116"/>
      <c r="G165" s="116"/>
      <c r="H165" s="184"/>
      <c r="I165" s="162"/>
      <c r="J165" s="42"/>
      <c r="K165" s="39"/>
      <c r="L165" s="39"/>
      <c r="M165" s="40" t="str">
        <f>J165&amp;" hrs @ "&amp;K165</f>
        <v xml:space="preserve"> hrs @ </v>
      </c>
      <c r="N165" s="94"/>
      <c r="O165" s="242"/>
      <c r="P165" s="390"/>
      <c r="Q165" s="37"/>
      <c r="R165" s="184"/>
      <c r="S165" s="162"/>
      <c r="T165" s="42"/>
      <c r="U165" s="39"/>
      <c r="V165" s="39"/>
      <c r="W165" s="40" t="str">
        <f>T165&amp;" hrs @ "&amp;U165</f>
        <v xml:space="preserve"> hrs @ </v>
      </c>
      <c r="X165" s="94"/>
      <c r="Y165" s="242"/>
      <c r="Z165" s="390"/>
      <c r="AA165" s="37"/>
      <c r="AB165" s="184"/>
      <c r="AC165" s="162"/>
      <c r="AD165" s="42"/>
      <c r="AE165" s="39"/>
      <c r="AF165" s="39"/>
      <c r="AG165" s="40" t="str">
        <f>AD165&amp;" hrs @ "&amp;AE165</f>
        <v xml:space="preserve"> hrs @ </v>
      </c>
      <c r="AH165" s="94"/>
      <c r="AI165" s="242"/>
      <c r="AJ165" s="162"/>
      <c r="AK165" s="162"/>
    </row>
    <row r="166" spans="1:37" ht="21" x14ac:dyDescent="0.35">
      <c r="A166" s="299" t="s">
        <v>6</v>
      </c>
      <c r="B166" s="218" t="str">
        <f t="shared" si="67"/>
        <v>RMCAnalyst Benefits</v>
      </c>
      <c r="C166" s="5" t="s">
        <v>48</v>
      </c>
      <c r="D166" s="10"/>
      <c r="E166" s="116"/>
      <c r="F166" s="116"/>
      <c r="G166" s="116"/>
      <c r="H166" s="184" t="s">
        <v>40</v>
      </c>
      <c r="I166" s="159">
        <f>I165*$O$2</f>
        <v>0</v>
      </c>
      <c r="J166" s="42"/>
      <c r="K166" s="39"/>
      <c r="L166" s="156"/>
      <c r="M166" s="45" t="str">
        <f>"@ "&amp;$O$2*100&amp;" %"</f>
        <v>@ 98.59 %</v>
      </c>
      <c r="N166" s="94"/>
      <c r="O166" s="242"/>
      <c r="P166" s="390"/>
      <c r="Q166" s="37"/>
      <c r="R166" s="184" t="s">
        <v>40</v>
      </c>
      <c r="S166" s="159">
        <f>S165*$O$2</f>
        <v>0</v>
      </c>
      <c r="T166" s="42"/>
      <c r="U166" s="39"/>
      <c r="V166" s="156"/>
      <c r="W166" s="45" t="str">
        <f>"@ "&amp;$O$2*100&amp;" %"</f>
        <v>@ 98.59 %</v>
      </c>
      <c r="X166" s="94"/>
      <c r="Y166" s="242"/>
      <c r="Z166" s="390"/>
      <c r="AA166" s="37"/>
      <c r="AB166" s="184" t="s">
        <v>40</v>
      </c>
      <c r="AC166" s="159">
        <f>AC165*$O$2</f>
        <v>0</v>
      </c>
      <c r="AD166" s="42"/>
      <c r="AE166" s="39"/>
      <c r="AF166" s="156"/>
      <c r="AG166" s="45" t="str">
        <f>"@ "&amp;$O$2*100&amp;" %"</f>
        <v>@ 98.59 %</v>
      </c>
      <c r="AH166" s="94"/>
      <c r="AI166" s="242"/>
      <c r="AJ166" s="159"/>
      <c r="AK166" s="159"/>
    </row>
    <row r="167" spans="1:37" ht="21" x14ac:dyDescent="0.35">
      <c r="A167" s="299" t="s">
        <v>6</v>
      </c>
      <c r="B167" s="218" t="str">
        <f t="shared" si="67"/>
        <v>RMCTotal IS</v>
      </c>
      <c r="C167" s="124" t="s">
        <v>50</v>
      </c>
      <c r="D167" s="10"/>
      <c r="E167" s="116"/>
      <c r="F167" s="116"/>
      <c r="G167" s="116"/>
      <c r="H167" s="185" t="s">
        <v>41</v>
      </c>
      <c r="I167" s="165">
        <f>I165+I166</f>
        <v>0</v>
      </c>
      <c r="J167" s="68"/>
      <c r="K167" s="68"/>
      <c r="L167" s="68"/>
      <c r="M167" s="66"/>
      <c r="N167" s="420">
        <f>I167</f>
        <v>0</v>
      </c>
      <c r="O167" s="233">
        <f>N167/N179</f>
        <v>0</v>
      </c>
      <c r="P167" s="390"/>
      <c r="Q167" s="37"/>
      <c r="R167" s="185" t="s">
        <v>41</v>
      </c>
      <c r="S167" s="165">
        <f>S165+S166</f>
        <v>0</v>
      </c>
      <c r="T167" s="68"/>
      <c r="U167" s="68"/>
      <c r="V167" s="68"/>
      <c r="W167" s="66"/>
      <c r="X167" s="420">
        <f>S167</f>
        <v>0</v>
      </c>
      <c r="Y167" s="233">
        <f>X167/X179</f>
        <v>0</v>
      </c>
      <c r="Z167" s="390"/>
      <c r="AA167" s="37"/>
      <c r="AB167" s="185" t="s">
        <v>41</v>
      </c>
      <c r="AC167" s="165">
        <f>AC165+AC166</f>
        <v>0</v>
      </c>
      <c r="AD167" s="68"/>
      <c r="AE167" s="68"/>
      <c r="AF167" s="68"/>
      <c r="AG167" s="66"/>
      <c r="AH167" s="420">
        <f>AC167</f>
        <v>0</v>
      </c>
      <c r="AI167" s="233" t="e">
        <f>AH167/AH179</f>
        <v>#DIV/0!</v>
      </c>
      <c r="AJ167" s="165">
        <f>I167+S167+AC167</f>
        <v>0</v>
      </c>
      <c r="AK167" s="165"/>
    </row>
    <row r="168" spans="1:37" ht="21" x14ac:dyDescent="0.35">
      <c r="A168" s="299" t="s">
        <v>6</v>
      </c>
      <c r="B168" s="218" t="str">
        <f t="shared" si="67"/>
        <v>RMC</v>
      </c>
      <c r="C168" s="5" t="s">
        <v>48</v>
      </c>
      <c r="D168" s="10"/>
      <c r="E168" s="116"/>
      <c r="F168" s="116"/>
      <c r="G168" s="116"/>
      <c r="H168" s="179"/>
      <c r="I168" s="166"/>
      <c r="J168" s="69"/>
      <c r="K168" s="69"/>
      <c r="L168" s="69"/>
      <c r="M168" s="70"/>
      <c r="N168" s="98"/>
      <c r="O168" s="243"/>
      <c r="P168" s="391"/>
      <c r="Q168" s="60"/>
      <c r="R168" s="179"/>
      <c r="S168" s="166"/>
      <c r="T168" s="69"/>
      <c r="U168" s="69"/>
      <c r="V168" s="69"/>
      <c r="W168" s="70"/>
      <c r="X168" s="98"/>
      <c r="Y168" s="243"/>
      <c r="Z168" s="391"/>
      <c r="AA168" s="60"/>
      <c r="AB168" s="179"/>
      <c r="AC168" s="166"/>
      <c r="AD168" s="69"/>
      <c r="AE168" s="69"/>
      <c r="AF168" s="69"/>
      <c r="AG168" s="70"/>
      <c r="AH168" s="98"/>
      <c r="AI168" s="243"/>
      <c r="AJ168" s="166"/>
      <c r="AK168" s="166"/>
    </row>
    <row r="169" spans="1:37" ht="21" x14ac:dyDescent="0.35">
      <c r="A169" s="299" t="s">
        <v>6</v>
      </c>
      <c r="B169" s="218" t="str">
        <f t="shared" si="67"/>
        <v>RMCOTHER</v>
      </c>
      <c r="C169" s="124" t="s">
        <v>50</v>
      </c>
      <c r="D169" s="10"/>
      <c r="E169" s="116"/>
      <c r="F169" s="116"/>
      <c r="G169" s="116"/>
      <c r="H169" s="186" t="s">
        <v>42</v>
      </c>
      <c r="I169" s="167"/>
      <c r="J169" s="74"/>
      <c r="K169" s="74"/>
      <c r="L169" s="74"/>
      <c r="M169" s="66"/>
      <c r="N169" s="91"/>
      <c r="O169" s="227"/>
      <c r="P169" s="390"/>
      <c r="Q169" s="37"/>
      <c r="R169" s="186" t="s">
        <v>42</v>
      </c>
      <c r="S169" s="167"/>
      <c r="T169" s="74"/>
      <c r="U169" s="74"/>
      <c r="V169" s="74"/>
      <c r="W169" s="66"/>
      <c r="X169" s="91"/>
      <c r="Y169" s="227"/>
      <c r="Z169" s="390"/>
      <c r="AA169" s="37"/>
      <c r="AB169" s="186" t="s">
        <v>42</v>
      </c>
      <c r="AC169" s="167"/>
      <c r="AD169" s="74"/>
      <c r="AE169" s="74"/>
      <c r="AF169" s="74"/>
      <c r="AG169" s="66"/>
      <c r="AH169" s="91"/>
      <c r="AI169" s="227"/>
      <c r="AJ169" s="167"/>
      <c r="AK169" s="167"/>
    </row>
    <row r="170" spans="1:37" ht="21" customHeight="1" x14ac:dyDescent="0.35">
      <c r="A170" s="299" t="s">
        <v>6</v>
      </c>
      <c r="B170" s="218" t="str">
        <f t="shared" si="67"/>
        <v xml:space="preserve">RMCNon-Payroll </v>
      </c>
      <c r="C170" s="5" t="s">
        <v>48</v>
      </c>
      <c r="D170" s="10"/>
      <c r="E170" s="116"/>
      <c r="F170" s="116"/>
      <c r="G170" s="116"/>
      <c r="H170" s="184" t="s">
        <v>334</v>
      </c>
      <c r="I170" s="163">
        <f>ROUND(((I150+I155+I167)/VLOOKUP("RESOURCE MGMT CTRPayroll",'Base 2015 actual for Cost Cente'!$A:$F,6,FALSE))*VLOOKUP("RESOURCE MGMT CTRNon-Payroll",'Base 2015 actual for Cost Cente'!$A:$F,6,FALSE),0)</f>
        <v>3524</v>
      </c>
      <c r="J170" s="42"/>
      <c r="K170" s="39"/>
      <c r="L170" s="43"/>
      <c r="M170" s="773" t="s">
        <v>369</v>
      </c>
      <c r="N170" s="91"/>
      <c r="O170" s="227"/>
      <c r="P170" s="390"/>
      <c r="Q170" s="37"/>
      <c r="R170" s="184" t="s">
        <v>334</v>
      </c>
      <c r="S170" s="163">
        <f>ROUND(((S150+S155+S167)/VLOOKUP("RESOURCE MGMT CTRPayroll",'Base 2015 actual for Cost Cente'!$A:$F,6,FALSE))*VLOOKUP("RESOURCE MGMT CTRNon-Payroll",'Base 2015 actual for Cost Cente'!$A:$F,6,FALSE),0)</f>
        <v>171</v>
      </c>
      <c r="T170" s="42"/>
      <c r="U170" s="39"/>
      <c r="V170" s="43"/>
      <c r="W170" s="773" t="s">
        <v>369</v>
      </c>
      <c r="X170" s="91"/>
      <c r="Y170" s="227"/>
      <c r="Z170" s="390"/>
      <c r="AA170" s="37"/>
      <c r="AB170" s="184" t="s">
        <v>334</v>
      </c>
      <c r="AC170" s="163">
        <f>ROUND(((AC150+AC155+AC167)/VLOOKUP("RESOURCE MGMT CTRPayroll",'Base 2015 actual for Cost Cente'!$A:$F,6,FALSE))*VLOOKUP("RESOURCE MGMT CTRNon-Payroll",'Base 2015 actual for Cost Cente'!$A:$F,6,FALSE),0)</f>
        <v>0</v>
      </c>
      <c r="AD170" s="42"/>
      <c r="AE170" s="39"/>
      <c r="AF170" s="43"/>
      <c r="AG170" s="773" t="s">
        <v>369</v>
      </c>
      <c r="AH170" s="91"/>
      <c r="AI170" s="227"/>
      <c r="AJ170" s="163">
        <f>I170+S170+AC170</f>
        <v>3695</v>
      </c>
      <c r="AK170" s="163"/>
    </row>
    <row r="171" spans="1:37" ht="21" x14ac:dyDescent="0.35">
      <c r="A171" s="299" t="s">
        <v>6</v>
      </c>
      <c r="B171" s="218" t="str">
        <f t="shared" si="67"/>
        <v>RMC</v>
      </c>
      <c r="C171" s="5" t="s">
        <v>48</v>
      </c>
      <c r="D171" s="10"/>
      <c r="E171" s="116"/>
      <c r="F171" s="116"/>
      <c r="G171" s="116"/>
      <c r="H171" s="184"/>
      <c r="I171" s="168"/>
      <c r="J171" s="42"/>
      <c r="K171" s="39"/>
      <c r="L171" s="42"/>
      <c r="M171" s="774"/>
      <c r="N171" s="91"/>
      <c r="O171" s="227"/>
      <c r="P171" s="390"/>
      <c r="Q171" s="37"/>
      <c r="R171" s="184"/>
      <c r="S171" s="168"/>
      <c r="T171" s="42"/>
      <c r="U171" s="39"/>
      <c r="V171" s="42"/>
      <c r="W171" s="773"/>
      <c r="X171" s="91"/>
      <c r="Y171" s="227"/>
      <c r="Z171" s="390"/>
      <c r="AA171" s="37"/>
      <c r="AB171" s="184"/>
      <c r="AC171" s="168"/>
      <c r="AD171" s="42"/>
      <c r="AE171" s="39"/>
      <c r="AF171" s="42"/>
      <c r="AG171" s="773"/>
      <c r="AH171" s="91"/>
      <c r="AI171" s="227"/>
      <c r="AJ171" s="168"/>
      <c r="AK171" s="168"/>
    </row>
    <row r="172" spans="1:37" ht="21" x14ac:dyDescent="0.35">
      <c r="A172" s="299" t="s">
        <v>6</v>
      </c>
      <c r="B172" s="218" t="str">
        <f t="shared" si="67"/>
        <v>RMC</v>
      </c>
      <c r="C172" s="5" t="s">
        <v>48</v>
      </c>
      <c r="D172" s="10"/>
      <c r="E172" s="116"/>
      <c r="F172" s="116"/>
      <c r="G172" s="116"/>
      <c r="H172" s="184"/>
      <c r="I172" s="168"/>
      <c r="J172" s="42"/>
      <c r="K172" s="39"/>
      <c r="L172" s="42"/>
      <c r="M172" s="66"/>
      <c r="N172" s="91"/>
      <c r="O172" s="227"/>
      <c r="P172" s="390"/>
      <c r="Q172" s="37"/>
      <c r="R172" s="184"/>
      <c r="S172" s="168"/>
      <c r="T172" s="42"/>
      <c r="U172" s="39"/>
      <c r="V172" s="42"/>
      <c r="W172" s="66"/>
      <c r="X172" s="91"/>
      <c r="Y172" s="227"/>
      <c r="Z172" s="390"/>
      <c r="AA172" s="37"/>
      <c r="AB172" s="184"/>
      <c r="AC172" s="168"/>
      <c r="AD172" s="42"/>
      <c r="AE172" s="39"/>
      <c r="AF172" s="42"/>
      <c r="AG172" s="66"/>
      <c r="AH172" s="91"/>
      <c r="AI172" s="227"/>
      <c r="AJ172" s="168"/>
      <c r="AK172" s="168"/>
    </row>
    <row r="173" spans="1:37" ht="21" x14ac:dyDescent="0.35">
      <c r="A173" s="299" t="s">
        <v>6</v>
      </c>
      <c r="B173" s="218" t="str">
        <f t="shared" si="67"/>
        <v>RMC</v>
      </c>
      <c r="C173" s="5" t="s">
        <v>48</v>
      </c>
      <c r="D173" s="10"/>
      <c r="E173" s="116"/>
      <c r="F173" s="116"/>
      <c r="G173" s="116"/>
      <c r="H173" s="184"/>
      <c r="I173" s="168"/>
      <c r="J173" s="42"/>
      <c r="K173" s="39"/>
      <c r="L173" s="42"/>
      <c r="M173" s="66"/>
      <c r="N173" s="91"/>
      <c r="O173" s="227"/>
      <c r="P173" s="390"/>
      <c r="Q173" s="37"/>
      <c r="R173" s="184"/>
      <c r="S173" s="168"/>
      <c r="T173" s="42"/>
      <c r="U173" s="39"/>
      <c r="V173" s="42"/>
      <c r="W173" s="66"/>
      <c r="X173" s="91"/>
      <c r="Y173" s="227"/>
      <c r="Z173" s="390"/>
      <c r="AA173" s="37"/>
      <c r="AB173" s="184"/>
      <c r="AC173" s="168"/>
      <c r="AD173" s="42"/>
      <c r="AE173" s="39"/>
      <c r="AF173" s="42"/>
      <c r="AG173" s="66"/>
      <c r="AH173" s="91"/>
      <c r="AI173" s="227"/>
      <c r="AJ173" s="168"/>
      <c r="AK173" s="168"/>
    </row>
    <row r="174" spans="1:37" ht="21" x14ac:dyDescent="0.35">
      <c r="A174" s="299" t="s">
        <v>6</v>
      </c>
      <c r="B174" s="218" t="str">
        <f t="shared" si="67"/>
        <v>RMC</v>
      </c>
      <c r="C174" s="5" t="s">
        <v>48</v>
      </c>
      <c r="D174" s="10"/>
      <c r="E174" s="116"/>
      <c r="F174" s="116"/>
      <c r="G174" s="116"/>
      <c r="H174" s="184"/>
      <c r="I174" s="168"/>
      <c r="J174" s="42"/>
      <c r="K174" s="39"/>
      <c r="L174" s="42"/>
      <c r="M174" s="66"/>
      <c r="N174" s="91"/>
      <c r="O174" s="227"/>
      <c r="P174" s="390"/>
      <c r="Q174" s="37"/>
      <c r="R174" s="184"/>
      <c r="S174" s="168"/>
      <c r="T174" s="42"/>
      <c r="U174" s="39"/>
      <c r="V174" s="42"/>
      <c r="W174" s="66"/>
      <c r="X174" s="91"/>
      <c r="Y174" s="227"/>
      <c r="Z174" s="390"/>
      <c r="AA174" s="37"/>
      <c r="AB174" s="184"/>
      <c r="AC174" s="168"/>
      <c r="AD174" s="42"/>
      <c r="AE174" s="39"/>
      <c r="AF174" s="42"/>
      <c r="AG174" s="66"/>
      <c r="AH174" s="91"/>
      <c r="AI174" s="227"/>
      <c r="AJ174" s="168"/>
      <c r="AK174" s="168"/>
    </row>
    <row r="175" spans="1:37" ht="21" x14ac:dyDescent="0.35">
      <c r="A175" s="299" t="s">
        <v>6</v>
      </c>
      <c r="B175" s="218" t="str">
        <f t="shared" si="67"/>
        <v>RMC</v>
      </c>
      <c r="C175" s="5" t="s">
        <v>48</v>
      </c>
      <c r="D175" s="10"/>
      <c r="E175" s="116"/>
      <c r="F175" s="116"/>
      <c r="G175" s="116"/>
      <c r="H175" s="184"/>
      <c r="I175" s="164"/>
      <c r="J175" s="67"/>
      <c r="K175" s="67"/>
      <c r="L175" s="67"/>
      <c r="M175" s="40" t="str">
        <f>J175&amp;" days @ "&amp;K175</f>
        <v xml:space="preserve"> days @ </v>
      </c>
      <c r="N175" s="94"/>
      <c r="O175" s="242"/>
      <c r="P175" s="390"/>
      <c r="Q175" s="37"/>
      <c r="R175" s="184"/>
      <c r="S175" s="164"/>
      <c r="T175" s="67"/>
      <c r="U175" s="67"/>
      <c r="V175" s="67"/>
      <c r="W175" s="40" t="str">
        <f>T175&amp;" days @ "&amp;U175</f>
        <v xml:space="preserve"> days @ </v>
      </c>
      <c r="X175" s="94"/>
      <c r="Y175" s="242"/>
      <c r="Z175" s="390"/>
      <c r="AA175" s="37"/>
      <c r="AB175" s="184"/>
      <c r="AC175" s="164"/>
      <c r="AD175" s="67"/>
      <c r="AE175" s="67"/>
      <c r="AF175" s="67"/>
      <c r="AG175" s="40" t="str">
        <f>AD175&amp;" days @ "&amp;AE175</f>
        <v xml:space="preserve"> days @ </v>
      </c>
      <c r="AH175" s="94"/>
      <c r="AI175" s="242"/>
      <c r="AJ175" s="164"/>
      <c r="AK175" s="164"/>
    </row>
    <row r="176" spans="1:37" ht="21" x14ac:dyDescent="0.35">
      <c r="A176" s="299" t="s">
        <v>6</v>
      </c>
      <c r="B176" s="218" t="str">
        <f t="shared" si="67"/>
        <v>RMCTotal Other</v>
      </c>
      <c r="C176" s="124" t="s">
        <v>50</v>
      </c>
      <c r="D176" s="10"/>
      <c r="E176" s="116">
        <f>I176</f>
        <v>3524</v>
      </c>
      <c r="F176" s="116">
        <f>S176</f>
        <v>171</v>
      </c>
      <c r="G176" s="116">
        <f>AC176</f>
        <v>0</v>
      </c>
      <c r="H176" s="185" t="s">
        <v>45</v>
      </c>
      <c r="I176" s="165">
        <f>SUM(I170:I175)</f>
        <v>3524</v>
      </c>
      <c r="J176" s="68"/>
      <c r="K176" s="68"/>
      <c r="L176" s="68"/>
      <c r="M176" s="66"/>
      <c r="N176" s="414">
        <f>I176</f>
        <v>3524</v>
      </c>
      <c r="O176" s="233">
        <f>N176/N179</f>
        <v>4.2340864411892665E-2</v>
      </c>
      <c r="P176" s="390"/>
      <c r="Q176" s="68"/>
      <c r="R176" s="185" t="s">
        <v>45</v>
      </c>
      <c r="S176" s="165">
        <f>SUM(S170:S175)</f>
        <v>171</v>
      </c>
      <c r="T176" s="68"/>
      <c r="U176" s="68"/>
      <c r="V176" s="68"/>
      <c r="W176" s="66"/>
      <c r="X176" s="414">
        <f>S176</f>
        <v>171</v>
      </c>
      <c r="Y176" s="233">
        <f>X176/X179</f>
        <v>4.2240253491319983E-2</v>
      </c>
      <c r="Z176" s="390"/>
      <c r="AA176" s="68"/>
      <c r="AB176" s="185" t="s">
        <v>45</v>
      </c>
      <c r="AC176" s="165">
        <f>SUM(AC170:AC175)</f>
        <v>0</v>
      </c>
      <c r="AD176" s="68"/>
      <c r="AE176" s="68"/>
      <c r="AF176" s="68"/>
      <c r="AG176" s="66"/>
      <c r="AH176" s="414">
        <f>AC176</f>
        <v>0</v>
      </c>
      <c r="AI176" s="233" t="e">
        <f>AH176/AH179</f>
        <v>#DIV/0!</v>
      </c>
      <c r="AJ176" s="165">
        <f>I176+S176+AC176</f>
        <v>3695</v>
      </c>
      <c r="AK176" s="165"/>
    </row>
    <row r="177" spans="1:37" ht="21.75" thickBot="1" x14ac:dyDescent="0.4">
      <c r="A177" s="299" t="s">
        <v>6</v>
      </c>
      <c r="B177" s="218" t="str">
        <f t="shared" si="67"/>
        <v>RMC</v>
      </c>
      <c r="C177" s="5" t="s">
        <v>48</v>
      </c>
      <c r="D177" s="10"/>
      <c r="E177" s="116"/>
      <c r="F177" s="116"/>
      <c r="G177" s="116"/>
      <c r="H177" s="178"/>
      <c r="I177" s="178"/>
      <c r="J177" s="101"/>
      <c r="K177" s="101"/>
      <c r="L177" s="101"/>
      <c r="M177" s="102"/>
      <c r="N177" s="415"/>
      <c r="O177" s="178"/>
      <c r="P177" s="101"/>
      <c r="Q177" s="101"/>
      <c r="R177" s="178"/>
      <c r="S177" s="178"/>
      <c r="T177" s="101"/>
      <c r="U177" s="101"/>
      <c r="V177" s="101"/>
      <c r="W177" s="102"/>
      <c r="X177" s="415"/>
      <c r="Y177" s="178"/>
      <c r="Z177" s="101"/>
      <c r="AA177" s="101"/>
      <c r="AB177" s="178"/>
      <c r="AC177" s="178"/>
      <c r="AD177" s="101"/>
      <c r="AE177" s="101"/>
      <c r="AF177" s="101"/>
      <c r="AG177" s="102"/>
      <c r="AH177" s="415"/>
      <c r="AI177" s="178"/>
      <c r="AJ177" s="178"/>
      <c r="AK177" s="178"/>
    </row>
    <row r="178" spans="1:37" ht="21.75" thickTop="1" x14ac:dyDescent="0.35">
      <c r="A178" s="299" t="s">
        <v>6</v>
      </c>
      <c r="B178" s="218" t="str">
        <f t="shared" si="67"/>
        <v>RMCTOTALS</v>
      </c>
      <c r="C178" s="5" t="s">
        <v>48</v>
      </c>
      <c r="D178" s="10"/>
      <c r="E178" s="116"/>
      <c r="F178" s="116"/>
      <c r="G178" s="116"/>
      <c r="H178" s="186" t="s">
        <v>28</v>
      </c>
      <c r="I178" s="418"/>
      <c r="J178" s="103"/>
      <c r="K178" s="103"/>
      <c r="L178" s="103"/>
      <c r="M178" s="104"/>
      <c r="N178" s="91"/>
      <c r="O178" s="136"/>
      <c r="P178" s="390"/>
      <c r="Q178" s="37"/>
      <c r="R178" s="186" t="s">
        <v>28</v>
      </c>
      <c r="S178" s="418"/>
      <c r="T178" s="103"/>
      <c r="U178" s="435"/>
      <c r="V178" s="435"/>
      <c r="W178" s="436"/>
      <c r="X178" s="91"/>
      <c r="Y178" s="136"/>
      <c r="Z178" s="390"/>
      <c r="AA178" s="37"/>
      <c r="AB178" s="186" t="s">
        <v>28</v>
      </c>
      <c r="AC178" s="418"/>
      <c r="AD178" s="435"/>
      <c r="AE178" s="435"/>
      <c r="AF178" s="435"/>
      <c r="AG178" s="436"/>
      <c r="AH178" s="91"/>
      <c r="AI178" s="136"/>
      <c r="AJ178" s="418"/>
      <c r="AK178" s="418"/>
    </row>
    <row r="179" spans="1:37" ht="21" x14ac:dyDescent="0.35">
      <c r="A179" s="299" t="s">
        <v>6</v>
      </c>
      <c r="B179" s="218" t="str">
        <f t="shared" si="67"/>
        <v>RMCPER YEAR</v>
      </c>
      <c r="C179" s="124" t="s">
        <v>50</v>
      </c>
      <c r="D179" s="10"/>
      <c r="E179" s="116"/>
      <c r="F179" s="116"/>
      <c r="G179" s="116"/>
      <c r="H179" s="190" t="s">
        <v>46</v>
      </c>
      <c r="I179" s="417">
        <f>I150+I155+I162+I167+I176</f>
        <v>83229.288039999999</v>
      </c>
      <c r="J179" s="106"/>
      <c r="K179" s="106"/>
      <c r="L179" s="106"/>
      <c r="M179" s="107"/>
      <c r="N179" s="420">
        <f>SUM(N150:N177)</f>
        <v>83229.288039999999</v>
      </c>
      <c r="O179" s="233">
        <f>SUM(O150:O177)</f>
        <v>1</v>
      </c>
      <c r="P179" s="390"/>
      <c r="Q179" s="37"/>
      <c r="R179" s="190" t="s">
        <v>46</v>
      </c>
      <c r="S179" s="417">
        <f>S150+S155+S162+S167+S176</f>
        <v>4048.2711599999998</v>
      </c>
      <c r="T179" s="106"/>
      <c r="U179" s="106"/>
      <c r="V179" s="106"/>
      <c r="W179" s="107"/>
      <c r="X179" s="420">
        <f>SUM(X150:X177)</f>
        <v>4048.2711599999998</v>
      </c>
      <c r="Y179" s="233">
        <f>SUM(Y150:Y177)</f>
        <v>1</v>
      </c>
      <c r="Z179" s="390"/>
      <c r="AA179" s="37"/>
      <c r="AB179" s="190" t="s">
        <v>46</v>
      </c>
      <c r="AC179" s="417">
        <f>AC150+AC155+AC162+AC167+AC176</f>
        <v>0</v>
      </c>
      <c r="AD179" s="106"/>
      <c r="AE179" s="106"/>
      <c r="AF179" s="106"/>
      <c r="AG179" s="107"/>
      <c r="AH179" s="420">
        <f>SUM(AH150:AH177)</f>
        <v>0</v>
      </c>
      <c r="AI179" s="233" t="e">
        <f>SUM(AI150:AI177)</f>
        <v>#DIV/0!</v>
      </c>
      <c r="AJ179" s="417">
        <f>I179+S179+AC179</f>
        <v>87277.559200000003</v>
      </c>
      <c r="AK179" s="417"/>
    </row>
    <row r="180" spans="1:37" ht="21" x14ac:dyDescent="0.35">
      <c r="A180" s="299" t="s">
        <v>6</v>
      </c>
      <c r="B180" s="218" t="str">
        <f t="shared" si="67"/>
        <v>RMCPER PAYMENT</v>
      </c>
      <c r="C180" s="124" t="s">
        <v>50</v>
      </c>
      <c r="D180" s="10"/>
      <c r="E180" s="116"/>
      <c r="F180" s="116"/>
      <c r="G180" s="116"/>
      <c r="H180" s="185" t="s">
        <v>47</v>
      </c>
      <c r="I180" s="419">
        <f>I179/I$6</f>
        <v>0.56698017657397437</v>
      </c>
      <c r="J180" s="108"/>
      <c r="K180" s="108"/>
      <c r="L180" s="108"/>
      <c r="M180" s="109"/>
      <c r="N180" s="98"/>
      <c r="O180" s="243"/>
      <c r="P180" s="391"/>
      <c r="Q180" s="60"/>
      <c r="R180" s="185" t="s">
        <v>47</v>
      </c>
      <c r="S180" s="419">
        <f>S179/S$6</f>
        <v>0.57544721535181231</v>
      </c>
      <c r="T180" s="108"/>
      <c r="U180" s="108"/>
      <c r="V180" s="108"/>
      <c r="W180" s="109"/>
      <c r="X180" s="98"/>
      <c r="Y180" s="243"/>
      <c r="Z180" s="391"/>
      <c r="AA180" s="60"/>
      <c r="AB180" s="185" t="s">
        <v>47</v>
      </c>
      <c r="AC180" s="419">
        <f>AC179/AC$6</f>
        <v>0</v>
      </c>
      <c r="AD180" s="108"/>
      <c r="AE180" s="108"/>
      <c r="AF180" s="108"/>
      <c r="AG180" s="109"/>
      <c r="AH180" s="98"/>
      <c r="AI180" s="243"/>
      <c r="AJ180" s="419">
        <f>I180+S180+AC180</f>
        <v>1.1424273919257866</v>
      </c>
      <c r="AK180" s="419"/>
    </row>
    <row r="181" spans="1:37" ht="15.75" x14ac:dyDescent="0.25">
      <c r="A181" s="301" t="s">
        <v>6</v>
      </c>
      <c r="B181" s="218"/>
      <c r="C181" s="220"/>
      <c r="D181" s="10"/>
      <c r="E181" s="10"/>
      <c r="F181" s="10"/>
      <c r="G181" s="10"/>
      <c r="H181" s="137" t="s">
        <v>553</v>
      </c>
      <c r="I181" s="652">
        <f>I150+I155</f>
        <v>79705.288039999999</v>
      </c>
      <c r="J181" s="108"/>
      <c r="K181" s="108"/>
      <c r="L181" s="108"/>
      <c r="M181" s="109"/>
      <c r="N181" s="649"/>
      <c r="O181" s="650"/>
      <c r="P181" s="92"/>
      <c r="Q181" s="37"/>
      <c r="R181" s="137" t="s">
        <v>553</v>
      </c>
      <c r="S181" s="652">
        <f>S150+S155</f>
        <v>3877.2711599999998</v>
      </c>
      <c r="T181" s="108"/>
      <c r="U181" s="108"/>
      <c r="V181" s="108"/>
      <c r="W181" s="109"/>
      <c r="X181" s="651"/>
      <c r="Y181" s="650"/>
      <c r="Z181" s="92"/>
      <c r="AA181" s="37"/>
      <c r="AB181" s="137" t="s">
        <v>553</v>
      </c>
      <c r="AC181" s="652">
        <f>AC150+AC155</f>
        <v>0</v>
      </c>
      <c r="AD181" s="108"/>
      <c r="AE181" s="108"/>
      <c r="AF181" s="108"/>
      <c r="AG181" s="109"/>
      <c r="AH181" s="649"/>
      <c r="AI181" s="137"/>
      <c r="AJ181" s="652">
        <f>I181+S181+AC181</f>
        <v>83582.559200000003</v>
      </c>
      <c r="AK181" s="652"/>
    </row>
    <row r="182" spans="1:37" ht="15.75" x14ac:dyDescent="0.25">
      <c r="A182" s="301" t="s">
        <v>6</v>
      </c>
      <c r="B182" s="218"/>
      <c r="C182" s="220"/>
      <c r="D182" s="10"/>
      <c r="E182" s="10"/>
      <c r="F182" s="10"/>
      <c r="G182" s="10"/>
      <c r="H182" s="137" t="s">
        <v>554</v>
      </c>
      <c r="I182" s="652">
        <f>I176+I167+I162</f>
        <v>3524</v>
      </c>
      <c r="J182" s="108"/>
      <c r="K182" s="652"/>
      <c r="L182" s="108"/>
      <c r="M182" s="109"/>
      <c r="N182" s="649"/>
      <c r="O182" s="650"/>
      <c r="P182" s="92"/>
      <c r="Q182" s="37"/>
      <c r="R182" s="137" t="s">
        <v>554</v>
      </c>
      <c r="S182" s="652">
        <f>S176+S167+S162</f>
        <v>171</v>
      </c>
      <c r="T182" s="108"/>
      <c r="U182" s="652"/>
      <c r="V182" s="108"/>
      <c r="W182" s="109"/>
      <c r="X182" s="651"/>
      <c r="Y182" s="650"/>
      <c r="Z182" s="92"/>
      <c r="AA182" s="37"/>
      <c r="AB182" s="137" t="s">
        <v>554</v>
      </c>
      <c r="AC182" s="652">
        <f>AC176+AC167+AC162</f>
        <v>0</v>
      </c>
      <c r="AD182" s="108"/>
      <c r="AE182" s="652"/>
      <c r="AF182" s="108"/>
      <c r="AG182" s="109"/>
      <c r="AH182" s="649"/>
      <c r="AI182" s="137"/>
      <c r="AJ182" s="652">
        <f>I182+S182+AC182</f>
        <v>3695</v>
      </c>
      <c r="AK182" s="652"/>
    </row>
    <row r="183" spans="1:37" ht="15.75" x14ac:dyDescent="0.25">
      <c r="A183" s="301" t="s">
        <v>6</v>
      </c>
      <c r="B183" s="218"/>
      <c r="C183" s="220"/>
      <c r="D183" s="10"/>
      <c r="E183" s="10"/>
      <c r="F183" s="10"/>
      <c r="G183" s="10"/>
      <c r="H183" s="137" t="s">
        <v>552</v>
      </c>
      <c r="I183" s="652">
        <f>I179</f>
        <v>83229.288039999999</v>
      </c>
      <c r="J183" s="108"/>
      <c r="K183" s="108"/>
      <c r="L183" s="108"/>
      <c r="M183" s="109"/>
      <c r="N183" s="649"/>
      <c r="O183" s="650"/>
      <c r="P183" s="92"/>
      <c r="Q183" s="37"/>
      <c r="R183" s="137" t="s">
        <v>552</v>
      </c>
      <c r="S183" s="652">
        <f>S179</f>
        <v>4048.2711599999998</v>
      </c>
      <c r="T183" s="108"/>
      <c r="U183" s="108"/>
      <c r="V183" s="108"/>
      <c r="W183" s="109"/>
      <c r="X183" s="651"/>
      <c r="Y183" s="650"/>
      <c r="Z183" s="92"/>
      <c r="AA183" s="37"/>
      <c r="AB183" s="137" t="s">
        <v>552</v>
      </c>
      <c r="AC183" s="652">
        <f>AC179</f>
        <v>0</v>
      </c>
      <c r="AD183" s="108"/>
      <c r="AE183" s="108"/>
      <c r="AF183" s="108"/>
      <c r="AG183" s="109"/>
      <c r="AH183" s="649"/>
      <c r="AI183" s="137"/>
      <c r="AJ183" s="652">
        <f>I183+S183+AC183</f>
        <v>87277.559200000003</v>
      </c>
      <c r="AK183" s="652"/>
    </row>
    <row r="184" spans="1:37" ht="47.25" x14ac:dyDescent="0.25">
      <c r="A184" s="299" t="s">
        <v>52</v>
      </c>
      <c r="B184" s="218" t="str">
        <f t="shared" si="67"/>
        <v>CFSLABOR: NON-SUPERVISORY</v>
      </c>
      <c r="C184" s="12" t="s">
        <v>52</v>
      </c>
      <c r="D184" s="10" t="str">
        <f>'2015Summary METER to CASH (Base'!O21</f>
        <v>* Terminate gas service or pick up payment on credit orders
* Meter Investigation</v>
      </c>
      <c r="E184" s="117">
        <f>N221</f>
        <v>1215213.161278822</v>
      </c>
      <c r="F184" s="117">
        <f>X221</f>
        <v>58238.240238678089</v>
      </c>
      <c r="G184" s="117">
        <f>AC221</f>
        <v>0</v>
      </c>
      <c r="H184" s="183" t="s">
        <v>31</v>
      </c>
      <c r="I184" s="157"/>
      <c r="J184" s="118"/>
      <c r="K184" s="118"/>
      <c r="L184" s="118"/>
      <c r="M184" s="119"/>
      <c r="N184" s="121"/>
      <c r="O184" s="135"/>
      <c r="P184" s="381"/>
      <c r="Q184" s="123"/>
      <c r="R184" s="183" t="s">
        <v>31</v>
      </c>
      <c r="S184" s="157"/>
      <c r="T184" s="118"/>
      <c r="U184" s="118"/>
      <c r="V184" s="118"/>
      <c r="W184" s="119"/>
      <c r="X184" s="121"/>
      <c r="Y184" s="135"/>
      <c r="Z184" s="381"/>
      <c r="AA184" s="123"/>
      <c r="AB184" s="183" t="s">
        <v>31</v>
      </c>
      <c r="AC184" s="157"/>
      <c r="AD184" s="118"/>
      <c r="AE184" s="118"/>
      <c r="AF184" s="118"/>
      <c r="AG184" s="119"/>
      <c r="AH184" s="121"/>
      <c r="AI184" s="135"/>
      <c r="AJ184" s="157"/>
      <c r="AK184" s="157"/>
    </row>
    <row r="185" spans="1:37" ht="22.5" x14ac:dyDescent="0.35">
      <c r="A185" s="299" t="s">
        <v>52</v>
      </c>
      <c r="B185" s="218" t="str">
        <f t="shared" si="67"/>
        <v>CFSUtility Support 3 &amp; CFS 2</v>
      </c>
      <c r="C185" s="5" t="s">
        <v>48</v>
      </c>
      <c r="D185" s="128"/>
      <c r="E185" s="116"/>
      <c r="F185" s="116"/>
      <c r="G185" s="116"/>
      <c r="H185" s="184" t="s">
        <v>342</v>
      </c>
      <c r="I185" s="158">
        <f>J185*K185</f>
        <v>481302.96148047515</v>
      </c>
      <c r="J185" s="42">
        <f>17267*(I6/($I$6+$S$6))</f>
        <v>16477.335209875902</v>
      </c>
      <c r="K185" s="39">
        <v>29.21</v>
      </c>
      <c r="L185" s="39"/>
      <c r="M185" s="40" t="str">
        <f>ROUND(J185,0)&amp;" hrs @ "&amp;K185</f>
        <v>16477 hrs @ 29.21</v>
      </c>
      <c r="N185" s="35"/>
      <c r="O185" s="136"/>
      <c r="P185" s="382"/>
      <c r="Q185" s="41"/>
      <c r="R185" s="184" t="s">
        <v>342</v>
      </c>
      <c r="S185" s="158">
        <f>T185*U185</f>
        <v>23066.108519524925</v>
      </c>
      <c r="T185" s="42">
        <f>17267*(S6/($I$6+$S$6))</f>
        <v>789.66479012409877</v>
      </c>
      <c r="U185" s="39">
        <v>29.21</v>
      </c>
      <c r="V185" s="39"/>
      <c r="W185" s="40" t="str">
        <f>ROUND(T185,0)&amp;" hrs @ "&amp;U185</f>
        <v>790 hrs @ 29.21</v>
      </c>
      <c r="X185" s="35"/>
      <c r="Y185" s="136"/>
      <c r="Z185" s="382"/>
      <c r="AA185" s="41"/>
      <c r="AB185" s="184" t="s">
        <v>342</v>
      </c>
      <c r="AC185" s="158">
        <f>AD185*AE185</f>
        <v>0</v>
      </c>
      <c r="AD185" s="42"/>
      <c r="AE185" s="39"/>
      <c r="AF185" s="39"/>
      <c r="AG185" s="40" t="str">
        <f>ROUND(AD185,0)&amp;" hrs @ "&amp;AE185</f>
        <v xml:space="preserve">0 hrs @ </v>
      </c>
      <c r="AH185" s="35"/>
      <c r="AI185" s="136"/>
      <c r="AJ185" s="158">
        <f t="shared" ref="AJ185:AJ191" si="77">I185+S185+AC185</f>
        <v>504369.07000000007</v>
      </c>
      <c r="AK185" s="158"/>
    </row>
    <row r="186" spans="1:37" ht="21" x14ac:dyDescent="0.35">
      <c r="A186" s="299" t="s">
        <v>52</v>
      </c>
      <c r="B186" s="218" t="str">
        <f t="shared" si="67"/>
        <v>CFS</v>
      </c>
      <c r="C186" s="5" t="s">
        <v>48</v>
      </c>
      <c r="D186" s="128"/>
      <c r="E186" s="116"/>
      <c r="F186" s="116"/>
      <c r="G186" s="116"/>
      <c r="H186" s="184"/>
      <c r="I186" s="158">
        <f t="shared" ref="I186:I187" si="78">J186*K186</f>
        <v>0</v>
      </c>
      <c r="J186" s="42"/>
      <c r="K186" s="39"/>
      <c r="L186" s="42"/>
      <c r="M186" s="40" t="str">
        <f t="shared" ref="M186:M188" si="79">J186&amp;" hrs @ "&amp;K186</f>
        <v xml:space="preserve"> hrs @ </v>
      </c>
      <c r="N186" s="35"/>
      <c r="O186" s="136"/>
      <c r="P186" s="382"/>
      <c r="Q186" s="3"/>
      <c r="R186" s="184"/>
      <c r="S186" s="158">
        <f t="shared" ref="S186:S187" si="80">T186*U186</f>
        <v>0</v>
      </c>
      <c r="T186" s="42"/>
      <c r="U186" s="39"/>
      <c r="V186" s="42"/>
      <c r="W186" s="40" t="str">
        <f t="shared" ref="W186:W188" si="81">T186&amp;" hrs @ "&amp;U186</f>
        <v xml:space="preserve"> hrs @ </v>
      </c>
      <c r="X186" s="35"/>
      <c r="Y186" s="136"/>
      <c r="Z186" s="382"/>
      <c r="AA186" s="3"/>
      <c r="AB186" s="184"/>
      <c r="AC186" s="158">
        <f t="shared" ref="AC186:AC188" si="82">AD186*AE186</f>
        <v>0</v>
      </c>
      <c r="AD186" s="42"/>
      <c r="AE186" s="39"/>
      <c r="AF186" s="42"/>
      <c r="AG186" s="40" t="str">
        <f t="shared" ref="AG186:AG188" si="83">AD186&amp;" hrs @ "&amp;AE186</f>
        <v xml:space="preserve"> hrs @ </v>
      </c>
      <c r="AH186" s="35"/>
      <c r="AI186" s="136"/>
      <c r="AJ186" s="158">
        <f t="shared" si="77"/>
        <v>0</v>
      </c>
      <c r="AK186" s="158"/>
    </row>
    <row r="187" spans="1:37" ht="21" x14ac:dyDescent="0.35">
      <c r="A187" s="299" t="s">
        <v>52</v>
      </c>
      <c r="B187" s="218" t="str">
        <f t="shared" si="67"/>
        <v>CFS</v>
      </c>
      <c r="C187" s="5" t="s">
        <v>48</v>
      </c>
      <c r="D187" s="128"/>
      <c r="E187" s="116"/>
      <c r="F187" s="116"/>
      <c r="G187" s="116"/>
      <c r="H187" s="184"/>
      <c r="I187" s="158">
        <f t="shared" si="78"/>
        <v>0</v>
      </c>
      <c r="J187" s="42"/>
      <c r="K187" s="39"/>
      <c r="L187" s="42"/>
      <c r="M187" s="40" t="str">
        <f t="shared" si="79"/>
        <v xml:space="preserve"> hrs @ </v>
      </c>
      <c r="N187" s="35"/>
      <c r="O187" s="136"/>
      <c r="P187" s="382"/>
      <c r="Q187" s="41"/>
      <c r="R187" s="184"/>
      <c r="S187" s="158">
        <f t="shared" si="80"/>
        <v>0</v>
      </c>
      <c r="T187" s="42"/>
      <c r="U187" s="39"/>
      <c r="V187" s="42"/>
      <c r="W187" s="40" t="str">
        <f t="shared" si="81"/>
        <v xml:space="preserve"> hrs @ </v>
      </c>
      <c r="X187" s="35"/>
      <c r="Y187" s="136"/>
      <c r="Z187" s="382"/>
      <c r="AA187" s="41"/>
      <c r="AB187" s="184"/>
      <c r="AC187" s="158">
        <f t="shared" si="82"/>
        <v>0</v>
      </c>
      <c r="AD187" s="42"/>
      <c r="AE187" s="39"/>
      <c r="AF187" s="42"/>
      <c r="AG187" s="40" t="str">
        <f t="shared" si="83"/>
        <v xml:space="preserve"> hrs @ </v>
      </c>
      <c r="AH187" s="35"/>
      <c r="AI187" s="136"/>
      <c r="AJ187" s="158">
        <f t="shared" si="77"/>
        <v>0</v>
      </c>
      <c r="AK187" s="158"/>
    </row>
    <row r="188" spans="1:37" ht="21" x14ac:dyDescent="0.35">
      <c r="A188" s="299" t="s">
        <v>52</v>
      </c>
      <c r="B188" s="218" t="str">
        <f t="shared" si="67"/>
        <v>CFS</v>
      </c>
      <c r="C188" s="5" t="s">
        <v>48</v>
      </c>
      <c r="D188" s="128"/>
      <c r="E188" s="116"/>
      <c r="F188" s="116"/>
      <c r="G188" s="116"/>
      <c r="H188" s="179"/>
      <c r="I188" s="173">
        <f>J188*K188*L188</f>
        <v>0</v>
      </c>
      <c r="J188" s="174"/>
      <c r="K188" s="175"/>
      <c r="L188" s="181"/>
      <c r="M188" s="176" t="str">
        <f t="shared" si="79"/>
        <v xml:space="preserve"> hrs @ </v>
      </c>
      <c r="N188" s="35"/>
      <c r="O188" s="136"/>
      <c r="P188" s="382"/>
      <c r="Q188" s="44"/>
      <c r="R188" s="179"/>
      <c r="S188" s="173">
        <f>T188*U188*V188</f>
        <v>0</v>
      </c>
      <c r="T188" s="174"/>
      <c r="U188" s="175"/>
      <c r="V188" s="181"/>
      <c r="W188" s="176" t="str">
        <f t="shared" si="81"/>
        <v xml:space="preserve"> hrs @ </v>
      </c>
      <c r="X188" s="35"/>
      <c r="Y188" s="136"/>
      <c r="Z188" s="382"/>
      <c r="AA188" s="44"/>
      <c r="AB188" s="179"/>
      <c r="AC188" s="173">
        <f t="shared" si="82"/>
        <v>0</v>
      </c>
      <c r="AD188" s="174"/>
      <c r="AE188" s="175"/>
      <c r="AF188" s="181"/>
      <c r="AG188" s="176" t="str">
        <f t="shared" si="83"/>
        <v xml:space="preserve"> hrs @ </v>
      </c>
      <c r="AH188" s="35"/>
      <c r="AI188" s="136"/>
      <c r="AJ188" s="173">
        <f t="shared" si="77"/>
        <v>0</v>
      </c>
      <c r="AK188" s="173"/>
    </row>
    <row r="189" spans="1:37" ht="21" x14ac:dyDescent="0.35">
      <c r="A189" s="299" t="s">
        <v>52</v>
      </c>
      <c r="B189" s="218" t="str">
        <f t="shared" si="67"/>
        <v>CFSTotal Wages</v>
      </c>
      <c r="C189" s="5" t="s">
        <v>48</v>
      </c>
      <c r="D189" s="128"/>
      <c r="E189" s="116"/>
      <c r="F189" s="116"/>
      <c r="G189" s="116"/>
      <c r="H189" s="184" t="s">
        <v>32</v>
      </c>
      <c r="I189" s="158">
        <f>SUM(I185:I188)</f>
        <v>481302.96148047515</v>
      </c>
      <c r="J189" s="42"/>
      <c r="K189" s="39"/>
      <c r="L189" s="39"/>
      <c r="M189" s="40"/>
      <c r="N189" s="35"/>
      <c r="O189" s="136"/>
      <c r="P189" s="382"/>
      <c r="Q189" s="41"/>
      <c r="R189" s="184" t="s">
        <v>32</v>
      </c>
      <c r="S189" s="158">
        <f>SUM(S185:S188)</f>
        <v>23066.108519524925</v>
      </c>
      <c r="T189" s="42"/>
      <c r="U189" s="39"/>
      <c r="V189" s="39"/>
      <c r="W189" s="40"/>
      <c r="X189" s="35"/>
      <c r="Y189" s="136"/>
      <c r="Z189" s="382"/>
      <c r="AA189" s="41"/>
      <c r="AB189" s="184" t="s">
        <v>32</v>
      </c>
      <c r="AC189" s="158">
        <f>SUM(AC185:AC188)</f>
        <v>0</v>
      </c>
      <c r="AD189" s="42"/>
      <c r="AE189" s="39"/>
      <c r="AF189" s="39"/>
      <c r="AG189" s="40"/>
      <c r="AH189" s="35"/>
      <c r="AI189" s="136"/>
      <c r="AJ189" s="158">
        <f t="shared" si="77"/>
        <v>504369.07000000007</v>
      </c>
      <c r="AK189" s="158"/>
    </row>
    <row r="190" spans="1:37" ht="21" x14ac:dyDescent="0.35">
      <c r="A190" s="299" t="s">
        <v>52</v>
      </c>
      <c r="B190" s="218" t="str">
        <f t="shared" si="67"/>
        <v>CFSBenefits</v>
      </c>
      <c r="C190" s="5" t="s">
        <v>48</v>
      </c>
      <c r="D190" s="128"/>
      <c r="E190" s="116"/>
      <c r="F190" s="116"/>
      <c r="G190" s="116"/>
      <c r="H190" s="184" t="s">
        <v>33</v>
      </c>
      <c r="I190" s="159">
        <f>I189*$O$2</f>
        <v>474516.58972360042</v>
      </c>
      <c r="J190" s="42"/>
      <c r="K190" s="39"/>
      <c r="M190" s="45" t="str">
        <f>"@ "&amp;$O$2*100&amp;" %"</f>
        <v>@ 98.59 %</v>
      </c>
      <c r="N190" s="47"/>
      <c r="O190" s="432"/>
      <c r="P190" s="383"/>
      <c r="Q190" s="41"/>
      <c r="R190" s="184" t="s">
        <v>33</v>
      </c>
      <c r="S190" s="159">
        <f>S189*$O$2</f>
        <v>22740.876389399622</v>
      </c>
      <c r="T190" s="42"/>
      <c r="U190" s="39"/>
      <c r="W190" s="45" t="str">
        <f>"@ "&amp;$O$2*100&amp;" %"</f>
        <v>@ 98.59 %</v>
      </c>
      <c r="X190" s="47"/>
      <c r="Y190" s="432"/>
      <c r="Z190" s="383"/>
      <c r="AA190" s="41"/>
      <c r="AB190" s="184" t="s">
        <v>33</v>
      </c>
      <c r="AC190" s="159">
        <f>AC189*$O$2</f>
        <v>0</v>
      </c>
      <c r="AD190" s="42"/>
      <c r="AE190" s="39"/>
      <c r="AG190" s="45" t="str">
        <f>"@ "&amp;$O$2*100&amp;" %"</f>
        <v>@ 98.59 %</v>
      </c>
      <c r="AH190" s="47"/>
      <c r="AI190" s="432"/>
      <c r="AJ190" s="159">
        <f t="shared" si="77"/>
        <v>497257.46611300006</v>
      </c>
      <c r="AK190" s="159"/>
    </row>
    <row r="191" spans="1:37" ht="21" x14ac:dyDescent="0.35">
      <c r="A191" s="299" t="s">
        <v>52</v>
      </c>
      <c r="B191" s="218" t="str">
        <f t="shared" si="67"/>
        <v>CFSTotal</v>
      </c>
      <c r="C191" s="5" t="s">
        <v>48</v>
      </c>
      <c r="D191" s="128"/>
      <c r="E191" s="116"/>
      <c r="F191" s="116"/>
      <c r="G191" s="116"/>
      <c r="H191" s="185" t="s">
        <v>34</v>
      </c>
      <c r="I191" s="160">
        <f>I189+I190</f>
        <v>955819.55120407557</v>
      </c>
      <c r="J191" s="42"/>
      <c r="K191" s="39"/>
      <c r="L191" s="50"/>
      <c r="M191" s="51"/>
      <c r="N191" s="420">
        <f>I191</f>
        <v>955819.55120407557</v>
      </c>
      <c r="O191" s="233">
        <f>N191/N221</f>
        <v>0.78654476569215626</v>
      </c>
      <c r="P191" s="384"/>
      <c r="Q191" s="37"/>
      <c r="R191" s="185" t="s">
        <v>34</v>
      </c>
      <c r="S191" s="160">
        <f>S189+S190</f>
        <v>45806.984908924547</v>
      </c>
      <c r="T191" s="42"/>
      <c r="U191" s="39"/>
      <c r="V191" s="50"/>
      <c r="W191" s="51"/>
      <c r="X191" s="420">
        <f>S191</f>
        <v>45806.984908924547</v>
      </c>
      <c r="Y191" s="233">
        <f>X191/X221</f>
        <v>0.78654479807757816</v>
      </c>
      <c r="Z191" s="384"/>
      <c r="AA191" s="37"/>
      <c r="AB191" s="185" t="s">
        <v>34</v>
      </c>
      <c r="AC191" s="160">
        <f>AC189+AC190</f>
        <v>0</v>
      </c>
      <c r="AD191" s="42"/>
      <c r="AE191" s="39"/>
      <c r="AF191" s="50"/>
      <c r="AG191" s="51"/>
      <c r="AH191" s="420">
        <f>AC191</f>
        <v>0</v>
      </c>
      <c r="AI191" s="233" t="e">
        <f>AH191/AH221</f>
        <v>#DIV/0!</v>
      </c>
      <c r="AJ191" s="160">
        <f t="shared" si="77"/>
        <v>1001626.5361130001</v>
      </c>
      <c r="AK191" s="160"/>
    </row>
    <row r="192" spans="1:37" ht="21" x14ac:dyDescent="0.35">
      <c r="A192" s="299" t="s">
        <v>52</v>
      </c>
      <c r="B192" s="218" t="str">
        <f t="shared" si="67"/>
        <v>CFS</v>
      </c>
      <c r="C192" s="5" t="s">
        <v>48</v>
      </c>
      <c r="D192" s="128"/>
      <c r="E192" s="116"/>
      <c r="F192" s="116"/>
      <c r="G192" s="116"/>
      <c r="H192" s="179"/>
      <c r="I192" s="166"/>
      <c r="J192" s="69"/>
      <c r="K192" s="69"/>
      <c r="L192" s="69"/>
      <c r="M192" s="70"/>
      <c r="N192" s="58"/>
      <c r="O192" s="231"/>
      <c r="P192" s="385"/>
      <c r="Q192" s="60"/>
      <c r="R192" s="179"/>
      <c r="S192" s="166"/>
      <c r="T192" s="69"/>
      <c r="U192" s="69"/>
      <c r="V192" s="69"/>
      <c r="W192" s="70"/>
      <c r="X192" s="58"/>
      <c r="Y192" s="231"/>
      <c r="Z192" s="385"/>
      <c r="AA192" s="60"/>
      <c r="AB192" s="179"/>
      <c r="AC192" s="166"/>
      <c r="AD192" s="69"/>
      <c r="AE192" s="69"/>
      <c r="AF192" s="69"/>
      <c r="AG192" s="70"/>
      <c r="AH192" s="58"/>
      <c r="AI192" s="231"/>
      <c r="AJ192" s="166"/>
      <c r="AK192" s="166"/>
    </row>
    <row r="193" spans="1:37" ht="21" x14ac:dyDescent="0.35">
      <c r="A193" s="299" t="s">
        <v>52</v>
      </c>
      <c r="B193" s="218" t="str">
        <f t="shared" si="67"/>
        <v>CFSLABOR: SUPERVISORY</v>
      </c>
      <c r="C193" s="124" t="s">
        <v>50</v>
      </c>
      <c r="D193" s="128"/>
      <c r="E193" s="116"/>
      <c r="F193" s="116"/>
      <c r="G193" s="116"/>
      <c r="H193" s="186" t="s">
        <v>35</v>
      </c>
      <c r="I193" s="167"/>
      <c r="J193" s="74"/>
      <c r="K193" s="74"/>
      <c r="L193" s="74"/>
      <c r="M193" s="66"/>
      <c r="N193" s="26"/>
      <c r="O193" s="234"/>
      <c r="P193" s="386"/>
      <c r="Q193" s="37"/>
      <c r="R193" s="186" t="s">
        <v>35</v>
      </c>
      <c r="S193" s="167"/>
      <c r="T193" s="74"/>
      <c r="U193" s="74"/>
      <c r="V193" s="74"/>
      <c r="W193" s="66"/>
      <c r="X193" s="26"/>
      <c r="Y193" s="234"/>
      <c r="Z193" s="386"/>
      <c r="AA193" s="37"/>
      <c r="AB193" s="186" t="s">
        <v>35</v>
      </c>
      <c r="AC193" s="167"/>
      <c r="AD193" s="74"/>
      <c r="AE193" s="74"/>
      <c r="AF193" s="74"/>
      <c r="AG193" s="66"/>
      <c r="AH193" s="26"/>
      <c r="AI193" s="234"/>
      <c r="AJ193" s="167"/>
      <c r="AK193" s="167"/>
    </row>
    <row r="194" spans="1:37" ht="21" x14ac:dyDescent="0.35">
      <c r="A194" s="299" t="s">
        <v>52</v>
      </c>
      <c r="B194" s="218" t="str">
        <f t="shared" ref="B194" si="84">A194&amp;H194</f>
        <v>CFSManager (Grade 22)</v>
      </c>
      <c r="C194" s="124"/>
      <c r="D194" s="128"/>
      <c r="E194" s="116"/>
      <c r="F194" s="116"/>
      <c r="G194" s="116"/>
      <c r="H194" s="184" t="s">
        <v>349</v>
      </c>
      <c r="I194" s="158">
        <f t="shared" ref="I194:I195" si="85">J194*K194</f>
        <v>0</v>
      </c>
      <c r="J194" s="42">
        <f>1800*((J184/1800)/12)</f>
        <v>0</v>
      </c>
      <c r="K194" s="39">
        <v>50.91</v>
      </c>
      <c r="L194" s="43"/>
      <c r="M194" s="40" t="str">
        <f>ROUND(J194,0)&amp;" hrs @ "&amp;K194</f>
        <v>0 hrs @ 50.91</v>
      </c>
      <c r="N194" s="26"/>
      <c r="O194" s="234"/>
      <c r="P194" s="386"/>
      <c r="Q194" s="37"/>
      <c r="R194" s="184" t="s">
        <v>349</v>
      </c>
      <c r="S194" s="158">
        <f t="shared" ref="S194:S195" si="86">T194*U194</f>
        <v>0</v>
      </c>
      <c r="T194" s="42">
        <f>1800*((T184/1800)/12)</f>
        <v>0</v>
      </c>
      <c r="U194" s="39">
        <v>50.91</v>
      </c>
      <c r="V194" s="43"/>
      <c r="W194" s="40" t="str">
        <f>ROUND(T194,0)&amp;" hrs @ "&amp;U194</f>
        <v>0 hrs @ 50.91</v>
      </c>
      <c r="X194" s="26"/>
      <c r="Y194" s="234"/>
      <c r="Z194" s="386"/>
      <c r="AA194" s="37"/>
      <c r="AB194" s="184" t="s">
        <v>349</v>
      </c>
      <c r="AC194" s="158">
        <f t="shared" ref="AC194:AC195" si="87">AD194*AE194</f>
        <v>0</v>
      </c>
      <c r="AD194" s="42">
        <f>1800*((AD184/1800)/12)</f>
        <v>0</v>
      </c>
      <c r="AE194" s="39">
        <v>50.91</v>
      </c>
      <c r="AF194" s="43"/>
      <c r="AG194" s="40" t="str">
        <f>ROUND(AD194,0)&amp;" hrs @ "&amp;AE194</f>
        <v>0 hrs @ 50.91</v>
      </c>
      <c r="AH194" s="26"/>
      <c r="AI194" s="234"/>
      <c r="AJ194" s="158">
        <f>I194+S194+AC194</f>
        <v>0</v>
      </c>
      <c r="AK194" s="158"/>
    </row>
    <row r="195" spans="1:37" ht="22.5" x14ac:dyDescent="0.35">
      <c r="A195" s="299" t="s">
        <v>52</v>
      </c>
      <c r="B195" s="218" t="str">
        <f t="shared" si="67"/>
        <v>CFSGas Operations Supervisor (Grade 21)</v>
      </c>
      <c r="C195" s="5" t="s">
        <v>48</v>
      </c>
      <c r="D195" s="128"/>
      <c r="E195" s="116"/>
      <c r="F195" s="116"/>
      <c r="G195" s="116"/>
      <c r="H195" s="184" t="s">
        <v>348</v>
      </c>
      <c r="I195" s="158">
        <f t="shared" si="85"/>
        <v>62037.167065182774</v>
      </c>
      <c r="J195" s="42">
        <f>1800*((J185/1800)/12)</f>
        <v>1373.1112674896585</v>
      </c>
      <c r="K195" s="39">
        <v>45.18</v>
      </c>
      <c r="L195" s="43"/>
      <c r="M195" s="40" t="str">
        <f>ROUND(J195,0)&amp;" hrs @ "&amp;K195</f>
        <v>1373 hrs @ 45.18</v>
      </c>
      <c r="N195" s="26"/>
      <c r="O195" s="234"/>
      <c r="P195" s="386"/>
      <c r="Q195" s="41"/>
      <c r="R195" s="184" t="s">
        <v>348</v>
      </c>
      <c r="S195" s="158">
        <f t="shared" si="86"/>
        <v>2973.0879348172316</v>
      </c>
      <c r="T195" s="42">
        <f>1800*((T185/1800)/12)</f>
        <v>65.805399177008226</v>
      </c>
      <c r="U195" s="39">
        <v>45.18</v>
      </c>
      <c r="V195" s="43"/>
      <c r="W195" s="40" t="str">
        <f>ROUND(T195,0)&amp;" hrs @ "&amp;U195</f>
        <v>66 hrs @ 45.18</v>
      </c>
      <c r="X195" s="26"/>
      <c r="Y195" s="234"/>
      <c r="Z195" s="386"/>
      <c r="AA195" s="41"/>
      <c r="AB195" s="184" t="s">
        <v>348</v>
      </c>
      <c r="AC195" s="158">
        <f t="shared" si="87"/>
        <v>0</v>
      </c>
      <c r="AD195" s="42">
        <f>1800*((AD185/1800)/12)</f>
        <v>0</v>
      </c>
      <c r="AE195" s="39">
        <v>45.18</v>
      </c>
      <c r="AF195" s="43"/>
      <c r="AG195" s="40" t="str">
        <f>ROUND(AD195,0)&amp;" hrs @ "&amp;AE195</f>
        <v>0 hrs @ 45.18</v>
      </c>
      <c r="AH195" s="26"/>
      <c r="AI195" s="234"/>
      <c r="AJ195" s="158">
        <f>I195+S195+AC195</f>
        <v>65010.255000000005</v>
      </c>
      <c r="AK195" s="158"/>
    </row>
    <row r="196" spans="1:37" ht="21" x14ac:dyDescent="0.35">
      <c r="A196" s="299" t="s">
        <v>52</v>
      </c>
      <c r="B196" s="218" t="str">
        <f t="shared" si="67"/>
        <v>CFSBenefits</v>
      </c>
      <c r="C196" s="5" t="s">
        <v>48</v>
      </c>
      <c r="D196" s="128"/>
      <c r="E196" s="116"/>
      <c r="F196" s="116"/>
      <c r="G196" s="116"/>
      <c r="H196" s="184" t="s">
        <v>33</v>
      </c>
      <c r="I196" s="159">
        <f>SUM(I194:I195)*$O$2</f>
        <v>61162.4430095637</v>
      </c>
      <c r="J196" s="42"/>
      <c r="K196" s="39"/>
      <c r="L196" s="156"/>
      <c r="M196" s="45" t="str">
        <f>"@ "&amp;$O$2*100&amp;" %"</f>
        <v>@ 98.59 %</v>
      </c>
      <c r="N196" s="26"/>
      <c r="O196" s="234"/>
      <c r="P196" s="386"/>
      <c r="Q196" s="41"/>
      <c r="R196" s="184" t="s">
        <v>33</v>
      </c>
      <c r="S196" s="159">
        <f>SUM(S194:S195)*$O$2</f>
        <v>2931.1673949363085</v>
      </c>
      <c r="T196" s="42"/>
      <c r="U196" s="39"/>
      <c r="V196" s="156"/>
      <c r="W196" s="45" t="str">
        <f>"@ "&amp;$O$2*100&amp;" %"</f>
        <v>@ 98.59 %</v>
      </c>
      <c r="X196" s="26"/>
      <c r="Y196" s="234"/>
      <c r="Z196" s="386"/>
      <c r="AA196" s="41"/>
      <c r="AB196" s="184" t="s">
        <v>33</v>
      </c>
      <c r="AC196" s="159">
        <f>AC195*$O$2</f>
        <v>0</v>
      </c>
      <c r="AD196" s="42"/>
      <c r="AE196" s="39"/>
      <c r="AF196" s="156"/>
      <c r="AG196" s="45" t="str">
        <f>"@ "&amp;$O$2*100&amp;" %"</f>
        <v>@ 98.59 %</v>
      </c>
      <c r="AH196" s="26"/>
      <c r="AI196" s="234"/>
      <c r="AJ196" s="159">
        <f>I196+S196+AC196</f>
        <v>64093.61040450001</v>
      </c>
      <c r="AK196" s="159"/>
    </row>
    <row r="197" spans="1:37" ht="21" x14ac:dyDescent="0.35">
      <c r="A197" s="299" t="s">
        <v>52</v>
      </c>
      <c r="B197" s="218" t="str">
        <f t="shared" si="67"/>
        <v>CFSTotal</v>
      </c>
      <c r="C197" s="124" t="s">
        <v>50</v>
      </c>
      <c r="D197" s="129"/>
      <c r="E197" s="116"/>
      <c r="F197" s="116"/>
      <c r="G197" s="116"/>
      <c r="H197" s="185" t="s">
        <v>34</v>
      </c>
      <c r="I197" s="165">
        <f>I194+I196+I195</f>
        <v>123199.61007474648</v>
      </c>
      <c r="J197" s="68"/>
      <c r="K197" s="68"/>
      <c r="L197" s="68"/>
      <c r="M197" s="63"/>
      <c r="N197" s="420">
        <f>I197</f>
        <v>123199.61007474648</v>
      </c>
      <c r="O197" s="233">
        <f>N197/N221</f>
        <v>0.10138106959366548</v>
      </c>
      <c r="P197" s="386"/>
      <c r="Q197" s="41"/>
      <c r="R197" s="185" t="s">
        <v>34</v>
      </c>
      <c r="S197" s="165">
        <f>S194+S196+S195</f>
        <v>5904.2553297535396</v>
      </c>
      <c r="T197" s="68"/>
      <c r="U197" s="68"/>
      <c r="V197" s="68"/>
      <c r="W197" s="63"/>
      <c r="X197" s="420">
        <f>S197</f>
        <v>5904.2553297535396</v>
      </c>
      <c r="Y197" s="233">
        <f>X197/X221</f>
        <v>0.10138107376795896</v>
      </c>
      <c r="Z197" s="386"/>
      <c r="AA197" s="41"/>
      <c r="AB197" s="185" t="s">
        <v>34</v>
      </c>
      <c r="AC197" s="165">
        <f>AC196+AC195</f>
        <v>0</v>
      </c>
      <c r="AD197" s="68"/>
      <c r="AE197" s="68"/>
      <c r="AF197" s="68"/>
      <c r="AG197" s="63"/>
      <c r="AH197" s="420">
        <f>AC197</f>
        <v>0</v>
      </c>
      <c r="AI197" s="233" t="e">
        <f>AH197/AH221</f>
        <v>#DIV/0!</v>
      </c>
      <c r="AJ197" s="165">
        <f>I197+S197+AC197</f>
        <v>129103.86540450001</v>
      </c>
      <c r="AK197" s="165"/>
    </row>
    <row r="198" spans="1:37" ht="21" x14ac:dyDescent="0.35">
      <c r="A198" s="299" t="s">
        <v>52</v>
      </c>
      <c r="B198" s="218" t="str">
        <f t="shared" si="67"/>
        <v>CFS</v>
      </c>
      <c r="C198" s="5" t="s">
        <v>48</v>
      </c>
      <c r="D198" s="129"/>
      <c r="E198" s="116"/>
      <c r="F198" s="116"/>
      <c r="G198" s="116"/>
      <c r="H198" s="179"/>
      <c r="I198" s="166"/>
      <c r="J198" s="69"/>
      <c r="K198" s="69"/>
      <c r="L198" s="69"/>
      <c r="M198" s="70"/>
      <c r="N198" s="72"/>
      <c r="O198" s="235"/>
      <c r="P198" s="387"/>
      <c r="Q198" s="60"/>
      <c r="R198" s="179"/>
      <c r="S198" s="166"/>
      <c r="T198" s="69"/>
      <c r="U198" s="69"/>
      <c r="V198" s="69"/>
      <c r="W198" s="70"/>
      <c r="X198" s="72"/>
      <c r="Y198" s="235"/>
      <c r="Z198" s="387"/>
      <c r="AA198" s="60"/>
      <c r="AB198" s="179"/>
      <c r="AC198" s="166"/>
      <c r="AD198" s="69"/>
      <c r="AE198" s="69"/>
      <c r="AF198" s="69"/>
      <c r="AG198" s="70"/>
      <c r="AH198" s="72"/>
      <c r="AI198" s="235"/>
      <c r="AJ198" s="166"/>
      <c r="AK198" s="166"/>
    </row>
    <row r="199" spans="1:37" ht="21" x14ac:dyDescent="0.35">
      <c r="A199" s="299" t="s">
        <v>52</v>
      </c>
      <c r="B199" s="218" t="str">
        <f t="shared" si="67"/>
        <v>CFSEQUIPMENT</v>
      </c>
      <c r="C199" s="124" t="s">
        <v>50</v>
      </c>
      <c r="D199" s="129"/>
      <c r="E199" s="116"/>
      <c r="F199" s="116"/>
      <c r="G199" s="116"/>
      <c r="H199" s="186" t="s">
        <v>36</v>
      </c>
      <c r="I199" s="167"/>
      <c r="J199" s="74"/>
      <c r="K199" s="74"/>
      <c r="L199" s="74"/>
      <c r="M199" s="66"/>
      <c r="N199" s="76"/>
      <c r="O199" s="237"/>
      <c r="P199" s="386"/>
      <c r="Q199" s="37"/>
      <c r="R199" s="186" t="s">
        <v>36</v>
      </c>
      <c r="S199" s="167"/>
      <c r="T199" s="74"/>
      <c r="U199" s="74"/>
      <c r="V199" s="74"/>
      <c r="W199" s="66"/>
      <c r="X199" s="76"/>
      <c r="Y199" s="237"/>
      <c r="Z199" s="386"/>
      <c r="AA199" s="37"/>
      <c r="AB199" s="186" t="s">
        <v>36</v>
      </c>
      <c r="AC199" s="167"/>
      <c r="AD199" s="74"/>
      <c r="AE199" s="74"/>
      <c r="AF199" s="74"/>
      <c r="AG199" s="66"/>
      <c r="AH199" s="76"/>
      <c r="AI199" s="237"/>
      <c r="AJ199" s="167"/>
      <c r="AK199" s="167"/>
    </row>
    <row r="200" spans="1:37" ht="21" x14ac:dyDescent="0.35">
      <c r="A200" s="299" t="s">
        <v>52</v>
      </c>
      <c r="B200" s="218" t="str">
        <f t="shared" si="67"/>
        <v>CFS</v>
      </c>
      <c r="C200" s="5" t="s">
        <v>48</v>
      </c>
      <c r="D200" s="129"/>
      <c r="E200" s="116"/>
      <c r="F200" s="116"/>
      <c r="G200" s="116"/>
      <c r="H200" s="187"/>
      <c r="I200" s="163"/>
      <c r="J200" s="42"/>
      <c r="K200" s="39"/>
      <c r="L200" s="39"/>
      <c r="M200" s="40" t="str">
        <f>J200&amp;" hrs @ "&amp;K200</f>
        <v xml:space="preserve"> hrs @ </v>
      </c>
      <c r="N200" s="76"/>
      <c r="O200" s="237"/>
      <c r="P200" s="386"/>
      <c r="Q200" s="37"/>
      <c r="R200" s="187"/>
      <c r="S200" s="163"/>
      <c r="T200" s="42"/>
      <c r="U200" s="39"/>
      <c r="V200" s="39"/>
      <c r="W200" s="40" t="str">
        <f>T200&amp;" hrs @ "&amp;U200</f>
        <v xml:space="preserve"> hrs @ </v>
      </c>
      <c r="X200" s="76"/>
      <c r="Y200" s="237"/>
      <c r="Z200" s="386"/>
      <c r="AA200" s="37"/>
      <c r="AB200" s="187"/>
      <c r="AC200" s="163"/>
      <c r="AD200" s="42"/>
      <c r="AE200" s="39"/>
      <c r="AF200" s="39"/>
      <c r="AG200" s="40" t="str">
        <f>AD200&amp;" hrs @ "&amp;AE200</f>
        <v xml:space="preserve"> hrs @ </v>
      </c>
      <c r="AH200" s="76"/>
      <c r="AI200" s="237"/>
      <c r="AJ200" s="163"/>
      <c r="AK200" s="163"/>
    </row>
    <row r="201" spans="1:37" ht="21" x14ac:dyDescent="0.35">
      <c r="A201" s="299" t="s">
        <v>52</v>
      </c>
      <c r="B201" s="218" t="str">
        <f t="shared" si="67"/>
        <v>CFS</v>
      </c>
      <c r="C201" s="5" t="s">
        <v>48</v>
      </c>
      <c r="D201" s="129"/>
      <c r="E201" s="116"/>
      <c r="F201" s="116"/>
      <c r="G201" s="116"/>
      <c r="H201" s="187"/>
      <c r="I201" s="163"/>
      <c r="J201" s="42"/>
      <c r="K201" s="39"/>
      <c r="L201" s="39"/>
      <c r="M201" s="40" t="str">
        <f t="shared" ref="M201:M203" si="88">J201&amp;" hrs @ "&amp;K201</f>
        <v xml:space="preserve"> hrs @ </v>
      </c>
      <c r="N201" s="79"/>
      <c r="O201" s="238"/>
      <c r="P201" s="388"/>
      <c r="Q201" s="81"/>
      <c r="R201" s="187"/>
      <c r="S201" s="163"/>
      <c r="T201" s="42"/>
      <c r="U201" s="39"/>
      <c r="V201" s="39"/>
      <c r="W201" s="40" t="str">
        <f t="shared" ref="W201:W203" si="89">T201&amp;" hrs @ "&amp;U201</f>
        <v xml:space="preserve"> hrs @ </v>
      </c>
      <c r="X201" s="79"/>
      <c r="Y201" s="238"/>
      <c r="Z201" s="388"/>
      <c r="AA201" s="81"/>
      <c r="AB201" s="187"/>
      <c r="AC201" s="163"/>
      <c r="AD201" s="42"/>
      <c r="AE201" s="39"/>
      <c r="AF201" s="39"/>
      <c r="AG201" s="40" t="str">
        <f t="shared" ref="AG201:AG203" si="90">AD201&amp;" hrs @ "&amp;AE201</f>
        <v xml:space="preserve"> hrs @ </v>
      </c>
      <c r="AH201" s="79"/>
      <c r="AI201" s="238"/>
      <c r="AJ201" s="163"/>
      <c r="AK201" s="163"/>
    </row>
    <row r="202" spans="1:37" ht="21" x14ac:dyDescent="0.35">
      <c r="A202" s="299" t="s">
        <v>52</v>
      </c>
      <c r="B202" s="218" t="str">
        <f t="shared" si="67"/>
        <v>CFS</v>
      </c>
      <c r="C202" s="5" t="s">
        <v>48</v>
      </c>
      <c r="D202" s="131"/>
      <c r="E202" s="116"/>
      <c r="F202" s="116"/>
      <c r="G202" s="116"/>
      <c r="H202" s="187"/>
      <c r="I202" s="168"/>
      <c r="J202" s="42"/>
      <c r="K202" s="39"/>
      <c r="L202" s="42"/>
      <c r="M202" s="40" t="str">
        <f t="shared" si="88"/>
        <v xml:space="preserve"> hrs @ </v>
      </c>
      <c r="N202" s="79"/>
      <c r="O202" s="238"/>
      <c r="P202" s="388"/>
      <c r="Q202" s="81"/>
      <c r="R202" s="187"/>
      <c r="S202" s="168"/>
      <c r="T202" s="42"/>
      <c r="U202" s="39"/>
      <c r="V202" s="42"/>
      <c r="W202" s="40" t="str">
        <f t="shared" si="89"/>
        <v xml:space="preserve"> hrs @ </v>
      </c>
      <c r="X202" s="79"/>
      <c r="Y202" s="238"/>
      <c r="Z202" s="388"/>
      <c r="AA202" s="81"/>
      <c r="AB202" s="187"/>
      <c r="AC202" s="168"/>
      <c r="AD202" s="42"/>
      <c r="AE202" s="39"/>
      <c r="AF202" s="42"/>
      <c r="AG202" s="40" t="str">
        <f t="shared" si="90"/>
        <v xml:space="preserve"> hrs @ </v>
      </c>
      <c r="AH202" s="79"/>
      <c r="AI202" s="238"/>
      <c r="AJ202" s="168"/>
      <c r="AK202" s="168"/>
    </row>
    <row r="203" spans="1:37" ht="21" x14ac:dyDescent="0.35">
      <c r="A203" s="299" t="s">
        <v>52</v>
      </c>
      <c r="B203" s="218" t="str">
        <f t="shared" si="67"/>
        <v>CFS</v>
      </c>
      <c r="C203" s="5" t="s">
        <v>48</v>
      </c>
      <c r="D203" s="131"/>
      <c r="E203" s="116"/>
      <c r="F203" s="116"/>
      <c r="G203" s="116"/>
      <c r="H203" s="187"/>
      <c r="I203" s="164"/>
      <c r="J203" s="42"/>
      <c r="K203" s="39"/>
      <c r="L203" s="43"/>
      <c r="M203" s="40" t="str">
        <f t="shared" si="88"/>
        <v xml:space="preserve"> hrs @ </v>
      </c>
      <c r="N203" s="79"/>
      <c r="O203" s="238"/>
      <c r="P203" s="388"/>
      <c r="Q203" s="81"/>
      <c r="R203" s="187"/>
      <c r="S203" s="164"/>
      <c r="T203" s="42"/>
      <c r="U203" s="39"/>
      <c r="V203" s="43"/>
      <c r="W203" s="40" t="str">
        <f t="shared" si="89"/>
        <v xml:space="preserve"> hrs @ </v>
      </c>
      <c r="X203" s="79"/>
      <c r="Y203" s="238"/>
      <c r="Z203" s="388"/>
      <c r="AA203" s="81"/>
      <c r="AB203" s="187"/>
      <c r="AC203" s="164"/>
      <c r="AD203" s="42"/>
      <c r="AE203" s="39"/>
      <c r="AF203" s="43"/>
      <c r="AG203" s="40" t="str">
        <f t="shared" si="90"/>
        <v xml:space="preserve"> hrs @ </v>
      </c>
      <c r="AH203" s="79"/>
      <c r="AI203" s="238"/>
      <c r="AJ203" s="164"/>
      <c r="AK203" s="164"/>
    </row>
    <row r="204" spans="1:37" ht="21" x14ac:dyDescent="0.35">
      <c r="A204" s="299" t="s">
        <v>52</v>
      </c>
      <c r="B204" s="218" t="str">
        <f t="shared" ref="B204:B262" si="91">A204&amp;H204</f>
        <v>CFSTotal Equipment</v>
      </c>
      <c r="C204" s="124" t="s">
        <v>50</v>
      </c>
      <c r="D204" s="132"/>
      <c r="E204" s="116">
        <f>I204</f>
        <v>0</v>
      </c>
      <c r="F204" s="116">
        <f>S204</f>
        <v>0</v>
      </c>
      <c r="G204" s="116">
        <f>AC204</f>
        <v>0</v>
      </c>
      <c r="H204" s="188" t="s">
        <v>37</v>
      </c>
      <c r="I204" s="165">
        <f>SUM(I200:I203)</f>
        <v>0</v>
      </c>
      <c r="J204" s="68"/>
      <c r="K204" s="68"/>
      <c r="L204" s="68"/>
      <c r="M204" s="66"/>
      <c r="N204" s="420">
        <f>I204</f>
        <v>0</v>
      </c>
      <c r="O204" s="233">
        <f>N204/N221</f>
        <v>0</v>
      </c>
      <c r="P204" s="388"/>
      <c r="Q204" s="81"/>
      <c r="R204" s="188" t="s">
        <v>37</v>
      </c>
      <c r="S204" s="165">
        <f>SUM(S200:S203)</f>
        <v>0</v>
      </c>
      <c r="T204" s="68"/>
      <c r="U204" s="68"/>
      <c r="V204" s="68"/>
      <c r="W204" s="66"/>
      <c r="X204" s="420">
        <f>S204</f>
        <v>0</v>
      </c>
      <c r="Y204" s="233">
        <f>X204/X221</f>
        <v>0</v>
      </c>
      <c r="Z204" s="388"/>
      <c r="AA204" s="81"/>
      <c r="AB204" s="188" t="s">
        <v>37</v>
      </c>
      <c r="AC204" s="165">
        <f>SUM(AC200:AC203)</f>
        <v>0</v>
      </c>
      <c r="AD204" s="68"/>
      <c r="AE204" s="68"/>
      <c r="AF204" s="68"/>
      <c r="AG204" s="66"/>
      <c r="AH204" s="420">
        <f>AC204</f>
        <v>0</v>
      </c>
      <c r="AI204" s="233" t="e">
        <f>AH204/AH221</f>
        <v>#DIV/0!</v>
      </c>
      <c r="AJ204" s="165">
        <f>I204+S204+AC204</f>
        <v>0</v>
      </c>
      <c r="AK204" s="165"/>
    </row>
    <row r="205" spans="1:37" ht="21" x14ac:dyDescent="0.35">
      <c r="A205" s="299" t="s">
        <v>52</v>
      </c>
      <c r="B205" s="218" t="str">
        <f t="shared" si="91"/>
        <v>CFS</v>
      </c>
      <c r="C205" s="5" t="s">
        <v>48</v>
      </c>
      <c r="D205" s="132"/>
      <c r="E205" s="116"/>
      <c r="F205" s="116"/>
      <c r="G205" s="116"/>
      <c r="H205" s="189"/>
      <c r="I205" s="166"/>
      <c r="J205" s="69"/>
      <c r="K205" s="69"/>
      <c r="L205" s="69"/>
      <c r="M205" s="70"/>
      <c r="N205" s="88"/>
      <c r="O205" s="241"/>
      <c r="P205" s="389"/>
      <c r="Q205" s="60"/>
      <c r="R205" s="189"/>
      <c r="S205" s="166"/>
      <c r="T205" s="69"/>
      <c r="U205" s="69"/>
      <c r="V205" s="69"/>
      <c r="W205" s="70"/>
      <c r="X205" s="88"/>
      <c r="Y205" s="241"/>
      <c r="Z205" s="389"/>
      <c r="AA205" s="60"/>
      <c r="AB205" s="189"/>
      <c r="AC205" s="166"/>
      <c r="AD205" s="69"/>
      <c r="AE205" s="69"/>
      <c r="AF205" s="69"/>
      <c r="AG205" s="70"/>
      <c r="AH205" s="88"/>
      <c r="AI205" s="241"/>
      <c r="AJ205" s="166"/>
      <c r="AK205" s="166"/>
    </row>
    <row r="206" spans="1:37" ht="21" x14ac:dyDescent="0.35">
      <c r="A206" s="299" t="s">
        <v>52</v>
      </c>
      <c r="B206" s="218" t="str">
        <f t="shared" si="91"/>
        <v>CFSIS SUPPORT</v>
      </c>
      <c r="C206" s="124" t="s">
        <v>50</v>
      </c>
      <c r="D206" s="130"/>
      <c r="E206" s="116"/>
      <c r="F206" s="116"/>
      <c r="G206" s="116"/>
      <c r="H206" s="186" t="s">
        <v>38</v>
      </c>
      <c r="I206" s="167"/>
      <c r="J206" s="74"/>
      <c r="K206" s="74"/>
      <c r="L206" s="74"/>
      <c r="M206" s="66"/>
      <c r="N206" s="91"/>
      <c r="O206" s="227"/>
      <c r="P206" s="390"/>
      <c r="Q206" s="37"/>
      <c r="R206" s="186" t="s">
        <v>38</v>
      </c>
      <c r="S206" s="167"/>
      <c r="T206" s="74"/>
      <c r="U206" s="74"/>
      <c r="V206" s="74"/>
      <c r="W206" s="66"/>
      <c r="X206" s="91"/>
      <c r="Y206" s="227"/>
      <c r="Z206" s="390"/>
      <c r="AA206" s="37"/>
      <c r="AB206" s="186" t="s">
        <v>38</v>
      </c>
      <c r="AC206" s="167"/>
      <c r="AD206" s="74"/>
      <c r="AE206" s="74"/>
      <c r="AF206" s="74"/>
      <c r="AG206" s="66"/>
      <c r="AH206" s="91"/>
      <c r="AI206" s="227"/>
      <c r="AJ206" s="167"/>
      <c r="AK206" s="167"/>
    </row>
    <row r="207" spans="1:37" ht="21" x14ac:dyDescent="0.35">
      <c r="A207" s="299" t="s">
        <v>52</v>
      </c>
      <c r="B207" s="218" t="str">
        <f t="shared" si="91"/>
        <v>CFS</v>
      </c>
      <c r="C207" s="5" t="s">
        <v>48</v>
      </c>
      <c r="D207" s="128"/>
      <c r="E207" s="116"/>
      <c r="F207" s="116"/>
      <c r="G207" s="116"/>
      <c r="H207" s="184"/>
      <c r="I207" s="162"/>
      <c r="J207" s="42"/>
      <c r="K207" s="39"/>
      <c r="L207" s="39"/>
      <c r="M207" s="40" t="str">
        <f>J207&amp;" hrs @ "&amp;K207</f>
        <v xml:space="preserve"> hrs @ </v>
      </c>
      <c r="N207" s="94"/>
      <c r="O207" s="242"/>
      <c r="P207" s="390"/>
      <c r="Q207" s="37"/>
      <c r="R207" s="184"/>
      <c r="S207" s="162">
        <f>T207*U207</f>
        <v>0</v>
      </c>
      <c r="T207" s="42"/>
      <c r="U207" s="39"/>
      <c r="V207" s="39"/>
      <c r="W207" s="40" t="str">
        <f>T207&amp;" hrs @ "&amp;U207</f>
        <v xml:space="preserve"> hrs @ </v>
      </c>
      <c r="X207" s="94"/>
      <c r="Y207" s="242"/>
      <c r="Z207" s="390"/>
      <c r="AA207" s="37"/>
      <c r="AB207" s="184"/>
      <c r="AC207" s="162">
        <f>AD207*AE207</f>
        <v>0</v>
      </c>
      <c r="AD207" s="42"/>
      <c r="AE207" s="39"/>
      <c r="AF207" s="39"/>
      <c r="AG207" s="40" t="str">
        <f>AD207&amp;" hrs @ "&amp;AE207</f>
        <v xml:space="preserve"> hrs @ </v>
      </c>
      <c r="AH207" s="94"/>
      <c r="AI207" s="242"/>
      <c r="AJ207" s="162">
        <f>I207+S207+AC207</f>
        <v>0</v>
      </c>
      <c r="AK207" s="162"/>
    </row>
    <row r="208" spans="1:37" ht="21" x14ac:dyDescent="0.35">
      <c r="A208" s="299" t="s">
        <v>52</v>
      </c>
      <c r="B208" s="218" t="str">
        <f t="shared" si="91"/>
        <v>CFS</v>
      </c>
      <c r="C208" s="5" t="s">
        <v>48</v>
      </c>
      <c r="D208" s="128"/>
      <c r="E208" s="116"/>
      <c r="F208" s="116"/>
      <c r="G208" s="116"/>
      <c r="H208" s="184"/>
      <c r="I208" s="159"/>
      <c r="J208" s="42"/>
      <c r="K208" s="39"/>
      <c r="L208" s="156"/>
      <c r="M208" s="45" t="str">
        <f>"@ "&amp;$O$2*100&amp;" %"</f>
        <v>@ 98.59 %</v>
      </c>
      <c r="N208" s="94"/>
      <c r="O208" s="242"/>
      <c r="P208" s="390"/>
      <c r="Q208" s="37"/>
      <c r="R208" s="184"/>
      <c r="S208" s="159">
        <f>S207*$O$2</f>
        <v>0</v>
      </c>
      <c r="T208" s="42"/>
      <c r="U208" s="39"/>
      <c r="V208" s="156"/>
      <c r="W208" s="45" t="str">
        <f>"@ "&amp;$O$2*100&amp;" %"</f>
        <v>@ 98.59 %</v>
      </c>
      <c r="X208" s="94"/>
      <c r="Y208" s="242"/>
      <c r="Z208" s="390"/>
      <c r="AA208" s="37"/>
      <c r="AB208" s="184"/>
      <c r="AC208" s="159">
        <f>AC207*$O$2</f>
        <v>0</v>
      </c>
      <c r="AD208" s="42"/>
      <c r="AE208" s="39"/>
      <c r="AF208" s="156"/>
      <c r="AG208" s="45" t="str">
        <f>"@ "&amp;$O$2*100&amp;" %"</f>
        <v>@ 98.59 %</v>
      </c>
      <c r="AH208" s="94"/>
      <c r="AI208" s="242"/>
      <c r="AJ208" s="159">
        <f>I208+S208+AC208</f>
        <v>0</v>
      </c>
      <c r="AK208" s="159"/>
    </row>
    <row r="209" spans="1:37" ht="21" x14ac:dyDescent="0.35">
      <c r="A209" s="299" t="s">
        <v>52</v>
      </c>
      <c r="B209" s="218" t="str">
        <f t="shared" si="91"/>
        <v>CFSTotal IS</v>
      </c>
      <c r="C209" s="124" t="s">
        <v>50</v>
      </c>
      <c r="D209" s="128"/>
      <c r="E209" s="116"/>
      <c r="F209" s="116"/>
      <c r="G209" s="116"/>
      <c r="H209" s="185" t="s">
        <v>41</v>
      </c>
      <c r="I209" s="165">
        <f>I207+I208</f>
        <v>0</v>
      </c>
      <c r="J209" s="68"/>
      <c r="K209" s="68"/>
      <c r="L209" s="68"/>
      <c r="M209" s="66"/>
      <c r="N209" s="420">
        <f>I209</f>
        <v>0</v>
      </c>
      <c r="O209" s="233">
        <f>N209/N221</f>
        <v>0</v>
      </c>
      <c r="P209" s="390"/>
      <c r="Q209" s="37"/>
      <c r="R209" s="185" t="s">
        <v>41</v>
      </c>
      <c r="S209" s="165">
        <f>S207+S208</f>
        <v>0</v>
      </c>
      <c r="T209" s="68"/>
      <c r="U209" s="68"/>
      <c r="V209" s="68"/>
      <c r="W209" s="66"/>
      <c r="X209" s="420">
        <f>S209</f>
        <v>0</v>
      </c>
      <c r="Y209" s="233">
        <f>X209/X221</f>
        <v>0</v>
      </c>
      <c r="Z209" s="390"/>
      <c r="AA209" s="37"/>
      <c r="AB209" s="185" t="s">
        <v>41</v>
      </c>
      <c r="AC209" s="165">
        <f>AC207+AC208</f>
        <v>0</v>
      </c>
      <c r="AD209" s="68"/>
      <c r="AE209" s="68"/>
      <c r="AF209" s="68"/>
      <c r="AG209" s="66"/>
      <c r="AH209" s="420">
        <f>AC209</f>
        <v>0</v>
      </c>
      <c r="AI209" s="233" t="e">
        <f>AH209/AH221</f>
        <v>#DIV/0!</v>
      </c>
      <c r="AJ209" s="165">
        <f>I209+S209+AC209</f>
        <v>0</v>
      </c>
      <c r="AK209" s="165"/>
    </row>
    <row r="210" spans="1:37" ht="21" x14ac:dyDescent="0.35">
      <c r="A210" s="299" t="s">
        <v>52</v>
      </c>
      <c r="B210" s="218" t="str">
        <f t="shared" si="91"/>
        <v>CFS</v>
      </c>
      <c r="C210" s="5" t="s">
        <v>48</v>
      </c>
      <c r="D210" s="128"/>
      <c r="E210" s="116"/>
      <c r="F210" s="116"/>
      <c r="G210" s="116"/>
      <c r="H210" s="179"/>
      <c r="I210" s="166"/>
      <c r="J210" s="69"/>
      <c r="K210" s="69"/>
      <c r="L210" s="69"/>
      <c r="M210" s="70"/>
      <c r="N210" s="98"/>
      <c r="O210" s="243"/>
      <c r="P210" s="391"/>
      <c r="Q210" s="60"/>
      <c r="R210" s="179"/>
      <c r="S210" s="166"/>
      <c r="T210" s="69"/>
      <c r="U210" s="69"/>
      <c r="V210" s="69"/>
      <c r="W210" s="70"/>
      <c r="X210" s="98"/>
      <c r="Y210" s="243"/>
      <c r="Z210" s="391"/>
      <c r="AA210" s="60"/>
      <c r="AB210" s="179"/>
      <c r="AC210" s="166"/>
      <c r="AD210" s="69"/>
      <c r="AE210" s="69"/>
      <c r="AF210" s="69"/>
      <c r="AG210" s="70"/>
      <c r="AH210" s="98"/>
      <c r="AI210" s="243"/>
      <c r="AJ210" s="166"/>
      <c r="AK210" s="166"/>
    </row>
    <row r="211" spans="1:37" ht="21" customHeight="1" x14ac:dyDescent="0.35">
      <c r="A211" s="299" t="s">
        <v>52</v>
      </c>
      <c r="B211" s="218" t="str">
        <f t="shared" si="91"/>
        <v>CFSOTHER</v>
      </c>
      <c r="C211" s="124" t="s">
        <v>50</v>
      </c>
      <c r="D211" s="132"/>
      <c r="E211" s="116"/>
      <c r="F211" s="116"/>
      <c r="G211" s="116"/>
      <c r="H211" s="186" t="s">
        <v>42</v>
      </c>
      <c r="I211" s="167"/>
      <c r="J211" s="74"/>
      <c r="K211" s="74"/>
      <c r="L211" s="74"/>
      <c r="M211" s="66"/>
      <c r="N211" s="91"/>
      <c r="O211" s="227"/>
      <c r="P211" s="390"/>
      <c r="Q211" s="37"/>
      <c r="R211" s="186" t="s">
        <v>42</v>
      </c>
      <c r="S211" s="167"/>
      <c r="T211" s="74"/>
      <c r="U211" s="74"/>
      <c r="V211" s="74"/>
      <c r="W211" s="66"/>
      <c r="X211" s="91"/>
      <c r="Y211" s="227"/>
      <c r="Z211" s="390"/>
      <c r="AA211" s="37"/>
      <c r="AB211" s="186" t="s">
        <v>42</v>
      </c>
      <c r="AC211" s="167"/>
      <c r="AD211" s="74"/>
      <c r="AE211" s="74"/>
      <c r="AF211" s="74"/>
      <c r="AG211" s="66"/>
      <c r="AH211" s="91"/>
      <c r="AI211" s="227"/>
      <c r="AJ211" s="167"/>
      <c r="AK211" s="167"/>
    </row>
    <row r="212" spans="1:37" ht="21" x14ac:dyDescent="0.35">
      <c r="A212" s="299" t="s">
        <v>52</v>
      </c>
      <c r="B212" s="218" t="str">
        <f t="shared" si="91"/>
        <v xml:space="preserve">CFSNon-Payroll </v>
      </c>
      <c r="C212" s="5" t="s">
        <v>48</v>
      </c>
      <c r="D212" s="128"/>
      <c r="E212" s="116"/>
      <c r="F212" s="116"/>
      <c r="G212" s="116"/>
      <c r="H212" s="38" t="s">
        <v>334</v>
      </c>
      <c r="I212" s="163">
        <f>ROUND(((I191+I197+I209)/VLOOKUP("CUST FIELD SERVICESPayroll",'Base 2015 actual for Cost Cente'!$A:$F,6,FALSE))*VLOOKUP("CUST FIELD SERVICESNon-Payroll",'Base 2015 actual for Cost Cente'!$A:$F,6,FALSE),0)</f>
        <v>136194</v>
      </c>
      <c r="J212" s="74"/>
      <c r="K212" s="74"/>
      <c r="L212" s="74"/>
      <c r="M212" s="773" t="s">
        <v>369</v>
      </c>
      <c r="N212" s="91"/>
      <c r="O212" s="227"/>
      <c r="P212" s="390"/>
      <c r="Q212" s="37"/>
      <c r="R212" s="38" t="s">
        <v>334</v>
      </c>
      <c r="S212" s="163">
        <f>ROUND(((S191+S197+S209)/VLOOKUP("CUST FIELD SERVICESPayroll",'Base 2015 actual for Cost Cente'!$A:$F,6,FALSE))*VLOOKUP("CUST FIELD SERVICESNon-Payroll",'Base 2015 actual for Cost Cente'!$A:$F,6,FALSE),0)</f>
        <v>6527</v>
      </c>
      <c r="T212" s="74"/>
      <c r="U212" s="74"/>
      <c r="V212" s="74"/>
      <c r="W212" s="773" t="s">
        <v>369</v>
      </c>
      <c r="X212" s="91"/>
      <c r="Y212" s="227"/>
      <c r="Z212" s="390"/>
      <c r="AA212" s="37"/>
      <c r="AB212" s="38" t="s">
        <v>334</v>
      </c>
      <c r="AC212" s="163">
        <f>ROUND(((AC191+AC197+AC209)/VLOOKUP("CUST FIELD SERVICESPayroll",'Base 2015 actual for Cost Cente'!$A:$F,6,FALSE))*VLOOKUP("CUST FIELD SERVICESNon-Payroll",'Base 2015 actual for Cost Cente'!$A:$F,6,FALSE),0)</f>
        <v>0</v>
      </c>
      <c r="AD212" s="74"/>
      <c r="AE212" s="74"/>
      <c r="AF212" s="74"/>
      <c r="AG212" s="773" t="s">
        <v>369</v>
      </c>
      <c r="AH212" s="91"/>
      <c r="AI212" s="227"/>
      <c r="AJ212" s="163"/>
      <c r="AK212" s="163"/>
    </row>
    <row r="213" spans="1:37" ht="21" x14ac:dyDescent="0.35">
      <c r="A213" s="299" t="s">
        <v>52</v>
      </c>
      <c r="B213" s="218" t="str">
        <f t="shared" si="91"/>
        <v>CFS</v>
      </c>
      <c r="C213" s="5" t="s">
        <v>48</v>
      </c>
      <c r="D213" s="129"/>
      <c r="E213" s="116"/>
      <c r="F213" s="116"/>
      <c r="G213" s="116"/>
      <c r="H213" s="38"/>
      <c r="I213" s="168"/>
      <c r="J213" s="42"/>
      <c r="K213" s="39"/>
      <c r="L213" s="42"/>
      <c r="M213" s="774"/>
      <c r="N213" s="91"/>
      <c r="O213" s="227"/>
      <c r="P213" s="390"/>
      <c r="Q213" s="37"/>
      <c r="R213" s="38"/>
      <c r="S213" s="168"/>
      <c r="T213" s="42"/>
      <c r="U213" s="39"/>
      <c r="V213" s="42"/>
      <c r="W213" s="774"/>
      <c r="X213" s="91"/>
      <c r="Y213" s="227"/>
      <c r="Z213" s="390"/>
      <c r="AA213" s="37"/>
      <c r="AB213" s="38"/>
      <c r="AC213" s="168"/>
      <c r="AD213" s="42"/>
      <c r="AE213" s="39"/>
      <c r="AF213" s="42"/>
      <c r="AG213" s="774"/>
      <c r="AH213" s="91"/>
      <c r="AI213" s="227"/>
      <c r="AJ213" s="168"/>
      <c r="AK213" s="168"/>
    </row>
    <row r="214" spans="1:37" ht="21" x14ac:dyDescent="0.35">
      <c r="A214" s="299" t="s">
        <v>52</v>
      </c>
      <c r="B214" s="218" t="str">
        <f t="shared" si="91"/>
        <v>CFS</v>
      </c>
      <c r="C214" s="5" t="s">
        <v>48</v>
      </c>
      <c r="D214" s="129"/>
      <c r="E214" s="116"/>
      <c r="F214" s="116"/>
      <c r="G214" s="116"/>
      <c r="H214" s="38"/>
      <c r="I214" s="168"/>
      <c r="J214" s="42"/>
      <c r="K214" s="39"/>
      <c r="L214" s="42"/>
      <c r="M214" s="66" t="s">
        <v>542</v>
      </c>
      <c r="N214" s="91"/>
      <c r="O214" s="227"/>
      <c r="P214" s="390"/>
      <c r="Q214" s="37"/>
      <c r="R214" s="38"/>
      <c r="S214" s="168"/>
      <c r="T214" s="42"/>
      <c r="U214" s="39"/>
      <c r="V214" s="42"/>
      <c r="W214" s="66" t="s">
        <v>542</v>
      </c>
      <c r="X214" s="91"/>
      <c r="Y214" s="227"/>
      <c r="Z214" s="390"/>
      <c r="AA214" s="37"/>
      <c r="AB214" s="38"/>
      <c r="AC214" s="168"/>
      <c r="AD214" s="42"/>
      <c r="AE214" s="39"/>
      <c r="AF214" s="42"/>
      <c r="AG214" s="66" t="s">
        <v>542</v>
      </c>
      <c r="AH214" s="91"/>
      <c r="AI214" s="227"/>
      <c r="AJ214" s="168"/>
      <c r="AK214" s="168"/>
    </row>
    <row r="215" spans="1:37" ht="21" x14ac:dyDescent="0.35">
      <c r="A215" s="299" t="s">
        <v>52</v>
      </c>
      <c r="B215" s="218" t="str">
        <f t="shared" si="91"/>
        <v>CFS</v>
      </c>
      <c r="C215" s="5" t="s">
        <v>48</v>
      </c>
      <c r="D215" s="129"/>
      <c r="E215" s="116"/>
      <c r="F215" s="116"/>
      <c r="G215" s="116"/>
      <c r="H215" s="38"/>
      <c r="I215" s="168"/>
      <c r="J215" s="42"/>
      <c r="K215" s="39"/>
      <c r="L215" s="42"/>
      <c r="M215" s="66"/>
      <c r="N215" s="91"/>
      <c r="O215" s="227"/>
      <c r="P215" s="390"/>
      <c r="Q215" s="37"/>
      <c r="R215" s="38"/>
      <c r="S215" s="168"/>
      <c r="T215" s="42"/>
      <c r="U215" s="39"/>
      <c r="V215" s="42"/>
      <c r="W215" s="66"/>
      <c r="X215" s="91"/>
      <c r="Y215" s="227"/>
      <c r="Z215" s="390"/>
      <c r="AA215" s="37"/>
      <c r="AB215" s="38"/>
      <c r="AC215" s="168"/>
      <c r="AD215" s="42"/>
      <c r="AE215" s="39"/>
      <c r="AF215" s="42"/>
      <c r="AG215" s="66"/>
      <c r="AH215" s="91"/>
      <c r="AI215" s="227"/>
      <c r="AJ215" s="168"/>
      <c r="AK215" s="168"/>
    </row>
    <row r="216" spans="1:37" ht="21" x14ac:dyDescent="0.35">
      <c r="A216" s="299" t="s">
        <v>52</v>
      </c>
      <c r="B216" s="218" t="str">
        <f t="shared" si="91"/>
        <v>CFS</v>
      </c>
      <c r="C216" s="5" t="s">
        <v>48</v>
      </c>
      <c r="D216" s="129"/>
      <c r="E216" s="116"/>
      <c r="F216" s="116"/>
      <c r="G216" s="116"/>
      <c r="H216" s="38"/>
      <c r="I216" s="168"/>
      <c r="J216" s="42"/>
      <c r="K216" s="39"/>
      <c r="L216" s="42"/>
      <c r="M216" s="66"/>
      <c r="N216" s="91"/>
      <c r="O216" s="227"/>
      <c r="P216" s="390"/>
      <c r="Q216" s="37"/>
      <c r="R216" s="38"/>
      <c r="S216" s="168"/>
      <c r="T216" s="42"/>
      <c r="U216" s="39"/>
      <c r="V216" s="42"/>
      <c r="W216" s="66"/>
      <c r="X216" s="91"/>
      <c r="Y216" s="227"/>
      <c r="Z216" s="390"/>
      <c r="AA216" s="37"/>
      <c r="AB216" s="38"/>
      <c r="AC216" s="168"/>
      <c r="AD216" s="42"/>
      <c r="AE216" s="39"/>
      <c r="AF216" s="42"/>
      <c r="AG216" s="66"/>
      <c r="AH216" s="91"/>
      <c r="AI216" s="227"/>
      <c r="AJ216" s="168"/>
      <c r="AK216" s="168"/>
    </row>
    <row r="217" spans="1:37" ht="21" x14ac:dyDescent="0.35">
      <c r="A217" s="299" t="s">
        <v>52</v>
      </c>
      <c r="B217" s="218" t="str">
        <f t="shared" si="91"/>
        <v>CFS</v>
      </c>
      <c r="C217" s="5" t="s">
        <v>48</v>
      </c>
      <c r="D217" s="129"/>
      <c r="E217" s="116"/>
      <c r="F217" s="116"/>
      <c r="G217" s="116"/>
      <c r="H217" s="38"/>
      <c r="I217" s="164"/>
      <c r="J217" s="67"/>
      <c r="K217" s="67"/>
      <c r="L217" s="67"/>
      <c r="M217" s="40" t="str">
        <f>J217&amp;" days @ "&amp;K217</f>
        <v xml:space="preserve"> days @ </v>
      </c>
      <c r="N217" s="94"/>
      <c r="O217" s="242"/>
      <c r="P217" s="390"/>
      <c r="Q217" s="37"/>
      <c r="R217" s="38"/>
      <c r="S217" s="164"/>
      <c r="T217" s="67"/>
      <c r="U217" s="67"/>
      <c r="V217" s="67"/>
      <c r="W217" s="40" t="str">
        <f>T217&amp;" days @ "&amp;U217</f>
        <v xml:space="preserve"> days @ </v>
      </c>
      <c r="X217" s="94"/>
      <c r="Y217" s="242"/>
      <c r="Z217" s="390"/>
      <c r="AA217" s="37"/>
      <c r="AB217" s="38"/>
      <c r="AC217" s="164"/>
      <c r="AD217" s="67"/>
      <c r="AE217" s="67"/>
      <c r="AF217" s="67"/>
      <c r="AG217" s="40" t="str">
        <f>AD217&amp;" days @ "&amp;AE217</f>
        <v xml:space="preserve"> days @ </v>
      </c>
      <c r="AH217" s="94"/>
      <c r="AI217" s="242"/>
      <c r="AJ217" s="164"/>
      <c r="AK217" s="164"/>
    </row>
    <row r="218" spans="1:37" ht="21" x14ac:dyDescent="0.35">
      <c r="A218" s="299" t="s">
        <v>52</v>
      </c>
      <c r="B218" s="218" t="str">
        <f t="shared" si="91"/>
        <v>CFSTotal Other</v>
      </c>
      <c r="C218" s="124" t="s">
        <v>50</v>
      </c>
      <c r="D218" s="129"/>
      <c r="E218" s="116">
        <f>I218</f>
        <v>136194</v>
      </c>
      <c r="F218" s="116">
        <f>S218</f>
        <v>6527</v>
      </c>
      <c r="G218" s="116">
        <f>AC218</f>
        <v>0</v>
      </c>
      <c r="H218" s="185" t="s">
        <v>45</v>
      </c>
      <c r="I218" s="165">
        <f>SUM(I212:I217)</f>
        <v>136194</v>
      </c>
      <c r="J218" s="68"/>
      <c r="K218" s="68"/>
      <c r="L218" s="68"/>
      <c r="M218" s="66"/>
      <c r="N218" s="414">
        <f>I218</f>
        <v>136194</v>
      </c>
      <c r="O218" s="233">
        <f>N218/N221</f>
        <v>0.11207416471417829</v>
      </c>
      <c r="P218" s="390"/>
      <c r="Q218" s="68"/>
      <c r="R218" s="185" t="s">
        <v>45</v>
      </c>
      <c r="S218" s="165">
        <f>SUM(S212:S217)</f>
        <v>6527</v>
      </c>
      <c r="T218" s="68"/>
      <c r="U218" s="68"/>
      <c r="V218" s="68"/>
      <c r="W218" s="66"/>
      <c r="X218" s="414">
        <f>S218</f>
        <v>6527</v>
      </c>
      <c r="Y218" s="233">
        <f>X218/X221</f>
        <v>0.1120741281544628</v>
      </c>
      <c r="Z218" s="390"/>
      <c r="AA218" s="68"/>
      <c r="AB218" s="185" t="s">
        <v>45</v>
      </c>
      <c r="AC218" s="165">
        <f>SUM(AC212:AC217)</f>
        <v>0</v>
      </c>
      <c r="AD218" s="68"/>
      <c r="AE218" s="68"/>
      <c r="AF218" s="68"/>
      <c r="AG218" s="66"/>
      <c r="AH218" s="414">
        <f>AC218</f>
        <v>0</v>
      </c>
      <c r="AI218" s="233" t="e">
        <f>AH218/AH221</f>
        <v>#DIV/0!</v>
      </c>
      <c r="AJ218" s="165">
        <f>I218+S218+AC218</f>
        <v>142721</v>
      </c>
      <c r="AK218" s="165"/>
    </row>
    <row r="219" spans="1:37" ht="21.75" thickBot="1" x14ac:dyDescent="0.4">
      <c r="A219" s="299" t="s">
        <v>52</v>
      </c>
      <c r="B219" s="218" t="str">
        <f t="shared" si="91"/>
        <v>CFS</v>
      </c>
      <c r="C219" s="5" t="s">
        <v>48</v>
      </c>
      <c r="D219" s="129"/>
      <c r="E219" s="116"/>
      <c r="F219" s="116"/>
      <c r="G219" s="116"/>
      <c r="H219" s="178"/>
      <c r="I219" s="178"/>
      <c r="J219" s="101"/>
      <c r="K219" s="101"/>
      <c r="L219" s="101"/>
      <c r="M219" s="102"/>
      <c r="N219" s="415"/>
      <c r="O219" s="178"/>
      <c r="P219" s="101"/>
      <c r="Q219" s="101"/>
      <c r="R219" s="178"/>
      <c r="S219" s="178"/>
      <c r="T219" s="101"/>
      <c r="U219" s="101"/>
      <c r="V219" s="101"/>
      <c r="W219" s="102"/>
      <c r="X219" s="415"/>
      <c r="Y219" s="178"/>
      <c r="Z219" s="101"/>
      <c r="AA219" s="101"/>
      <c r="AB219" s="178"/>
      <c r="AC219" s="178"/>
      <c r="AD219" s="101"/>
      <c r="AE219" s="101"/>
      <c r="AF219" s="101"/>
      <c r="AG219" s="102"/>
      <c r="AH219" s="415"/>
      <c r="AI219" s="178"/>
      <c r="AJ219" s="178"/>
      <c r="AK219" s="178"/>
    </row>
    <row r="220" spans="1:37" ht="21.75" thickTop="1" x14ac:dyDescent="0.35">
      <c r="A220" s="299" t="s">
        <v>52</v>
      </c>
      <c r="B220" s="218" t="str">
        <f t="shared" si="91"/>
        <v>CFSTOTALS</v>
      </c>
      <c r="C220" s="5" t="s">
        <v>48</v>
      </c>
      <c r="D220" s="129"/>
      <c r="E220" s="116"/>
      <c r="F220" s="116"/>
      <c r="G220" s="116"/>
      <c r="H220" s="186" t="s">
        <v>28</v>
      </c>
      <c r="I220" s="103"/>
      <c r="J220" s="103"/>
      <c r="K220" s="103"/>
      <c r="L220" s="103"/>
      <c r="M220" s="104"/>
      <c r="N220" s="91"/>
      <c r="O220" s="136"/>
      <c r="P220" s="390"/>
      <c r="Q220" s="37"/>
      <c r="R220" s="186" t="s">
        <v>28</v>
      </c>
      <c r="S220" s="103"/>
      <c r="T220" s="103"/>
      <c r="U220" s="103"/>
      <c r="V220" s="103"/>
      <c r="W220" s="104"/>
      <c r="X220" s="91"/>
      <c r="Y220" s="136"/>
      <c r="Z220" s="390"/>
      <c r="AA220" s="37"/>
      <c r="AB220" s="186" t="s">
        <v>28</v>
      </c>
      <c r="AC220" s="103"/>
      <c r="AD220" s="435"/>
      <c r="AE220" s="435"/>
      <c r="AF220" s="435"/>
      <c r="AG220" s="436"/>
      <c r="AH220" s="91"/>
      <c r="AI220" s="136"/>
      <c r="AJ220" s="103"/>
      <c r="AK220" s="103"/>
    </row>
    <row r="221" spans="1:37" ht="21" x14ac:dyDescent="0.35">
      <c r="A221" s="299" t="s">
        <v>52</v>
      </c>
      <c r="B221" s="218" t="str">
        <f t="shared" si="91"/>
        <v>CFSPER YEAR</v>
      </c>
      <c r="C221" s="124" t="s">
        <v>50</v>
      </c>
      <c r="D221" s="129"/>
      <c r="E221" s="116"/>
      <c r="F221" s="116"/>
      <c r="G221" s="116"/>
      <c r="H221" s="190" t="s">
        <v>46</v>
      </c>
      <c r="I221" s="417">
        <f>I191+I197+I204+I209+I218</f>
        <v>1215213.161278822</v>
      </c>
      <c r="J221" s="106"/>
      <c r="K221" s="106"/>
      <c r="L221" s="106"/>
      <c r="M221" s="107"/>
      <c r="N221" s="420">
        <f>SUM(N191:N219)</f>
        <v>1215213.161278822</v>
      </c>
      <c r="O221" s="233">
        <f>SUM(O191:O219)</f>
        <v>1</v>
      </c>
      <c r="P221" s="390"/>
      <c r="Q221" s="37"/>
      <c r="R221" s="190" t="s">
        <v>46</v>
      </c>
      <c r="S221" s="417">
        <f>S191+S197+S204+S209+S218</f>
        <v>58238.240238678089</v>
      </c>
      <c r="T221" s="106"/>
      <c r="U221" s="106"/>
      <c r="V221" s="106"/>
      <c r="W221" s="107"/>
      <c r="X221" s="420">
        <f>SUM(X191:X219)</f>
        <v>58238.240238678089</v>
      </c>
      <c r="Y221" s="233">
        <f>SUM(Y191:Y219)</f>
        <v>1</v>
      </c>
      <c r="Z221" s="390"/>
      <c r="AA221" s="37"/>
      <c r="AB221" s="190" t="s">
        <v>46</v>
      </c>
      <c r="AC221" s="417">
        <f>AC191+AC197+AC204+AC209+AC218</f>
        <v>0</v>
      </c>
      <c r="AD221" s="106"/>
      <c r="AE221" s="106"/>
      <c r="AF221" s="106"/>
      <c r="AG221" s="107"/>
      <c r="AH221" s="420">
        <f>SUM(AH191:AH219)</f>
        <v>0</v>
      </c>
      <c r="AI221" s="233" t="e">
        <f>SUM(AI191:AI219)</f>
        <v>#DIV/0!</v>
      </c>
      <c r="AJ221" s="417">
        <f>I221+S221+AC221</f>
        <v>1273451.4015175002</v>
      </c>
      <c r="AK221" s="417"/>
    </row>
    <row r="222" spans="1:37" ht="21" x14ac:dyDescent="0.35">
      <c r="A222" s="299" t="s">
        <v>52</v>
      </c>
      <c r="B222" s="218" t="str">
        <f t="shared" si="91"/>
        <v>CFSPER PAYMENT</v>
      </c>
      <c r="C222" s="124" t="s">
        <v>50</v>
      </c>
      <c r="D222" s="129"/>
      <c r="E222" s="116"/>
      <c r="F222" s="116"/>
      <c r="G222" s="116"/>
      <c r="H222" s="185" t="s">
        <v>47</v>
      </c>
      <c r="I222" s="419">
        <f>I221/I$6</f>
        <v>8.2783571622738119</v>
      </c>
      <c r="J222" s="108"/>
      <c r="K222" s="108"/>
      <c r="L222" s="108"/>
      <c r="M222" s="109"/>
      <c r="N222" s="98"/>
      <c r="O222" s="243"/>
      <c r="P222" s="391"/>
      <c r="Q222" s="60"/>
      <c r="R222" s="185" t="s">
        <v>47</v>
      </c>
      <c r="S222" s="419">
        <f>S221/S$6</f>
        <v>8.2783568214183489</v>
      </c>
      <c r="T222" s="108"/>
      <c r="U222" s="108"/>
      <c r="V222" s="108"/>
      <c r="W222" s="109"/>
      <c r="X222" s="98"/>
      <c r="Y222" s="243"/>
      <c r="Z222" s="391"/>
      <c r="AA222" s="60"/>
      <c r="AB222" s="185" t="s">
        <v>47</v>
      </c>
      <c r="AC222" s="419">
        <f>AC221/AC$6</f>
        <v>0</v>
      </c>
      <c r="AD222" s="108"/>
      <c r="AE222" s="108"/>
      <c r="AF222" s="108"/>
      <c r="AG222" s="109"/>
      <c r="AH222" s="98"/>
      <c r="AI222" s="243"/>
      <c r="AJ222" s="419">
        <f>I222+S222+AC222</f>
        <v>16.556713983692163</v>
      </c>
      <c r="AK222" s="419"/>
    </row>
    <row r="223" spans="1:37" ht="15.75" x14ac:dyDescent="0.25">
      <c r="A223" s="301" t="s">
        <v>52</v>
      </c>
      <c r="B223" s="218"/>
      <c r="C223" s="220"/>
      <c r="D223" s="10"/>
      <c r="E223" s="10"/>
      <c r="F223" s="10"/>
      <c r="G223" s="10"/>
      <c r="H223" s="137" t="s">
        <v>553</v>
      </c>
      <c r="I223" s="652">
        <f>I191+I197</f>
        <v>1079019.161278822</v>
      </c>
      <c r="J223" s="108"/>
      <c r="K223" s="108"/>
      <c r="L223" s="108"/>
      <c r="M223" s="109"/>
      <c r="N223" s="649"/>
      <c r="O223" s="650"/>
      <c r="P223" s="92"/>
      <c r="Q223" s="37"/>
      <c r="R223" s="137" t="s">
        <v>553</v>
      </c>
      <c r="S223" s="652">
        <f>S191+S197</f>
        <v>51711.240238678089</v>
      </c>
      <c r="T223" s="108"/>
      <c r="U223" s="108"/>
      <c r="V223" s="108"/>
      <c r="W223" s="109"/>
      <c r="X223" s="651"/>
      <c r="Y223" s="650"/>
      <c r="Z223" s="92"/>
      <c r="AA223" s="37"/>
      <c r="AB223" s="137" t="s">
        <v>553</v>
      </c>
      <c r="AC223" s="652">
        <f>AC191+AC197</f>
        <v>0</v>
      </c>
      <c r="AD223" s="108"/>
      <c r="AE223" s="108"/>
      <c r="AF223" s="108"/>
      <c r="AG223" s="109"/>
      <c r="AH223" s="649"/>
      <c r="AI223" s="137"/>
      <c r="AJ223" s="652">
        <f>I223+S223+AC223</f>
        <v>1130730.4015175002</v>
      </c>
      <c r="AK223" s="652"/>
    </row>
    <row r="224" spans="1:37" ht="15.75" x14ac:dyDescent="0.25">
      <c r="A224" s="301" t="s">
        <v>52</v>
      </c>
      <c r="B224" s="218"/>
      <c r="C224" s="220"/>
      <c r="D224" s="10"/>
      <c r="E224" s="10"/>
      <c r="F224" s="10"/>
      <c r="G224" s="10"/>
      <c r="H224" s="137" t="s">
        <v>554</v>
      </c>
      <c r="I224" s="652">
        <f>I218+I209+I204</f>
        <v>136194</v>
      </c>
      <c r="J224" s="108"/>
      <c r="K224" s="652"/>
      <c r="L224" s="108"/>
      <c r="M224" s="109"/>
      <c r="N224" s="649"/>
      <c r="O224" s="650"/>
      <c r="P224" s="92"/>
      <c r="Q224" s="37"/>
      <c r="R224" s="137" t="s">
        <v>554</v>
      </c>
      <c r="S224" s="652">
        <f>S218+S209+S204</f>
        <v>6527</v>
      </c>
      <c r="T224" s="108"/>
      <c r="U224" s="652"/>
      <c r="V224" s="108"/>
      <c r="W224" s="109"/>
      <c r="X224" s="651"/>
      <c r="Y224" s="650"/>
      <c r="Z224" s="92"/>
      <c r="AA224" s="37"/>
      <c r="AB224" s="137" t="s">
        <v>554</v>
      </c>
      <c r="AC224" s="652">
        <f>AC218+AC209+AC204</f>
        <v>0</v>
      </c>
      <c r="AD224" s="108"/>
      <c r="AE224" s="652"/>
      <c r="AF224" s="108"/>
      <c r="AG224" s="109"/>
      <c r="AH224" s="649"/>
      <c r="AI224" s="137"/>
      <c r="AJ224" s="652">
        <f>I224+S224+AC224</f>
        <v>142721</v>
      </c>
      <c r="AK224" s="652"/>
    </row>
    <row r="225" spans="1:37" ht="15.75" x14ac:dyDescent="0.25">
      <c r="A225" s="301" t="s">
        <v>52</v>
      </c>
      <c r="B225" s="218"/>
      <c r="C225" s="220"/>
      <c r="D225" s="10"/>
      <c r="E225" s="10"/>
      <c r="F225" s="10"/>
      <c r="G225" s="10"/>
      <c r="H225" s="137" t="s">
        <v>552</v>
      </c>
      <c r="I225" s="652">
        <f>I221</f>
        <v>1215213.161278822</v>
      </c>
      <c r="J225" s="108"/>
      <c r="K225" s="108"/>
      <c r="L225" s="108"/>
      <c r="M225" s="109"/>
      <c r="N225" s="649"/>
      <c r="O225" s="650"/>
      <c r="P225" s="92"/>
      <c r="Q225" s="37"/>
      <c r="R225" s="137" t="s">
        <v>552</v>
      </c>
      <c r="S225" s="652">
        <f>S221</f>
        <v>58238.240238678089</v>
      </c>
      <c r="T225" s="108"/>
      <c r="U225" s="108"/>
      <c r="V225" s="108"/>
      <c r="W225" s="109"/>
      <c r="X225" s="651"/>
      <c r="Y225" s="650"/>
      <c r="Z225" s="92"/>
      <c r="AA225" s="37"/>
      <c r="AB225" s="137" t="s">
        <v>552</v>
      </c>
      <c r="AC225" s="652">
        <f>AC221</f>
        <v>0</v>
      </c>
      <c r="AD225" s="108"/>
      <c r="AE225" s="108"/>
      <c r="AF225" s="108"/>
      <c r="AG225" s="109"/>
      <c r="AH225" s="649"/>
      <c r="AI225" s="137"/>
      <c r="AJ225" s="652">
        <f>I225+S225+AC225</f>
        <v>1273451.4015175002</v>
      </c>
      <c r="AK225" s="652"/>
    </row>
    <row r="226" spans="1:37" ht="78.75" x14ac:dyDescent="0.25">
      <c r="A226" s="299" t="s">
        <v>7</v>
      </c>
      <c r="B226" s="218" t="str">
        <f t="shared" si="91"/>
        <v>Office ServiceLABOR: NON-SUPERVISORY</v>
      </c>
      <c r="C226" s="12" t="s">
        <v>7</v>
      </c>
      <c r="D226" s="10" t="str">
        <f>'2015Summary METER to CASH (Base'!O24</f>
        <v>* Print, insert &amp; mail delinquent notices
* Printer &amp; Inserter equipment maint
* RFQ</v>
      </c>
      <c r="E226" s="117">
        <f>N262</f>
        <v>10420.0173</v>
      </c>
      <c r="F226" s="117">
        <f>X262</f>
        <v>1286.8632</v>
      </c>
      <c r="G226" s="117">
        <f>AC262</f>
        <v>0</v>
      </c>
      <c r="H226" s="183" t="s">
        <v>31</v>
      </c>
      <c r="I226" s="157"/>
      <c r="J226" s="118"/>
      <c r="K226" s="118"/>
      <c r="L226" s="118"/>
      <c r="M226" s="119"/>
      <c r="N226" s="121"/>
      <c r="O226" s="135"/>
      <c r="P226" s="381"/>
      <c r="Q226" s="123"/>
      <c r="R226" s="183" t="s">
        <v>31</v>
      </c>
      <c r="S226" s="157"/>
      <c r="T226" s="118"/>
      <c r="U226" s="118"/>
      <c r="V226" s="118"/>
      <c r="W226" s="119"/>
      <c r="X226" s="121"/>
      <c r="Y226" s="135"/>
      <c r="Z226" s="381"/>
      <c r="AA226" s="123"/>
      <c r="AB226" s="183" t="s">
        <v>31</v>
      </c>
      <c r="AC226" s="157"/>
      <c r="AD226" s="118"/>
      <c r="AE226" s="118"/>
      <c r="AF226" s="118"/>
      <c r="AG226" s="119"/>
      <c r="AH226" s="121"/>
      <c r="AI226" s="135"/>
      <c r="AJ226" s="157"/>
      <c r="AK226" s="157"/>
    </row>
    <row r="227" spans="1:37" ht="21" x14ac:dyDescent="0.35">
      <c r="A227" s="299" t="s">
        <v>7</v>
      </c>
      <c r="B227" s="218" t="str">
        <f t="shared" si="91"/>
        <v>Office ServiceComputer Support 1</v>
      </c>
      <c r="C227" s="5" t="s">
        <v>48</v>
      </c>
      <c r="D227" s="129"/>
      <c r="E227" s="117"/>
      <c r="F227" s="117"/>
      <c r="G227" s="117"/>
      <c r="H227" s="184" t="s">
        <v>314</v>
      </c>
      <c r="I227" s="158">
        <f>J227*K227</f>
        <v>4212</v>
      </c>
      <c r="J227" s="42">
        <v>156</v>
      </c>
      <c r="K227" s="39">
        <v>27</v>
      </c>
      <c r="L227" s="39"/>
      <c r="M227" s="40" t="str">
        <f>J227&amp;" hrs @ "&amp;K227</f>
        <v>156 hrs @ 27</v>
      </c>
      <c r="N227" s="35"/>
      <c r="O227" s="136"/>
      <c r="P227" s="382"/>
      <c r="Q227" s="41"/>
      <c r="R227" s="184" t="s">
        <v>314</v>
      </c>
      <c r="S227" s="158">
        <f>T227*U227</f>
        <v>513</v>
      </c>
      <c r="T227" s="42">
        <v>19</v>
      </c>
      <c r="U227" s="39">
        <v>27</v>
      </c>
      <c r="V227" s="39"/>
      <c r="W227" s="40" t="str">
        <f>T227&amp;" hrs @ "&amp;U227</f>
        <v>19 hrs @ 27</v>
      </c>
      <c r="X227" s="35"/>
      <c r="Y227" s="136"/>
      <c r="Z227" s="382"/>
      <c r="AA227" s="41"/>
      <c r="AB227" s="184"/>
      <c r="AC227" s="158">
        <f>AD227*AE227</f>
        <v>0</v>
      </c>
      <c r="AD227" s="42"/>
      <c r="AE227" s="39"/>
      <c r="AF227" s="39"/>
      <c r="AG227" s="40" t="str">
        <f>AD227&amp;" hrs @ "&amp;AE227</f>
        <v xml:space="preserve"> hrs @ </v>
      </c>
      <c r="AH227" s="35"/>
      <c r="AI227" s="136"/>
      <c r="AJ227" s="158">
        <f>I227+S227+AC227</f>
        <v>4725</v>
      </c>
      <c r="AK227" s="158"/>
    </row>
    <row r="228" spans="1:37" ht="21" x14ac:dyDescent="0.35">
      <c r="A228" s="299" t="s">
        <v>7</v>
      </c>
      <c r="B228" s="218" t="str">
        <f t="shared" si="91"/>
        <v>Office Service</v>
      </c>
      <c r="C228" s="5" t="s">
        <v>48</v>
      </c>
      <c r="D228" s="129"/>
      <c r="E228" s="117"/>
      <c r="F228" s="117"/>
      <c r="G228" s="117"/>
      <c r="H228" s="184"/>
      <c r="I228" s="158">
        <f t="shared" ref="I228:I229" si="92">J228*K228</f>
        <v>0</v>
      </c>
      <c r="J228" s="42"/>
      <c r="K228" s="39"/>
      <c r="L228" s="42"/>
      <c r="M228" s="40" t="str">
        <f t="shared" ref="M228:M230" si="93">J228&amp;" hrs @ "&amp;K228</f>
        <v xml:space="preserve"> hrs @ </v>
      </c>
      <c r="N228" s="35"/>
      <c r="O228" s="136"/>
      <c r="P228" s="382"/>
      <c r="Q228" s="3"/>
      <c r="R228" s="184"/>
      <c r="S228" s="158">
        <f t="shared" ref="S228" si="94">T228*U228</f>
        <v>0</v>
      </c>
      <c r="T228" s="42"/>
      <c r="U228" s="39"/>
      <c r="V228" s="42"/>
      <c r="W228" s="40" t="str">
        <f t="shared" ref="W228:W230" si="95">T228&amp;" hrs @ "&amp;U228</f>
        <v xml:space="preserve"> hrs @ </v>
      </c>
      <c r="X228" s="35"/>
      <c r="Y228" s="136"/>
      <c r="Z228" s="382"/>
      <c r="AA228" s="3"/>
      <c r="AB228" s="184"/>
      <c r="AC228" s="158">
        <f t="shared" ref="AC228" si="96">AD228*AE228</f>
        <v>0</v>
      </c>
      <c r="AD228" s="42"/>
      <c r="AE228" s="39"/>
      <c r="AF228" s="42"/>
      <c r="AG228" s="40" t="str">
        <f t="shared" ref="AG228:AG230" si="97">AD228&amp;" hrs @ "&amp;AE228</f>
        <v xml:space="preserve"> hrs @ </v>
      </c>
      <c r="AH228" s="35"/>
      <c r="AI228" s="136"/>
      <c r="AJ228" s="158"/>
      <c r="AK228" s="158"/>
    </row>
    <row r="229" spans="1:37" ht="21" x14ac:dyDescent="0.35">
      <c r="A229" s="299" t="s">
        <v>7</v>
      </c>
      <c r="B229" s="218" t="str">
        <f t="shared" si="91"/>
        <v>Office Service</v>
      </c>
      <c r="C229" s="5" t="s">
        <v>48</v>
      </c>
      <c r="D229" s="129"/>
      <c r="E229" s="117"/>
      <c r="F229" s="117"/>
      <c r="G229" s="117"/>
      <c r="H229" s="184"/>
      <c r="I229" s="158">
        <f t="shared" si="92"/>
        <v>0</v>
      </c>
      <c r="J229" s="42"/>
      <c r="K229" s="39"/>
      <c r="L229" s="42"/>
      <c r="M229" s="40" t="str">
        <f t="shared" si="93"/>
        <v xml:space="preserve"> hrs @ </v>
      </c>
      <c r="N229" s="35"/>
      <c r="O229" s="136"/>
      <c r="P229" s="382"/>
      <c r="Q229" s="41"/>
      <c r="R229" s="184"/>
      <c r="S229" s="158">
        <f t="shared" ref="S229:S230" si="98">T229*U229</f>
        <v>0</v>
      </c>
      <c r="T229" s="42"/>
      <c r="U229" s="39"/>
      <c r="V229" s="42"/>
      <c r="W229" s="40" t="str">
        <f t="shared" si="95"/>
        <v xml:space="preserve"> hrs @ </v>
      </c>
      <c r="X229" s="35"/>
      <c r="Y229" s="136"/>
      <c r="Z229" s="382"/>
      <c r="AA229" s="41"/>
      <c r="AB229" s="184"/>
      <c r="AC229" s="158">
        <f t="shared" ref="AC229:AC230" si="99">AD229*AE229</f>
        <v>0</v>
      </c>
      <c r="AD229" s="42"/>
      <c r="AE229" s="39"/>
      <c r="AF229" s="42"/>
      <c r="AG229" s="40" t="str">
        <f t="shared" si="97"/>
        <v xml:space="preserve"> hrs @ </v>
      </c>
      <c r="AH229" s="35"/>
      <c r="AI229" s="136"/>
      <c r="AJ229" s="158"/>
      <c r="AK229" s="158"/>
    </row>
    <row r="230" spans="1:37" ht="21" x14ac:dyDescent="0.35">
      <c r="A230" s="299" t="s">
        <v>7</v>
      </c>
      <c r="B230" s="218" t="str">
        <f t="shared" si="91"/>
        <v>Office Service</v>
      </c>
      <c r="C230" s="5" t="s">
        <v>48</v>
      </c>
      <c r="D230" s="129"/>
      <c r="E230" s="117"/>
      <c r="F230" s="117"/>
      <c r="G230" s="117"/>
      <c r="H230" s="179"/>
      <c r="I230" s="173">
        <f>J230*K230*L230</f>
        <v>0</v>
      </c>
      <c r="J230" s="174"/>
      <c r="K230" s="175"/>
      <c r="L230" s="181"/>
      <c r="M230" s="176" t="str">
        <f t="shared" si="93"/>
        <v xml:space="preserve"> hrs @ </v>
      </c>
      <c r="N230" s="35"/>
      <c r="O230" s="136"/>
      <c r="P230" s="382"/>
      <c r="Q230" s="44"/>
      <c r="R230" s="179"/>
      <c r="S230" s="173">
        <f t="shared" si="98"/>
        <v>0</v>
      </c>
      <c r="T230" s="174"/>
      <c r="U230" s="175"/>
      <c r="V230" s="181"/>
      <c r="W230" s="176" t="str">
        <f t="shared" si="95"/>
        <v xml:space="preserve"> hrs @ </v>
      </c>
      <c r="X230" s="35"/>
      <c r="Y230" s="136"/>
      <c r="Z230" s="382"/>
      <c r="AA230" s="44"/>
      <c r="AB230" s="179"/>
      <c r="AC230" s="173">
        <f t="shared" si="99"/>
        <v>0</v>
      </c>
      <c r="AD230" s="174"/>
      <c r="AE230" s="175"/>
      <c r="AF230" s="181"/>
      <c r="AG230" s="176" t="str">
        <f t="shared" si="97"/>
        <v xml:space="preserve"> hrs @ </v>
      </c>
      <c r="AH230" s="35"/>
      <c r="AI230" s="136"/>
      <c r="AJ230" s="173"/>
      <c r="AK230" s="173"/>
    </row>
    <row r="231" spans="1:37" ht="21" x14ac:dyDescent="0.35">
      <c r="A231" s="299" t="s">
        <v>7</v>
      </c>
      <c r="B231" s="218" t="str">
        <f t="shared" si="91"/>
        <v>Office ServiceTotal Wages</v>
      </c>
      <c r="C231" s="5" t="s">
        <v>48</v>
      </c>
      <c r="D231" s="129"/>
      <c r="E231" s="117"/>
      <c r="F231" s="117"/>
      <c r="G231" s="117"/>
      <c r="H231" s="184" t="s">
        <v>32</v>
      </c>
      <c r="I231" s="158">
        <f>SUM(I227:I230)</f>
        <v>4212</v>
      </c>
      <c r="J231" s="42"/>
      <c r="K231" s="39"/>
      <c r="L231" s="39"/>
      <c r="M231" s="40"/>
      <c r="N231" s="35"/>
      <c r="O231" s="136"/>
      <c r="P231" s="382"/>
      <c r="Q231" s="41"/>
      <c r="R231" s="184" t="s">
        <v>32</v>
      </c>
      <c r="S231" s="158">
        <f>SUM(S227:S230)</f>
        <v>513</v>
      </c>
      <c r="T231" s="42"/>
      <c r="U231" s="39"/>
      <c r="V231" s="39"/>
      <c r="W231" s="40"/>
      <c r="X231" s="35"/>
      <c r="Y231" s="136"/>
      <c r="Z231" s="382"/>
      <c r="AA231" s="41"/>
      <c r="AB231" s="184" t="s">
        <v>32</v>
      </c>
      <c r="AC231" s="158">
        <f>SUM(AC227:AC230)</f>
        <v>0</v>
      </c>
      <c r="AD231" s="42"/>
      <c r="AE231" s="39"/>
      <c r="AF231" s="39"/>
      <c r="AG231" s="40"/>
      <c r="AH231" s="35"/>
      <c r="AI231" s="136"/>
      <c r="AJ231" s="158">
        <f>I231+S231+AC231</f>
        <v>4725</v>
      </c>
      <c r="AK231" s="158"/>
    </row>
    <row r="232" spans="1:37" ht="21" x14ac:dyDescent="0.35">
      <c r="A232" s="299" t="s">
        <v>7</v>
      </c>
      <c r="B232" s="218" t="str">
        <f t="shared" si="91"/>
        <v>Office ServiceBenefits</v>
      </c>
      <c r="C232" s="5" t="s">
        <v>48</v>
      </c>
      <c r="D232" s="129"/>
      <c r="E232" s="117"/>
      <c r="F232" s="117"/>
      <c r="G232" s="117"/>
      <c r="H232" s="184" t="s">
        <v>33</v>
      </c>
      <c r="I232" s="159">
        <f>I231*$O$2</f>
        <v>4152.6108000000004</v>
      </c>
      <c r="J232" s="42"/>
      <c r="K232" s="39"/>
      <c r="M232" s="45" t="str">
        <f>"@ "&amp;$O$2*100&amp;" %"</f>
        <v>@ 98.59 %</v>
      </c>
      <c r="N232" s="47"/>
      <c r="O232" s="432"/>
      <c r="P232" s="383"/>
      <c r="Q232" s="41"/>
      <c r="R232" s="184" t="s">
        <v>33</v>
      </c>
      <c r="S232" s="159">
        <f>S231*$O$2</f>
        <v>505.76670000000001</v>
      </c>
      <c r="T232" s="42"/>
      <c r="U232" s="39"/>
      <c r="W232" s="45" t="str">
        <f>"@ "&amp;$O$2*100&amp;" %"</f>
        <v>@ 98.59 %</v>
      </c>
      <c r="X232" s="47"/>
      <c r="Y232" s="432"/>
      <c r="Z232" s="383"/>
      <c r="AA232" s="41"/>
      <c r="AB232" s="184" t="s">
        <v>33</v>
      </c>
      <c r="AC232" s="159">
        <f>AC231*$O$2</f>
        <v>0</v>
      </c>
      <c r="AD232" s="42"/>
      <c r="AE232" s="39"/>
      <c r="AG232" s="45" t="str">
        <f>"@ "&amp;$O$2*100&amp;" %"</f>
        <v>@ 98.59 %</v>
      </c>
      <c r="AH232" s="47"/>
      <c r="AI232" s="432"/>
      <c r="AJ232" s="159">
        <f>I232+S232+AC232</f>
        <v>4658.3775000000005</v>
      </c>
      <c r="AK232" s="159"/>
    </row>
    <row r="233" spans="1:37" ht="21" x14ac:dyDescent="0.25">
      <c r="A233" s="299" t="s">
        <v>7</v>
      </c>
      <c r="B233" s="218" t="str">
        <f t="shared" si="91"/>
        <v>Office ServiceTotal</v>
      </c>
      <c r="C233" s="125" t="s">
        <v>50</v>
      </c>
      <c r="D233" s="129"/>
      <c r="E233" s="117"/>
      <c r="F233" s="117"/>
      <c r="G233" s="117"/>
      <c r="H233" s="185" t="s">
        <v>34</v>
      </c>
      <c r="I233" s="160">
        <f>I231+I232</f>
        <v>8364.6108000000004</v>
      </c>
      <c r="J233" s="42"/>
      <c r="K233" s="39"/>
      <c r="L233" s="50"/>
      <c r="M233" s="51"/>
      <c r="N233" s="420">
        <f>I233</f>
        <v>8364.6108000000004</v>
      </c>
      <c r="O233" s="233">
        <f>N233/N262</f>
        <v>0.80274442538593493</v>
      </c>
      <c r="P233" s="384"/>
      <c r="Q233" s="37"/>
      <c r="R233" s="185" t="s">
        <v>34</v>
      </c>
      <c r="S233" s="160">
        <f>S231+S232</f>
        <v>1018.7667</v>
      </c>
      <c r="T233" s="42"/>
      <c r="U233" s="39"/>
      <c r="V233" s="50"/>
      <c r="W233" s="51"/>
      <c r="X233" s="420">
        <f>S233</f>
        <v>1018.7667</v>
      </c>
      <c r="Y233" s="233">
        <f>X233/X262</f>
        <v>0.79166666666666663</v>
      </c>
      <c r="Z233" s="384"/>
      <c r="AA233" s="37"/>
      <c r="AB233" s="185" t="s">
        <v>34</v>
      </c>
      <c r="AC233" s="160">
        <f>AC231+AC232</f>
        <v>0</v>
      </c>
      <c r="AD233" s="42"/>
      <c r="AE233" s="39"/>
      <c r="AF233" s="50"/>
      <c r="AG233" s="51"/>
      <c r="AH233" s="420">
        <f>AC233</f>
        <v>0</v>
      </c>
      <c r="AI233" s="233" t="e">
        <f>AH233/AH262</f>
        <v>#DIV/0!</v>
      </c>
      <c r="AJ233" s="160">
        <f>I233+S233+AC233</f>
        <v>9383.3775000000005</v>
      </c>
      <c r="AK233" s="160"/>
    </row>
    <row r="234" spans="1:37" ht="21" x14ac:dyDescent="0.35">
      <c r="A234" s="299" t="s">
        <v>7</v>
      </c>
      <c r="B234" s="218" t="str">
        <f t="shared" si="91"/>
        <v>Office Service</v>
      </c>
      <c r="C234" s="5" t="s">
        <v>48</v>
      </c>
      <c r="D234" s="129"/>
      <c r="E234" s="117"/>
      <c r="F234" s="117"/>
      <c r="G234" s="117"/>
      <c r="H234" s="179"/>
      <c r="I234" s="166"/>
      <c r="J234" s="69"/>
      <c r="K234" s="69"/>
      <c r="L234" s="69"/>
      <c r="M234" s="70"/>
      <c r="N234" s="58"/>
      <c r="O234" s="231"/>
      <c r="P234" s="385"/>
      <c r="Q234" s="60"/>
      <c r="R234" s="179"/>
      <c r="S234" s="166"/>
      <c r="T234" s="69"/>
      <c r="U234" s="69"/>
      <c r="V234" s="69"/>
      <c r="W234" s="70"/>
      <c r="X234" s="58"/>
      <c r="Y234" s="231"/>
      <c r="Z234" s="385"/>
      <c r="AA234" s="60"/>
      <c r="AB234" s="179"/>
      <c r="AC234" s="166"/>
      <c r="AD234" s="69"/>
      <c r="AE234" s="69"/>
      <c r="AF234" s="69"/>
      <c r="AG234" s="70"/>
      <c r="AH234" s="58"/>
      <c r="AI234" s="231"/>
      <c r="AJ234" s="166"/>
      <c r="AK234" s="166"/>
    </row>
    <row r="235" spans="1:37" ht="21" x14ac:dyDescent="0.35">
      <c r="A235" s="299" t="s">
        <v>7</v>
      </c>
      <c r="B235" s="218" t="str">
        <f t="shared" si="91"/>
        <v>Office ServiceLABOR: SUPERVISORY</v>
      </c>
      <c r="C235" s="124" t="s">
        <v>50</v>
      </c>
      <c r="D235" s="129"/>
      <c r="E235" s="117"/>
      <c r="F235" s="117"/>
      <c r="G235" s="117"/>
      <c r="H235" s="186" t="s">
        <v>35</v>
      </c>
      <c r="I235" s="167"/>
      <c r="J235" s="74"/>
      <c r="K235" s="74"/>
      <c r="L235" s="74"/>
      <c r="M235" s="66"/>
      <c r="N235" s="26"/>
      <c r="O235" s="234"/>
      <c r="P235" s="386"/>
      <c r="Q235" s="37"/>
      <c r="R235" s="186" t="s">
        <v>35</v>
      </c>
      <c r="S235" s="167"/>
      <c r="T235" s="74"/>
      <c r="U235" s="74"/>
      <c r="V235" s="74"/>
      <c r="W235" s="66"/>
      <c r="X235" s="26"/>
      <c r="Y235" s="234"/>
      <c r="Z235" s="386"/>
      <c r="AA235" s="37"/>
      <c r="AB235" s="186" t="s">
        <v>35</v>
      </c>
      <c r="AC235" s="167"/>
      <c r="AD235" s="74"/>
      <c r="AE235" s="74"/>
      <c r="AF235" s="74"/>
      <c r="AG235" s="66"/>
      <c r="AH235" s="26"/>
      <c r="AI235" s="234"/>
      <c r="AJ235" s="167"/>
      <c r="AK235" s="167"/>
    </row>
    <row r="236" spans="1:37" ht="21" x14ac:dyDescent="0.35">
      <c r="A236" s="299" t="s">
        <v>7</v>
      </c>
      <c r="B236" s="218" t="str">
        <f t="shared" si="91"/>
        <v xml:space="preserve">Office ServiceSalary </v>
      </c>
      <c r="C236" s="5" t="s">
        <v>48</v>
      </c>
      <c r="D236" s="129"/>
      <c r="E236" s="117"/>
      <c r="F236" s="117"/>
      <c r="G236" s="117"/>
      <c r="H236" s="184" t="s">
        <v>316</v>
      </c>
      <c r="I236" s="158">
        <f t="shared" ref="I236" si="100">J236*K236</f>
        <v>1035</v>
      </c>
      <c r="J236" s="42">
        <v>23</v>
      </c>
      <c r="K236" s="39">
        <v>45</v>
      </c>
      <c r="L236" s="43"/>
      <c r="M236" s="40" t="str">
        <f t="shared" ref="M236" si="101">J236&amp;" hrs @ "&amp;K236</f>
        <v>23 hrs @ 45</v>
      </c>
      <c r="N236" s="26"/>
      <c r="O236" s="234"/>
      <c r="P236" s="386"/>
      <c r="Q236" s="41"/>
      <c r="R236" s="184" t="s">
        <v>316</v>
      </c>
      <c r="S236" s="158">
        <f t="shared" ref="S236" si="102">T236*U236</f>
        <v>135</v>
      </c>
      <c r="T236" s="42">
        <v>3</v>
      </c>
      <c r="U236" s="39">
        <v>45</v>
      </c>
      <c r="V236" s="43"/>
      <c r="W236" s="40" t="str">
        <f t="shared" ref="W236" si="103">T236&amp;" hrs @ "&amp;U236</f>
        <v>3 hrs @ 45</v>
      </c>
      <c r="X236" s="26"/>
      <c r="Y236" s="234"/>
      <c r="Z236" s="386"/>
      <c r="AA236" s="41"/>
      <c r="AB236" s="184" t="s">
        <v>316</v>
      </c>
      <c r="AC236" s="158">
        <f t="shared" ref="AC236" si="104">AD236*AE236</f>
        <v>0</v>
      </c>
      <c r="AD236" s="42"/>
      <c r="AE236" s="39"/>
      <c r="AF236" s="43"/>
      <c r="AG236" s="40" t="str">
        <f t="shared" ref="AG236" si="105">AD236&amp;" hrs @ "&amp;AE236</f>
        <v xml:space="preserve"> hrs @ </v>
      </c>
      <c r="AH236" s="26"/>
      <c r="AI236" s="234"/>
      <c r="AJ236" s="158">
        <f>I236+S236+AC236</f>
        <v>1170</v>
      </c>
      <c r="AK236" s="158"/>
    </row>
    <row r="237" spans="1:37" ht="21" x14ac:dyDescent="0.35">
      <c r="A237" s="299" t="s">
        <v>7</v>
      </c>
      <c r="B237" s="218" t="str">
        <f t="shared" si="91"/>
        <v>Office ServiceBenefits</v>
      </c>
      <c r="C237" s="5" t="s">
        <v>48</v>
      </c>
      <c r="D237" s="129"/>
      <c r="E237" s="117"/>
      <c r="F237" s="117"/>
      <c r="G237" s="117"/>
      <c r="H237" s="184" t="s">
        <v>33</v>
      </c>
      <c r="I237" s="159">
        <f>I236*$O$2</f>
        <v>1020.4065000000001</v>
      </c>
      <c r="J237" s="42"/>
      <c r="K237" s="39"/>
      <c r="L237" s="156"/>
      <c r="M237" s="45" t="str">
        <f>"@ "&amp;$O$2*100&amp;" %"</f>
        <v>@ 98.59 %</v>
      </c>
      <c r="N237" s="26"/>
      <c r="O237" s="234"/>
      <c r="P237" s="386"/>
      <c r="Q237" s="41"/>
      <c r="R237" s="184" t="s">
        <v>33</v>
      </c>
      <c r="S237" s="159">
        <f>S236*$O$2</f>
        <v>133.09649999999999</v>
      </c>
      <c r="T237" s="42"/>
      <c r="U237" s="39"/>
      <c r="V237" s="156"/>
      <c r="W237" s="45" t="str">
        <f>"@ "&amp;$O$2*100&amp;" %"</f>
        <v>@ 98.59 %</v>
      </c>
      <c r="X237" s="26"/>
      <c r="Y237" s="234"/>
      <c r="Z237" s="386"/>
      <c r="AA237" s="41"/>
      <c r="AB237" s="184" t="s">
        <v>33</v>
      </c>
      <c r="AC237" s="159">
        <f>AC236*$O$2</f>
        <v>0</v>
      </c>
      <c r="AD237" s="42"/>
      <c r="AE237" s="39"/>
      <c r="AF237" s="156"/>
      <c r="AG237" s="45" t="str">
        <f>"@ "&amp;$O$2*100&amp;" %"</f>
        <v>@ 98.59 %</v>
      </c>
      <c r="AH237" s="26"/>
      <c r="AI237" s="234"/>
      <c r="AJ237" s="159">
        <f>I237+S237+AC237</f>
        <v>1153.5030000000002</v>
      </c>
      <c r="AK237" s="159"/>
    </row>
    <row r="238" spans="1:37" ht="21" x14ac:dyDescent="0.35">
      <c r="A238" s="299" t="s">
        <v>7</v>
      </c>
      <c r="B238" s="218" t="str">
        <f t="shared" si="91"/>
        <v>Office ServiceTotal</v>
      </c>
      <c r="C238" s="124" t="s">
        <v>50</v>
      </c>
      <c r="D238" s="129"/>
      <c r="E238" s="117"/>
      <c r="F238" s="117"/>
      <c r="G238" s="117"/>
      <c r="H238" s="185" t="s">
        <v>34</v>
      </c>
      <c r="I238" s="165">
        <f>I237+I236</f>
        <v>2055.4065000000001</v>
      </c>
      <c r="J238" s="68"/>
      <c r="K238" s="68"/>
      <c r="L238" s="68"/>
      <c r="M238" s="63"/>
      <c r="N238" s="420">
        <f>I238</f>
        <v>2055.4065000000001</v>
      </c>
      <c r="O238" s="233">
        <f>N238/N262</f>
        <v>0.1972555746140652</v>
      </c>
      <c r="P238" s="386"/>
      <c r="Q238" s="41"/>
      <c r="R238" s="185" t="s">
        <v>34</v>
      </c>
      <c r="S238" s="165">
        <f>S237+S236</f>
        <v>268.09649999999999</v>
      </c>
      <c r="T238" s="68"/>
      <c r="U238" s="68"/>
      <c r="V238" s="68"/>
      <c r="W238" s="63"/>
      <c r="X238" s="420">
        <f>S238</f>
        <v>268.09649999999999</v>
      </c>
      <c r="Y238" s="233">
        <f>X238/X262</f>
        <v>0.20833333333333331</v>
      </c>
      <c r="Z238" s="386"/>
      <c r="AA238" s="41"/>
      <c r="AB238" s="185" t="s">
        <v>34</v>
      </c>
      <c r="AC238" s="165">
        <f>AC237+AC236</f>
        <v>0</v>
      </c>
      <c r="AD238" s="68"/>
      <c r="AE238" s="68"/>
      <c r="AF238" s="68"/>
      <c r="AG238" s="63"/>
      <c r="AH238" s="420">
        <f>AC238</f>
        <v>0</v>
      </c>
      <c r="AI238" s="233" t="e">
        <f>AH238/AH262</f>
        <v>#DIV/0!</v>
      </c>
      <c r="AJ238" s="165">
        <f>I238+S238+AC238</f>
        <v>2323.5030000000002</v>
      </c>
      <c r="AK238" s="165"/>
    </row>
    <row r="239" spans="1:37" ht="21" x14ac:dyDescent="0.35">
      <c r="A239" s="299" t="s">
        <v>7</v>
      </c>
      <c r="B239" s="218" t="str">
        <f t="shared" si="91"/>
        <v>Office Service</v>
      </c>
      <c r="C239" s="5" t="s">
        <v>48</v>
      </c>
      <c r="D239" s="129"/>
      <c r="E239" s="117"/>
      <c r="F239" s="117"/>
      <c r="G239" s="117"/>
      <c r="H239" s="179"/>
      <c r="I239" s="166"/>
      <c r="J239" s="69"/>
      <c r="K239" s="69"/>
      <c r="L239" s="69"/>
      <c r="M239" s="70"/>
      <c r="N239" s="72"/>
      <c r="O239" s="235"/>
      <c r="P239" s="387"/>
      <c r="Q239" s="60"/>
      <c r="R239" s="179"/>
      <c r="S239" s="166"/>
      <c r="T239" s="69"/>
      <c r="U239" s="69"/>
      <c r="V239" s="69"/>
      <c r="W239" s="70"/>
      <c r="X239" s="72"/>
      <c r="Y239" s="235"/>
      <c r="Z239" s="387"/>
      <c r="AA239" s="60"/>
      <c r="AB239" s="179"/>
      <c r="AC239" s="166"/>
      <c r="AD239" s="69"/>
      <c r="AE239" s="69"/>
      <c r="AF239" s="69"/>
      <c r="AG239" s="70"/>
      <c r="AH239" s="72"/>
      <c r="AI239" s="235"/>
      <c r="AJ239" s="166"/>
      <c r="AK239" s="166"/>
    </row>
    <row r="240" spans="1:37" ht="21" x14ac:dyDescent="0.35">
      <c r="A240" s="299" t="s">
        <v>7</v>
      </c>
      <c r="B240" s="218" t="str">
        <f t="shared" si="91"/>
        <v>Office ServiceEQUIPMENT</v>
      </c>
      <c r="C240" s="124" t="s">
        <v>50</v>
      </c>
      <c r="D240" s="129"/>
      <c r="E240" s="117"/>
      <c r="F240" s="117"/>
      <c r="G240" s="117"/>
      <c r="H240" s="186" t="s">
        <v>36</v>
      </c>
      <c r="I240" s="167"/>
      <c r="J240" s="74"/>
      <c r="K240" s="74"/>
      <c r="L240" s="74"/>
      <c r="M240" s="66"/>
      <c r="N240" s="76"/>
      <c r="O240" s="237"/>
      <c r="P240" s="386"/>
      <c r="Q240" s="37"/>
      <c r="R240" s="186" t="s">
        <v>36</v>
      </c>
      <c r="S240" s="167"/>
      <c r="T240" s="74"/>
      <c r="U240" s="74"/>
      <c r="V240" s="74"/>
      <c r="W240" s="66"/>
      <c r="X240" s="76"/>
      <c r="Y240" s="237"/>
      <c r="Z240" s="386"/>
      <c r="AA240" s="37"/>
      <c r="AB240" s="186" t="s">
        <v>36</v>
      </c>
      <c r="AC240" s="167"/>
      <c r="AD240" s="74"/>
      <c r="AE240" s="74"/>
      <c r="AF240" s="74"/>
      <c r="AG240" s="66"/>
      <c r="AH240" s="76"/>
      <c r="AI240" s="237"/>
      <c r="AJ240" s="167"/>
      <c r="AK240" s="167"/>
    </row>
    <row r="241" spans="1:37" ht="21" x14ac:dyDescent="0.35">
      <c r="A241" s="299" t="s">
        <v>7</v>
      </c>
      <c r="B241" s="218" t="str">
        <f t="shared" si="91"/>
        <v>Office ServiceInserter</v>
      </c>
      <c r="C241" s="5" t="s">
        <v>48</v>
      </c>
      <c r="D241" s="129"/>
      <c r="E241" s="117"/>
      <c r="F241" s="117"/>
      <c r="G241" s="117"/>
      <c r="H241" s="187" t="s">
        <v>317</v>
      </c>
      <c r="I241" s="158">
        <f>J241*K241</f>
        <v>0</v>
      </c>
      <c r="J241" s="42">
        <v>1</v>
      </c>
      <c r="K241" s="39"/>
      <c r="L241" s="39"/>
      <c r="M241" s="66"/>
      <c r="N241" s="76"/>
      <c r="O241" s="237"/>
      <c r="P241" s="386"/>
      <c r="Q241" s="37"/>
      <c r="R241" s="187" t="s">
        <v>317</v>
      </c>
      <c r="S241" s="158">
        <f>T241*U241</f>
        <v>0</v>
      </c>
      <c r="T241" s="42">
        <v>1</v>
      </c>
      <c r="U241" s="39"/>
      <c r="V241" s="39"/>
      <c r="W241" s="66"/>
      <c r="X241" s="76"/>
      <c r="Y241" s="237"/>
      <c r="Z241" s="386"/>
      <c r="AA241" s="37"/>
      <c r="AB241" s="187" t="s">
        <v>317</v>
      </c>
      <c r="AC241" s="158">
        <f>AD241*AE241</f>
        <v>0</v>
      </c>
      <c r="AD241" s="42">
        <v>1</v>
      </c>
      <c r="AE241" s="39"/>
      <c r="AF241" s="39"/>
      <c r="AG241" s="66"/>
      <c r="AH241" s="76"/>
      <c r="AI241" s="237"/>
      <c r="AJ241" s="158">
        <f>I241+S241+AC241</f>
        <v>0</v>
      </c>
      <c r="AK241" s="158"/>
    </row>
    <row r="242" spans="1:37" ht="21" x14ac:dyDescent="0.35">
      <c r="A242" s="299" t="s">
        <v>7</v>
      </c>
      <c r="B242" s="218" t="str">
        <f t="shared" si="91"/>
        <v>Office ServicePrinter</v>
      </c>
      <c r="C242" s="5" t="s">
        <v>48</v>
      </c>
      <c r="D242" s="129"/>
      <c r="E242" s="117"/>
      <c r="F242" s="117"/>
      <c r="G242" s="117"/>
      <c r="H242" s="187" t="s">
        <v>318</v>
      </c>
      <c r="I242" s="158">
        <f t="shared" ref="I242:I243" si="106">J242*K242</f>
        <v>0</v>
      </c>
      <c r="J242" s="42">
        <v>1</v>
      </c>
      <c r="K242" s="39"/>
      <c r="L242" s="39"/>
      <c r="M242" s="66"/>
      <c r="N242" s="79"/>
      <c r="O242" s="238"/>
      <c r="P242" s="388"/>
      <c r="Q242" s="81"/>
      <c r="R242" s="187" t="s">
        <v>318</v>
      </c>
      <c r="S242" s="158">
        <f t="shared" ref="S242:S243" si="107">T242*U242</f>
        <v>0</v>
      </c>
      <c r="T242" s="42">
        <v>1</v>
      </c>
      <c r="U242" s="39"/>
      <c r="V242" s="39"/>
      <c r="W242" s="66"/>
      <c r="X242" s="79"/>
      <c r="Y242" s="238"/>
      <c r="Z242" s="388"/>
      <c r="AA242" s="81"/>
      <c r="AB242" s="187" t="s">
        <v>318</v>
      </c>
      <c r="AC242" s="158">
        <f t="shared" ref="AC242:AC243" si="108">AD242*AE242</f>
        <v>0</v>
      </c>
      <c r="AD242" s="42">
        <v>1</v>
      </c>
      <c r="AE242" s="39"/>
      <c r="AF242" s="39"/>
      <c r="AG242" s="66"/>
      <c r="AH242" s="79"/>
      <c r="AI242" s="238"/>
      <c r="AJ242" s="158">
        <f>I242+S242+AC242</f>
        <v>0</v>
      </c>
      <c r="AK242" s="158"/>
    </row>
    <row r="243" spans="1:37" ht="21" x14ac:dyDescent="0.35">
      <c r="A243" s="299" t="s">
        <v>7</v>
      </c>
      <c r="B243" s="218" t="str">
        <f t="shared" si="91"/>
        <v>Office ServiceMeter bases</v>
      </c>
      <c r="C243" s="5" t="s">
        <v>48</v>
      </c>
      <c r="D243" s="129"/>
      <c r="E243" s="117"/>
      <c r="F243" s="117"/>
      <c r="G243" s="117"/>
      <c r="H243" s="187" t="s">
        <v>319</v>
      </c>
      <c r="I243" s="158">
        <f t="shared" si="106"/>
        <v>0</v>
      </c>
      <c r="J243" s="42">
        <v>1</v>
      </c>
      <c r="K243" s="39"/>
      <c r="L243" s="42"/>
      <c r="M243" s="66"/>
      <c r="N243" s="79"/>
      <c r="O243" s="238"/>
      <c r="P243" s="388"/>
      <c r="Q243" s="81"/>
      <c r="R243" s="187" t="s">
        <v>319</v>
      </c>
      <c r="S243" s="158">
        <f t="shared" si="107"/>
        <v>0</v>
      </c>
      <c r="T243" s="42">
        <v>1</v>
      </c>
      <c r="U243" s="39"/>
      <c r="V243" s="42"/>
      <c r="W243" s="66"/>
      <c r="X243" s="79"/>
      <c r="Y243" s="238"/>
      <c r="Z243" s="388"/>
      <c r="AA243" s="81"/>
      <c r="AB243" s="187" t="s">
        <v>319</v>
      </c>
      <c r="AC243" s="158">
        <f t="shared" si="108"/>
        <v>0</v>
      </c>
      <c r="AD243" s="42">
        <v>1</v>
      </c>
      <c r="AE243" s="39"/>
      <c r="AF243" s="42"/>
      <c r="AG243" s="66"/>
      <c r="AH243" s="79"/>
      <c r="AI243" s="238"/>
      <c r="AJ243" s="158">
        <f>I243+S243+AC243</f>
        <v>0</v>
      </c>
      <c r="AK243" s="158"/>
    </row>
    <row r="244" spans="1:37" ht="21" x14ac:dyDescent="0.35">
      <c r="A244" s="299" t="s">
        <v>7</v>
      </c>
      <c r="B244" s="218" t="str">
        <f t="shared" si="91"/>
        <v>Office Service</v>
      </c>
      <c r="C244" s="5" t="s">
        <v>48</v>
      </c>
      <c r="D244" s="129"/>
      <c r="E244" s="117"/>
      <c r="F244" s="117"/>
      <c r="G244" s="117"/>
      <c r="H244" s="187"/>
      <c r="I244" s="158"/>
      <c r="J244" s="42"/>
      <c r="K244" s="39"/>
      <c r="L244" s="43"/>
      <c r="M244" s="66"/>
      <c r="N244" s="79"/>
      <c r="O244" s="238"/>
      <c r="P244" s="388"/>
      <c r="Q244" s="81"/>
      <c r="R244" s="187"/>
      <c r="S244" s="158"/>
      <c r="T244" s="42"/>
      <c r="U244" s="39"/>
      <c r="V244" s="43"/>
      <c r="W244" s="66"/>
      <c r="X244" s="79"/>
      <c r="Y244" s="238"/>
      <c r="Z244" s="388"/>
      <c r="AA244" s="81"/>
      <c r="AB244" s="187"/>
      <c r="AC244" s="158"/>
      <c r="AD244" s="42"/>
      <c r="AE244" s="39"/>
      <c r="AF244" s="43"/>
      <c r="AG244" s="66"/>
      <c r="AH244" s="79"/>
      <c r="AI244" s="238"/>
      <c r="AJ244" s="158"/>
      <c r="AK244" s="158"/>
    </row>
    <row r="245" spans="1:37" ht="21" x14ac:dyDescent="0.35">
      <c r="A245" s="299" t="s">
        <v>7</v>
      </c>
      <c r="B245" s="218" t="str">
        <f t="shared" si="91"/>
        <v>Office ServiceTotal Equipment</v>
      </c>
      <c r="C245" s="124" t="s">
        <v>50</v>
      </c>
      <c r="D245" s="129"/>
      <c r="E245" s="116">
        <f>I245</f>
        <v>0</v>
      </c>
      <c r="F245" s="116">
        <f>S245</f>
        <v>0</v>
      </c>
      <c r="G245" s="116">
        <f>AC245</f>
        <v>0</v>
      </c>
      <c r="H245" s="188" t="s">
        <v>37</v>
      </c>
      <c r="I245" s="165">
        <f>SUM(I241:I244)</f>
        <v>0</v>
      </c>
      <c r="J245" s="68"/>
      <c r="K245" s="68"/>
      <c r="L245" s="68"/>
      <c r="M245" s="66"/>
      <c r="N245" s="420">
        <f>I245</f>
        <v>0</v>
      </c>
      <c r="O245" s="233">
        <f>N245/N262</f>
        <v>0</v>
      </c>
      <c r="P245" s="388"/>
      <c r="Q245" s="81"/>
      <c r="R245" s="188" t="s">
        <v>37</v>
      </c>
      <c r="S245" s="165">
        <f>SUM(S241:S244)</f>
        <v>0</v>
      </c>
      <c r="T245" s="68"/>
      <c r="U245" s="68"/>
      <c r="V245" s="68"/>
      <c r="W245" s="66"/>
      <c r="X245" s="420">
        <f>S245</f>
        <v>0</v>
      </c>
      <c r="Y245" s="233">
        <f>X245/X262</f>
        <v>0</v>
      </c>
      <c r="Z245" s="388"/>
      <c r="AA245" s="81"/>
      <c r="AB245" s="188" t="s">
        <v>37</v>
      </c>
      <c r="AC245" s="165">
        <f>SUM(AC241:AC244)</f>
        <v>0</v>
      </c>
      <c r="AD245" s="68"/>
      <c r="AE245" s="68"/>
      <c r="AF245" s="68"/>
      <c r="AG245" s="66"/>
      <c r="AH245" s="420">
        <f>AC245</f>
        <v>0</v>
      </c>
      <c r="AI245" s="233" t="e">
        <f>AH245/AH262</f>
        <v>#DIV/0!</v>
      </c>
      <c r="AJ245" s="165">
        <f>I245+S245+AC245</f>
        <v>0</v>
      </c>
      <c r="AK245" s="165"/>
    </row>
    <row r="246" spans="1:37" ht="21" x14ac:dyDescent="0.35">
      <c r="A246" s="299" t="s">
        <v>7</v>
      </c>
      <c r="B246" s="218" t="str">
        <f t="shared" si="91"/>
        <v>Office Service</v>
      </c>
      <c r="C246" s="5" t="s">
        <v>48</v>
      </c>
      <c r="D246" s="129"/>
      <c r="E246" s="117"/>
      <c r="F246" s="117"/>
      <c r="G246" s="117"/>
      <c r="H246" s="189"/>
      <c r="I246" s="166"/>
      <c r="J246" s="69"/>
      <c r="K246" s="69"/>
      <c r="L246" s="69"/>
      <c r="M246" s="70"/>
      <c r="N246" s="88"/>
      <c r="O246" s="241"/>
      <c r="P246" s="389"/>
      <c r="Q246" s="60"/>
      <c r="R246" s="189"/>
      <c r="S246" s="166"/>
      <c r="T246" s="69"/>
      <c r="U246" s="69"/>
      <c r="V246" s="69"/>
      <c r="W246" s="70"/>
      <c r="X246" s="88"/>
      <c r="Y246" s="241"/>
      <c r="Z246" s="389"/>
      <c r="AA246" s="60"/>
      <c r="AB246" s="189"/>
      <c r="AC246" s="166"/>
      <c r="AD246" s="69"/>
      <c r="AE246" s="69"/>
      <c r="AF246" s="69"/>
      <c r="AG246" s="70"/>
      <c r="AH246" s="88"/>
      <c r="AI246" s="241"/>
      <c r="AJ246" s="166"/>
      <c r="AK246" s="166"/>
    </row>
    <row r="247" spans="1:37" ht="21" x14ac:dyDescent="0.35">
      <c r="A247" s="299" t="s">
        <v>7</v>
      </c>
      <c r="B247" s="218" t="str">
        <f t="shared" si="91"/>
        <v>Office ServiceIS SUPPORT</v>
      </c>
      <c r="C247" s="124" t="s">
        <v>50</v>
      </c>
      <c r="D247" s="129"/>
      <c r="E247" s="117"/>
      <c r="F247" s="117"/>
      <c r="G247" s="117"/>
      <c r="H247" s="186" t="s">
        <v>38</v>
      </c>
      <c r="I247" s="167"/>
      <c r="J247" s="74"/>
      <c r="K247" s="74"/>
      <c r="L247" s="74"/>
      <c r="M247" s="66"/>
      <c r="N247" s="91"/>
      <c r="O247" s="227"/>
      <c r="P247" s="390"/>
      <c r="Q247" s="37"/>
      <c r="R247" s="186" t="s">
        <v>38</v>
      </c>
      <c r="S247" s="167"/>
      <c r="T247" s="74"/>
      <c r="U247" s="74"/>
      <c r="V247" s="74"/>
      <c r="W247" s="66"/>
      <c r="X247" s="91"/>
      <c r="Y247" s="227"/>
      <c r="Z247" s="390"/>
      <c r="AA247" s="37"/>
      <c r="AB247" s="186" t="s">
        <v>38</v>
      </c>
      <c r="AC247" s="167"/>
      <c r="AD247" s="74"/>
      <c r="AE247" s="74"/>
      <c r="AF247" s="74"/>
      <c r="AG247" s="66"/>
      <c r="AH247" s="91"/>
      <c r="AI247" s="227"/>
      <c r="AJ247" s="167"/>
      <c r="AK247" s="167"/>
    </row>
    <row r="248" spans="1:37" ht="21" x14ac:dyDescent="0.35">
      <c r="A248" s="299" t="s">
        <v>7</v>
      </c>
      <c r="B248" s="218" t="str">
        <f t="shared" si="91"/>
        <v>Office ServiceAnalyst Labor</v>
      </c>
      <c r="C248" s="5" t="s">
        <v>48</v>
      </c>
      <c r="D248" s="129"/>
      <c r="E248" s="117"/>
      <c r="F248" s="117"/>
      <c r="G248" s="117"/>
      <c r="H248" s="184" t="s">
        <v>39</v>
      </c>
      <c r="I248" s="162">
        <f>J248*K248</f>
        <v>0</v>
      </c>
      <c r="J248" s="42"/>
      <c r="K248" s="39"/>
      <c r="L248" s="39"/>
      <c r="M248" s="40" t="str">
        <f>J248&amp;" hrs @ "&amp;K248</f>
        <v xml:space="preserve"> hrs @ </v>
      </c>
      <c r="N248" s="94"/>
      <c r="O248" s="242"/>
      <c r="P248" s="390"/>
      <c r="Q248" s="37"/>
      <c r="R248" s="184" t="s">
        <v>39</v>
      </c>
      <c r="S248" s="162">
        <f>T248*U248</f>
        <v>0</v>
      </c>
      <c r="T248" s="42"/>
      <c r="U248" s="39"/>
      <c r="V248" s="39"/>
      <c r="W248" s="40" t="str">
        <f>T248&amp;" hrs @ "&amp;U248</f>
        <v xml:space="preserve"> hrs @ </v>
      </c>
      <c r="X248" s="94"/>
      <c r="Y248" s="242"/>
      <c r="Z248" s="390"/>
      <c r="AA248" s="37"/>
      <c r="AB248" s="184" t="s">
        <v>39</v>
      </c>
      <c r="AC248" s="162">
        <f>AD248*AE248</f>
        <v>0</v>
      </c>
      <c r="AD248" s="42"/>
      <c r="AE248" s="39"/>
      <c r="AF248" s="39"/>
      <c r="AG248" s="40" t="str">
        <f>AD248&amp;" hrs @ "&amp;AE248</f>
        <v xml:space="preserve"> hrs @ </v>
      </c>
      <c r="AH248" s="94"/>
      <c r="AI248" s="242"/>
      <c r="AJ248" s="162">
        <f>I248+S248+AC248</f>
        <v>0</v>
      </c>
      <c r="AK248" s="162"/>
    </row>
    <row r="249" spans="1:37" ht="21" x14ac:dyDescent="0.35">
      <c r="A249" s="299" t="s">
        <v>7</v>
      </c>
      <c r="B249" s="218" t="str">
        <f t="shared" si="91"/>
        <v>Office ServiceAnalyst Benefits</v>
      </c>
      <c r="C249" s="5" t="s">
        <v>48</v>
      </c>
      <c r="D249" s="129"/>
      <c r="E249" s="117"/>
      <c r="F249" s="117"/>
      <c r="G249" s="117"/>
      <c r="H249" s="184" t="s">
        <v>40</v>
      </c>
      <c r="I249" s="159">
        <f>I248*$O$2</f>
        <v>0</v>
      </c>
      <c r="J249" s="42"/>
      <c r="K249" s="39"/>
      <c r="L249" s="156"/>
      <c r="M249" s="45" t="str">
        <f>"@ "&amp;$O$2*100&amp;" %"</f>
        <v>@ 98.59 %</v>
      </c>
      <c r="N249" s="94"/>
      <c r="O249" s="242"/>
      <c r="P249" s="390"/>
      <c r="Q249" s="37"/>
      <c r="R249" s="184" t="s">
        <v>40</v>
      </c>
      <c r="S249" s="159">
        <f>S248*$O$2</f>
        <v>0</v>
      </c>
      <c r="T249" s="42"/>
      <c r="U249" s="39"/>
      <c r="V249" s="156"/>
      <c r="W249" s="45" t="str">
        <f>"@ "&amp;$O$2*100&amp;" %"</f>
        <v>@ 98.59 %</v>
      </c>
      <c r="X249" s="94"/>
      <c r="Y249" s="242"/>
      <c r="Z249" s="390"/>
      <c r="AA249" s="37"/>
      <c r="AB249" s="184" t="s">
        <v>40</v>
      </c>
      <c r="AC249" s="159">
        <f>AC248*$O$2</f>
        <v>0</v>
      </c>
      <c r="AD249" s="42"/>
      <c r="AE249" s="39"/>
      <c r="AF249" s="156"/>
      <c r="AG249" s="45" t="str">
        <f>"@ "&amp;$O$2*100&amp;" %"</f>
        <v>@ 98.59 %</v>
      </c>
      <c r="AH249" s="94"/>
      <c r="AI249" s="242"/>
      <c r="AJ249" s="159">
        <f>I249+S249+AC249</f>
        <v>0</v>
      </c>
      <c r="AK249" s="159"/>
    </row>
    <row r="250" spans="1:37" ht="21" x14ac:dyDescent="0.35">
      <c r="A250" s="299" t="s">
        <v>7</v>
      </c>
      <c r="B250" s="218" t="str">
        <f t="shared" si="91"/>
        <v>Office ServiceTotal IS</v>
      </c>
      <c r="C250" s="124" t="s">
        <v>50</v>
      </c>
      <c r="D250" s="129"/>
      <c r="E250" s="117"/>
      <c r="F250" s="117"/>
      <c r="G250" s="117"/>
      <c r="H250" s="185" t="s">
        <v>41</v>
      </c>
      <c r="I250" s="165">
        <f>I248+I249</f>
        <v>0</v>
      </c>
      <c r="J250" s="68"/>
      <c r="K250" s="68"/>
      <c r="L250" s="68"/>
      <c r="M250" s="66"/>
      <c r="N250" s="420">
        <f>I250</f>
        <v>0</v>
      </c>
      <c r="O250" s="233">
        <f>N250/N262</f>
        <v>0</v>
      </c>
      <c r="P250" s="390"/>
      <c r="Q250" s="37"/>
      <c r="R250" s="185" t="s">
        <v>41</v>
      </c>
      <c r="S250" s="165">
        <f>S248+S249</f>
        <v>0</v>
      </c>
      <c r="T250" s="68"/>
      <c r="U250" s="68"/>
      <c r="V250" s="68"/>
      <c r="W250" s="66"/>
      <c r="X250" s="420">
        <f>S250</f>
        <v>0</v>
      </c>
      <c r="Y250" s="233">
        <f>X250/X262</f>
        <v>0</v>
      </c>
      <c r="Z250" s="390"/>
      <c r="AA250" s="37"/>
      <c r="AB250" s="185" t="s">
        <v>41</v>
      </c>
      <c r="AC250" s="165">
        <f>AC248+AC249</f>
        <v>0</v>
      </c>
      <c r="AD250" s="68"/>
      <c r="AE250" s="68"/>
      <c r="AF250" s="68"/>
      <c r="AG250" s="66"/>
      <c r="AH250" s="420">
        <f>AC250</f>
        <v>0</v>
      </c>
      <c r="AI250" s="233" t="e">
        <f>AH250/AH262</f>
        <v>#DIV/0!</v>
      </c>
      <c r="AJ250" s="165">
        <f>I250+S250+AC250</f>
        <v>0</v>
      </c>
      <c r="AK250" s="165"/>
    </row>
    <row r="251" spans="1:37" ht="21" x14ac:dyDescent="0.35">
      <c r="A251" s="299" t="s">
        <v>7</v>
      </c>
      <c r="B251" s="218" t="str">
        <f t="shared" si="91"/>
        <v>Office Service</v>
      </c>
      <c r="C251" s="5" t="s">
        <v>48</v>
      </c>
      <c r="D251" s="129"/>
      <c r="E251" s="117"/>
      <c r="F251" s="117"/>
      <c r="G251" s="117"/>
      <c r="H251" s="179"/>
      <c r="I251" s="166"/>
      <c r="J251" s="69"/>
      <c r="K251" s="69"/>
      <c r="L251" s="69"/>
      <c r="M251" s="70"/>
      <c r="N251" s="98"/>
      <c r="O251" s="243"/>
      <c r="P251" s="391"/>
      <c r="Q251" s="60"/>
      <c r="R251" s="179"/>
      <c r="S251" s="166"/>
      <c r="T251" s="69"/>
      <c r="U251" s="69"/>
      <c r="V251" s="69"/>
      <c r="W251" s="70"/>
      <c r="X251" s="98"/>
      <c r="Y251" s="243"/>
      <c r="Z251" s="391"/>
      <c r="AA251" s="60"/>
      <c r="AB251" s="179"/>
      <c r="AC251" s="166"/>
      <c r="AD251" s="69"/>
      <c r="AE251" s="69"/>
      <c r="AF251" s="69"/>
      <c r="AG251" s="70"/>
      <c r="AH251" s="98"/>
      <c r="AI251" s="243"/>
      <c r="AJ251" s="166"/>
      <c r="AK251" s="166"/>
    </row>
    <row r="252" spans="1:37" ht="21" x14ac:dyDescent="0.35">
      <c r="A252" s="299" t="s">
        <v>7</v>
      </c>
      <c r="B252" s="218" t="str">
        <f t="shared" si="91"/>
        <v>Office ServiceOTHER</v>
      </c>
      <c r="C252" s="124" t="s">
        <v>50</v>
      </c>
      <c r="D252" s="129"/>
      <c r="E252" s="117"/>
      <c r="F252" s="117"/>
      <c r="G252" s="117"/>
      <c r="H252" s="186" t="s">
        <v>42</v>
      </c>
      <c r="I252" s="167"/>
      <c r="J252" s="74"/>
      <c r="K252" s="74"/>
      <c r="L252" s="74"/>
      <c r="M252" s="66"/>
      <c r="N252" s="91"/>
      <c r="O252" s="227"/>
      <c r="P252" s="390"/>
      <c r="Q252" s="37"/>
      <c r="R252" s="186" t="s">
        <v>42</v>
      </c>
      <c r="S252" s="167"/>
      <c r="T252" s="74"/>
      <c r="U252" s="74"/>
      <c r="V252" s="74"/>
      <c r="W252" s="66"/>
      <c r="X252" s="91"/>
      <c r="Y252" s="227"/>
      <c r="Z252" s="390"/>
      <c r="AA252" s="37"/>
      <c r="AB252" s="186" t="s">
        <v>42</v>
      </c>
      <c r="AC252" s="167"/>
      <c r="AD252" s="74"/>
      <c r="AE252" s="74"/>
      <c r="AF252" s="74"/>
      <c r="AG252" s="66"/>
      <c r="AH252" s="91"/>
      <c r="AI252" s="227"/>
      <c r="AJ252" s="167"/>
      <c r="AK252" s="167"/>
    </row>
    <row r="253" spans="1:37" ht="21" x14ac:dyDescent="0.35">
      <c r="A253" s="299" t="s">
        <v>7</v>
      </c>
      <c r="B253" s="218" t="str">
        <f t="shared" si="91"/>
        <v>Office ServiceMeter bases</v>
      </c>
      <c r="C253" s="5" t="s">
        <v>48</v>
      </c>
      <c r="D253" s="129"/>
      <c r="E253" s="117"/>
      <c r="F253" s="117"/>
      <c r="G253" s="117"/>
      <c r="H253" s="184" t="s">
        <v>319</v>
      </c>
      <c r="I253" s="158">
        <f t="shared" ref="I253:I258" si="109">J253*K253</f>
        <v>0</v>
      </c>
      <c r="J253" s="42"/>
      <c r="K253" s="39"/>
      <c r="L253" s="42"/>
      <c r="M253" s="66"/>
      <c r="N253" s="91"/>
      <c r="O253" s="227"/>
      <c r="P253" s="390"/>
      <c r="Q253" s="37"/>
      <c r="R253" s="184" t="s">
        <v>319</v>
      </c>
      <c r="S253" s="158">
        <f t="shared" ref="S253:S258" si="110">T253*U253</f>
        <v>0</v>
      </c>
      <c r="T253" s="42"/>
      <c r="U253" s="39"/>
      <c r="V253" s="42"/>
      <c r="W253" s="66"/>
      <c r="X253" s="91"/>
      <c r="Y253" s="227"/>
      <c r="Z253" s="390"/>
      <c r="AA253" s="37"/>
      <c r="AB253" s="184" t="s">
        <v>319</v>
      </c>
      <c r="AC253" s="158">
        <f t="shared" ref="AC253:AC258" si="111">AD253*AE253</f>
        <v>0</v>
      </c>
      <c r="AD253" s="42"/>
      <c r="AE253" s="39"/>
      <c r="AF253" s="42"/>
      <c r="AG253" s="66"/>
      <c r="AH253" s="91"/>
      <c r="AI253" s="227"/>
      <c r="AJ253" s="158"/>
      <c r="AK253" s="158"/>
    </row>
    <row r="254" spans="1:37" ht="21" x14ac:dyDescent="0.35">
      <c r="A254" s="299" t="s">
        <v>7</v>
      </c>
      <c r="B254" s="218" t="str">
        <f t="shared" si="91"/>
        <v>Office ServicePrinter</v>
      </c>
      <c r="C254" s="5" t="s">
        <v>48</v>
      </c>
      <c r="D254" s="129"/>
      <c r="E254" s="117"/>
      <c r="F254" s="117"/>
      <c r="G254" s="117"/>
      <c r="H254" s="184" t="s">
        <v>318</v>
      </c>
      <c r="I254" s="158">
        <f t="shared" si="109"/>
        <v>0</v>
      </c>
      <c r="J254" s="42"/>
      <c r="K254" s="39"/>
      <c r="L254" s="42"/>
      <c r="M254" s="66"/>
      <c r="N254" s="91"/>
      <c r="O254" s="227"/>
      <c r="P254" s="390"/>
      <c r="Q254" s="37"/>
      <c r="R254" s="184" t="s">
        <v>318</v>
      </c>
      <c r="S254" s="158">
        <f t="shared" si="110"/>
        <v>0</v>
      </c>
      <c r="T254" s="42"/>
      <c r="U254" s="39"/>
      <c r="V254" s="42"/>
      <c r="W254" s="66"/>
      <c r="X254" s="91"/>
      <c r="Y254" s="227"/>
      <c r="Z254" s="390"/>
      <c r="AA254" s="37"/>
      <c r="AB254" s="184" t="s">
        <v>318</v>
      </c>
      <c r="AC254" s="158">
        <f t="shared" si="111"/>
        <v>0</v>
      </c>
      <c r="AD254" s="42"/>
      <c r="AE254" s="39"/>
      <c r="AF254" s="42"/>
      <c r="AG254" s="66"/>
      <c r="AH254" s="91"/>
      <c r="AI254" s="227"/>
      <c r="AJ254" s="158"/>
      <c r="AK254" s="158"/>
    </row>
    <row r="255" spans="1:37" ht="21" x14ac:dyDescent="0.35">
      <c r="A255" s="299" t="s">
        <v>7</v>
      </c>
      <c r="B255" s="218" t="str">
        <f t="shared" si="91"/>
        <v>Office Service</v>
      </c>
      <c r="C255" s="5" t="s">
        <v>48</v>
      </c>
      <c r="D255" s="129"/>
      <c r="E255" s="117"/>
      <c r="F255" s="117"/>
      <c r="G255" s="117"/>
      <c r="H255" s="184"/>
      <c r="I255" s="158">
        <f t="shared" si="109"/>
        <v>0</v>
      </c>
      <c r="J255" s="42"/>
      <c r="K255" s="39"/>
      <c r="L255" s="42"/>
      <c r="M255" s="66"/>
      <c r="N255" s="91"/>
      <c r="O255" s="227"/>
      <c r="P255" s="390"/>
      <c r="Q255" s="37"/>
      <c r="R255" s="184"/>
      <c r="S255" s="158">
        <f t="shared" si="110"/>
        <v>0</v>
      </c>
      <c r="T255" s="42"/>
      <c r="U255" s="39"/>
      <c r="V255" s="42"/>
      <c r="W255" s="66"/>
      <c r="X255" s="91"/>
      <c r="Y255" s="227"/>
      <c r="Z255" s="390"/>
      <c r="AA255" s="37"/>
      <c r="AB255" s="184"/>
      <c r="AC255" s="158">
        <f t="shared" si="111"/>
        <v>0</v>
      </c>
      <c r="AD255" s="42"/>
      <c r="AE255" s="39"/>
      <c r="AF255" s="42"/>
      <c r="AG255" s="66"/>
      <c r="AH255" s="91"/>
      <c r="AI255" s="227"/>
      <c r="AJ255" s="158"/>
      <c r="AK255" s="158"/>
    </row>
    <row r="256" spans="1:37" ht="21" x14ac:dyDescent="0.35">
      <c r="A256" s="299" t="s">
        <v>7</v>
      </c>
      <c r="B256" s="218" t="str">
        <f t="shared" si="91"/>
        <v>Office Service</v>
      </c>
      <c r="C256" s="5" t="s">
        <v>48</v>
      </c>
      <c r="D256" s="129"/>
      <c r="E256" s="117"/>
      <c r="F256" s="117"/>
      <c r="G256" s="117"/>
      <c r="H256" s="184"/>
      <c r="I256" s="158">
        <f t="shared" si="109"/>
        <v>0</v>
      </c>
      <c r="J256" s="42"/>
      <c r="K256" s="39"/>
      <c r="L256" s="42"/>
      <c r="M256" s="66"/>
      <c r="N256" s="91"/>
      <c r="O256" s="227"/>
      <c r="P256" s="390"/>
      <c r="Q256" s="37"/>
      <c r="R256" s="184"/>
      <c r="S256" s="158">
        <f t="shared" si="110"/>
        <v>0</v>
      </c>
      <c r="T256" s="42"/>
      <c r="U256" s="39"/>
      <c r="V256" s="42"/>
      <c r="W256" s="66"/>
      <c r="X256" s="91"/>
      <c r="Y256" s="227"/>
      <c r="Z256" s="390"/>
      <c r="AA256" s="37"/>
      <c r="AB256" s="184"/>
      <c r="AC256" s="158">
        <f t="shared" si="111"/>
        <v>0</v>
      </c>
      <c r="AD256" s="42"/>
      <c r="AE256" s="39"/>
      <c r="AF256" s="42"/>
      <c r="AG256" s="66"/>
      <c r="AH256" s="91"/>
      <c r="AI256" s="227"/>
      <c r="AJ256" s="158"/>
      <c r="AK256" s="158"/>
    </row>
    <row r="257" spans="1:37" ht="21" x14ac:dyDescent="0.35">
      <c r="A257" s="299" t="s">
        <v>7</v>
      </c>
      <c r="B257" s="218" t="str">
        <f t="shared" si="91"/>
        <v>Office Service</v>
      </c>
      <c r="C257" s="5" t="s">
        <v>48</v>
      </c>
      <c r="D257" s="129"/>
      <c r="E257" s="117"/>
      <c r="F257" s="117"/>
      <c r="G257" s="117"/>
      <c r="H257" s="184"/>
      <c r="I257" s="158">
        <f t="shared" si="109"/>
        <v>0</v>
      </c>
      <c r="J257" s="42"/>
      <c r="K257" s="39"/>
      <c r="L257" s="42"/>
      <c r="M257" s="66"/>
      <c r="N257" s="91"/>
      <c r="O257" s="227"/>
      <c r="P257" s="390"/>
      <c r="Q257" s="37"/>
      <c r="R257" s="184"/>
      <c r="S257" s="158">
        <f t="shared" si="110"/>
        <v>0</v>
      </c>
      <c r="T257" s="42"/>
      <c r="U257" s="39"/>
      <c r="V257" s="42"/>
      <c r="W257" s="66"/>
      <c r="X257" s="91"/>
      <c r="Y257" s="227"/>
      <c r="Z257" s="390"/>
      <c r="AA257" s="37"/>
      <c r="AB257" s="184"/>
      <c r="AC257" s="158">
        <f t="shared" si="111"/>
        <v>0</v>
      </c>
      <c r="AD257" s="42"/>
      <c r="AE257" s="39"/>
      <c r="AF257" s="42"/>
      <c r="AG257" s="66"/>
      <c r="AH257" s="91"/>
      <c r="AI257" s="227"/>
      <c r="AJ257" s="158"/>
      <c r="AK257" s="158"/>
    </row>
    <row r="258" spans="1:37" ht="21" x14ac:dyDescent="0.35">
      <c r="A258" s="299" t="s">
        <v>7</v>
      </c>
      <c r="B258" s="218" t="str">
        <f t="shared" si="91"/>
        <v>Office Service</v>
      </c>
      <c r="C258" s="5" t="s">
        <v>48</v>
      </c>
      <c r="D258" s="129"/>
      <c r="E258" s="117"/>
      <c r="F258" s="117"/>
      <c r="G258" s="117"/>
      <c r="H258" s="184"/>
      <c r="I258" s="158">
        <f t="shared" si="109"/>
        <v>0</v>
      </c>
      <c r="J258" s="67"/>
      <c r="K258" s="67"/>
      <c r="L258" s="67"/>
      <c r="M258" s="40"/>
      <c r="N258" s="94"/>
      <c r="O258" s="242"/>
      <c r="P258" s="390"/>
      <c r="Q258" s="37"/>
      <c r="R258" s="184"/>
      <c r="S258" s="158">
        <f t="shared" si="110"/>
        <v>0</v>
      </c>
      <c r="T258" s="67"/>
      <c r="U258" s="67"/>
      <c r="V258" s="67"/>
      <c r="W258" s="40"/>
      <c r="X258" s="94"/>
      <c r="Y258" s="242"/>
      <c r="Z258" s="390"/>
      <c r="AA258" s="37"/>
      <c r="AB258" s="184"/>
      <c r="AC258" s="158">
        <f t="shared" si="111"/>
        <v>0</v>
      </c>
      <c r="AD258" s="67"/>
      <c r="AE258" s="67"/>
      <c r="AF258" s="67"/>
      <c r="AG258" s="40"/>
      <c r="AH258" s="94"/>
      <c r="AI258" s="242"/>
      <c r="AJ258" s="158"/>
      <c r="AK258" s="158"/>
    </row>
    <row r="259" spans="1:37" ht="21" x14ac:dyDescent="0.35">
      <c r="A259" s="299" t="s">
        <v>7</v>
      </c>
      <c r="B259" s="218" t="str">
        <f t="shared" si="91"/>
        <v>Office ServiceTotal Other</v>
      </c>
      <c r="C259" s="124" t="s">
        <v>50</v>
      </c>
      <c r="D259" s="129"/>
      <c r="E259" s="116">
        <f>I259</f>
        <v>0</v>
      </c>
      <c r="F259" s="116">
        <f>S259</f>
        <v>0</v>
      </c>
      <c r="G259" s="116">
        <f>AC259</f>
        <v>0</v>
      </c>
      <c r="H259" s="185" t="s">
        <v>45</v>
      </c>
      <c r="I259" s="165">
        <f>SUM(I253:I258)</f>
        <v>0</v>
      </c>
      <c r="J259" s="68"/>
      <c r="K259" s="68"/>
      <c r="L259" s="68"/>
      <c r="M259" s="66"/>
      <c r="N259" s="414">
        <f>I259</f>
        <v>0</v>
      </c>
      <c r="O259" s="233">
        <f>N259/N262</f>
        <v>0</v>
      </c>
      <c r="P259" s="390"/>
      <c r="Q259" s="68"/>
      <c r="R259" s="185" t="s">
        <v>45</v>
      </c>
      <c r="S259" s="165">
        <f>SUM(S253:S258)</f>
        <v>0</v>
      </c>
      <c r="T259" s="68"/>
      <c r="U259" s="68"/>
      <c r="V259" s="68"/>
      <c r="W259" s="66"/>
      <c r="X259" s="414">
        <f>S259</f>
        <v>0</v>
      </c>
      <c r="Y259" s="233">
        <f>X259/X262</f>
        <v>0</v>
      </c>
      <c r="Z259" s="390"/>
      <c r="AA259" s="68"/>
      <c r="AB259" s="185" t="s">
        <v>45</v>
      </c>
      <c r="AC259" s="165">
        <f>SUM(AC253:AC258)</f>
        <v>0</v>
      </c>
      <c r="AD259" s="68"/>
      <c r="AE259" s="68"/>
      <c r="AF259" s="68"/>
      <c r="AG259" s="66"/>
      <c r="AH259" s="414">
        <f>AC259</f>
        <v>0</v>
      </c>
      <c r="AI259" s="233" t="e">
        <f>AH259/AH262</f>
        <v>#DIV/0!</v>
      </c>
      <c r="AJ259" s="165">
        <f>I259+S259+AC259</f>
        <v>0</v>
      </c>
      <c r="AK259" s="165"/>
    </row>
    <row r="260" spans="1:37" ht="21.75" thickBot="1" x14ac:dyDescent="0.4">
      <c r="A260" s="299" t="s">
        <v>7</v>
      </c>
      <c r="B260" s="218" t="str">
        <f t="shared" si="91"/>
        <v>Office Service</v>
      </c>
      <c r="C260" s="5" t="s">
        <v>48</v>
      </c>
      <c r="D260" s="129"/>
      <c r="E260" s="117"/>
      <c r="F260" s="117"/>
      <c r="G260" s="117"/>
      <c r="H260" s="178"/>
      <c r="I260" s="178"/>
      <c r="J260" s="101"/>
      <c r="K260" s="101"/>
      <c r="L260" s="101"/>
      <c r="M260" s="102"/>
      <c r="N260" s="415"/>
      <c r="O260" s="178"/>
      <c r="P260" s="101"/>
      <c r="Q260" s="101"/>
      <c r="R260" s="178"/>
      <c r="S260" s="178"/>
      <c r="T260" s="101"/>
      <c r="U260" s="101"/>
      <c r="V260" s="101"/>
      <c r="W260" s="102"/>
      <c r="X260" s="415"/>
      <c r="Y260" s="178"/>
      <c r="Z260" s="101"/>
      <c r="AA260" s="101"/>
      <c r="AB260" s="178"/>
      <c r="AC260" s="178"/>
      <c r="AD260" s="101"/>
      <c r="AE260" s="101"/>
      <c r="AF260" s="101"/>
      <c r="AG260" s="102"/>
      <c r="AH260" s="415"/>
      <c r="AI260" s="178"/>
      <c r="AJ260" s="178"/>
      <c r="AK260" s="178"/>
    </row>
    <row r="261" spans="1:37" ht="21.75" thickTop="1" x14ac:dyDescent="0.35">
      <c r="A261" s="299" t="s">
        <v>7</v>
      </c>
      <c r="B261" s="218" t="str">
        <f t="shared" si="91"/>
        <v>Office ServiceTOTALS</v>
      </c>
      <c r="C261" s="5" t="s">
        <v>48</v>
      </c>
      <c r="D261" s="129"/>
      <c r="E261" s="117"/>
      <c r="F261" s="117"/>
      <c r="G261" s="117"/>
      <c r="H261" s="186" t="s">
        <v>28</v>
      </c>
      <c r="I261" s="418"/>
      <c r="J261" s="103"/>
      <c r="K261" s="103"/>
      <c r="L261" s="103"/>
      <c r="M261" s="104"/>
      <c r="N261" s="91"/>
      <c r="O261" s="136"/>
      <c r="P261" s="390"/>
      <c r="Q261" s="37"/>
      <c r="R261" s="186" t="s">
        <v>28</v>
      </c>
      <c r="S261" s="418"/>
      <c r="T261" s="103"/>
      <c r="U261" s="435"/>
      <c r="V261" s="435"/>
      <c r="W261" s="436"/>
      <c r="X261" s="91"/>
      <c r="Y261" s="136"/>
      <c r="Z261" s="390"/>
      <c r="AA261" s="37"/>
      <c r="AB261" s="186" t="s">
        <v>28</v>
      </c>
      <c r="AC261" s="418"/>
      <c r="AD261" s="435"/>
      <c r="AE261" s="435"/>
      <c r="AF261" s="435"/>
      <c r="AG261" s="436"/>
      <c r="AH261" s="91"/>
      <c r="AI261" s="136"/>
      <c r="AJ261" s="418"/>
      <c r="AK261" s="418"/>
    </row>
    <row r="262" spans="1:37" ht="21" x14ac:dyDescent="0.35">
      <c r="A262" s="299" t="s">
        <v>7</v>
      </c>
      <c r="B262" s="218" t="str">
        <f t="shared" si="91"/>
        <v>Office ServicePER YEAR</v>
      </c>
      <c r="C262" s="124" t="s">
        <v>50</v>
      </c>
      <c r="D262" s="129"/>
      <c r="E262" s="117"/>
      <c r="F262" s="117"/>
      <c r="G262" s="117"/>
      <c r="H262" s="190" t="s">
        <v>46</v>
      </c>
      <c r="I262" s="417">
        <f>I233+I238+I245+I250+I259</f>
        <v>10420.0173</v>
      </c>
      <c r="J262" s="106"/>
      <c r="K262" s="106"/>
      <c r="L262" s="106"/>
      <c r="M262" s="107"/>
      <c r="N262" s="420">
        <f>SUM(N233:N260)</f>
        <v>10420.0173</v>
      </c>
      <c r="O262" s="233">
        <f>SUM(O233:O260)</f>
        <v>1.0000000000000002</v>
      </c>
      <c r="P262" s="390"/>
      <c r="Q262" s="37"/>
      <c r="R262" s="190" t="s">
        <v>46</v>
      </c>
      <c r="S262" s="417">
        <f>S233+S238+S245+S250+S259</f>
        <v>1286.8632</v>
      </c>
      <c r="T262" s="106"/>
      <c r="U262" s="433"/>
      <c r="V262" s="433"/>
      <c r="W262" s="434"/>
      <c r="X262" s="420">
        <f>SUM(X233:X260)</f>
        <v>1286.8632</v>
      </c>
      <c r="Y262" s="233">
        <f>SUM(Y233:Y260)</f>
        <v>1</v>
      </c>
      <c r="Z262" s="390"/>
      <c r="AA262" s="37"/>
      <c r="AB262" s="190" t="s">
        <v>46</v>
      </c>
      <c r="AC262" s="417">
        <f>AC233+AC238+AC245+AC250+AC259</f>
        <v>0</v>
      </c>
      <c r="AD262" s="433"/>
      <c r="AE262" s="433"/>
      <c r="AF262" s="433"/>
      <c r="AG262" s="434"/>
      <c r="AH262" s="420">
        <f>SUM(AH233:AH260)</f>
        <v>0</v>
      </c>
      <c r="AI262" s="233" t="e">
        <f>SUM(AI233:AI260)</f>
        <v>#DIV/0!</v>
      </c>
      <c r="AJ262" s="417">
        <f>I262+S262+AC262</f>
        <v>11706.880499999999</v>
      </c>
      <c r="AK262" s="417"/>
    </row>
    <row r="263" spans="1:37" ht="21" x14ac:dyDescent="0.35">
      <c r="A263" s="299" t="s">
        <v>7</v>
      </c>
      <c r="B263" s="218" t="str">
        <f t="shared" ref="B263" si="112">A263&amp;H263</f>
        <v>Office ServicePER PAYMENT</v>
      </c>
      <c r="C263" s="124" t="s">
        <v>50</v>
      </c>
      <c r="D263" s="129"/>
      <c r="E263" s="117"/>
      <c r="F263" s="117"/>
      <c r="G263" s="117"/>
      <c r="H263" s="185" t="s">
        <v>47</v>
      </c>
      <c r="I263" s="419">
        <f>I262/I$6</f>
        <v>7.0983945529108819E-2</v>
      </c>
      <c r="J263" s="108"/>
      <c r="K263" s="108"/>
      <c r="L263" s="108"/>
      <c r="M263" s="109"/>
      <c r="N263" s="98"/>
      <c r="O263" s="243"/>
      <c r="P263" s="391"/>
      <c r="Q263" s="60"/>
      <c r="R263" s="185" t="s">
        <v>47</v>
      </c>
      <c r="S263" s="419">
        <f>S262/S$6</f>
        <v>0.18292298507462687</v>
      </c>
      <c r="T263" s="108"/>
      <c r="U263" s="437"/>
      <c r="V263" s="437"/>
      <c r="W263" s="438"/>
      <c r="X263" s="98"/>
      <c r="Y263" s="243"/>
      <c r="Z263" s="391"/>
      <c r="AA263" s="60"/>
      <c r="AB263" s="185" t="s">
        <v>47</v>
      </c>
      <c r="AC263" s="419">
        <f>AC262/AC$6</f>
        <v>0</v>
      </c>
      <c r="AD263" s="437"/>
      <c r="AE263" s="437"/>
      <c r="AF263" s="437"/>
      <c r="AG263" s="438"/>
      <c r="AH263" s="98"/>
      <c r="AI263" s="243"/>
      <c r="AJ263" s="419">
        <f>I263+S263+AC263</f>
        <v>0.2539069306037357</v>
      </c>
      <c r="AK263" s="419"/>
    </row>
    <row r="264" spans="1:37" ht="15.75" x14ac:dyDescent="0.25">
      <c r="A264" s="299" t="s">
        <v>7</v>
      </c>
      <c r="B264" s="218"/>
      <c r="C264" s="220"/>
      <c r="D264" s="129"/>
      <c r="E264" s="10"/>
      <c r="F264" s="10"/>
      <c r="G264" s="10"/>
      <c r="H264" s="137" t="s">
        <v>553</v>
      </c>
      <c r="I264" s="652">
        <f>I233+I238</f>
        <v>10420.0173</v>
      </c>
      <c r="J264" s="108"/>
      <c r="K264" s="108"/>
      <c r="L264" s="108"/>
      <c r="M264" s="109"/>
      <c r="N264" s="649"/>
      <c r="O264" s="650"/>
      <c r="P264" s="92"/>
      <c r="Q264" s="37"/>
      <c r="R264" s="137" t="s">
        <v>553</v>
      </c>
      <c r="S264" s="652">
        <f>S233+S238</f>
        <v>1286.8632</v>
      </c>
      <c r="T264" s="108"/>
      <c r="U264" s="108"/>
      <c r="V264" s="108"/>
      <c r="W264" s="109"/>
      <c r="X264" s="651"/>
      <c r="Y264" s="650"/>
      <c r="Z264" s="92"/>
      <c r="AA264" s="37"/>
      <c r="AB264" s="137" t="s">
        <v>553</v>
      </c>
      <c r="AC264" s="652">
        <f>AC233+AC238</f>
        <v>0</v>
      </c>
      <c r="AD264" s="108"/>
      <c r="AE264" s="108"/>
      <c r="AF264" s="108"/>
      <c r="AG264" s="109"/>
      <c r="AH264" s="649"/>
      <c r="AI264" s="137"/>
      <c r="AJ264" s="652">
        <f>I264+S264+AC264</f>
        <v>11706.880499999999</v>
      </c>
      <c r="AK264" s="652"/>
    </row>
    <row r="265" spans="1:37" ht="15.75" x14ac:dyDescent="0.25">
      <c r="A265" s="299" t="s">
        <v>7</v>
      </c>
      <c r="B265" s="218"/>
      <c r="C265" s="220"/>
      <c r="D265" s="129"/>
      <c r="E265" s="10"/>
      <c r="F265" s="10"/>
      <c r="G265" s="10"/>
      <c r="H265" s="137" t="s">
        <v>554</v>
      </c>
      <c r="I265" s="652">
        <f>I259+I250+I245</f>
        <v>0</v>
      </c>
      <c r="J265" s="108"/>
      <c r="K265" s="652"/>
      <c r="L265" s="108"/>
      <c r="M265" s="109"/>
      <c r="N265" s="649"/>
      <c r="O265" s="650"/>
      <c r="P265" s="92"/>
      <c r="Q265" s="37"/>
      <c r="R265" s="137" t="s">
        <v>554</v>
      </c>
      <c r="S265" s="652">
        <f>S259+S250+S245</f>
        <v>0</v>
      </c>
      <c r="T265" s="108"/>
      <c r="U265" s="652"/>
      <c r="V265" s="108"/>
      <c r="W265" s="109"/>
      <c r="X265" s="651"/>
      <c r="Y265" s="650"/>
      <c r="Z265" s="92"/>
      <c r="AA265" s="37"/>
      <c r="AB265" s="137" t="s">
        <v>554</v>
      </c>
      <c r="AC265" s="652">
        <f>AC259+AC250+AC245</f>
        <v>0</v>
      </c>
      <c r="AD265" s="108"/>
      <c r="AE265" s="652"/>
      <c r="AF265" s="108"/>
      <c r="AG265" s="109"/>
      <c r="AH265" s="649"/>
      <c r="AI265" s="137"/>
      <c r="AJ265" s="652">
        <f>I265+S265+AC265</f>
        <v>0</v>
      </c>
      <c r="AK265" s="652"/>
    </row>
    <row r="266" spans="1:37" ht="15.75" x14ac:dyDescent="0.25">
      <c r="A266" s="299" t="s">
        <v>7</v>
      </c>
      <c r="B266" s="218"/>
      <c r="C266" s="220"/>
      <c r="D266" s="129"/>
      <c r="E266" s="10"/>
      <c r="F266" s="10"/>
      <c r="G266" s="10"/>
      <c r="H266" s="137" t="s">
        <v>552</v>
      </c>
      <c r="I266" s="652">
        <f>I262</f>
        <v>10420.0173</v>
      </c>
      <c r="J266" s="108"/>
      <c r="K266" s="108"/>
      <c r="L266" s="108"/>
      <c r="M266" s="109"/>
      <c r="N266" s="649"/>
      <c r="O266" s="650"/>
      <c r="P266" s="92"/>
      <c r="Q266" s="37"/>
      <c r="R266" s="137" t="s">
        <v>552</v>
      </c>
      <c r="S266" s="652">
        <f>S262</f>
        <v>1286.8632</v>
      </c>
      <c r="T266" s="108"/>
      <c r="U266" s="108"/>
      <c r="V266" s="108"/>
      <c r="W266" s="109"/>
      <c r="X266" s="651"/>
      <c r="Y266" s="650"/>
      <c r="Z266" s="92"/>
      <c r="AA266" s="37"/>
      <c r="AB266" s="137" t="s">
        <v>552</v>
      </c>
      <c r="AC266" s="652">
        <f>AC262</f>
        <v>0</v>
      </c>
      <c r="AD266" s="108"/>
      <c r="AE266" s="108"/>
      <c r="AF266" s="108"/>
      <c r="AG266" s="109"/>
      <c r="AH266" s="649"/>
      <c r="AI266" s="137"/>
      <c r="AJ266" s="652">
        <f>I266+S266+AC266</f>
        <v>11706.880499999999</v>
      </c>
      <c r="AK266" s="652"/>
    </row>
    <row r="267" spans="1:37" ht="16.149999999999999" customHeight="1" x14ac:dyDescent="0.25">
      <c r="A267" s="2" t="s">
        <v>50</v>
      </c>
      <c r="D267" s="648"/>
      <c r="E267" s="648"/>
      <c r="F267" s="648"/>
      <c r="G267" s="648"/>
    </row>
    <row r="268" spans="1:37" ht="15.75" x14ac:dyDescent="0.25">
      <c r="A268" s="261"/>
      <c r="D268" s="648"/>
      <c r="E268" s="648"/>
      <c r="F268" s="648"/>
      <c r="G268" s="648"/>
      <c r="H268" s="261" t="s">
        <v>67</v>
      </c>
      <c r="I268" s="660">
        <f>I264+I223+I181+I140+I95+I47</f>
        <v>2288360.2970152674</v>
      </c>
      <c r="R268" s="261" t="s">
        <v>67</v>
      </c>
      <c r="S268" s="660">
        <f>S264+S223+S181+S140+S95+S47</f>
        <v>149477.48080620181</v>
      </c>
      <c r="AB268" s="261" t="s">
        <v>67</v>
      </c>
      <c r="AC268" s="660">
        <f>AC264+AC223+AC181+AC140+AC95+AC47</f>
        <v>1028.0626580825938</v>
      </c>
      <c r="AJ268" s="660">
        <f>I268+S268+AC268</f>
        <v>2438865.8404795518</v>
      </c>
    </row>
    <row r="269" spans="1:37" ht="15.75" x14ac:dyDescent="0.25">
      <c r="A269" s="261"/>
      <c r="D269" s="648"/>
      <c r="E269" s="648"/>
      <c r="F269" s="648"/>
      <c r="G269" s="648"/>
      <c r="H269" s="261" t="s">
        <v>551</v>
      </c>
      <c r="I269" s="660">
        <f t="shared" ref="I269:I270" si="113">I265+I224+I182+I141+I96+I48</f>
        <v>563399.12744690117</v>
      </c>
      <c r="R269" s="261" t="s">
        <v>551</v>
      </c>
      <c r="S269" s="660">
        <f t="shared" ref="S269:S270" si="114">S265+S224+S182+S141+S96+S48</f>
        <v>28735.492491443449</v>
      </c>
      <c r="AB269" s="261" t="s">
        <v>551</v>
      </c>
      <c r="AC269" s="660">
        <f t="shared" ref="AC269:AC270" si="115">AC265+AC224+AC182+AC141+AC96+AC48</f>
        <v>78.917260455323301</v>
      </c>
      <c r="AJ269" s="660">
        <f>I269+S269+AC269</f>
        <v>592213.5371987999</v>
      </c>
    </row>
    <row r="270" spans="1:37" ht="15.75" x14ac:dyDescent="0.25">
      <c r="A270" s="261"/>
      <c r="D270" s="648"/>
      <c r="E270" s="648"/>
      <c r="F270" s="648"/>
      <c r="G270" s="648"/>
      <c r="H270" s="261" t="s">
        <v>552</v>
      </c>
      <c r="I270" s="660">
        <f t="shared" si="113"/>
        <v>2851759.4244621689</v>
      </c>
      <c r="R270" s="261" t="s">
        <v>552</v>
      </c>
      <c r="S270" s="660">
        <f t="shared" si="114"/>
        <v>178212.97329764528</v>
      </c>
      <c r="AB270" s="261" t="s">
        <v>552</v>
      </c>
      <c r="AC270" s="660">
        <f t="shared" si="115"/>
        <v>1106.979918537917</v>
      </c>
      <c r="AJ270" s="660">
        <f>I270+S270+AC270</f>
        <v>3031079.3776783524</v>
      </c>
    </row>
    <row r="271" spans="1:37" ht="15.75" x14ac:dyDescent="0.25">
      <c r="A271" s="261" t="s">
        <v>50</v>
      </c>
      <c r="D271" s="648"/>
      <c r="E271" s="648"/>
      <c r="F271" s="648"/>
      <c r="G271" s="648"/>
    </row>
    <row r="272" spans="1:37" ht="15.75" x14ac:dyDescent="0.25">
      <c r="A272" s="261"/>
      <c r="D272" s="648"/>
      <c r="E272" s="648"/>
      <c r="F272" s="648"/>
      <c r="G272" s="648"/>
      <c r="H272" s="261" t="s">
        <v>556</v>
      </c>
      <c r="I272" s="660">
        <f>SUM(I270,S270,AC270)</f>
        <v>3031079.3776783524</v>
      </c>
    </row>
    <row r="273" spans="23:27" x14ac:dyDescent="0.25">
      <c r="W273" s="103"/>
      <c r="X273" s="103"/>
      <c r="Y273" s="103"/>
      <c r="Z273" s="103"/>
      <c r="AA273" s="104"/>
    </row>
  </sheetData>
  <autoFilter ref="A6:AU272" xr:uid="{00000000-0009-0000-0000-000004000000}"/>
  <mergeCells count="13">
    <mergeCell ref="M212:M213"/>
    <mergeCell ref="W212:W213"/>
    <mergeCell ref="AG212:AG213"/>
    <mergeCell ref="M129:M130"/>
    <mergeCell ref="W129:W130"/>
    <mergeCell ref="AG129:AG130"/>
    <mergeCell ref="H4:Q4"/>
    <mergeCell ref="R4:AA4"/>
    <mergeCell ref="AB4:AL4"/>
    <mergeCell ref="I5:M5"/>
    <mergeCell ref="M170:M171"/>
    <mergeCell ref="W170:W171"/>
    <mergeCell ref="AG170:AG171"/>
  </mergeCells>
  <printOptions horizontalCentered="1"/>
  <pageMargins left="0.28999999999999998" right="0.35" top="0.52" bottom="0.38" header="0.2" footer="0.17"/>
  <pageSetup paperSize="17" scale="10" orientation="landscape" r:id="rId1"/>
  <headerFooter>
    <oddHeader>&amp;C&amp;"-,Bold"&amp;22METER TO CASH MATRIX&amp;RExh. RJW-2 Wyman WP5</oddHeader>
    <oddFooter>&amp;L&amp;Z&amp;F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S55"/>
  <sheetViews>
    <sheetView topLeftCell="A13" workbookViewId="0">
      <selection activeCell="R2" sqref="R2"/>
    </sheetView>
  </sheetViews>
  <sheetFormatPr defaultRowHeight="15.75" x14ac:dyDescent="0.25"/>
  <cols>
    <col min="1" max="1" width="3.85546875" style="261" customWidth="1"/>
    <col min="2" max="2" width="16.7109375" customWidth="1"/>
    <col min="3" max="3" width="6.42578125" customWidth="1"/>
    <col min="4" max="16" width="9.7109375" customWidth="1"/>
    <col min="18" max="18" width="5.5703125" style="212" customWidth="1"/>
    <col min="19" max="19" width="61" customWidth="1"/>
  </cols>
  <sheetData>
    <row r="3" spans="1:19" s="2" customFormat="1" ht="15" customHeight="1" x14ac:dyDescent="0.25">
      <c r="A3" s="261"/>
      <c r="C3" s="775" t="s">
        <v>245</v>
      </c>
      <c r="D3" s="776" t="s">
        <v>246</v>
      </c>
      <c r="E3" s="776"/>
      <c r="F3" s="776"/>
      <c r="G3" s="776"/>
      <c r="H3" s="776"/>
      <c r="I3" s="776"/>
      <c r="J3" s="776"/>
      <c r="K3" s="776"/>
      <c r="L3" s="776"/>
      <c r="M3" s="776"/>
      <c r="N3" s="776"/>
      <c r="O3" s="776"/>
      <c r="P3" s="776"/>
      <c r="Q3" s="777" t="s">
        <v>247</v>
      </c>
      <c r="R3" s="213"/>
      <c r="S3" s="262"/>
    </row>
    <row r="4" spans="1:19" s="2" customFormat="1" ht="15" customHeight="1" x14ac:dyDescent="0.25">
      <c r="A4" s="261"/>
      <c r="C4" s="775"/>
      <c r="D4" s="776" t="s">
        <v>248</v>
      </c>
      <c r="E4" s="776"/>
      <c r="F4" s="776"/>
      <c r="G4" s="776" t="s">
        <v>1</v>
      </c>
      <c r="H4" s="776"/>
      <c r="I4" s="776"/>
      <c r="J4" s="776" t="s">
        <v>249</v>
      </c>
      <c r="K4" s="776"/>
      <c r="L4" s="776"/>
      <c r="M4" s="776" t="s">
        <v>250</v>
      </c>
      <c r="N4" s="776"/>
      <c r="O4" s="776"/>
      <c r="P4" s="778" t="s">
        <v>251</v>
      </c>
      <c r="Q4" s="777"/>
      <c r="R4" s="213"/>
      <c r="S4" s="262" t="s">
        <v>252</v>
      </c>
    </row>
    <row r="5" spans="1:19" s="264" customFormat="1" x14ac:dyDescent="0.25">
      <c r="A5" s="263"/>
      <c r="C5" s="775"/>
      <c r="D5" s="265" t="s">
        <v>253</v>
      </c>
      <c r="E5" s="265" t="s">
        <v>254</v>
      </c>
      <c r="F5" s="265" t="s">
        <v>255</v>
      </c>
      <c r="G5" s="265" t="s">
        <v>253</v>
      </c>
      <c r="H5" s="265" t="s">
        <v>254</v>
      </c>
      <c r="I5" s="265" t="s">
        <v>255</v>
      </c>
      <c r="J5" s="265" t="s">
        <v>253</v>
      </c>
      <c r="K5" s="265" t="s">
        <v>254</v>
      </c>
      <c r="L5" s="265" t="s">
        <v>255</v>
      </c>
      <c r="M5" s="265" t="s">
        <v>253</v>
      </c>
      <c r="N5" s="265" t="s">
        <v>254</v>
      </c>
      <c r="O5" s="265" t="s">
        <v>255</v>
      </c>
      <c r="P5" s="778"/>
      <c r="Q5" s="777"/>
      <c r="R5" s="266"/>
      <c r="S5" s="262"/>
    </row>
    <row r="6" spans="1:19" x14ac:dyDescent="0.25">
      <c r="A6" s="261" t="s">
        <v>256</v>
      </c>
    </row>
    <row r="7" spans="1:19" ht="36.6" customHeight="1" x14ac:dyDescent="0.25">
      <c r="B7" s="267" t="s">
        <v>260</v>
      </c>
      <c r="C7" s="268">
        <v>2</v>
      </c>
      <c r="D7" s="269">
        <f>'FTE Alloc OREGON'!D7*D$55</f>
        <v>0</v>
      </c>
      <c r="E7" s="269">
        <f>'FTE Alloc OREGON'!E7*E$55</f>
        <v>0</v>
      </c>
      <c r="F7" s="269">
        <f>'FTE Alloc OREGON'!F7*F$55</f>
        <v>0</v>
      </c>
      <c r="G7" s="269">
        <f>'FTE Alloc OREGON'!G7*G$55</f>
        <v>0.53221190629800663</v>
      </c>
      <c r="H7" s="269">
        <f>'FTE Alloc OREGON'!H7*H$55</f>
        <v>4.5780962607277972E-2</v>
      </c>
      <c r="I7" s="269">
        <f>'FTE Alloc OREGON'!I7*I$55</f>
        <v>0</v>
      </c>
      <c r="J7" s="269">
        <f>'FTE Alloc OREGON'!J7*J$55</f>
        <v>2.2163895695000834E-2</v>
      </c>
      <c r="K7" s="269">
        <f>'FTE Alloc OREGON'!K7*K$55</f>
        <v>0</v>
      </c>
      <c r="L7" s="269">
        <f>'FTE Alloc OREGON'!L7*L$55</f>
        <v>0</v>
      </c>
      <c r="M7" s="269">
        <f>'FTE Alloc OREGON'!M7*M$55</f>
        <v>1.01945776745595E-2</v>
      </c>
      <c r="N7" s="269">
        <f>'FTE Alloc OREGON'!N7*N$55</f>
        <v>1.1004805591961556E-3</v>
      </c>
      <c r="O7" s="269"/>
      <c r="P7" s="269">
        <v>0.52</v>
      </c>
      <c r="Q7" s="269">
        <f>+SUM(D7:P7)</f>
        <v>1.1314518228340411</v>
      </c>
      <c r="S7" s="270" t="s">
        <v>258</v>
      </c>
    </row>
    <row r="8" spans="1:19" ht="36.6" customHeight="1" x14ac:dyDescent="0.25">
      <c r="B8" s="267" t="s">
        <v>259</v>
      </c>
      <c r="C8" s="268">
        <v>3</v>
      </c>
      <c r="D8" s="269">
        <f>'FTE Alloc OREGON'!D8*D$55</f>
        <v>2.5512732354262872E-2</v>
      </c>
      <c r="E8" s="269">
        <f>'FTE Alloc OREGON'!E8*E$55</f>
        <v>3.2700687576627122E-3</v>
      </c>
      <c r="F8" s="269">
        <f>'FTE Alloc OREGON'!F8*F$55</f>
        <v>0</v>
      </c>
      <c r="G8" s="269">
        <f>'FTE Alloc OREGON'!G8*G$55</f>
        <v>0.91917431316884901</v>
      </c>
      <c r="H8" s="269">
        <f>'FTE Alloc OREGON'!H8*H$55</f>
        <v>9.2651948133776862E-2</v>
      </c>
      <c r="I8" s="269">
        <f>'FTE Alloc OREGON'!I8*I$55</f>
        <v>0</v>
      </c>
      <c r="J8" s="269">
        <f>'FTE Alloc OREGON'!J8*J$55</f>
        <v>2.2163895695000834E-2</v>
      </c>
      <c r="K8" s="269">
        <f>'FTE Alloc OREGON'!K8*K$55</f>
        <v>0</v>
      </c>
      <c r="L8" s="269">
        <f>'FTE Alloc OREGON'!L8*L$55</f>
        <v>0</v>
      </c>
      <c r="M8" s="269">
        <f>'FTE Alloc OREGON'!M8*M$55</f>
        <v>1.01945776745595E-2</v>
      </c>
      <c r="N8" s="269">
        <f>'FTE Alloc OREGON'!N8*N$55</f>
        <v>1.1004805591961556E-3</v>
      </c>
      <c r="O8" s="269"/>
      <c r="P8" s="269">
        <v>0.03</v>
      </c>
      <c r="Q8" s="269">
        <f t="shared" ref="Q8" si="0">+SUM(D8:P8)</f>
        <v>1.1040680163433079</v>
      </c>
      <c r="S8" s="270" t="s">
        <v>258</v>
      </c>
    </row>
    <row r="9" spans="1:19" ht="36.6" customHeight="1" x14ac:dyDescent="0.25">
      <c r="B9" s="267" t="s">
        <v>257</v>
      </c>
      <c r="C9" s="268">
        <v>3</v>
      </c>
      <c r="D9" s="269">
        <f>'FTE Alloc OREGON'!D9*D$55</f>
        <v>5.2134713941319785E-2</v>
      </c>
      <c r="E9" s="269">
        <f>'FTE Alloc OREGON'!E9*E$55</f>
        <v>5.4501145961045206E-3</v>
      </c>
      <c r="F9" s="269">
        <f>'FTE Alloc OREGON'!F9*F$55</f>
        <v>0</v>
      </c>
      <c r="G9" s="269">
        <f>'FTE Alloc OREGON'!G9*G$55</f>
        <v>0.90919533992576129</v>
      </c>
      <c r="H9" s="269">
        <f>'FTE Alloc OREGON'!H9*H$55</f>
        <v>9.592201689143956E-2</v>
      </c>
      <c r="I9" s="269">
        <f>'FTE Alloc OREGON'!I9*I$55</f>
        <v>0</v>
      </c>
      <c r="J9" s="269">
        <f>'FTE Alloc OREGON'!J9*J$55</f>
        <v>0</v>
      </c>
      <c r="K9" s="269">
        <f>'FTE Alloc OREGON'!K9*K$55</f>
        <v>0</v>
      </c>
      <c r="L9" s="269">
        <f>'FTE Alloc OREGON'!L9*L$55</f>
        <v>0</v>
      </c>
      <c r="M9" s="269">
        <f>'FTE Alloc OREGON'!M9*M$55</f>
        <v>1.01945776745595E-2</v>
      </c>
      <c r="N9" s="269">
        <f>'FTE Alloc OREGON'!N9*N$55</f>
        <v>1.1004805591961556E-3</v>
      </c>
      <c r="O9" s="269"/>
      <c r="P9" s="269">
        <v>0.03</v>
      </c>
      <c r="Q9" s="269">
        <f>+SUM(D9:P9)</f>
        <v>1.1039972435883809</v>
      </c>
      <c r="S9" s="270" t="s">
        <v>258</v>
      </c>
    </row>
    <row r="11" spans="1:19" x14ac:dyDescent="0.25">
      <c r="B11" s="267" t="s">
        <v>261</v>
      </c>
      <c r="C11" s="268">
        <v>3</v>
      </c>
      <c r="D11" s="274">
        <f>'FTE Alloc OREGON'!D11*D$55</f>
        <v>0</v>
      </c>
      <c r="E11" s="274">
        <f>'FTE Alloc OREGON'!E11*E$55</f>
        <v>0</v>
      </c>
      <c r="F11" s="274">
        <f>'FTE Alloc OREGON'!F11*F$55</f>
        <v>0</v>
      </c>
      <c r="G11" s="274">
        <f>'FTE Alloc OREGON'!G11*G$55</f>
        <v>0</v>
      </c>
      <c r="H11" s="274">
        <f>'FTE Alloc OREGON'!H11*H$55</f>
        <v>0</v>
      </c>
      <c r="I11" s="274">
        <f>'FTE Alloc OREGON'!I11*I$55</f>
        <v>0</v>
      </c>
      <c r="J11" s="274">
        <f>'FTE Alloc OREGON'!J11*J$55</f>
        <v>1.0018080854140377</v>
      </c>
      <c r="K11" s="274">
        <f>'FTE Alloc OREGON'!K11*K$55</f>
        <v>9.8616797715318394E-2</v>
      </c>
      <c r="L11" s="274">
        <f>'FTE Alloc OREGON'!L11*L$55</f>
        <v>6.4585544957496913E-3</v>
      </c>
      <c r="M11" s="274">
        <f>'FTE Alloc OREGON'!M11*M$55</f>
        <v>0</v>
      </c>
      <c r="N11" s="274">
        <f>'FTE Alloc OREGON'!N11*N$55</f>
        <v>0</v>
      </c>
      <c r="O11" s="274"/>
      <c r="P11" s="274">
        <f>'FTE Alloc OREGON'!P11*P$55</f>
        <v>0</v>
      </c>
      <c r="Q11" s="274">
        <f>+SUM(D11:P11)</f>
        <v>1.1068834376251058</v>
      </c>
      <c r="S11" s="270" t="s">
        <v>262</v>
      </c>
    </row>
    <row r="12" spans="1:19" x14ac:dyDescent="0.25">
      <c r="B12" s="275"/>
      <c r="C12" s="271"/>
      <c r="D12" s="272"/>
      <c r="E12" s="272"/>
      <c r="F12" s="272"/>
      <c r="G12" s="272"/>
      <c r="H12" s="272"/>
      <c r="I12" s="272"/>
      <c r="J12" s="272"/>
      <c r="K12" s="272"/>
      <c r="L12" s="272"/>
      <c r="M12" s="272"/>
      <c r="N12" s="272"/>
      <c r="O12" s="272"/>
      <c r="P12" s="272"/>
      <c r="Q12" s="272"/>
      <c r="S12" s="273"/>
    </row>
    <row r="13" spans="1:19" x14ac:dyDescent="0.25">
      <c r="B13" s="267" t="s">
        <v>263</v>
      </c>
      <c r="C13" s="268">
        <v>1</v>
      </c>
      <c r="D13" s="276"/>
      <c r="E13" s="276"/>
      <c r="F13" s="276"/>
      <c r="G13" s="276"/>
      <c r="H13" s="276"/>
      <c r="I13" s="276"/>
      <c r="J13" s="276"/>
      <c r="K13" s="276"/>
      <c r="L13" s="276"/>
      <c r="M13" s="274">
        <f>'FTE Alloc OREGON'!M13*M$55</f>
        <v>1.0613688090069169</v>
      </c>
      <c r="N13" s="274">
        <f>'FTE Alloc OREGON'!N13*N$55</f>
        <v>6.9330275229357793E-2</v>
      </c>
      <c r="O13" s="274">
        <v>0</v>
      </c>
      <c r="P13" s="274"/>
      <c r="Q13" s="274">
        <f t="shared" ref="Q13" si="1">+SUM(D13:P13)</f>
        <v>1.1306990842362747</v>
      </c>
      <c r="S13" s="270" t="s">
        <v>264</v>
      </c>
    </row>
    <row r="14" spans="1:19" x14ac:dyDescent="0.25">
      <c r="B14" s="275"/>
      <c r="C14" s="271"/>
      <c r="D14" s="272"/>
      <c r="E14" s="272"/>
      <c r="F14" s="272"/>
      <c r="G14" s="272"/>
      <c r="H14" s="272"/>
      <c r="I14" s="272"/>
      <c r="J14" s="272"/>
      <c r="K14" s="272"/>
      <c r="L14" s="272"/>
      <c r="M14" s="272"/>
      <c r="N14" s="272"/>
      <c r="O14" s="272"/>
      <c r="P14" s="272"/>
      <c r="Q14" s="277"/>
      <c r="S14" s="273"/>
    </row>
    <row r="15" spans="1:19" x14ac:dyDescent="0.25">
      <c r="A15" s="261" t="s">
        <v>5</v>
      </c>
      <c r="B15" s="275"/>
      <c r="C15" s="271"/>
      <c r="D15" s="272"/>
      <c r="E15" s="272"/>
      <c r="F15" s="272">
        <v>0.1</v>
      </c>
      <c r="G15" s="272"/>
      <c r="H15" s="272"/>
      <c r="I15" s="272">
        <v>0.62</v>
      </c>
      <c r="J15" s="272"/>
      <c r="K15" s="272"/>
      <c r="L15" s="272"/>
      <c r="M15" s="272"/>
      <c r="N15" s="272"/>
      <c r="O15" s="272">
        <v>0.08</v>
      </c>
      <c r="P15" s="272">
        <v>0.2</v>
      </c>
      <c r="Q15" s="277"/>
      <c r="S15" s="273"/>
    </row>
    <row r="16" spans="1:19" ht="48.6" customHeight="1" x14ac:dyDescent="0.25">
      <c r="B16" s="267" t="s">
        <v>265</v>
      </c>
      <c r="C16" s="268">
        <v>3</v>
      </c>
      <c r="D16" s="274">
        <f>'FTE Alloc OREGON'!D16*D$55</f>
        <v>0</v>
      </c>
      <c r="E16" s="274">
        <f>'FTE Alloc OREGON'!E16*E$55</f>
        <v>0</v>
      </c>
      <c r="F16" s="274">
        <f>'FTE Alloc OREGON'!F16*F$55</f>
        <v>0.10764257492916152</v>
      </c>
      <c r="G16" s="274">
        <f>'FTE Alloc OREGON'!G16*G$55</f>
        <v>0</v>
      </c>
      <c r="H16" s="274">
        <f>'FTE Alloc OREGON'!H16*H$55</f>
        <v>0.16895355247924013</v>
      </c>
      <c r="I16" s="274">
        <f>'FTE Alloc OREGON'!I16*I$55</f>
        <v>0.50053797342060102</v>
      </c>
      <c r="J16" s="274">
        <f>'FTE Alloc OREGON'!J16*J$55</f>
        <v>0</v>
      </c>
      <c r="K16" s="274">
        <f>'FTE Alloc OREGON'!K16*K$55</f>
        <v>0</v>
      </c>
      <c r="L16" s="274">
        <f>'FTE Alloc OREGON'!L16*L$55</f>
        <v>0</v>
      </c>
      <c r="M16" s="274">
        <f>'FTE Alloc OREGON'!M16*M$55</f>
        <v>0</v>
      </c>
      <c r="N16" s="274">
        <f>'FTE Alloc OREGON'!N16*N$55</f>
        <v>7.0430755788553956E-2</v>
      </c>
      <c r="O16" s="274"/>
      <c r="P16" s="274">
        <f>'FTE Alloc OREGON'!P16*P$55</f>
        <v>0</v>
      </c>
      <c r="Q16" s="274">
        <f t="shared" ref="Q16:Q17" si="2">+SUM(D16:P16)</f>
        <v>0.84756485661755665</v>
      </c>
      <c r="S16" s="270" t="s">
        <v>266</v>
      </c>
    </row>
    <row r="17" spans="1:19" ht="36.6" customHeight="1" x14ac:dyDescent="0.25">
      <c r="B17" s="267" t="s">
        <v>277</v>
      </c>
      <c r="C17" s="268">
        <v>1</v>
      </c>
      <c r="D17" s="274">
        <f>'FTE Alloc OREGON'!D17*D$55</f>
        <v>0</v>
      </c>
      <c r="E17" s="274">
        <f>'FTE Alloc OREGON'!E17*E$55</f>
        <v>0</v>
      </c>
      <c r="F17" s="274">
        <f>'FTE Alloc OREGON'!F17*F$55</f>
        <v>0</v>
      </c>
      <c r="G17" s="274">
        <f>'FTE Alloc OREGON'!G17*G$55</f>
        <v>0</v>
      </c>
      <c r="H17" s="274">
        <f>'FTE Alloc OREGON'!H17*H$55</f>
        <v>4.3600916768836165E-2</v>
      </c>
      <c r="I17" s="274">
        <f>'FTE Alloc OREGON'!I17*I$55</f>
        <v>0.17222811988665843</v>
      </c>
      <c r="J17" s="274">
        <f>'FTE Alloc OREGON'!J17*J$55</f>
        <v>0.11081947847500417</v>
      </c>
      <c r="K17" s="274">
        <f>'FTE Alloc OREGON'!K17*K$55</f>
        <v>2.191484393673742E-2</v>
      </c>
      <c r="L17" s="274">
        <f>'FTE Alloc OREGON'!L17*L$55</f>
        <v>0</v>
      </c>
      <c r="M17" s="274">
        <f>'FTE Alloc OREGON'!M17*M$55</f>
        <v>0</v>
      </c>
      <c r="N17" s="274">
        <f>'FTE Alloc OREGON'!N17*N$55</f>
        <v>0</v>
      </c>
      <c r="O17" s="274"/>
      <c r="P17" s="274">
        <f>'FTE Alloc OREGON'!P17*P$55</f>
        <v>0</v>
      </c>
      <c r="Q17" s="274">
        <f t="shared" si="2"/>
        <v>0.34856335906723618</v>
      </c>
      <c r="S17" s="270" t="s">
        <v>267</v>
      </c>
    </row>
    <row r="18" spans="1:19" x14ac:dyDescent="0.25">
      <c r="B18" s="275"/>
      <c r="C18" s="271"/>
      <c r="D18" s="272"/>
      <c r="E18" s="272"/>
      <c r="F18" s="272"/>
      <c r="G18" s="272"/>
      <c r="H18" s="272"/>
      <c r="I18" s="272"/>
      <c r="J18" s="272"/>
      <c r="K18" s="272"/>
      <c r="L18" s="272"/>
      <c r="M18" s="272"/>
      <c r="N18" s="272"/>
      <c r="O18" s="272"/>
      <c r="P18" s="272"/>
      <c r="Q18" s="277"/>
      <c r="S18" s="273"/>
    </row>
    <row r="19" spans="1:19" ht="15.75" customHeight="1" x14ac:dyDescent="0.25">
      <c r="A19" s="261" t="s">
        <v>268</v>
      </c>
      <c r="B19" s="275"/>
      <c r="C19" s="271"/>
      <c r="D19" s="272"/>
      <c r="E19" s="272"/>
      <c r="F19" s="272"/>
      <c r="G19" s="272"/>
      <c r="H19" s="272"/>
      <c r="I19" s="272"/>
      <c r="J19" s="272"/>
      <c r="K19" s="272"/>
      <c r="L19" s="272"/>
      <c r="M19" s="272"/>
      <c r="N19" s="272"/>
      <c r="O19" s="272"/>
      <c r="P19" s="272"/>
      <c r="Q19" s="277"/>
      <c r="S19" s="273"/>
    </row>
    <row r="20" spans="1:19" ht="24.75" customHeight="1" x14ac:dyDescent="0.25">
      <c r="B20" s="267" t="s">
        <v>365</v>
      </c>
      <c r="C20" s="268">
        <v>1</v>
      </c>
      <c r="D20" s="274">
        <f>'FTE Alloc OREGON'!D20*D$55</f>
        <v>0</v>
      </c>
      <c r="E20" s="274">
        <f>'FTE Alloc OREGON'!E20*E$55</f>
        <v>0</v>
      </c>
      <c r="F20" s="274">
        <f>'FTE Alloc OREGON'!F20*F$55</f>
        <v>0</v>
      </c>
      <c r="G20" s="274">
        <f>'FTE Alloc OREGON'!G20*G$55</f>
        <v>0.40248525413786751</v>
      </c>
      <c r="H20" s="274">
        <f>'FTE Alloc OREGON'!H20*H$55</f>
        <v>5.1231077203382491E-2</v>
      </c>
      <c r="I20" s="274">
        <f>'FTE Alloc OREGON'!I20*I$55</f>
        <v>0</v>
      </c>
      <c r="J20" s="274">
        <f>'FTE Alloc OREGON'!J20*J$55</f>
        <v>0.25156021613825946</v>
      </c>
      <c r="K20" s="274">
        <f>'FTE Alloc OREGON'!K20*K$55</f>
        <v>2.5202070527248033E-2</v>
      </c>
      <c r="L20" s="274">
        <f>'FTE Alloc OREGON'!L20*L$55</f>
        <v>0</v>
      </c>
      <c r="M20" s="274">
        <f>'FTE Alloc OREGON'!M20*M$55</f>
        <v>0.25712990356944515</v>
      </c>
      <c r="N20" s="274">
        <f>'FTE Alloc OREGON'!N20*N$55</f>
        <v>2.5311052861511578E-2</v>
      </c>
      <c r="O20" s="274"/>
      <c r="P20" s="274">
        <f>'FTE Alloc OREGON'!P20*P$55</f>
        <v>0</v>
      </c>
      <c r="Q20" s="274">
        <f t="shared" ref="Q20:Q23" si="3">+SUM(D20:P20)</f>
        <v>1.0129195744377142</v>
      </c>
      <c r="S20" s="270" t="s">
        <v>282</v>
      </c>
    </row>
    <row r="21" spans="1:19" ht="15.75" customHeight="1" x14ac:dyDescent="0.25">
      <c r="B21" s="267" t="s">
        <v>366</v>
      </c>
      <c r="C21" s="268">
        <v>1</v>
      </c>
      <c r="D21" s="377">
        <f>'FTE Alloc OREGON'!D21*D$55</f>
        <v>0</v>
      </c>
      <c r="E21" s="377">
        <f>'FTE Alloc OREGON'!E21*E$55</f>
        <v>0</v>
      </c>
      <c r="F21" s="377">
        <f>'FTE Alloc OREGON'!F21*F$55</f>
        <v>0</v>
      </c>
      <c r="G21" s="377">
        <f>'FTE Alloc OREGON'!G21*G$55</f>
        <v>0</v>
      </c>
      <c r="H21" s="377">
        <f>'FTE Alloc OREGON'!H21*H$55</f>
        <v>0</v>
      </c>
      <c r="I21" s="377">
        <f>'FTE Alloc OREGON'!I21*I$55</f>
        <v>0</v>
      </c>
      <c r="J21" s="377">
        <f>'FTE Alloc OREGON'!J21*J$55</f>
        <v>0</v>
      </c>
      <c r="K21" s="377">
        <f>'FTE Alloc OREGON'!K21*K$55</f>
        <v>0</v>
      </c>
      <c r="L21" s="377">
        <f>'FTE Alloc OREGON'!L21*L$55</f>
        <v>0</v>
      </c>
      <c r="M21" s="377">
        <f>'FTE Alloc OREGON'!M21*M$55</f>
        <v>0</v>
      </c>
      <c r="N21" s="377">
        <f>'FTE Alloc OREGON'!N21*N$55</f>
        <v>0</v>
      </c>
      <c r="O21" s="377"/>
      <c r="P21" s="377">
        <f>'FTE Alloc OREGON'!P21*P$55</f>
        <v>0</v>
      </c>
      <c r="Q21" s="274">
        <f t="shared" si="3"/>
        <v>0</v>
      </c>
      <c r="S21" s="270"/>
    </row>
    <row r="22" spans="1:19" ht="15.75" customHeight="1" x14ac:dyDescent="0.25">
      <c r="B22" s="267" t="s">
        <v>269</v>
      </c>
      <c r="C22" s="268">
        <v>1.5</v>
      </c>
      <c r="D22" s="296">
        <f>'FTE Alloc OREGON'!D22*D$55</f>
        <v>3.1058978518233065E-2</v>
      </c>
      <c r="E22" s="296">
        <f>'FTE Alloc OREGON'!E22*E$55</f>
        <v>1.0900229192209042E-3</v>
      </c>
      <c r="F22" s="274">
        <f>'FTE Alloc OREGON'!F22*F$55</f>
        <v>0</v>
      </c>
      <c r="G22" s="296">
        <f>'FTE Alloc OREGON'!G22*G$55</f>
        <v>0.48231704008256854</v>
      </c>
      <c r="H22" s="296">
        <f>'FTE Alloc OREGON'!H22*H$55</f>
        <v>4.9051031364940684E-2</v>
      </c>
      <c r="I22" s="274">
        <f>'FTE Alloc OREGON'!I22*I$55</f>
        <v>0</v>
      </c>
      <c r="J22" s="295">
        <f>'FTE Alloc OREGON'!J22*J$55</f>
        <v>0.33135024064026247</v>
      </c>
      <c r="K22" s="295">
        <f>'FTE Alloc OREGON'!K22*K$55</f>
        <v>3.3968008101943004E-2</v>
      </c>
      <c r="L22" s="274">
        <f>'FTE Alloc OREGON'!L22*L$55</f>
        <v>0</v>
      </c>
      <c r="M22" s="296">
        <f>'FTE Alloc OREGON'!M22*M$55</f>
        <v>5.4371080930984E-2</v>
      </c>
      <c r="N22" s="296">
        <f>'FTE Alloc OREGON'!N22*N$55</f>
        <v>3.3014416775884667E-2</v>
      </c>
      <c r="O22" s="274"/>
      <c r="P22" s="296">
        <f>'FTE Alloc OREGON'!P22*P$55</f>
        <v>0</v>
      </c>
      <c r="Q22" s="274">
        <f t="shared" si="3"/>
        <v>1.0162208193340372</v>
      </c>
      <c r="S22" s="270" t="s">
        <v>281</v>
      </c>
    </row>
    <row r="23" spans="1:19" x14ac:dyDescent="0.25">
      <c r="B23" s="267" t="s">
        <v>270</v>
      </c>
      <c r="C23" s="268">
        <v>0.5</v>
      </c>
      <c r="D23" s="274">
        <f>'FTE Alloc OREGON'!D23*D$55</f>
        <v>0</v>
      </c>
      <c r="E23" s="274">
        <f>'FTE Alloc OREGON'!E23*E$55</f>
        <v>0</v>
      </c>
      <c r="F23" s="274">
        <f>'FTE Alloc OREGON'!F23*F$55</f>
        <v>0.10764257492916152</v>
      </c>
      <c r="G23" s="274">
        <f>'FTE Alloc OREGON'!G23*G$55</f>
        <v>0</v>
      </c>
      <c r="H23" s="274">
        <f>'FTE Alloc OREGON'!H23*H$55</f>
        <v>0.16895355247924013</v>
      </c>
      <c r="I23" s="274">
        <f>'FTE Alloc OREGON'!I23*I$55</f>
        <v>0.50053797342060102</v>
      </c>
      <c r="J23" s="274">
        <f>'FTE Alloc OREGON'!J23*J$55</f>
        <v>0</v>
      </c>
      <c r="K23" s="274">
        <f>'FTE Alloc OREGON'!K23*K$55</f>
        <v>0</v>
      </c>
      <c r="L23" s="274">
        <f>'FTE Alloc OREGON'!L23*L$55</f>
        <v>0</v>
      </c>
      <c r="M23" s="274">
        <f>'FTE Alloc OREGON'!M23*M$55</f>
        <v>0</v>
      </c>
      <c r="N23" s="274">
        <f>'FTE Alloc OREGON'!N23*N$55</f>
        <v>7.0430755788553956E-2</v>
      </c>
      <c r="O23" s="274"/>
      <c r="P23" s="274">
        <f>'FTE Alloc OREGON'!P23*P$55</f>
        <v>0</v>
      </c>
      <c r="Q23" s="274">
        <f t="shared" si="3"/>
        <v>0.84756485661755665</v>
      </c>
      <c r="S23" s="270" t="s">
        <v>280</v>
      </c>
    </row>
    <row r="24" spans="1:19" x14ac:dyDescent="0.25">
      <c r="C24" s="271"/>
    </row>
    <row r="25" spans="1:19" x14ac:dyDescent="0.25">
      <c r="C25" s="271"/>
    </row>
    <row r="26" spans="1:19" ht="16.149999999999999" customHeight="1" x14ac:dyDescent="0.25">
      <c r="C26" s="271"/>
    </row>
    <row r="27" spans="1:19" ht="15.6" customHeight="1" x14ac:dyDescent="0.25">
      <c r="B27" s="2"/>
      <c r="C27" s="775" t="s">
        <v>271</v>
      </c>
      <c r="D27" s="776" t="s">
        <v>272</v>
      </c>
      <c r="E27" s="776"/>
      <c r="F27" s="776"/>
      <c r="G27" s="776"/>
      <c r="H27" s="776"/>
      <c r="I27" s="776"/>
      <c r="J27" s="776"/>
      <c r="K27" s="776"/>
      <c r="L27" s="776"/>
      <c r="M27" s="776"/>
      <c r="N27" s="776"/>
      <c r="O27" s="776"/>
      <c r="P27" s="776"/>
      <c r="Q27" s="777" t="s">
        <v>273</v>
      </c>
    </row>
    <row r="28" spans="1:19" ht="15.6" customHeight="1" x14ac:dyDescent="0.25">
      <c r="B28" s="2"/>
      <c r="C28" s="775"/>
      <c r="D28" s="776" t="s">
        <v>248</v>
      </c>
      <c r="E28" s="776"/>
      <c r="F28" s="776"/>
      <c r="G28" s="776" t="s">
        <v>1</v>
      </c>
      <c r="H28" s="776"/>
      <c r="I28" s="776"/>
      <c r="J28" s="776" t="s">
        <v>249</v>
      </c>
      <c r="K28" s="776"/>
      <c r="L28" s="776"/>
      <c r="M28" s="776" t="s">
        <v>274</v>
      </c>
      <c r="N28" s="776"/>
      <c r="O28" s="776"/>
      <c r="P28" s="778" t="s">
        <v>251</v>
      </c>
      <c r="Q28" s="777"/>
    </row>
    <row r="29" spans="1:19" x14ac:dyDescent="0.25">
      <c r="A29" s="263"/>
      <c r="B29" s="264"/>
      <c r="C29" s="775"/>
      <c r="D29" s="358" t="s">
        <v>253</v>
      </c>
      <c r="E29" s="358" t="s">
        <v>254</v>
      </c>
      <c r="F29" s="358" t="s">
        <v>255</v>
      </c>
      <c r="G29" s="358" t="s">
        <v>253</v>
      </c>
      <c r="H29" s="358" t="s">
        <v>254</v>
      </c>
      <c r="I29" s="358" t="s">
        <v>255</v>
      </c>
      <c r="J29" s="358" t="s">
        <v>253</v>
      </c>
      <c r="K29" s="358" t="s">
        <v>254</v>
      </c>
      <c r="L29" s="358" t="s">
        <v>255</v>
      </c>
      <c r="M29" s="358" t="s">
        <v>253</v>
      </c>
      <c r="N29" s="358" t="s">
        <v>254</v>
      </c>
      <c r="O29" s="358" t="s">
        <v>255</v>
      </c>
      <c r="P29" s="778"/>
      <c r="Q29" s="777"/>
      <c r="R29" s="212" t="s">
        <v>275</v>
      </c>
    </row>
    <row r="30" spans="1:19" x14ac:dyDescent="0.25">
      <c r="A30" s="261" t="s">
        <v>256</v>
      </c>
      <c r="C30" s="271"/>
    </row>
    <row r="31" spans="1:19" x14ac:dyDescent="0.25">
      <c r="B31" s="278" t="s">
        <v>260</v>
      </c>
      <c r="C31" s="268">
        <f>+ROUND(C7*$H$50,2)</f>
        <v>1.78</v>
      </c>
      <c r="D31" s="406">
        <f>'FTE Alloc OREGON'!D31*D$55</f>
        <v>0</v>
      </c>
      <c r="E31" s="406">
        <f>'FTE Alloc OREGON'!E31*E$55</f>
        <v>0</v>
      </c>
      <c r="F31" s="406">
        <f>'FTE Alloc OREGON'!F31*F$55</f>
        <v>0</v>
      </c>
      <c r="G31" s="406">
        <f>'FTE Alloc OREGON'!G31*G$55</f>
        <v>0.95354633211726192</v>
      </c>
      <c r="H31" s="406">
        <f>'FTE Alloc OREGON'!H31*H$55</f>
        <v>7.6301604345463292E-2</v>
      </c>
      <c r="I31" s="406">
        <f>'FTE Alloc OREGON'!I31*I$55</f>
        <v>0</v>
      </c>
      <c r="J31" s="406">
        <f>'FTE Alloc OREGON'!J31*J$55</f>
        <v>4.4327791390001668E-2</v>
      </c>
      <c r="K31" s="406">
        <f>'FTE Alloc OREGON'!K31*K$55</f>
        <v>0</v>
      </c>
      <c r="L31" s="406">
        <f>'FTE Alloc OREGON'!L31*L$55</f>
        <v>0</v>
      </c>
      <c r="M31" s="406">
        <f>'FTE Alloc OREGON'!M31*M$55</f>
        <v>2.2654617054576668E-2</v>
      </c>
      <c r="N31" s="406">
        <f>'FTE Alloc OREGON'!N31*N$55</f>
        <v>0</v>
      </c>
      <c r="O31" s="406"/>
      <c r="P31" s="406">
        <f>'FTE Alloc OREGON'!P31*P$55</f>
        <v>0</v>
      </c>
      <c r="Q31" s="279">
        <f>+SUM(D31:P31)</f>
        <v>1.0968303449073038</v>
      </c>
      <c r="R31" s="280">
        <f>+C31-Q31</f>
        <v>0.68316965509269623</v>
      </c>
    </row>
    <row r="32" spans="1:19" x14ac:dyDescent="0.25">
      <c r="B32" s="278" t="s">
        <v>259</v>
      </c>
      <c r="C32" s="268">
        <f>+ROUND(C8*$H$50,2)</f>
        <v>2.68</v>
      </c>
      <c r="D32" s="406">
        <f>'FTE Alloc OREGON'!D32*D$55</f>
        <v>6.6554953967642272E-2</v>
      </c>
      <c r="E32" s="406">
        <f>'FTE Alloc OREGON'!E32*E$55</f>
        <v>1.0900229192209041E-2</v>
      </c>
      <c r="F32" s="406">
        <f>'FTE Alloc OREGON'!F32*F$55</f>
        <v>0</v>
      </c>
      <c r="G32" s="406">
        <f>'FTE Alloc OREGON'!G32*G$55</f>
        <v>2.461480066628281</v>
      </c>
      <c r="H32" s="406">
        <f>'FTE Alloc OREGON'!H32*H$55</f>
        <v>0.25070527142080795</v>
      </c>
      <c r="I32" s="406">
        <f>'FTE Alloc OREGON'!I32*I$55</f>
        <v>0</v>
      </c>
      <c r="J32" s="406">
        <f>'FTE Alloc OREGON'!J32*J$55</f>
        <v>5.5409739237502087E-2</v>
      </c>
      <c r="K32" s="406">
        <f>'FTE Alloc OREGON'!K32*K$55</f>
        <v>0</v>
      </c>
      <c r="L32" s="406">
        <f>'FTE Alloc OREGON'!L32*L$55</f>
        <v>0</v>
      </c>
      <c r="M32" s="406">
        <f>'FTE Alloc OREGON'!M32*M$55</f>
        <v>2.2654617054576668E-2</v>
      </c>
      <c r="N32" s="406">
        <f>'FTE Alloc OREGON'!N32*N$55</f>
        <v>0</v>
      </c>
      <c r="O32" s="406"/>
      <c r="P32" s="406">
        <f>'FTE Alloc OREGON'!P32*P$55</f>
        <v>0</v>
      </c>
      <c r="Q32" s="279">
        <f t="shared" ref="Q32" si="4">+SUM(D32:P32)</f>
        <v>2.8677048775010188</v>
      </c>
      <c r="R32" s="280">
        <f>+C32-Q32</f>
        <v>-0.18770487750101861</v>
      </c>
    </row>
    <row r="33" spans="1:18" x14ac:dyDescent="0.25">
      <c r="B33" s="278" t="s">
        <v>257</v>
      </c>
      <c r="C33" s="268">
        <f>+ROUND(C9*$H$50,2)</f>
        <v>2.68</v>
      </c>
      <c r="D33" s="406">
        <f>'FTE Alloc OREGON'!D33*D$55</f>
        <v>0.14420240026322495</v>
      </c>
      <c r="E33" s="406">
        <f>'FTE Alloc OREGON'!E33*E$55</f>
        <v>1.0900229192209041E-2</v>
      </c>
      <c r="F33" s="406">
        <f>'FTE Alloc OREGON'!F33*F$55</f>
        <v>0</v>
      </c>
      <c r="G33" s="406">
        <f>'FTE Alloc OREGON'!G33*G$55</f>
        <v>2.4282168224846554</v>
      </c>
      <c r="H33" s="406">
        <f>'FTE Alloc OREGON'!H33*H$55</f>
        <v>0.26160550061301696</v>
      </c>
      <c r="I33" s="406">
        <f>'FTE Alloc OREGON'!I33*I$55</f>
        <v>0</v>
      </c>
      <c r="J33" s="406">
        <f>'FTE Alloc OREGON'!J33*J$55</f>
        <v>0</v>
      </c>
      <c r="K33" s="406">
        <f>'FTE Alloc OREGON'!K33*K$55</f>
        <v>0</v>
      </c>
      <c r="L33" s="406">
        <f>'FTE Alloc OREGON'!L33*L$55</f>
        <v>0</v>
      </c>
      <c r="M33" s="406">
        <f>'FTE Alloc OREGON'!M33*M$55</f>
        <v>2.2654617054576668E-2</v>
      </c>
      <c r="N33" s="406">
        <f>'FTE Alloc OREGON'!N33*N$55</f>
        <v>0</v>
      </c>
      <c r="O33" s="406"/>
      <c r="P33" s="406">
        <f>'FTE Alloc OREGON'!P33*P$55</f>
        <v>0</v>
      </c>
      <c r="Q33" s="279">
        <f>+SUM(D33:P33)</f>
        <v>2.8675795696076829</v>
      </c>
      <c r="R33" s="280">
        <f>+C33-Q33</f>
        <v>-0.18757956960768274</v>
      </c>
    </row>
    <row r="34" spans="1:18" x14ac:dyDescent="0.25">
      <c r="D34" s="407"/>
      <c r="E34" s="407"/>
      <c r="F34" s="407"/>
      <c r="G34" s="407"/>
      <c r="H34" s="407"/>
      <c r="I34" s="407"/>
      <c r="J34" s="407"/>
      <c r="K34" s="407"/>
      <c r="L34" s="407"/>
      <c r="M34" s="407"/>
      <c r="N34" s="407"/>
      <c r="O34" s="407"/>
      <c r="P34" s="407"/>
    </row>
    <row r="35" spans="1:18" x14ac:dyDescent="0.25">
      <c r="B35" s="278" t="s">
        <v>261</v>
      </c>
      <c r="C35" s="268">
        <f>+ROUND(C11*$H$50,2)</f>
        <v>2.68</v>
      </c>
      <c r="D35" s="406">
        <f>'FTE Alloc OREGON'!D35*D$55</f>
        <v>0</v>
      </c>
      <c r="E35" s="406">
        <f>'FTE Alloc OREGON'!E35*E$55</f>
        <v>0</v>
      </c>
      <c r="F35" s="406">
        <f>'FTE Alloc OREGON'!F35*F$55</f>
        <v>0</v>
      </c>
      <c r="G35" s="406">
        <f>'FTE Alloc OREGON'!G35*G$55</f>
        <v>0</v>
      </c>
      <c r="H35" s="406">
        <f>'FTE Alloc OREGON'!H35*H$55</f>
        <v>0</v>
      </c>
      <c r="I35" s="406">
        <f>'FTE Alloc OREGON'!I35*I$55</f>
        <v>0</v>
      </c>
      <c r="J35" s="406">
        <f>'FTE Alloc OREGON'!J35*J$55</f>
        <v>2.6818313790951009</v>
      </c>
      <c r="K35" s="406">
        <f>'FTE Alloc OREGON'!K35*K$55</f>
        <v>0.26297812724084901</v>
      </c>
      <c r="L35" s="406">
        <f>'FTE Alloc OREGON'!L35*L$55</f>
        <v>2.1528514985832303E-2</v>
      </c>
      <c r="M35" s="406">
        <f>'FTE Alloc OREGON'!M35*M$55</f>
        <v>0</v>
      </c>
      <c r="N35" s="406">
        <f>'FTE Alloc OREGON'!N35*N$55</f>
        <v>0</v>
      </c>
      <c r="O35" s="406"/>
      <c r="P35" s="406">
        <f t="shared" ref="P35" si="5">+ROUND($C11*P11*$H$50,2)</f>
        <v>0</v>
      </c>
      <c r="Q35" s="279">
        <f t="shared" ref="Q35" si="6">+SUM(D35:P35)</f>
        <v>2.966338021321782</v>
      </c>
      <c r="R35" s="280">
        <f>+C35-Q35</f>
        <v>-0.28633802132178188</v>
      </c>
    </row>
    <row r="36" spans="1:18" x14ac:dyDescent="0.25">
      <c r="C36" s="271"/>
      <c r="D36" s="407"/>
      <c r="E36" s="407"/>
      <c r="F36" s="407"/>
      <c r="G36" s="407"/>
      <c r="H36" s="407"/>
      <c r="I36" s="407"/>
      <c r="J36" s="407"/>
      <c r="K36" s="407"/>
      <c r="L36" s="407"/>
      <c r="M36" s="407"/>
      <c r="N36" s="407"/>
      <c r="O36" s="407"/>
      <c r="P36" s="407"/>
      <c r="Q36" s="281"/>
      <c r="R36" s="280"/>
    </row>
    <row r="37" spans="1:18" x14ac:dyDescent="0.25">
      <c r="B37" s="278" t="s">
        <v>263</v>
      </c>
      <c r="C37" s="268">
        <f>+ROUND(C13*$H$50,2)</f>
        <v>0.89</v>
      </c>
      <c r="D37" s="406">
        <f>'FTE Alloc OREGON'!D37*D$55</f>
        <v>0</v>
      </c>
      <c r="E37" s="406">
        <f>'FTE Alloc OREGON'!E37*E$55</f>
        <v>0</v>
      </c>
      <c r="F37" s="406">
        <f>'FTE Alloc OREGON'!F37*F$55</f>
        <v>0</v>
      </c>
      <c r="G37" s="406">
        <f>'FTE Alloc OREGON'!G37*G$55</f>
        <v>0</v>
      </c>
      <c r="H37" s="406">
        <f>'FTE Alloc OREGON'!H37*H$55</f>
        <v>0</v>
      </c>
      <c r="I37" s="406">
        <f>'FTE Alloc OREGON'!I37*I$55</f>
        <v>0</v>
      </c>
      <c r="J37" s="406">
        <f>'FTE Alloc OREGON'!J37*J$55</f>
        <v>0</v>
      </c>
      <c r="K37" s="406">
        <f>'FTE Alloc OREGON'!K37*K$55</f>
        <v>0</v>
      </c>
      <c r="L37" s="406">
        <f>'FTE Alloc OREGON'!L37*L$55</f>
        <v>0</v>
      </c>
      <c r="M37" s="406">
        <f>'FTE Alloc OREGON'!M37*M$55</f>
        <v>0.95149391629222002</v>
      </c>
      <c r="N37" s="406">
        <f>'FTE Alloc OREGON'!N37*N$55</f>
        <v>6.6028833551769334E-2</v>
      </c>
      <c r="O37" s="406"/>
      <c r="P37" s="406">
        <f t="shared" ref="P37" si="7">+ROUND($C13*P13*$H$50,2)</f>
        <v>0</v>
      </c>
      <c r="Q37" s="279">
        <f t="shared" ref="Q37" si="8">+SUM(D37:P37)</f>
        <v>1.0175227498439894</v>
      </c>
      <c r="R37" s="280">
        <f>+C37-Q37</f>
        <v>-0.12752274984398937</v>
      </c>
    </row>
    <row r="38" spans="1:18" x14ac:dyDescent="0.25">
      <c r="C38" s="271"/>
      <c r="D38" s="407"/>
      <c r="E38" s="407"/>
      <c r="F38" s="407"/>
      <c r="G38" s="407"/>
      <c r="H38" s="407"/>
      <c r="I38" s="407"/>
      <c r="J38" s="407"/>
      <c r="K38" s="407"/>
      <c r="L38" s="407"/>
      <c r="M38" s="407"/>
      <c r="N38" s="407"/>
      <c r="O38" s="407"/>
      <c r="P38" s="407"/>
      <c r="Q38" s="281"/>
      <c r="R38" s="280"/>
    </row>
    <row r="39" spans="1:18" x14ac:dyDescent="0.25">
      <c r="A39" s="261" t="s">
        <v>5</v>
      </c>
      <c r="C39" s="271"/>
      <c r="D39" s="407"/>
      <c r="E39" s="407"/>
      <c r="F39" s="407"/>
      <c r="G39" s="407"/>
      <c r="H39" s="407"/>
      <c r="I39" s="407"/>
      <c r="J39" s="407"/>
      <c r="K39" s="407"/>
      <c r="L39" s="407"/>
      <c r="M39" s="407"/>
      <c r="N39" s="407"/>
      <c r="O39" s="407"/>
      <c r="P39" s="407"/>
      <c r="Q39" s="281"/>
      <c r="R39" s="280"/>
    </row>
    <row r="40" spans="1:18" x14ac:dyDescent="0.25">
      <c r="B40" s="278" t="s">
        <v>265</v>
      </c>
      <c r="C40" s="268">
        <f>+ROUND(C16*$H$50,2)</f>
        <v>2.68</v>
      </c>
      <c r="D40" s="406">
        <f>'FTE Alloc OREGON'!D40*D$55</f>
        <v>0</v>
      </c>
      <c r="E40" s="406">
        <f>'FTE Alloc OREGON'!E40*E$55</f>
        <v>0</v>
      </c>
      <c r="F40" s="406">
        <f>'FTE Alloc OREGON'!F40*F$55</f>
        <v>0.29063495230873609</v>
      </c>
      <c r="G40" s="406">
        <f>'FTE Alloc OREGON'!G40*G$55</f>
        <v>0</v>
      </c>
      <c r="H40" s="406">
        <f>'FTE Alloc OREGON'!H40*H$55</f>
        <v>0.44690939688057063</v>
      </c>
      <c r="I40" s="406">
        <f>'FTE Alloc OREGON'!I40*I$55</f>
        <v>1.3347679291216028</v>
      </c>
      <c r="J40" s="406">
        <f>'FTE Alloc OREGON'!J40*J$55</f>
        <v>0</v>
      </c>
      <c r="K40" s="406">
        <f>'FTE Alloc OREGON'!K40*K$55</f>
        <v>0</v>
      </c>
      <c r="L40" s="406">
        <f>'FTE Alloc OREGON'!L40*L$55</f>
        <v>0</v>
      </c>
      <c r="M40" s="406">
        <f>'FTE Alloc OREGON'!M40*M$55</f>
        <v>0</v>
      </c>
      <c r="N40" s="406">
        <f>'FTE Alloc OREGON'!N40*N$55</f>
        <v>0.18708169506334646</v>
      </c>
      <c r="O40" s="406">
        <f t="shared" ref="O40:P41" si="9">+ROUND($C16*O16*$H$50,2)</f>
        <v>0</v>
      </c>
      <c r="P40" s="406">
        <f t="shared" si="9"/>
        <v>0</v>
      </c>
      <c r="Q40" s="279">
        <f t="shared" ref="Q40:Q41" si="10">+SUM(D40:P40)</f>
        <v>2.2593939733742561</v>
      </c>
      <c r="R40" s="280">
        <f>+C40-Q40</f>
        <v>0.42060602662574409</v>
      </c>
    </row>
    <row r="41" spans="1:18" x14ac:dyDescent="0.25">
      <c r="B41" s="278" t="s">
        <v>277</v>
      </c>
      <c r="C41" s="268">
        <f>+ROUND(C17*$H$50,2)</f>
        <v>0.89</v>
      </c>
      <c r="D41" s="406">
        <f>'FTE Alloc OREGON'!D41*D$55</f>
        <v>0</v>
      </c>
      <c r="E41" s="406">
        <f>'FTE Alloc OREGON'!E41*E$55</f>
        <v>0</v>
      </c>
      <c r="F41" s="406">
        <f>'FTE Alloc OREGON'!F41*F$55</f>
        <v>0</v>
      </c>
      <c r="G41" s="406">
        <f>'FTE Alloc OREGON'!G41*G$55</f>
        <v>0</v>
      </c>
      <c r="H41" s="406">
        <f>'FTE Alloc OREGON'!H41*H$55</f>
        <v>4.3600916768836165E-2</v>
      </c>
      <c r="I41" s="406">
        <f>'FTE Alloc OREGON'!I41*I$55</f>
        <v>0.15069960490082615</v>
      </c>
      <c r="J41" s="406">
        <f>'FTE Alloc OREGON'!J41*J$55</f>
        <v>9.9737530627503748E-2</v>
      </c>
      <c r="K41" s="406">
        <f>'FTE Alloc OREGON'!K41*K$55</f>
        <v>2.191484393673742E-2</v>
      </c>
      <c r="L41" s="406">
        <f>'FTE Alloc OREGON'!L41*L$55</f>
        <v>0</v>
      </c>
      <c r="M41" s="406">
        <f>'FTE Alloc OREGON'!M41*M$55</f>
        <v>0</v>
      </c>
      <c r="N41" s="406">
        <f>'FTE Alloc OREGON'!N41*N$55</f>
        <v>0</v>
      </c>
      <c r="O41" s="406">
        <f t="shared" si="9"/>
        <v>0</v>
      </c>
      <c r="P41" s="406">
        <f t="shared" si="9"/>
        <v>0</v>
      </c>
      <c r="Q41" s="279">
        <f t="shared" si="10"/>
        <v>0.31595289623390349</v>
      </c>
      <c r="R41" s="280">
        <f>+C41-Q41</f>
        <v>0.57404710376609658</v>
      </c>
    </row>
    <row r="42" spans="1:18" x14ac:dyDescent="0.25">
      <c r="C42" s="271"/>
      <c r="D42" s="407"/>
      <c r="E42" s="407"/>
      <c r="F42" s="407"/>
      <c r="G42" s="407"/>
      <c r="H42" s="407"/>
      <c r="I42" s="407"/>
      <c r="J42" s="407"/>
      <c r="K42" s="407"/>
      <c r="L42" s="407"/>
      <c r="M42" s="407"/>
      <c r="N42" s="407"/>
      <c r="O42" s="407"/>
      <c r="P42" s="407"/>
      <c r="Q42" s="281"/>
      <c r="R42" s="280"/>
    </row>
    <row r="43" spans="1:18" x14ac:dyDescent="0.25">
      <c r="A43" s="261" t="s">
        <v>268</v>
      </c>
      <c r="C43" s="271"/>
      <c r="D43" s="407"/>
      <c r="E43" s="407"/>
      <c r="F43" s="407"/>
      <c r="G43" s="407"/>
      <c r="H43" s="407"/>
      <c r="I43" s="407"/>
      <c r="J43" s="407"/>
      <c r="K43" s="407"/>
      <c r="L43" s="407"/>
      <c r="M43" s="407"/>
      <c r="N43" s="407"/>
      <c r="O43" s="407"/>
      <c r="P43" s="407"/>
      <c r="Q43" s="281"/>
      <c r="R43" s="280"/>
    </row>
    <row r="44" spans="1:18" x14ac:dyDescent="0.25">
      <c r="B44" s="278" t="s">
        <v>367</v>
      </c>
      <c r="C44" s="268">
        <f>+ROUND(C20*$H$50,2)</f>
        <v>0.89</v>
      </c>
      <c r="D44" s="406">
        <f>'FTE Alloc OREGON'!D44*D$55</f>
        <v>0</v>
      </c>
      <c r="E44" s="406">
        <f>'FTE Alloc OREGON'!E44*E$55</f>
        <v>0</v>
      </c>
      <c r="F44" s="406">
        <f>'FTE Alloc OREGON'!F44*F$55</f>
        <v>0</v>
      </c>
      <c r="G44" s="406">
        <f>'FTE Alloc OREGON'!G44*G$55</f>
        <v>0.35480793753200446</v>
      </c>
      <c r="H44" s="406">
        <f>'FTE Alloc OREGON'!H44*H$55</f>
        <v>4.3600916768836165E-2</v>
      </c>
      <c r="I44" s="406">
        <f>'FTE Alloc OREGON'!I44*I$55</f>
        <v>0</v>
      </c>
      <c r="J44" s="406">
        <f>'FTE Alloc OREGON'!J44*J$55</f>
        <v>0.22163895695000835</v>
      </c>
      <c r="K44" s="406">
        <f>'FTE Alloc OREGON'!K44*K$55</f>
        <v>2.191484393673742E-2</v>
      </c>
      <c r="L44" s="406">
        <f>'FTE Alloc OREGON'!L44*L$55</f>
        <v>0</v>
      </c>
      <c r="M44" s="406">
        <f>'FTE Alloc OREGON'!M44*M$55</f>
        <v>0.22654617054576667</v>
      </c>
      <c r="N44" s="406">
        <f>'FTE Alloc OREGON'!N44*N$55</f>
        <v>2.2009611183923111E-2</v>
      </c>
      <c r="O44" s="406"/>
      <c r="P44" s="406">
        <f t="shared" ref="P44:P47" si="11">+ROUND($C20*P20*$H$50,2)</f>
        <v>0</v>
      </c>
      <c r="Q44" s="279">
        <f t="shared" ref="Q44:Q47" si="12">+SUM(D44:P44)</f>
        <v>0.89051843691727606</v>
      </c>
      <c r="R44" s="280">
        <f>+C44-Q44</f>
        <v>-5.1843691727604391E-4</v>
      </c>
    </row>
    <row r="45" spans="1:18" x14ac:dyDescent="0.25">
      <c r="B45" s="278" t="s">
        <v>368</v>
      </c>
      <c r="C45" s="268">
        <f t="shared" ref="C45:C47" si="13">+ROUND(C21*$H$50,2)</f>
        <v>0.89</v>
      </c>
      <c r="D45" s="406">
        <f>'FTE Alloc OREGON'!D45*D$55</f>
        <v>0</v>
      </c>
      <c r="E45" s="406">
        <f>'FTE Alloc OREGON'!E45*E$55</f>
        <v>0</v>
      </c>
      <c r="F45" s="406">
        <f>'FTE Alloc OREGON'!F45*F$55</f>
        <v>0</v>
      </c>
      <c r="G45" s="406">
        <f>'FTE Alloc OREGON'!G45*G$55</f>
        <v>0</v>
      </c>
      <c r="H45" s="406">
        <f>'FTE Alloc OREGON'!H45*H$55</f>
        <v>0</v>
      </c>
      <c r="I45" s="406">
        <f>'FTE Alloc OREGON'!I45*I$55</f>
        <v>0</v>
      </c>
      <c r="J45" s="406">
        <f>'FTE Alloc OREGON'!J45*J$55</f>
        <v>0</v>
      </c>
      <c r="K45" s="406">
        <f>'FTE Alloc OREGON'!K45*K$55</f>
        <v>0</v>
      </c>
      <c r="L45" s="406">
        <f>'FTE Alloc OREGON'!L45*L$55</f>
        <v>0</v>
      </c>
      <c r="M45" s="406">
        <f>'FTE Alloc OREGON'!M45*M$55</f>
        <v>0</v>
      </c>
      <c r="N45" s="406">
        <f>'FTE Alloc OREGON'!N45*N$55</f>
        <v>0</v>
      </c>
      <c r="O45" s="406"/>
      <c r="P45" s="406">
        <f t="shared" si="11"/>
        <v>0</v>
      </c>
      <c r="Q45" s="279">
        <f t="shared" ref="Q45" si="14">+SUM(D45:P45)</f>
        <v>0</v>
      </c>
      <c r="R45" s="280">
        <f>+C45-Q45</f>
        <v>0.89</v>
      </c>
    </row>
    <row r="46" spans="1:18" x14ac:dyDescent="0.25">
      <c r="B46" s="278" t="s">
        <v>269</v>
      </c>
      <c r="C46" s="268">
        <f t="shared" si="13"/>
        <v>1.34</v>
      </c>
      <c r="D46" s="406">
        <f>'FTE Alloc OREGON'!D46*D$55</f>
        <v>4.4369969311761522E-2</v>
      </c>
      <c r="E46" s="406">
        <f>'FTE Alloc OREGON'!E46*E$55</f>
        <v>0</v>
      </c>
      <c r="F46" s="406">
        <f>'FTE Alloc OREGON'!F46*F$55</f>
        <v>0</v>
      </c>
      <c r="G46" s="406">
        <f>'FTE Alloc OREGON'!G46*G$55</f>
        <v>0.64308938677675798</v>
      </c>
      <c r="H46" s="406">
        <f>'FTE Alloc OREGON'!H46*H$55</f>
        <v>6.540137515325424E-2</v>
      </c>
      <c r="I46" s="406">
        <f>'FTE Alloc OREGON'!I46*I$55</f>
        <v>0</v>
      </c>
      <c r="J46" s="406">
        <f>'FTE Alloc OREGON'!J46*J$55</f>
        <v>0.4432779139000167</v>
      </c>
      <c r="K46" s="406">
        <f>'FTE Alloc OREGON'!K46*K$55</f>
        <v>4.382968787347484E-2</v>
      </c>
      <c r="L46" s="406">
        <f>'FTE Alloc OREGON'!L46*L$55</f>
        <v>0</v>
      </c>
      <c r="M46" s="406">
        <f>'FTE Alloc OREGON'!M46*M$55</f>
        <v>6.7963851163729994E-2</v>
      </c>
      <c r="N46" s="406">
        <f>'FTE Alloc OREGON'!N46*N$55</f>
        <v>4.4019222367846222E-2</v>
      </c>
      <c r="O46" s="406"/>
      <c r="P46" s="406">
        <f t="shared" si="11"/>
        <v>0</v>
      </c>
      <c r="Q46" s="279">
        <f t="shared" si="12"/>
        <v>1.3519514065468414</v>
      </c>
      <c r="R46" s="280">
        <f>+C46-Q46</f>
        <v>-1.1951406546841348E-2</v>
      </c>
    </row>
    <row r="47" spans="1:18" x14ac:dyDescent="0.25">
      <c r="B47" s="278" t="s">
        <v>270</v>
      </c>
      <c r="C47" s="268">
        <f t="shared" si="13"/>
        <v>0.45</v>
      </c>
      <c r="D47" s="406">
        <f>'FTE Alloc OREGON'!D47*D$55</f>
        <v>0</v>
      </c>
      <c r="E47" s="406">
        <f>'FTE Alloc OREGON'!E47*E$55</f>
        <v>0</v>
      </c>
      <c r="F47" s="406">
        <f>'FTE Alloc OREGON'!F47*F$55</f>
        <v>4.3057029971664607E-2</v>
      </c>
      <c r="G47" s="406">
        <f>'FTE Alloc OREGON'!G47*G$55</f>
        <v>0</v>
      </c>
      <c r="H47" s="406">
        <f>'FTE Alloc OREGON'!H47*H$55</f>
        <v>7.6301604345463292E-2</v>
      </c>
      <c r="I47" s="406">
        <f>'FTE Alloc OREGON'!I47*I$55</f>
        <v>0.22604940735123918</v>
      </c>
      <c r="J47" s="406">
        <f>'FTE Alloc OREGON'!J47*J$55</f>
        <v>0</v>
      </c>
      <c r="K47" s="406">
        <f>'FTE Alloc OREGON'!K47*K$55</f>
        <v>0</v>
      </c>
      <c r="L47" s="406">
        <f>'FTE Alloc OREGON'!L47*L$55</f>
        <v>0</v>
      </c>
      <c r="M47" s="406">
        <f>'FTE Alloc OREGON'!M47*M$55</f>
        <v>0</v>
      </c>
      <c r="N47" s="406">
        <f>'FTE Alloc OREGON'!N47*N$55</f>
        <v>3.3014416775884667E-2</v>
      </c>
      <c r="O47" s="406"/>
      <c r="P47" s="406">
        <f t="shared" si="11"/>
        <v>0</v>
      </c>
      <c r="Q47" s="279">
        <f t="shared" si="12"/>
        <v>0.37842245844425176</v>
      </c>
      <c r="R47" s="280">
        <f>+C47-Q47</f>
        <v>7.1577541555748248E-2</v>
      </c>
    </row>
    <row r="48" spans="1:18" s="284" customFormat="1" x14ac:dyDescent="0.25">
      <c r="A48" s="261"/>
      <c r="B48"/>
      <c r="C48"/>
      <c r="D48"/>
      <c r="E48"/>
      <c r="F48"/>
      <c r="G48"/>
      <c r="H48"/>
      <c r="I48"/>
      <c r="J48"/>
      <c r="K48"/>
      <c r="L48"/>
      <c r="M48"/>
      <c r="N48"/>
      <c r="O48"/>
      <c r="P48"/>
      <c r="Q48"/>
      <c r="R48" s="212"/>
    </row>
    <row r="50" spans="1:18" x14ac:dyDescent="0.25">
      <c r="A50" s="282"/>
      <c r="B50" s="283" t="s">
        <v>276</v>
      </c>
      <c r="C50" s="284"/>
      <c r="D50" s="284"/>
      <c r="E50" s="284"/>
      <c r="F50" s="284"/>
      <c r="G50" s="284"/>
      <c r="H50" s="285">
        <v>0.89200000000000002</v>
      </c>
      <c r="I50" s="284"/>
      <c r="J50" s="284"/>
      <c r="K50" s="284"/>
      <c r="L50" s="284"/>
      <c r="M50" s="284"/>
      <c r="N50" s="284"/>
      <c r="O50" s="284"/>
      <c r="P50" s="284"/>
      <c r="Q50" s="284"/>
      <c r="R50" s="286"/>
    </row>
    <row r="52" spans="1:18" ht="21" x14ac:dyDescent="0.35">
      <c r="A52" s="7" t="s">
        <v>353</v>
      </c>
      <c r="B52" s="8"/>
      <c r="C52" s="9"/>
      <c r="D52" s="403">
        <v>6957485</v>
      </c>
      <c r="E52" s="371">
        <v>693226</v>
      </c>
      <c r="F52" s="371">
        <v>23142</v>
      </c>
      <c r="G52" s="403">
        <v>6937370</v>
      </c>
      <c r="H52" s="372">
        <v>693226</v>
      </c>
      <c r="I52" s="372">
        <v>23142</v>
      </c>
      <c r="J52" s="403">
        <v>6139122</v>
      </c>
      <c r="K52" s="372">
        <v>654481</v>
      </c>
      <c r="L52" s="401">
        <v>23142</v>
      </c>
      <c r="M52" s="403">
        <v>17178</v>
      </c>
      <c r="N52" s="372">
        <v>2059</v>
      </c>
      <c r="O52" s="372">
        <v>0</v>
      </c>
      <c r="R52"/>
    </row>
    <row r="53" spans="1:18" ht="21.75" thickBot="1" x14ac:dyDescent="0.4">
      <c r="A53" s="7" t="s">
        <v>354</v>
      </c>
      <c r="B53" s="8"/>
      <c r="C53" s="9"/>
      <c r="D53" s="404">
        <v>853325</v>
      </c>
      <c r="E53" s="400">
        <v>68580</v>
      </c>
      <c r="F53" s="400">
        <v>1915</v>
      </c>
      <c r="G53" s="404">
        <v>846712</v>
      </c>
      <c r="H53" s="400">
        <v>68580</v>
      </c>
      <c r="I53" s="400">
        <v>1915</v>
      </c>
      <c r="J53" s="404">
        <v>744805</v>
      </c>
      <c r="K53" s="400">
        <v>69296</v>
      </c>
      <c r="L53" s="402">
        <v>1915</v>
      </c>
      <c r="M53" s="404">
        <v>2629</v>
      </c>
      <c r="N53" s="400">
        <v>230</v>
      </c>
      <c r="O53" s="400">
        <v>0</v>
      </c>
      <c r="R53"/>
    </row>
    <row r="54" spans="1:18" ht="18.75" x14ac:dyDescent="0.3">
      <c r="C54" s="398" t="s">
        <v>34</v>
      </c>
      <c r="D54" s="405">
        <f>SUM(D52:D53)</f>
        <v>7810810</v>
      </c>
      <c r="E54" s="399">
        <f t="shared" ref="E54:F54" si="15">SUM(E52:E53)</f>
        <v>761806</v>
      </c>
      <c r="F54" s="399">
        <f t="shared" si="15"/>
        <v>25057</v>
      </c>
      <c r="G54" s="405">
        <f>SUM(G52:G53)</f>
        <v>7784082</v>
      </c>
      <c r="H54" s="399">
        <f t="shared" ref="H54" si="16">SUM(H52:H53)</f>
        <v>761806</v>
      </c>
      <c r="I54" s="399">
        <f t="shared" ref="I54" si="17">SUM(I52:I53)</f>
        <v>25057</v>
      </c>
      <c r="J54" s="405">
        <f>SUM(J52:J53)</f>
        <v>6883927</v>
      </c>
      <c r="K54" s="399">
        <f t="shared" ref="K54" si="18">SUM(K52:K53)</f>
        <v>723777</v>
      </c>
      <c r="L54" s="399">
        <f t="shared" ref="L54" si="19">SUM(L52:L53)</f>
        <v>25057</v>
      </c>
      <c r="M54" s="405">
        <f>SUM(M52:M53)</f>
        <v>19807</v>
      </c>
      <c r="N54" s="399">
        <f t="shared" ref="N54" si="20">SUM(N52:N53)</f>
        <v>2289</v>
      </c>
      <c r="O54" s="399">
        <f t="shared" ref="O54" si="21">SUM(O52:O53)</f>
        <v>0</v>
      </c>
      <c r="R54"/>
    </row>
    <row r="55" spans="1:18" ht="15" x14ac:dyDescent="0.25">
      <c r="A55" s="2" t="s">
        <v>374</v>
      </c>
      <c r="D55">
        <f>(1+D53/D54)</f>
        <v>1.109249232794038</v>
      </c>
      <c r="E55">
        <f t="shared" ref="E55:O55" si="22">(1+E53/E54)</f>
        <v>1.0900229192209041</v>
      </c>
      <c r="F55">
        <f t="shared" si="22"/>
        <v>1.0764257492916152</v>
      </c>
      <c r="G55">
        <f t="shared" si="22"/>
        <v>1.1087748047875139</v>
      </c>
      <c r="H55">
        <f t="shared" si="22"/>
        <v>1.0900229192209041</v>
      </c>
      <c r="I55">
        <f t="shared" si="22"/>
        <v>1.0764257492916152</v>
      </c>
      <c r="J55">
        <f t="shared" si="22"/>
        <v>1.1081947847500417</v>
      </c>
      <c r="K55">
        <f t="shared" si="22"/>
        <v>1.095742196836871</v>
      </c>
      <c r="L55">
        <f t="shared" si="22"/>
        <v>1.0764257492916152</v>
      </c>
      <c r="M55">
        <f t="shared" si="22"/>
        <v>1.1327308527288333</v>
      </c>
      <c r="N55">
        <f t="shared" si="22"/>
        <v>1.1004805591961555</v>
      </c>
      <c r="O55" t="e">
        <f t="shared" si="22"/>
        <v>#DIV/0!</v>
      </c>
    </row>
  </sheetData>
  <mergeCells count="16">
    <mergeCell ref="C27:C29"/>
    <mergeCell ref="D27:P27"/>
    <mergeCell ref="Q27:Q29"/>
    <mergeCell ref="D28:F28"/>
    <mergeCell ref="G28:I28"/>
    <mergeCell ref="J28:L28"/>
    <mergeCell ref="M28:O28"/>
    <mergeCell ref="P28:P29"/>
    <mergeCell ref="C3:C5"/>
    <mergeCell ref="D3:P3"/>
    <mergeCell ref="Q3:Q5"/>
    <mergeCell ref="D4:F4"/>
    <mergeCell ref="G4:I4"/>
    <mergeCell ref="J4:L4"/>
    <mergeCell ref="M4:O4"/>
    <mergeCell ref="P4:P5"/>
  </mergeCells>
  <printOptions horizontalCentered="1"/>
  <pageMargins left="0.7" right="0.7" top="0.75" bottom="0.75" header="0.3" footer="0.3"/>
  <pageSetup scale="72" orientation="landscape" r:id="rId1"/>
  <headerFooter>
    <oddFooter>&amp;L&amp;Z&amp;F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3:S50"/>
  <sheetViews>
    <sheetView topLeftCell="A28" workbookViewId="0">
      <selection activeCell="Q47" sqref="D7:Q47"/>
    </sheetView>
  </sheetViews>
  <sheetFormatPr defaultRowHeight="15.75" x14ac:dyDescent="0.25"/>
  <cols>
    <col min="1" max="1" width="3.85546875" style="261" customWidth="1"/>
    <col min="2" max="2" width="16.7109375" customWidth="1"/>
    <col min="3" max="3" width="6.42578125" customWidth="1"/>
    <col min="4" max="16" width="9.7109375" customWidth="1"/>
    <col min="18" max="18" width="5.5703125" style="212" customWidth="1"/>
    <col min="19" max="19" width="61" customWidth="1"/>
  </cols>
  <sheetData>
    <row r="3" spans="1:19" s="2" customFormat="1" ht="15" customHeight="1" x14ac:dyDescent="0.25">
      <c r="A3" s="261"/>
      <c r="C3" s="775" t="s">
        <v>245</v>
      </c>
      <c r="D3" s="776" t="s">
        <v>246</v>
      </c>
      <c r="E3" s="776"/>
      <c r="F3" s="776"/>
      <c r="G3" s="776"/>
      <c r="H3" s="776"/>
      <c r="I3" s="776"/>
      <c r="J3" s="776"/>
      <c r="K3" s="776"/>
      <c r="L3" s="776"/>
      <c r="M3" s="776"/>
      <c r="N3" s="776"/>
      <c r="O3" s="776"/>
      <c r="P3" s="776"/>
      <c r="Q3" s="777" t="s">
        <v>247</v>
      </c>
      <c r="R3" s="213"/>
      <c r="S3" s="262"/>
    </row>
    <row r="4" spans="1:19" s="2" customFormat="1" ht="15" customHeight="1" x14ac:dyDescent="0.25">
      <c r="A4" s="261"/>
      <c r="C4" s="775"/>
      <c r="D4" s="776" t="s">
        <v>248</v>
      </c>
      <c r="E4" s="776"/>
      <c r="F4" s="776"/>
      <c r="G4" s="776" t="s">
        <v>1</v>
      </c>
      <c r="H4" s="776"/>
      <c r="I4" s="776"/>
      <c r="J4" s="776" t="s">
        <v>249</v>
      </c>
      <c r="K4" s="776"/>
      <c r="L4" s="776"/>
      <c r="M4" s="776" t="s">
        <v>250</v>
      </c>
      <c r="N4" s="776"/>
      <c r="O4" s="776"/>
      <c r="P4" s="778" t="s">
        <v>251</v>
      </c>
      <c r="Q4" s="777"/>
      <c r="R4" s="213"/>
      <c r="S4" s="262" t="s">
        <v>252</v>
      </c>
    </row>
    <row r="5" spans="1:19" s="264" customFormat="1" x14ac:dyDescent="0.25">
      <c r="A5" s="263"/>
      <c r="C5" s="775"/>
      <c r="D5" s="358" t="s">
        <v>253</v>
      </c>
      <c r="E5" s="358" t="s">
        <v>254</v>
      </c>
      <c r="F5" s="358" t="s">
        <v>255</v>
      </c>
      <c r="G5" s="358" t="s">
        <v>253</v>
      </c>
      <c r="H5" s="358" t="s">
        <v>254</v>
      </c>
      <c r="I5" s="358" t="s">
        <v>255</v>
      </c>
      <c r="J5" s="358" t="s">
        <v>253</v>
      </c>
      <c r="K5" s="358" t="s">
        <v>254</v>
      </c>
      <c r="L5" s="358" t="s">
        <v>255</v>
      </c>
      <c r="M5" s="358" t="s">
        <v>253</v>
      </c>
      <c r="N5" s="358" t="s">
        <v>254</v>
      </c>
      <c r="O5" s="358" t="s">
        <v>255</v>
      </c>
      <c r="P5" s="778"/>
      <c r="Q5" s="777"/>
      <c r="R5" s="266"/>
      <c r="S5" s="262"/>
    </row>
    <row r="6" spans="1:19" x14ac:dyDescent="0.25">
      <c r="A6" s="261" t="s">
        <v>256</v>
      </c>
    </row>
    <row r="7" spans="1:19" ht="36.75" x14ac:dyDescent="0.25">
      <c r="B7" s="267" t="s">
        <v>260</v>
      </c>
      <c r="C7" s="268">
        <v>2</v>
      </c>
      <c r="D7" s="269"/>
      <c r="E7" s="269"/>
      <c r="F7" s="269"/>
      <c r="G7" s="269">
        <v>0.48</v>
      </c>
      <c r="H7" s="269">
        <v>4.2000000000000003E-2</v>
      </c>
      <c r="I7" s="269"/>
      <c r="J7" s="269">
        <v>0.02</v>
      </c>
      <c r="K7" s="269"/>
      <c r="L7" s="269"/>
      <c r="M7" s="269">
        <v>8.9999999999999993E-3</v>
      </c>
      <c r="N7" s="269">
        <v>1E-3</v>
      </c>
      <c r="O7" s="269"/>
      <c r="P7" s="269">
        <v>0.52</v>
      </c>
      <c r="Q7" s="269">
        <f>+SUM(D7:P7)</f>
        <v>1.0720000000000001</v>
      </c>
      <c r="S7" s="270" t="s">
        <v>258</v>
      </c>
    </row>
    <row r="8" spans="1:19" ht="36.75" x14ac:dyDescent="0.25">
      <c r="B8" s="267" t="s">
        <v>259</v>
      </c>
      <c r="C8" s="268">
        <v>3</v>
      </c>
      <c r="D8" s="269">
        <v>2.3E-2</v>
      </c>
      <c r="E8" s="269">
        <v>3.0000000000000001E-3</v>
      </c>
      <c r="F8" s="269"/>
      <c r="G8" s="269">
        <v>0.82899999999999996</v>
      </c>
      <c r="H8" s="269">
        <v>8.5000000000000006E-2</v>
      </c>
      <c r="I8" s="269"/>
      <c r="J8" s="269">
        <v>0.02</v>
      </c>
      <c r="K8" s="269"/>
      <c r="L8" s="269"/>
      <c r="M8" s="269">
        <v>8.9999999999999993E-3</v>
      </c>
      <c r="N8" s="269">
        <v>1E-3</v>
      </c>
      <c r="O8" s="269"/>
      <c r="P8" s="269">
        <v>0.03</v>
      </c>
      <c r="Q8" s="269">
        <f t="shared" ref="Q8" si="0">+SUM(D8:P8)</f>
        <v>1</v>
      </c>
      <c r="S8" s="270" t="s">
        <v>258</v>
      </c>
    </row>
    <row r="9" spans="1:19" ht="36.75" x14ac:dyDescent="0.25">
      <c r="B9" s="267" t="s">
        <v>257</v>
      </c>
      <c r="C9" s="268">
        <v>3</v>
      </c>
      <c r="D9" s="269">
        <v>4.7E-2</v>
      </c>
      <c r="E9" s="269">
        <v>5.0000000000000001E-3</v>
      </c>
      <c r="F9" s="269"/>
      <c r="G9" s="269">
        <v>0.82</v>
      </c>
      <c r="H9" s="269">
        <v>8.7999999999999995E-2</v>
      </c>
      <c r="I9" s="269"/>
      <c r="J9" s="269"/>
      <c r="K9" s="269"/>
      <c r="L9" s="269"/>
      <c r="M9" s="269">
        <v>8.9999999999999993E-3</v>
      </c>
      <c r="N9" s="269">
        <v>1E-3</v>
      </c>
      <c r="O9" s="269"/>
      <c r="P9" s="269">
        <v>0.03</v>
      </c>
      <c r="Q9" s="269">
        <f>+SUM(D9:P9)</f>
        <v>1</v>
      </c>
      <c r="S9" s="270" t="s">
        <v>258</v>
      </c>
    </row>
    <row r="11" spans="1:19" x14ac:dyDescent="0.25">
      <c r="B11" s="267" t="s">
        <v>261</v>
      </c>
      <c r="C11" s="268">
        <v>3</v>
      </c>
      <c r="D11" s="274"/>
      <c r="E11" s="274"/>
      <c r="F11" s="274"/>
      <c r="G11" s="274"/>
      <c r="H11" s="274"/>
      <c r="I11" s="274"/>
      <c r="J11" s="274">
        <v>0.90400000000000003</v>
      </c>
      <c r="K11" s="274">
        <v>0.09</v>
      </c>
      <c r="L11" s="274">
        <v>6.0000000000000001E-3</v>
      </c>
      <c r="M11" s="274"/>
      <c r="N11" s="274"/>
      <c r="O11" s="274"/>
      <c r="P11" s="274"/>
      <c r="Q11" s="274">
        <f t="shared" ref="Q11:Q13" si="1">+SUM(D11:P11)</f>
        <v>1</v>
      </c>
      <c r="S11" s="270" t="s">
        <v>262</v>
      </c>
    </row>
    <row r="12" spans="1:19" x14ac:dyDescent="0.25">
      <c r="B12" s="275"/>
      <c r="C12" s="271"/>
      <c r="D12" s="272"/>
      <c r="E12" s="272"/>
      <c r="F12" s="272"/>
      <c r="G12" s="272"/>
      <c r="H12" s="272"/>
      <c r="I12" s="272"/>
      <c r="J12" s="272"/>
      <c r="K12" s="272"/>
      <c r="L12" s="272"/>
      <c r="M12" s="272"/>
      <c r="N12" s="272"/>
      <c r="O12" s="272"/>
      <c r="P12" s="272"/>
      <c r="Q12" s="272"/>
      <c r="S12" s="273"/>
    </row>
    <row r="13" spans="1:19" x14ac:dyDescent="0.25">
      <c r="B13" s="267" t="s">
        <v>263</v>
      </c>
      <c r="C13" s="268">
        <v>1</v>
      </c>
      <c r="D13" s="276"/>
      <c r="E13" s="276"/>
      <c r="F13" s="276"/>
      <c r="G13" s="276"/>
      <c r="H13" s="276"/>
      <c r="I13" s="276"/>
      <c r="J13" s="276"/>
      <c r="K13" s="276"/>
      <c r="L13" s="276"/>
      <c r="M13" s="274">
        <v>0.93700000000000006</v>
      </c>
      <c r="N13" s="274">
        <v>6.3E-2</v>
      </c>
      <c r="O13" s="274">
        <v>0</v>
      </c>
      <c r="P13" s="274"/>
      <c r="Q13" s="274">
        <f t="shared" si="1"/>
        <v>1</v>
      </c>
      <c r="S13" s="270" t="s">
        <v>264</v>
      </c>
    </row>
    <row r="14" spans="1:19" x14ac:dyDescent="0.25">
      <c r="B14" s="275"/>
      <c r="C14" s="271"/>
      <c r="D14" s="272"/>
      <c r="E14" s="272"/>
      <c r="F14" s="272"/>
      <c r="G14" s="272"/>
      <c r="H14" s="272"/>
      <c r="I14" s="272"/>
      <c r="J14" s="272"/>
      <c r="K14" s="272"/>
      <c r="L14" s="272"/>
      <c r="M14" s="272"/>
      <c r="N14" s="272"/>
      <c r="O14" s="272"/>
      <c r="P14" s="272"/>
      <c r="Q14" s="277"/>
      <c r="S14" s="273"/>
    </row>
    <row r="15" spans="1:19" x14ac:dyDescent="0.25">
      <c r="A15" s="261" t="s">
        <v>5</v>
      </c>
      <c r="B15" s="275"/>
      <c r="C15" s="271"/>
      <c r="D15" s="272"/>
      <c r="E15" s="272"/>
      <c r="F15" s="272">
        <v>0.1</v>
      </c>
      <c r="G15" s="272"/>
      <c r="H15" s="272"/>
      <c r="I15" s="272">
        <v>0.62</v>
      </c>
      <c r="J15" s="272"/>
      <c r="K15" s="272"/>
      <c r="L15" s="272"/>
      <c r="M15" s="272"/>
      <c r="N15" s="272"/>
      <c r="O15" s="272">
        <v>0.08</v>
      </c>
      <c r="P15" s="272">
        <v>0.2</v>
      </c>
      <c r="Q15" s="277"/>
      <c r="S15" s="273"/>
    </row>
    <row r="16" spans="1:19" ht="48.75" x14ac:dyDescent="0.25">
      <c r="B16" s="267" t="s">
        <v>265</v>
      </c>
      <c r="C16" s="268">
        <v>3</v>
      </c>
      <c r="D16" s="274"/>
      <c r="E16" s="274"/>
      <c r="F16" s="274">
        <v>0.1</v>
      </c>
      <c r="G16" s="274"/>
      <c r="H16" s="274">
        <v>0.155</v>
      </c>
      <c r="I16" s="274">
        <v>0.46500000000000002</v>
      </c>
      <c r="J16" s="274"/>
      <c r="K16" s="274"/>
      <c r="L16" s="274"/>
      <c r="M16" s="274"/>
      <c r="N16" s="274">
        <v>6.4000000000000001E-2</v>
      </c>
      <c r="O16" s="274">
        <v>1.6E-2</v>
      </c>
      <c r="P16" s="274">
        <v>0.2</v>
      </c>
      <c r="Q16" s="274">
        <f t="shared" ref="Q16:Q17" si="2">+SUM(D16:P16)</f>
        <v>1</v>
      </c>
      <c r="S16" s="270" t="s">
        <v>266</v>
      </c>
    </row>
    <row r="17" spans="1:19" ht="24.75" x14ac:dyDescent="0.25">
      <c r="B17" s="267" t="s">
        <v>277</v>
      </c>
      <c r="C17" s="268">
        <v>1</v>
      </c>
      <c r="D17" s="274"/>
      <c r="E17" s="274"/>
      <c r="F17" s="274"/>
      <c r="G17" s="274"/>
      <c r="H17" s="274">
        <v>0.04</v>
      </c>
      <c r="I17" s="274">
        <v>0.16</v>
      </c>
      <c r="J17" s="274">
        <v>0.1</v>
      </c>
      <c r="K17" s="274">
        <v>0.02</v>
      </c>
      <c r="L17" s="274"/>
      <c r="M17" s="274"/>
      <c r="N17" s="274"/>
      <c r="O17" s="274"/>
      <c r="P17" s="274">
        <v>0.68</v>
      </c>
      <c r="Q17" s="274">
        <f t="shared" si="2"/>
        <v>1</v>
      </c>
      <c r="S17" s="270" t="s">
        <v>267</v>
      </c>
    </row>
    <row r="18" spans="1:19" x14ac:dyDescent="0.25">
      <c r="B18" s="275"/>
      <c r="C18" s="271"/>
      <c r="D18" s="272"/>
      <c r="E18" s="272"/>
      <c r="F18" s="272"/>
      <c r="G18" s="272"/>
      <c r="H18" s="272"/>
      <c r="I18" s="272"/>
      <c r="J18" s="272"/>
      <c r="K18" s="272"/>
      <c r="L18" s="272"/>
      <c r="M18" s="272"/>
      <c r="N18" s="272"/>
      <c r="O18" s="272"/>
      <c r="P18" s="272"/>
      <c r="Q18" s="277"/>
      <c r="S18" s="273"/>
    </row>
    <row r="19" spans="1:19" ht="15.75" customHeight="1" x14ac:dyDescent="0.25">
      <c r="A19" s="261" t="s">
        <v>268</v>
      </c>
      <c r="B19" s="275"/>
      <c r="C19" s="271"/>
      <c r="D19" s="272"/>
      <c r="E19" s="272"/>
      <c r="F19" s="272"/>
      <c r="G19" s="272"/>
      <c r="H19" s="272"/>
      <c r="I19" s="272"/>
      <c r="J19" s="272"/>
      <c r="K19" s="272"/>
      <c r="L19" s="272"/>
      <c r="M19" s="272"/>
      <c r="N19" s="272"/>
      <c r="O19" s="272"/>
      <c r="P19" s="272"/>
      <c r="Q19" s="277"/>
      <c r="S19" s="273"/>
    </row>
    <row r="20" spans="1:19" ht="24.75" customHeight="1" x14ac:dyDescent="0.25">
      <c r="B20" s="267" t="s">
        <v>365</v>
      </c>
      <c r="C20" s="268">
        <v>1</v>
      </c>
      <c r="D20" s="274"/>
      <c r="E20" s="274"/>
      <c r="F20" s="274"/>
      <c r="G20" s="274">
        <v>0.36299999999999999</v>
      </c>
      <c r="H20" s="274">
        <v>4.7E-2</v>
      </c>
      <c r="I20" s="274"/>
      <c r="J20" s="274">
        <v>0.22700000000000001</v>
      </c>
      <c r="K20" s="274">
        <v>2.3E-2</v>
      </c>
      <c r="L20" s="274"/>
      <c r="M20" s="274">
        <v>0.22700000000000001</v>
      </c>
      <c r="N20" s="274">
        <v>2.3E-2</v>
      </c>
      <c r="O20" s="274"/>
      <c r="P20" s="274">
        <v>0.1</v>
      </c>
      <c r="Q20" s="274">
        <f t="shared" ref="Q20:Q23" si="3">+SUM(D20:P20)</f>
        <v>1.01</v>
      </c>
      <c r="S20" s="270" t="s">
        <v>282</v>
      </c>
    </row>
    <row r="21" spans="1:19" ht="15.75" customHeight="1" x14ac:dyDescent="0.25">
      <c r="B21" s="267" t="s">
        <v>366</v>
      </c>
      <c r="C21" s="268">
        <v>1</v>
      </c>
      <c r="D21" s="377"/>
      <c r="E21" s="377"/>
      <c r="F21" s="377"/>
      <c r="G21" s="377"/>
      <c r="H21" s="377"/>
      <c r="I21" s="377"/>
      <c r="J21" s="377"/>
      <c r="K21" s="377"/>
      <c r="L21" s="377"/>
      <c r="M21" s="377"/>
      <c r="N21" s="377"/>
      <c r="O21" s="377"/>
      <c r="P21" s="377"/>
      <c r="Q21" s="274">
        <f t="shared" si="3"/>
        <v>0</v>
      </c>
      <c r="S21" s="270"/>
    </row>
    <row r="22" spans="1:19" ht="15.75" customHeight="1" x14ac:dyDescent="0.25">
      <c r="B22" s="267" t="s">
        <v>269</v>
      </c>
      <c r="C22" s="268">
        <v>1.5</v>
      </c>
      <c r="D22" s="296">
        <v>2.8000000000000001E-2</v>
      </c>
      <c r="E22" s="296">
        <v>1E-3</v>
      </c>
      <c r="F22" s="274"/>
      <c r="G22" s="296">
        <v>0.435</v>
      </c>
      <c r="H22" s="296">
        <v>4.4999999999999998E-2</v>
      </c>
      <c r="I22" s="274"/>
      <c r="J22" s="295">
        <v>0.29899999999999999</v>
      </c>
      <c r="K22" s="295">
        <v>3.1E-2</v>
      </c>
      <c r="L22" s="274"/>
      <c r="M22" s="296">
        <v>4.8000000000000001E-2</v>
      </c>
      <c r="N22" s="296">
        <v>0.03</v>
      </c>
      <c r="O22" s="274"/>
      <c r="P22" s="296">
        <v>8.3000000000000004E-2</v>
      </c>
      <c r="Q22" s="274">
        <f t="shared" si="3"/>
        <v>1.0000000000000002</v>
      </c>
      <c r="S22" s="270" t="s">
        <v>281</v>
      </c>
    </row>
    <row r="23" spans="1:19" x14ac:dyDescent="0.25">
      <c r="B23" s="267" t="s">
        <v>270</v>
      </c>
      <c r="C23" s="268">
        <v>0.5</v>
      </c>
      <c r="D23" s="274"/>
      <c r="E23" s="274"/>
      <c r="F23" s="274">
        <f>+F16</f>
        <v>0.1</v>
      </c>
      <c r="G23" s="274"/>
      <c r="H23" s="274">
        <f t="shared" ref="H23:I23" si="4">+H16</f>
        <v>0.155</v>
      </c>
      <c r="I23" s="274">
        <f t="shared" si="4"/>
        <v>0.46500000000000002</v>
      </c>
      <c r="J23" s="274"/>
      <c r="K23" s="274"/>
      <c r="L23" s="274"/>
      <c r="M23" s="274"/>
      <c r="N23" s="274">
        <f t="shared" ref="N23:P23" si="5">+N16</f>
        <v>6.4000000000000001E-2</v>
      </c>
      <c r="O23" s="274">
        <f t="shared" si="5"/>
        <v>1.6E-2</v>
      </c>
      <c r="P23" s="274">
        <f t="shared" si="5"/>
        <v>0.2</v>
      </c>
      <c r="Q23" s="274">
        <f t="shared" si="3"/>
        <v>1</v>
      </c>
      <c r="S23" s="270" t="s">
        <v>280</v>
      </c>
    </row>
    <row r="24" spans="1:19" x14ac:dyDescent="0.25">
      <c r="C24" s="271"/>
    </row>
    <row r="25" spans="1:19" x14ac:dyDescent="0.25">
      <c r="C25" s="271"/>
    </row>
    <row r="26" spans="1:19" ht="16.149999999999999" customHeight="1" x14ac:dyDescent="0.25">
      <c r="C26" s="271"/>
    </row>
    <row r="27" spans="1:19" ht="15.6" customHeight="1" x14ac:dyDescent="0.25">
      <c r="B27" s="2"/>
      <c r="C27" s="775" t="s">
        <v>271</v>
      </c>
      <c r="D27" s="776" t="s">
        <v>272</v>
      </c>
      <c r="E27" s="776"/>
      <c r="F27" s="776"/>
      <c r="G27" s="776"/>
      <c r="H27" s="776"/>
      <c r="I27" s="776"/>
      <c r="J27" s="776"/>
      <c r="K27" s="776"/>
      <c r="L27" s="776"/>
      <c r="M27" s="776"/>
      <c r="N27" s="776"/>
      <c r="O27" s="776"/>
      <c r="P27" s="776"/>
      <c r="Q27" s="777" t="s">
        <v>273</v>
      </c>
    </row>
    <row r="28" spans="1:19" x14ac:dyDescent="0.25">
      <c r="B28" s="2"/>
      <c r="C28" s="775"/>
      <c r="D28" s="776" t="s">
        <v>248</v>
      </c>
      <c r="E28" s="776"/>
      <c r="F28" s="776"/>
      <c r="G28" s="776" t="s">
        <v>1</v>
      </c>
      <c r="H28" s="776"/>
      <c r="I28" s="776"/>
      <c r="J28" s="776" t="s">
        <v>249</v>
      </c>
      <c r="K28" s="776"/>
      <c r="L28" s="776"/>
      <c r="M28" s="776" t="s">
        <v>274</v>
      </c>
      <c r="N28" s="776"/>
      <c r="O28" s="776"/>
      <c r="P28" s="778" t="s">
        <v>251</v>
      </c>
      <c r="Q28" s="777"/>
    </row>
    <row r="29" spans="1:19" x14ac:dyDescent="0.25">
      <c r="A29" s="263"/>
      <c r="B29" s="264"/>
      <c r="C29" s="775"/>
      <c r="D29" s="358" t="s">
        <v>253</v>
      </c>
      <c r="E29" s="358" t="s">
        <v>254</v>
      </c>
      <c r="F29" s="358" t="s">
        <v>255</v>
      </c>
      <c r="G29" s="358" t="s">
        <v>253</v>
      </c>
      <c r="H29" s="358" t="s">
        <v>254</v>
      </c>
      <c r="I29" s="358" t="s">
        <v>255</v>
      </c>
      <c r="J29" s="358" t="s">
        <v>253</v>
      </c>
      <c r="K29" s="358" t="s">
        <v>254</v>
      </c>
      <c r="L29" s="358" t="s">
        <v>255</v>
      </c>
      <c r="M29" s="358" t="s">
        <v>253</v>
      </c>
      <c r="N29" s="358" t="s">
        <v>254</v>
      </c>
      <c r="O29" s="358" t="s">
        <v>255</v>
      </c>
      <c r="P29" s="778"/>
      <c r="Q29" s="777"/>
      <c r="R29" s="212" t="s">
        <v>275</v>
      </c>
    </row>
    <row r="30" spans="1:19" x14ac:dyDescent="0.25">
      <c r="A30" s="261" t="s">
        <v>256</v>
      </c>
      <c r="C30" s="271"/>
    </row>
    <row r="31" spans="1:19" x14ac:dyDescent="0.25">
      <c r="B31" s="278" t="s">
        <v>260</v>
      </c>
      <c r="C31" s="268">
        <f>+ROUND(C7*$H$50,2)</f>
        <v>1.78</v>
      </c>
      <c r="D31" s="278">
        <f t="shared" ref="D31:P33" si="6">+ROUND($C7*D7*$H$50,2)</f>
        <v>0</v>
      </c>
      <c r="E31" s="278">
        <f t="shared" si="6"/>
        <v>0</v>
      </c>
      <c r="F31" s="278">
        <f t="shared" si="6"/>
        <v>0</v>
      </c>
      <c r="G31" s="278">
        <f t="shared" si="6"/>
        <v>0.86</v>
      </c>
      <c r="H31" s="278">
        <f t="shared" si="6"/>
        <v>7.0000000000000007E-2</v>
      </c>
      <c r="I31" s="278">
        <f t="shared" si="6"/>
        <v>0</v>
      </c>
      <c r="J31" s="278">
        <f t="shared" si="6"/>
        <v>0.04</v>
      </c>
      <c r="K31" s="278">
        <f t="shared" si="6"/>
        <v>0</v>
      </c>
      <c r="L31" s="278">
        <f t="shared" si="6"/>
        <v>0</v>
      </c>
      <c r="M31" s="278">
        <f t="shared" si="6"/>
        <v>0.02</v>
      </c>
      <c r="N31" s="278">
        <f t="shared" si="6"/>
        <v>0</v>
      </c>
      <c r="O31" s="278">
        <f t="shared" si="6"/>
        <v>0</v>
      </c>
      <c r="P31" s="278">
        <f t="shared" si="6"/>
        <v>0.93</v>
      </c>
      <c r="Q31" s="279">
        <f>+SUM(D31:P31)</f>
        <v>1.92</v>
      </c>
      <c r="R31" s="280">
        <f>+C31-Q31</f>
        <v>-0.1399999999999999</v>
      </c>
    </row>
    <row r="32" spans="1:19" x14ac:dyDescent="0.25">
      <c r="B32" s="278" t="s">
        <v>259</v>
      </c>
      <c r="C32" s="268">
        <f>+ROUND(C8*$H$50,2)</f>
        <v>2.68</v>
      </c>
      <c r="D32" s="278">
        <f t="shared" si="6"/>
        <v>0.06</v>
      </c>
      <c r="E32" s="278">
        <f t="shared" si="6"/>
        <v>0.01</v>
      </c>
      <c r="F32" s="278">
        <f t="shared" si="6"/>
        <v>0</v>
      </c>
      <c r="G32" s="278">
        <f t="shared" si="6"/>
        <v>2.2200000000000002</v>
      </c>
      <c r="H32" s="278">
        <f t="shared" si="6"/>
        <v>0.23</v>
      </c>
      <c r="I32" s="278">
        <f t="shared" si="6"/>
        <v>0</v>
      </c>
      <c r="J32" s="278">
        <f t="shared" si="6"/>
        <v>0.05</v>
      </c>
      <c r="K32" s="278">
        <f t="shared" si="6"/>
        <v>0</v>
      </c>
      <c r="L32" s="278">
        <f t="shared" si="6"/>
        <v>0</v>
      </c>
      <c r="M32" s="278">
        <f t="shared" si="6"/>
        <v>0.02</v>
      </c>
      <c r="N32" s="278">
        <f t="shared" si="6"/>
        <v>0</v>
      </c>
      <c r="O32" s="278">
        <f t="shared" si="6"/>
        <v>0</v>
      </c>
      <c r="P32" s="278">
        <f t="shared" si="6"/>
        <v>0.08</v>
      </c>
      <c r="Q32" s="279">
        <f t="shared" ref="Q32" si="7">+SUM(D32:P32)</f>
        <v>2.67</v>
      </c>
      <c r="R32" s="280">
        <f>+C32-Q32</f>
        <v>1.0000000000000231E-2</v>
      </c>
    </row>
    <row r="33" spans="1:18" x14ac:dyDescent="0.25">
      <c r="B33" s="278" t="s">
        <v>257</v>
      </c>
      <c r="C33" s="268">
        <f>+ROUND(C9*$H$50,2)</f>
        <v>2.68</v>
      </c>
      <c r="D33" s="278">
        <f t="shared" si="6"/>
        <v>0.13</v>
      </c>
      <c r="E33" s="278">
        <f t="shared" si="6"/>
        <v>0.01</v>
      </c>
      <c r="F33" s="278">
        <f t="shared" si="6"/>
        <v>0</v>
      </c>
      <c r="G33" s="278">
        <f t="shared" si="6"/>
        <v>2.19</v>
      </c>
      <c r="H33" s="278">
        <f t="shared" si="6"/>
        <v>0.24</v>
      </c>
      <c r="I33" s="278">
        <f t="shared" si="6"/>
        <v>0</v>
      </c>
      <c r="J33" s="278">
        <f t="shared" si="6"/>
        <v>0</v>
      </c>
      <c r="K33" s="278">
        <f t="shared" si="6"/>
        <v>0</v>
      </c>
      <c r="L33" s="278">
        <f t="shared" si="6"/>
        <v>0</v>
      </c>
      <c r="M33" s="278">
        <f t="shared" si="6"/>
        <v>0.02</v>
      </c>
      <c r="N33" s="278">
        <f t="shared" si="6"/>
        <v>0</v>
      </c>
      <c r="O33" s="278">
        <f t="shared" si="6"/>
        <v>0</v>
      </c>
      <c r="P33" s="278">
        <f t="shared" si="6"/>
        <v>0.08</v>
      </c>
      <c r="Q33" s="279">
        <f>+SUM(D33:P33)</f>
        <v>2.6700000000000004</v>
      </c>
      <c r="R33" s="280">
        <f>+C33-Q33</f>
        <v>9.9999999999997868E-3</v>
      </c>
    </row>
    <row r="35" spans="1:18" x14ac:dyDescent="0.25">
      <c r="B35" s="278" t="s">
        <v>261</v>
      </c>
      <c r="C35" s="268">
        <f>+ROUND(C11*$H$50,2)</f>
        <v>2.68</v>
      </c>
      <c r="D35" s="278">
        <f t="shared" ref="D35:P35" si="8">+ROUND($C11*D11*$H$50,2)</f>
        <v>0</v>
      </c>
      <c r="E35" s="278">
        <f t="shared" si="8"/>
        <v>0</v>
      </c>
      <c r="F35" s="278">
        <f t="shared" si="8"/>
        <v>0</v>
      </c>
      <c r="G35" s="278">
        <f t="shared" si="8"/>
        <v>0</v>
      </c>
      <c r="H35" s="278">
        <f t="shared" si="8"/>
        <v>0</v>
      </c>
      <c r="I35" s="278">
        <f t="shared" si="8"/>
        <v>0</v>
      </c>
      <c r="J35" s="278">
        <f t="shared" si="8"/>
        <v>2.42</v>
      </c>
      <c r="K35" s="278">
        <f t="shared" si="8"/>
        <v>0.24</v>
      </c>
      <c r="L35" s="278">
        <f t="shared" si="8"/>
        <v>0.02</v>
      </c>
      <c r="M35" s="278">
        <f t="shared" si="8"/>
        <v>0</v>
      </c>
      <c r="N35" s="278">
        <f t="shared" si="8"/>
        <v>0</v>
      </c>
      <c r="O35" s="278">
        <f t="shared" si="8"/>
        <v>0</v>
      </c>
      <c r="P35" s="278">
        <f t="shared" si="8"/>
        <v>0</v>
      </c>
      <c r="Q35" s="279">
        <f t="shared" ref="Q35" si="9">+SUM(D35:P35)</f>
        <v>2.68</v>
      </c>
      <c r="R35" s="280">
        <f>+C35-Q35</f>
        <v>0</v>
      </c>
    </row>
    <row r="36" spans="1:18" x14ac:dyDescent="0.25">
      <c r="C36" s="271"/>
      <c r="Q36" s="281"/>
      <c r="R36" s="280"/>
    </row>
    <row r="37" spans="1:18" x14ac:dyDescent="0.25">
      <c r="B37" s="278" t="s">
        <v>263</v>
      </c>
      <c r="C37" s="268">
        <f>+ROUND(C13*$H$50,2)</f>
        <v>0.89</v>
      </c>
      <c r="D37" s="278">
        <f t="shared" ref="D37:P37" si="10">+ROUND($C13*D13*$H$50,2)</f>
        <v>0</v>
      </c>
      <c r="E37" s="278">
        <f t="shared" si="10"/>
        <v>0</v>
      </c>
      <c r="F37" s="278">
        <f t="shared" si="10"/>
        <v>0</v>
      </c>
      <c r="G37" s="278">
        <f t="shared" si="10"/>
        <v>0</v>
      </c>
      <c r="H37" s="278">
        <f t="shared" si="10"/>
        <v>0</v>
      </c>
      <c r="I37" s="278">
        <f t="shared" si="10"/>
        <v>0</v>
      </c>
      <c r="J37" s="278">
        <f t="shared" si="10"/>
        <v>0</v>
      </c>
      <c r="K37" s="278">
        <f t="shared" si="10"/>
        <v>0</v>
      </c>
      <c r="L37" s="278">
        <f t="shared" si="10"/>
        <v>0</v>
      </c>
      <c r="M37" s="278">
        <f t="shared" si="10"/>
        <v>0.84</v>
      </c>
      <c r="N37" s="278">
        <f t="shared" si="10"/>
        <v>0.06</v>
      </c>
      <c r="O37" s="278">
        <f t="shared" si="10"/>
        <v>0</v>
      </c>
      <c r="P37" s="278">
        <f t="shared" si="10"/>
        <v>0</v>
      </c>
      <c r="Q37" s="279">
        <f t="shared" ref="Q37" si="11">+SUM(D37:P37)</f>
        <v>0.89999999999999991</v>
      </c>
      <c r="R37" s="280">
        <f>+C37-Q37</f>
        <v>-9.9999999999998979E-3</v>
      </c>
    </row>
    <row r="38" spans="1:18" x14ac:dyDescent="0.25">
      <c r="C38" s="271"/>
      <c r="Q38" s="281"/>
      <c r="R38" s="280"/>
    </row>
    <row r="39" spans="1:18" x14ac:dyDescent="0.25">
      <c r="A39" s="261" t="s">
        <v>5</v>
      </c>
      <c r="C39" s="271"/>
      <c r="Q39" s="281"/>
      <c r="R39" s="280"/>
    </row>
    <row r="40" spans="1:18" x14ac:dyDescent="0.25">
      <c r="B40" s="278" t="s">
        <v>265</v>
      </c>
      <c r="C40" s="268">
        <f>+ROUND(C16*$H$50,2)</f>
        <v>2.68</v>
      </c>
      <c r="D40" s="278">
        <f t="shared" ref="D40:P41" si="12">+ROUND($C16*D16*$H$50,2)</f>
        <v>0</v>
      </c>
      <c r="E40" s="278">
        <f t="shared" si="12"/>
        <v>0</v>
      </c>
      <c r="F40" s="278">
        <f t="shared" si="12"/>
        <v>0.27</v>
      </c>
      <c r="G40" s="278">
        <f t="shared" si="12"/>
        <v>0</v>
      </c>
      <c r="H40" s="278">
        <f t="shared" si="12"/>
        <v>0.41</v>
      </c>
      <c r="I40" s="278">
        <f t="shared" si="12"/>
        <v>1.24</v>
      </c>
      <c r="J40" s="278">
        <f t="shared" si="12"/>
        <v>0</v>
      </c>
      <c r="K40" s="278">
        <f t="shared" si="12"/>
        <v>0</v>
      </c>
      <c r="L40" s="278">
        <f t="shared" si="12"/>
        <v>0</v>
      </c>
      <c r="M40" s="278">
        <f t="shared" si="12"/>
        <v>0</v>
      </c>
      <c r="N40" s="278">
        <f t="shared" si="12"/>
        <v>0.17</v>
      </c>
      <c r="O40" s="278">
        <f t="shared" si="12"/>
        <v>0.04</v>
      </c>
      <c r="P40" s="278">
        <f t="shared" si="12"/>
        <v>0.54</v>
      </c>
      <c r="Q40" s="279">
        <f t="shared" ref="Q40:Q41" si="13">+SUM(D40:P40)</f>
        <v>2.67</v>
      </c>
      <c r="R40" s="280">
        <f>+C40-Q40</f>
        <v>1.0000000000000231E-2</v>
      </c>
    </row>
    <row r="41" spans="1:18" x14ac:dyDescent="0.25">
      <c r="B41" s="278" t="s">
        <v>277</v>
      </c>
      <c r="C41" s="268">
        <f>+ROUND(C17*$H$50,2)</f>
        <v>0.89</v>
      </c>
      <c r="D41" s="278">
        <f t="shared" si="12"/>
        <v>0</v>
      </c>
      <c r="E41" s="278">
        <f t="shared" si="12"/>
        <v>0</v>
      </c>
      <c r="F41" s="278">
        <f t="shared" si="12"/>
        <v>0</v>
      </c>
      <c r="G41" s="278">
        <f t="shared" si="12"/>
        <v>0</v>
      </c>
      <c r="H41" s="278">
        <f t="shared" si="12"/>
        <v>0.04</v>
      </c>
      <c r="I41" s="278">
        <f t="shared" si="12"/>
        <v>0.14000000000000001</v>
      </c>
      <c r="J41" s="278">
        <f t="shared" si="12"/>
        <v>0.09</v>
      </c>
      <c r="K41" s="278">
        <f t="shared" si="12"/>
        <v>0.02</v>
      </c>
      <c r="L41" s="278">
        <f t="shared" si="12"/>
        <v>0</v>
      </c>
      <c r="M41" s="278">
        <f t="shared" si="12"/>
        <v>0</v>
      </c>
      <c r="N41" s="278">
        <f t="shared" si="12"/>
        <v>0</v>
      </c>
      <c r="O41" s="278">
        <f t="shared" si="12"/>
        <v>0</v>
      </c>
      <c r="P41" s="278">
        <f t="shared" si="12"/>
        <v>0.61</v>
      </c>
      <c r="Q41" s="279">
        <f t="shared" si="13"/>
        <v>0.9</v>
      </c>
      <c r="R41" s="280">
        <f>+C41-Q41</f>
        <v>-1.0000000000000009E-2</v>
      </c>
    </row>
    <row r="42" spans="1:18" x14ac:dyDescent="0.25">
      <c r="C42" s="271"/>
      <c r="Q42" s="281"/>
      <c r="R42" s="280"/>
    </row>
    <row r="43" spans="1:18" x14ac:dyDescent="0.25">
      <c r="A43" s="261" t="s">
        <v>268</v>
      </c>
      <c r="C43" s="271"/>
      <c r="Q43" s="281"/>
      <c r="R43" s="280"/>
    </row>
    <row r="44" spans="1:18" x14ac:dyDescent="0.25">
      <c r="B44" s="278" t="s">
        <v>367</v>
      </c>
      <c r="C44" s="268">
        <f>+ROUND(C20*$H$50,2)</f>
        <v>0.89</v>
      </c>
      <c r="D44" s="278">
        <f t="shared" ref="D44:P47" si="14">+ROUND($C20*D20*$H$50,2)</f>
        <v>0</v>
      </c>
      <c r="E44" s="278">
        <f t="shared" si="14"/>
        <v>0</v>
      </c>
      <c r="F44" s="278">
        <f t="shared" si="14"/>
        <v>0</v>
      </c>
      <c r="G44" s="278">
        <f t="shared" si="14"/>
        <v>0.32</v>
      </c>
      <c r="H44" s="278">
        <f t="shared" si="14"/>
        <v>0.04</v>
      </c>
      <c r="I44" s="278">
        <f t="shared" si="14"/>
        <v>0</v>
      </c>
      <c r="J44" s="278">
        <f t="shared" si="14"/>
        <v>0.2</v>
      </c>
      <c r="K44" s="278">
        <f t="shared" si="14"/>
        <v>0.02</v>
      </c>
      <c r="L44" s="278">
        <f t="shared" si="14"/>
        <v>0</v>
      </c>
      <c r="M44" s="278">
        <f t="shared" si="14"/>
        <v>0.2</v>
      </c>
      <c r="N44" s="278">
        <f t="shared" si="14"/>
        <v>0.02</v>
      </c>
      <c r="O44" s="278">
        <f t="shared" si="14"/>
        <v>0</v>
      </c>
      <c r="P44" s="278">
        <f t="shared" si="14"/>
        <v>0.09</v>
      </c>
      <c r="Q44" s="279">
        <f t="shared" ref="Q44:Q47" si="15">+SUM(D44:P44)</f>
        <v>0.89</v>
      </c>
      <c r="R44" s="280">
        <f>+C44-Q44</f>
        <v>0</v>
      </c>
    </row>
    <row r="45" spans="1:18" x14ac:dyDescent="0.25">
      <c r="B45" s="278" t="s">
        <v>368</v>
      </c>
      <c r="C45" s="268">
        <f>+ROUND(C21*$H$50,2)</f>
        <v>0.89</v>
      </c>
      <c r="D45" s="278">
        <f t="shared" si="14"/>
        <v>0</v>
      </c>
      <c r="E45" s="278">
        <f t="shared" si="14"/>
        <v>0</v>
      </c>
      <c r="F45" s="278">
        <f t="shared" si="14"/>
        <v>0</v>
      </c>
      <c r="G45" s="278">
        <f t="shared" si="14"/>
        <v>0</v>
      </c>
      <c r="H45" s="278">
        <f t="shared" si="14"/>
        <v>0</v>
      </c>
      <c r="I45" s="278">
        <f t="shared" si="14"/>
        <v>0</v>
      </c>
      <c r="J45" s="278">
        <f t="shared" si="14"/>
        <v>0</v>
      </c>
      <c r="K45" s="278">
        <f t="shared" si="14"/>
        <v>0</v>
      </c>
      <c r="L45" s="278">
        <f t="shared" si="14"/>
        <v>0</v>
      </c>
      <c r="M45" s="278">
        <f t="shared" si="14"/>
        <v>0</v>
      </c>
      <c r="N45" s="278">
        <f t="shared" si="14"/>
        <v>0</v>
      </c>
      <c r="O45" s="278">
        <f t="shared" si="14"/>
        <v>0</v>
      </c>
      <c r="P45" s="278">
        <f t="shared" si="14"/>
        <v>0</v>
      </c>
      <c r="Q45" s="279">
        <f t="shared" ref="Q45" si="16">+SUM(D45:P45)</f>
        <v>0</v>
      </c>
      <c r="R45" s="280">
        <f>+C45-Q45</f>
        <v>0.89</v>
      </c>
    </row>
    <row r="46" spans="1:18" x14ac:dyDescent="0.25">
      <c r="B46" s="278" t="s">
        <v>269</v>
      </c>
      <c r="C46" s="268">
        <f t="shared" ref="C46:C47" si="17">+ROUND(C22*$H$50,2)</f>
        <v>1.34</v>
      </c>
      <c r="D46" s="278">
        <f t="shared" si="14"/>
        <v>0.04</v>
      </c>
      <c r="E46" s="278">
        <f t="shared" si="14"/>
        <v>0</v>
      </c>
      <c r="F46" s="278">
        <f t="shared" si="14"/>
        <v>0</v>
      </c>
      <c r="G46" s="278">
        <f t="shared" si="14"/>
        <v>0.57999999999999996</v>
      </c>
      <c r="H46" s="278">
        <f t="shared" si="14"/>
        <v>0.06</v>
      </c>
      <c r="I46" s="278">
        <f t="shared" si="14"/>
        <v>0</v>
      </c>
      <c r="J46" s="278">
        <f t="shared" si="14"/>
        <v>0.4</v>
      </c>
      <c r="K46" s="278">
        <f t="shared" si="14"/>
        <v>0.04</v>
      </c>
      <c r="L46" s="278">
        <f t="shared" si="14"/>
        <v>0</v>
      </c>
      <c r="M46" s="278">
        <f t="shared" si="14"/>
        <v>0.06</v>
      </c>
      <c r="N46" s="278">
        <f t="shared" si="14"/>
        <v>0.04</v>
      </c>
      <c r="O46" s="278">
        <f t="shared" si="14"/>
        <v>0</v>
      </c>
      <c r="P46" s="278">
        <f t="shared" si="14"/>
        <v>0.11</v>
      </c>
      <c r="Q46" s="279">
        <f t="shared" si="15"/>
        <v>1.3300000000000003</v>
      </c>
      <c r="R46" s="280">
        <f>+C46-Q46</f>
        <v>9.9999999999997868E-3</v>
      </c>
    </row>
    <row r="47" spans="1:18" x14ac:dyDescent="0.25">
      <c r="B47" s="278" t="s">
        <v>270</v>
      </c>
      <c r="C47" s="268">
        <f t="shared" si="17"/>
        <v>0.45</v>
      </c>
      <c r="D47" s="278">
        <f t="shared" si="14"/>
        <v>0</v>
      </c>
      <c r="E47" s="278">
        <f t="shared" si="14"/>
        <v>0</v>
      </c>
      <c r="F47" s="278">
        <f t="shared" si="14"/>
        <v>0.04</v>
      </c>
      <c r="G47" s="278">
        <f t="shared" si="14"/>
        <v>0</v>
      </c>
      <c r="H47" s="278">
        <f t="shared" si="14"/>
        <v>7.0000000000000007E-2</v>
      </c>
      <c r="I47" s="278">
        <f t="shared" si="14"/>
        <v>0.21</v>
      </c>
      <c r="J47" s="278">
        <f t="shared" si="14"/>
        <v>0</v>
      </c>
      <c r="K47" s="278">
        <f t="shared" si="14"/>
        <v>0</v>
      </c>
      <c r="L47" s="278">
        <f t="shared" si="14"/>
        <v>0</v>
      </c>
      <c r="M47" s="278">
        <f t="shared" si="14"/>
        <v>0</v>
      </c>
      <c r="N47" s="278">
        <f t="shared" si="14"/>
        <v>0.03</v>
      </c>
      <c r="O47" s="278">
        <f t="shared" si="14"/>
        <v>0.01</v>
      </c>
      <c r="P47" s="278">
        <f t="shared" si="14"/>
        <v>0.09</v>
      </c>
      <c r="Q47" s="279">
        <f t="shared" si="15"/>
        <v>0.44999999999999996</v>
      </c>
      <c r="R47" s="280">
        <f>+C47-Q47</f>
        <v>0</v>
      </c>
    </row>
    <row r="48" spans="1:18" s="284" customFormat="1" x14ac:dyDescent="0.25">
      <c r="A48" s="261"/>
      <c r="B48"/>
      <c r="C48"/>
      <c r="D48"/>
      <c r="E48"/>
      <c r="F48"/>
      <c r="G48"/>
      <c r="H48"/>
      <c r="I48"/>
      <c r="J48"/>
      <c r="K48"/>
      <c r="L48"/>
      <c r="M48"/>
      <c r="N48"/>
      <c r="O48"/>
      <c r="P48"/>
      <c r="Q48"/>
      <c r="R48" s="212"/>
    </row>
    <row r="50" spans="1:18" x14ac:dyDescent="0.25">
      <c r="A50" s="282"/>
      <c r="B50" s="283" t="s">
        <v>276</v>
      </c>
      <c r="C50" s="284"/>
      <c r="D50" s="284"/>
      <c r="E50" s="284"/>
      <c r="F50" s="284"/>
      <c r="G50" s="284"/>
      <c r="H50" s="285">
        <v>0.89200000000000002</v>
      </c>
      <c r="I50" s="284"/>
      <c r="J50" s="284"/>
      <c r="K50" s="284"/>
      <c r="L50" s="284"/>
      <c r="M50" s="284"/>
      <c r="N50" s="284"/>
      <c r="O50" s="284"/>
      <c r="P50" s="284"/>
      <c r="Q50" s="284"/>
      <c r="R50" s="286"/>
    </row>
  </sheetData>
  <mergeCells count="16">
    <mergeCell ref="C27:C29"/>
    <mergeCell ref="D27:P27"/>
    <mergeCell ref="Q27:Q29"/>
    <mergeCell ref="D28:F28"/>
    <mergeCell ref="G28:I28"/>
    <mergeCell ref="J28:L28"/>
    <mergeCell ref="M28:O28"/>
    <mergeCell ref="P28:P29"/>
    <mergeCell ref="C3:C5"/>
    <mergeCell ref="D3:P3"/>
    <mergeCell ref="Q3:Q5"/>
    <mergeCell ref="D4:F4"/>
    <mergeCell ref="G4:I4"/>
    <mergeCell ref="J4:L4"/>
    <mergeCell ref="M4:O4"/>
    <mergeCell ref="P4:P5"/>
  </mergeCells>
  <printOptions horizontalCentered="1"/>
  <pageMargins left="0.7" right="0.7" top="0.75" bottom="0.75" header="0.3" footer="0.3"/>
  <pageSetup scale="72" orientation="landscape" r:id="rId1"/>
  <headerFooter>
    <oddFooter>&amp;L&amp;Z&amp;F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8"/>
  <sheetViews>
    <sheetView workbookViewId="0">
      <selection activeCell="D26" sqref="D26"/>
    </sheetView>
  </sheetViews>
  <sheetFormatPr defaultRowHeight="15" x14ac:dyDescent="0.25"/>
  <cols>
    <col min="1" max="1" width="53.5703125" customWidth="1"/>
    <col min="6" max="6" width="15.28515625" bestFit="1" customWidth="1"/>
    <col min="11" max="11" width="15.28515625" bestFit="1" customWidth="1"/>
    <col min="16" max="16" width="15.28515625" bestFit="1" customWidth="1"/>
    <col min="19" max="19" width="10" bestFit="1" customWidth="1"/>
  </cols>
  <sheetData>
    <row r="1" spans="1:21" ht="15.75" thickBot="1" x14ac:dyDescent="0.3"/>
    <row r="2" spans="1:21" ht="16.5" thickBot="1" x14ac:dyDescent="0.3">
      <c r="A2" s="359"/>
      <c r="B2" s="786" t="s">
        <v>0</v>
      </c>
      <c r="C2" s="787"/>
      <c r="D2" s="787"/>
      <c r="E2" s="787"/>
      <c r="F2" s="788"/>
      <c r="G2" s="789" t="s">
        <v>1</v>
      </c>
      <c r="H2" s="790"/>
      <c r="I2" s="790"/>
      <c r="J2" s="790"/>
      <c r="K2" s="791"/>
      <c r="L2" s="792" t="s">
        <v>249</v>
      </c>
      <c r="M2" s="793"/>
      <c r="N2" s="793"/>
      <c r="O2" s="793"/>
      <c r="P2" s="794"/>
      <c r="Q2" s="795" t="s">
        <v>3</v>
      </c>
      <c r="R2" s="796"/>
      <c r="S2" s="796"/>
      <c r="T2" s="796"/>
      <c r="U2" s="797"/>
    </row>
    <row r="3" spans="1:21" ht="15.75" thickBot="1" x14ac:dyDescent="0.3">
      <c r="A3" s="360"/>
      <c r="B3" s="798" t="s">
        <v>359</v>
      </c>
      <c r="C3" s="799"/>
      <c r="D3" s="798" t="s">
        <v>23</v>
      </c>
      <c r="E3" s="799"/>
      <c r="F3" s="361" t="s">
        <v>53</v>
      </c>
      <c r="G3" s="798" t="s">
        <v>22</v>
      </c>
      <c r="H3" s="799"/>
      <c r="I3" s="798" t="s">
        <v>23</v>
      </c>
      <c r="J3" s="799"/>
      <c r="K3" s="361" t="s">
        <v>53</v>
      </c>
      <c r="L3" s="798" t="s">
        <v>22</v>
      </c>
      <c r="M3" s="799"/>
      <c r="N3" s="798" t="s">
        <v>23</v>
      </c>
      <c r="O3" s="799"/>
      <c r="P3" s="361" t="s">
        <v>53</v>
      </c>
      <c r="Q3" s="798" t="s">
        <v>22</v>
      </c>
      <c r="R3" s="799"/>
      <c r="S3" s="362" t="s">
        <v>23</v>
      </c>
      <c r="T3" s="800" t="s">
        <v>53</v>
      </c>
      <c r="U3" s="801"/>
    </row>
    <row r="4" spans="1:21" ht="22.5" thickTop="1" thickBot="1" x14ac:dyDescent="0.3">
      <c r="A4" s="363" t="s">
        <v>355</v>
      </c>
      <c r="B4" s="779">
        <v>6957485</v>
      </c>
      <c r="C4" s="780"/>
      <c r="D4" s="781">
        <v>693226</v>
      </c>
      <c r="E4" s="783"/>
      <c r="F4" s="364">
        <v>23142</v>
      </c>
      <c r="G4" s="784">
        <v>6937370</v>
      </c>
      <c r="H4" s="780"/>
      <c r="I4" s="781">
        <v>693226</v>
      </c>
      <c r="J4" s="783"/>
      <c r="K4" s="365">
        <v>23142</v>
      </c>
      <c r="L4" s="785">
        <v>6139122</v>
      </c>
      <c r="M4" s="783"/>
      <c r="N4" s="781">
        <v>654481</v>
      </c>
      <c r="O4" s="783"/>
      <c r="P4" s="365">
        <v>23142</v>
      </c>
      <c r="Q4" s="785">
        <v>17178</v>
      </c>
      <c r="R4" s="783"/>
      <c r="S4" s="366">
        <v>2059</v>
      </c>
      <c r="T4" s="781">
        <v>0</v>
      </c>
      <c r="U4" s="782"/>
    </row>
    <row r="5" spans="1:21" ht="22.5" thickTop="1" thickBot="1" x14ac:dyDescent="0.3">
      <c r="A5" s="363" t="s">
        <v>356</v>
      </c>
      <c r="B5" s="779">
        <v>853325</v>
      </c>
      <c r="C5" s="780"/>
      <c r="D5" s="781">
        <v>68580</v>
      </c>
      <c r="E5" s="783"/>
      <c r="F5" s="364">
        <v>1915</v>
      </c>
      <c r="G5" s="784">
        <v>846712</v>
      </c>
      <c r="H5" s="780"/>
      <c r="I5" s="781">
        <v>68580</v>
      </c>
      <c r="J5" s="783"/>
      <c r="K5" s="365">
        <v>1915</v>
      </c>
      <c r="L5" s="785">
        <v>744805</v>
      </c>
      <c r="M5" s="783"/>
      <c r="N5" s="781">
        <v>69296</v>
      </c>
      <c r="O5" s="783"/>
      <c r="P5" s="365">
        <v>1915</v>
      </c>
      <c r="Q5" s="785">
        <v>2629</v>
      </c>
      <c r="R5" s="783"/>
      <c r="S5" s="366">
        <v>230</v>
      </c>
      <c r="T5" s="781">
        <v>0</v>
      </c>
      <c r="U5" s="782"/>
    </row>
    <row r="6" spans="1:21" ht="22.5" thickTop="1" thickBot="1" x14ac:dyDescent="0.3">
      <c r="A6" s="367" t="s">
        <v>357</v>
      </c>
      <c r="B6" s="779">
        <f>B4/12</f>
        <v>579790.41666666663</v>
      </c>
      <c r="C6" s="780"/>
      <c r="D6" s="779">
        <f>D4/12</f>
        <v>57768.833333333336</v>
      </c>
      <c r="E6" s="780"/>
      <c r="F6" s="364">
        <f>F4/12</f>
        <v>1928.5</v>
      </c>
      <c r="G6" s="779">
        <f>G4/12</f>
        <v>578114.16666666663</v>
      </c>
      <c r="H6" s="780"/>
      <c r="I6" s="779">
        <f>I4/12</f>
        <v>57768.833333333336</v>
      </c>
      <c r="J6" s="780"/>
      <c r="K6" s="364">
        <f>K4/12</f>
        <v>1928.5</v>
      </c>
      <c r="L6" s="779">
        <f>L4/12</f>
        <v>511593.5</v>
      </c>
      <c r="M6" s="780"/>
      <c r="N6" s="779">
        <f>N4/12</f>
        <v>54540.083333333336</v>
      </c>
      <c r="O6" s="780"/>
      <c r="P6" s="364">
        <f>P4/12</f>
        <v>1928.5</v>
      </c>
      <c r="Q6" s="779">
        <f>Q4/12</f>
        <v>1431.5</v>
      </c>
      <c r="R6" s="780"/>
      <c r="S6" s="366">
        <f>S4/12</f>
        <v>171.58333333333334</v>
      </c>
      <c r="T6" s="781"/>
      <c r="U6" s="782">
        <f>U4/12</f>
        <v>0</v>
      </c>
    </row>
    <row r="7" spans="1:21" ht="22.5" thickTop="1" thickBot="1" x14ac:dyDescent="0.3">
      <c r="A7" s="367" t="s">
        <v>358</v>
      </c>
      <c r="B7" s="779">
        <f>B5/12</f>
        <v>71110.416666666672</v>
      </c>
      <c r="C7" s="780"/>
      <c r="D7" s="779">
        <f>D5/12</f>
        <v>5715</v>
      </c>
      <c r="E7" s="780"/>
      <c r="F7" s="364">
        <f>F5/12</f>
        <v>159.58333333333334</v>
      </c>
      <c r="G7" s="779">
        <f>G5/12</f>
        <v>70559.333333333328</v>
      </c>
      <c r="H7" s="780"/>
      <c r="I7" s="779">
        <f>I5/12</f>
        <v>5715</v>
      </c>
      <c r="J7" s="780"/>
      <c r="K7" s="364">
        <f>K5/12</f>
        <v>159.58333333333334</v>
      </c>
      <c r="L7" s="779">
        <f>L5/12</f>
        <v>62067.083333333336</v>
      </c>
      <c r="M7" s="780"/>
      <c r="N7" s="779">
        <f>N5/12</f>
        <v>5774.666666666667</v>
      </c>
      <c r="O7" s="780"/>
      <c r="P7" s="364">
        <f>P5/12</f>
        <v>159.58333333333334</v>
      </c>
      <c r="Q7" s="779">
        <f>Q5/12</f>
        <v>219.08333333333334</v>
      </c>
      <c r="R7" s="780"/>
      <c r="S7" s="366">
        <f>S5/12</f>
        <v>19.166666666666668</v>
      </c>
      <c r="T7" s="781"/>
      <c r="U7" s="782">
        <f>U5/12</f>
        <v>0</v>
      </c>
    </row>
    <row r="8" spans="1:21" ht="15.75" thickTop="1" x14ac:dyDescent="0.25"/>
  </sheetData>
  <mergeCells count="44">
    <mergeCell ref="B2:F2"/>
    <mergeCell ref="G2:K2"/>
    <mergeCell ref="L2:P2"/>
    <mergeCell ref="Q2:U2"/>
    <mergeCell ref="B3:C3"/>
    <mergeCell ref="D3:E3"/>
    <mergeCell ref="G3:H3"/>
    <mergeCell ref="I3:J3"/>
    <mergeCell ref="L3:M3"/>
    <mergeCell ref="N3:O3"/>
    <mergeCell ref="Q3:R3"/>
    <mergeCell ref="T3:U3"/>
    <mergeCell ref="B4:C4"/>
    <mergeCell ref="D4:E4"/>
    <mergeCell ref="G4:H4"/>
    <mergeCell ref="I4:J4"/>
    <mergeCell ref="L4:M4"/>
    <mergeCell ref="N4:O4"/>
    <mergeCell ref="Q4:R4"/>
    <mergeCell ref="T4:U4"/>
    <mergeCell ref="Q5:R5"/>
    <mergeCell ref="T5:U5"/>
    <mergeCell ref="N6:O6"/>
    <mergeCell ref="Q6:R6"/>
    <mergeCell ref="T6:U6"/>
    <mergeCell ref="B5:C5"/>
    <mergeCell ref="D5:E5"/>
    <mergeCell ref="G5:H5"/>
    <mergeCell ref="I5:J5"/>
    <mergeCell ref="L5:M5"/>
    <mergeCell ref="N5:O5"/>
    <mergeCell ref="B6:C6"/>
    <mergeCell ref="D6:E6"/>
    <mergeCell ref="G6:H6"/>
    <mergeCell ref="I6:J6"/>
    <mergeCell ref="L6:M6"/>
    <mergeCell ref="Q7:R7"/>
    <mergeCell ref="T7:U7"/>
    <mergeCell ref="B7:C7"/>
    <mergeCell ref="D7:E7"/>
    <mergeCell ref="G7:H7"/>
    <mergeCell ref="I7:J7"/>
    <mergeCell ref="L7:M7"/>
    <mergeCell ref="N7:O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C542FD2-5D71-4199-85BD-39E87797AE04}"/>
</file>

<file path=customXml/itemProps2.xml><?xml version="1.0" encoding="utf-8"?>
<ds:datastoreItem xmlns:ds="http://schemas.openxmlformats.org/officeDocument/2006/customXml" ds:itemID="{BBBDA5F9-6AE8-4485-9F7B-0F96FED79622}">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51EE8173-65C1-4360-8E46-14E248A695C4}">
  <ds:schemaRefs>
    <ds:schemaRef ds:uri="http://schemas.microsoft.com/sharepoint/v3/contenttype/forms"/>
  </ds:schemaRefs>
</ds:datastoreItem>
</file>

<file path=customXml/itemProps4.xml><?xml version="1.0" encoding="utf-8"?>
<ds:datastoreItem xmlns:ds="http://schemas.openxmlformats.org/officeDocument/2006/customXml" ds:itemID="{4491932B-F9A2-4D22-85F4-F3C48F50EF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Summary</vt:lpstr>
      <vt:lpstr>2018 Summary From Inputs</vt:lpstr>
      <vt:lpstr>Meter Reading</vt:lpstr>
      <vt:lpstr>Billing</vt:lpstr>
      <vt:lpstr>Payment Processing</vt:lpstr>
      <vt:lpstr>Collections</vt:lpstr>
      <vt:lpstr>FTE Alloc OR &amp; WA</vt:lpstr>
      <vt:lpstr>FTE Alloc OREGON</vt:lpstr>
      <vt:lpstr>Meter Read #'s</vt:lpstr>
      <vt:lpstr>BI DATA  Download</vt:lpstr>
      <vt:lpstr>2018 Projection Inputs</vt:lpstr>
      <vt:lpstr>ADDED INPUT DeepDive Bill Print</vt:lpstr>
      <vt:lpstr>2015Summary METER to CASH (Base</vt:lpstr>
      <vt:lpstr>Base 2015 actual for Cost Cente</vt:lpstr>
      <vt:lpstr>Customers</vt:lpstr>
      <vt:lpstr>'2015Summary METER to CASH (Base'!Print_Area</vt:lpstr>
      <vt:lpstr>'2018 Projection Inputs'!Print_Area</vt:lpstr>
      <vt:lpstr>'2018 Summary From Inputs'!Print_Area</vt:lpstr>
      <vt:lpstr>'ADDED INPUT DeepDive Bill Print'!Print_Area</vt:lpstr>
      <vt:lpstr>Billing!Print_Area</vt:lpstr>
      <vt:lpstr>Collections!Print_Area</vt:lpstr>
      <vt:lpstr>'FTE Alloc OR &amp; WA'!Print_Area</vt:lpstr>
      <vt:lpstr>'FTE Alloc OREGON'!Print_Area</vt:lpstr>
      <vt:lpstr>'Meter Reading'!Print_Area</vt:lpstr>
      <vt:lpstr>'Payment Processing'!Print_Area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Muehleck, Chuck</dc:creator>
  <cp:lastModifiedBy>Lee-Pella, Erica N.</cp:lastModifiedBy>
  <cp:lastPrinted>2020-12-17T23:33:55Z</cp:lastPrinted>
  <dcterms:created xsi:type="dcterms:W3CDTF">2015-09-30T19:46:02Z</dcterms:created>
  <dcterms:modified xsi:type="dcterms:W3CDTF">2020-12-17T23:33:59Z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{ECBFC04C-D8C0-45B4-9CAC-3AEA585F9A0B}</vt:lpwstr>
  </property>
  <property fmtid="{D5CDD505-2E9C-101B-9397-08002B2CF9AE}" pid="3" name="ContentTypeId">
    <vt:lpwstr>0x0101006E56B4D1795A2E4DB2F0B01679ED314A008EEC80525953A745BD9B79DC421B8604</vt:lpwstr>
  </property>
  <property fmtid="{D5CDD505-2E9C-101B-9397-08002B2CF9AE}" pid="4" name="_docset_NoMedatataSyncRequired">
    <vt:lpwstr>False</vt:lpwstr>
  </property>
  <property fmtid="{D5CDD505-2E9C-101B-9397-08002B2CF9AE}" pid="5" name="IsEFSEC">
    <vt:bool>false</vt:bool>
  </property>
</Properties>
</file>