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180" windowWidth="11280" windowHeight="616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  <sheet name="Sheet1" sheetId="14" r:id="rId7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Detail!$A$1:$P$35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Detail!$A$1:$P$98</definedName>
    <definedName name="_xlnm.Print_Area" localSheetId="0">Summary!$A$1:$L$18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 calcMode="manual"/>
</workbook>
</file>

<file path=xl/calcChain.xml><?xml version="1.0" encoding="utf-8"?>
<calcChain xmlns="http://schemas.openxmlformats.org/spreadsheetml/2006/main">
  <c r="A95" i="3" l="1"/>
  <c r="A4" i="2" l="1"/>
  <c r="J24" i="3" l="1"/>
  <c r="J23" i="3" l="1"/>
  <c r="L24" i="3" l="1"/>
  <c r="M24" i="3" s="1"/>
  <c r="E24" i="3"/>
  <c r="D24" i="3"/>
  <c r="F24" i="3" s="1"/>
  <c r="N24" i="3" l="1"/>
  <c r="O24" i="3" s="1"/>
  <c r="J20" i="3" l="1"/>
  <c r="J21" i="3"/>
  <c r="K23" i="3" l="1"/>
  <c r="J22" i="3" l="1"/>
  <c r="E23" i="3" l="1"/>
  <c r="D23" i="3"/>
  <c r="L23" i="3"/>
  <c r="M23" i="3" s="1"/>
  <c r="F23" i="3" l="1"/>
  <c r="N23" i="3"/>
  <c r="O23" i="3" s="1"/>
  <c r="L22" i="3" l="1"/>
  <c r="M22" i="3" s="1"/>
  <c r="E22" i="3"/>
  <c r="D22" i="3"/>
  <c r="J33" i="3"/>
  <c r="F22" i="3" l="1"/>
  <c r="N22" i="3"/>
  <c r="O22" i="3" s="1"/>
  <c r="O93" i="3" l="1"/>
  <c r="E94" i="3"/>
  <c r="D94" i="3"/>
  <c r="E93" i="3"/>
  <c r="D93" i="3"/>
  <c r="L15" i="2"/>
  <c r="L16" i="2"/>
  <c r="A15" i="2"/>
  <c r="A16" i="2"/>
  <c r="A17" i="2" s="1"/>
  <c r="O95" i="3" l="1"/>
  <c r="G16" i="2" s="1"/>
  <c r="I34" i="3" l="1"/>
  <c r="B34" i="3" s="1"/>
  <c r="E42" i="3" l="1"/>
  <c r="K21" i="3" l="1"/>
  <c r="K34" i="3" s="1"/>
  <c r="D21" i="3" l="1"/>
  <c r="E21" i="3"/>
  <c r="L33" i="3"/>
  <c r="M33" i="3" s="1"/>
  <c r="E33" i="3"/>
  <c r="D33" i="3"/>
  <c r="E20" i="3"/>
  <c r="D20" i="3"/>
  <c r="L21" i="3"/>
  <c r="M21" i="3" s="1"/>
  <c r="L20" i="3"/>
  <c r="M20" i="3" s="1"/>
  <c r="J25" i="3"/>
  <c r="L25" i="3" s="1"/>
  <c r="M25" i="3" s="1"/>
  <c r="E25" i="3"/>
  <c r="D25" i="3"/>
  <c r="N33" i="3" l="1"/>
  <c r="O33" i="3" s="1"/>
  <c r="F20" i="3"/>
  <c r="F21" i="3"/>
  <c r="F25" i="3"/>
  <c r="N20" i="3"/>
  <c r="O20" i="3" s="1"/>
  <c r="F33" i="3"/>
  <c r="N21" i="3"/>
  <c r="O21" i="3" s="1"/>
  <c r="N25" i="3"/>
  <c r="O25" i="3" s="1"/>
  <c r="J19" i="3"/>
  <c r="E19" i="3" l="1"/>
  <c r="D19" i="3"/>
  <c r="L19" i="3"/>
  <c r="M19" i="3" s="1"/>
  <c r="F19" i="3" l="1"/>
  <c r="N19" i="3"/>
  <c r="O19" i="3" s="1"/>
  <c r="J18" i="3"/>
  <c r="J32" i="3"/>
  <c r="D62" i="3"/>
  <c r="D61" i="3"/>
  <c r="D60" i="3"/>
  <c r="J31" i="3" l="1"/>
  <c r="L31" i="3" s="1"/>
  <c r="M31" i="3" s="1"/>
  <c r="J17" i="3"/>
  <c r="L17" i="3" s="1"/>
  <c r="M17" i="3" s="1"/>
  <c r="L18" i="3"/>
  <c r="M18" i="3" s="1"/>
  <c r="L32" i="3"/>
  <c r="M32" i="3" s="1"/>
  <c r="E62" i="3"/>
  <c r="F62" i="3" s="1"/>
  <c r="E61" i="3"/>
  <c r="F61" i="3" s="1"/>
  <c r="E60" i="3"/>
  <c r="F60" i="3" s="1"/>
  <c r="J28" i="3"/>
  <c r="L28" i="3" s="1"/>
  <c r="M28" i="3" s="1"/>
  <c r="D77" i="3"/>
  <c r="E77" i="3"/>
  <c r="I77" i="3"/>
  <c r="J77" i="3"/>
  <c r="D76" i="3"/>
  <c r="E76" i="3"/>
  <c r="I76" i="3"/>
  <c r="I78" i="3" s="1"/>
  <c r="C12" i="2" s="1"/>
  <c r="J76" i="3"/>
  <c r="D71" i="3"/>
  <c r="E71" i="3"/>
  <c r="J71" i="3"/>
  <c r="L71" i="3" s="1"/>
  <c r="M71" i="3" s="1"/>
  <c r="D86" i="3"/>
  <c r="E86" i="3"/>
  <c r="I86" i="3"/>
  <c r="I87" i="3" s="1"/>
  <c r="C13" i="2" s="1"/>
  <c r="J86" i="3"/>
  <c r="D85" i="3"/>
  <c r="E85" i="3"/>
  <c r="J85" i="3"/>
  <c r="K85" i="3"/>
  <c r="D84" i="3"/>
  <c r="E84" i="3"/>
  <c r="J84" i="3"/>
  <c r="K84" i="3"/>
  <c r="D83" i="3"/>
  <c r="E83" i="3"/>
  <c r="J83" i="3"/>
  <c r="K83" i="3"/>
  <c r="D82" i="3"/>
  <c r="E82" i="3"/>
  <c r="L82" i="3"/>
  <c r="M82" i="3" s="1"/>
  <c r="D81" i="3"/>
  <c r="E81" i="3"/>
  <c r="J81" i="3"/>
  <c r="K81" i="3"/>
  <c r="D80" i="3"/>
  <c r="E80" i="3"/>
  <c r="J80" i="3"/>
  <c r="K80" i="3"/>
  <c r="D75" i="3"/>
  <c r="E75" i="3"/>
  <c r="J75" i="3"/>
  <c r="K75" i="3"/>
  <c r="D74" i="3"/>
  <c r="E74" i="3"/>
  <c r="J74" i="3"/>
  <c r="K74" i="3"/>
  <c r="D73" i="3"/>
  <c r="E73" i="3"/>
  <c r="J73" i="3"/>
  <c r="K73" i="3"/>
  <c r="D72" i="3"/>
  <c r="E72" i="3"/>
  <c r="J72" i="3"/>
  <c r="K72" i="3"/>
  <c r="K78" i="3"/>
  <c r="E12" i="2" s="1"/>
  <c r="D65" i="3"/>
  <c r="E65" i="3"/>
  <c r="J65" i="3"/>
  <c r="L65" i="3" s="1"/>
  <c r="L62" i="3"/>
  <c r="M62" i="3" s="1"/>
  <c r="L61" i="3"/>
  <c r="M61" i="3" s="1"/>
  <c r="L60" i="3"/>
  <c r="M60" i="3" s="1"/>
  <c r="D59" i="3"/>
  <c r="E59" i="3"/>
  <c r="K59" i="3"/>
  <c r="L59" i="3" s="1"/>
  <c r="M59" i="3" s="1"/>
  <c r="D58" i="3"/>
  <c r="E58" i="3"/>
  <c r="L58" i="3"/>
  <c r="M58" i="3" s="1"/>
  <c r="D57" i="3"/>
  <c r="E57" i="3"/>
  <c r="L57" i="3"/>
  <c r="M57" i="3" s="1"/>
  <c r="D56" i="3"/>
  <c r="E56" i="3"/>
  <c r="K56" i="3"/>
  <c r="L56" i="3" s="1"/>
  <c r="D55" i="3"/>
  <c r="E55" i="3"/>
  <c r="K55" i="3"/>
  <c r="L55" i="3" s="1"/>
  <c r="M55" i="3" s="1"/>
  <c r="D54" i="3"/>
  <c r="E54" i="3"/>
  <c r="L54" i="3"/>
  <c r="M54" i="3" s="1"/>
  <c r="D53" i="3"/>
  <c r="E53" i="3"/>
  <c r="L53" i="3"/>
  <c r="M53" i="3" s="1"/>
  <c r="D50" i="3"/>
  <c r="E50" i="3"/>
  <c r="J50" i="3"/>
  <c r="L50" i="3" s="1"/>
  <c r="M50" i="3" s="1"/>
  <c r="D49" i="3"/>
  <c r="E49" i="3"/>
  <c r="J49" i="3"/>
  <c r="L49" i="3" s="1"/>
  <c r="D48" i="3"/>
  <c r="E48" i="3"/>
  <c r="J48" i="3"/>
  <c r="L48" i="3" s="1"/>
  <c r="M48" i="3" s="1"/>
  <c r="D47" i="3"/>
  <c r="E47" i="3"/>
  <c r="J47" i="3"/>
  <c r="K47" i="3"/>
  <c r="K51" i="3" s="1"/>
  <c r="D46" i="3"/>
  <c r="E46" i="3"/>
  <c r="J46" i="3"/>
  <c r="L46" i="3" s="1"/>
  <c r="M46" i="3" s="1"/>
  <c r="D45" i="3"/>
  <c r="E45" i="3"/>
  <c r="J45" i="3"/>
  <c r="L45" i="3" s="1"/>
  <c r="M45" i="3" s="1"/>
  <c r="D44" i="3"/>
  <c r="E44" i="3"/>
  <c r="J44" i="3"/>
  <c r="L44" i="3" s="1"/>
  <c r="M44" i="3" s="1"/>
  <c r="D43" i="3"/>
  <c r="E43" i="3"/>
  <c r="J43" i="3"/>
  <c r="L43" i="3" s="1"/>
  <c r="M43" i="3" s="1"/>
  <c r="D42" i="3"/>
  <c r="J42" i="3"/>
  <c r="L42" i="3" s="1"/>
  <c r="M42" i="3" s="1"/>
  <c r="D39" i="3"/>
  <c r="E39" i="3"/>
  <c r="J39" i="3"/>
  <c r="L39" i="3" s="1"/>
  <c r="M39" i="3" s="1"/>
  <c r="D38" i="3"/>
  <c r="E38" i="3"/>
  <c r="J38" i="3"/>
  <c r="L38" i="3" s="1"/>
  <c r="M38" i="3" s="1"/>
  <c r="D37" i="3"/>
  <c r="E37" i="3"/>
  <c r="J37" i="3"/>
  <c r="L37" i="3" s="1"/>
  <c r="M37" i="3" s="1"/>
  <c r="D36" i="3"/>
  <c r="E36" i="3"/>
  <c r="J36" i="3"/>
  <c r="L36" i="3" s="1"/>
  <c r="M36" i="3" s="1"/>
  <c r="D32" i="3"/>
  <c r="E32" i="3"/>
  <c r="D18" i="3"/>
  <c r="E18" i="3"/>
  <c r="D31" i="3"/>
  <c r="E31" i="3"/>
  <c r="D17" i="3"/>
  <c r="E17" i="3"/>
  <c r="D30" i="3"/>
  <c r="E30" i="3"/>
  <c r="J30" i="3"/>
  <c r="L30" i="3" s="1"/>
  <c r="M30" i="3" s="1"/>
  <c r="D29" i="3"/>
  <c r="E29" i="3"/>
  <c r="J29" i="3"/>
  <c r="L29" i="3" s="1"/>
  <c r="M29" i="3" s="1"/>
  <c r="D28" i="3"/>
  <c r="E28" i="3"/>
  <c r="D27" i="3"/>
  <c r="E27" i="3"/>
  <c r="J27" i="3"/>
  <c r="D26" i="3"/>
  <c r="E26" i="3"/>
  <c r="J26" i="3"/>
  <c r="L26" i="3" s="1"/>
  <c r="M26" i="3" s="1"/>
  <c r="D13" i="3"/>
  <c r="E13" i="3"/>
  <c r="D14" i="3"/>
  <c r="E14" i="3"/>
  <c r="A4" i="3"/>
  <c r="G24" i="3" s="1"/>
  <c r="A12" i="3"/>
  <c r="A13" i="3" s="1"/>
  <c r="A14" i="3" s="1"/>
  <c r="L13" i="3"/>
  <c r="M13" i="3" s="1"/>
  <c r="L14" i="3"/>
  <c r="M14" i="3" s="1"/>
  <c r="I40" i="3"/>
  <c r="B40" i="3" s="1"/>
  <c r="I51" i="3"/>
  <c r="B51" i="3" s="1"/>
  <c r="I63" i="3"/>
  <c r="B63" i="3" s="1"/>
  <c r="I66" i="3"/>
  <c r="B66" i="3" s="1"/>
  <c r="K15" i="3"/>
  <c r="K40" i="3"/>
  <c r="K66" i="3"/>
  <c r="J15" i="3"/>
  <c r="J63" i="3"/>
  <c r="A2" i="3"/>
  <c r="A1" i="3"/>
  <c r="A10" i="2"/>
  <c r="A11" i="2" s="1"/>
  <c r="L11" i="2" s="1"/>
  <c r="L9" i="2"/>
  <c r="P11" i="3"/>
  <c r="F47" i="3" l="1"/>
  <c r="F53" i="3"/>
  <c r="F57" i="3"/>
  <c r="F74" i="3"/>
  <c r="F75" i="3"/>
  <c r="F80" i="3"/>
  <c r="F76" i="3"/>
  <c r="F84" i="3"/>
  <c r="G22" i="3"/>
  <c r="G23" i="3"/>
  <c r="K87" i="3"/>
  <c r="E13" i="2" s="1"/>
  <c r="E14" i="2" s="1"/>
  <c r="L85" i="3"/>
  <c r="M85" i="3" s="1"/>
  <c r="C14" i="2"/>
  <c r="F38" i="3"/>
  <c r="F43" i="3"/>
  <c r="F58" i="3"/>
  <c r="N60" i="3"/>
  <c r="O60" i="3" s="1"/>
  <c r="F65" i="3"/>
  <c r="F66" i="3" s="1"/>
  <c r="J87" i="3"/>
  <c r="D13" i="2" s="1"/>
  <c r="F71" i="3"/>
  <c r="F77" i="3"/>
  <c r="J66" i="3"/>
  <c r="F49" i="3"/>
  <c r="F55" i="3"/>
  <c r="F59" i="3"/>
  <c r="N61" i="3"/>
  <c r="O61" i="3" s="1"/>
  <c r="F72" i="3"/>
  <c r="F81" i="3"/>
  <c r="N62" i="3"/>
  <c r="O62" i="3" s="1"/>
  <c r="J78" i="3"/>
  <c r="D12" i="2" s="1"/>
  <c r="F86" i="3"/>
  <c r="F83" i="3"/>
  <c r="F82" i="3"/>
  <c r="F73" i="3"/>
  <c r="F36" i="3"/>
  <c r="F45" i="3"/>
  <c r="N48" i="3"/>
  <c r="O48" i="3" s="1"/>
  <c r="F56" i="3"/>
  <c r="F85" i="3"/>
  <c r="L76" i="3"/>
  <c r="M76" i="3" s="1"/>
  <c r="L10" i="2"/>
  <c r="A12" i="2"/>
  <c r="J34" i="3"/>
  <c r="F30" i="3"/>
  <c r="G25" i="3"/>
  <c r="G21" i="3"/>
  <c r="G33" i="3"/>
  <c r="G20" i="3"/>
  <c r="G65" i="3"/>
  <c r="G66" i="3" s="1"/>
  <c r="L77" i="3"/>
  <c r="M77" i="3" s="1"/>
  <c r="L27" i="3"/>
  <c r="M27" i="3" s="1"/>
  <c r="N27" i="3" s="1"/>
  <c r="O27" i="3" s="1"/>
  <c r="F26" i="3"/>
  <c r="F27" i="3"/>
  <c r="F28" i="3"/>
  <c r="N29" i="3"/>
  <c r="O29" i="3" s="1"/>
  <c r="F29" i="3"/>
  <c r="F17" i="3"/>
  <c r="F31" i="3"/>
  <c r="F18" i="3"/>
  <c r="F32" i="3"/>
  <c r="P12" i="3"/>
  <c r="G45" i="3"/>
  <c r="G28" i="3"/>
  <c r="K63" i="3"/>
  <c r="K68" i="3" s="1"/>
  <c r="E10" i="2" s="1"/>
  <c r="N59" i="3"/>
  <c r="O59" i="3" s="1"/>
  <c r="L74" i="3"/>
  <c r="M74" i="3" s="1"/>
  <c r="L83" i="3"/>
  <c r="M83" i="3" s="1"/>
  <c r="N83" i="3" s="1"/>
  <c r="O83" i="3" s="1"/>
  <c r="L84" i="3"/>
  <c r="M84" i="3" s="1"/>
  <c r="G55" i="3"/>
  <c r="G30" i="3"/>
  <c r="J40" i="3"/>
  <c r="N13" i="3"/>
  <c r="O13" i="3" s="1"/>
  <c r="F37" i="3"/>
  <c r="N38" i="3"/>
  <c r="O38" i="3" s="1"/>
  <c r="F39" i="3"/>
  <c r="F42" i="3"/>
  <c r="N43" i="3"/>
  <c r="O43" i="3" s="1"/>
  <c r="F44" i="3"/>
  <c r="N45" i="3"/>
  <c r="O45" i="3" s="1"/>
  <c r="F46" i="3"/>
  <c r="L47" i="3"/>
  <c r="M47" i="3" s="1"/>
  <c r="N47" i="3" s="1"/>
  <c r="O47" i="3" s="1"/>
  <c r="F48" i="3"/>
  <c r="F50" i="3"/>
  <c r="N53" i="3"/>
  <c r="O53" i="3" s="1"/>
  <c r="F54" i="3"/>
  <c r="N55" i="3"/>
  <c r="O55" i="3" s="1"/>
  <c r="L72" i="3"/>
  <c r="M72" i="3" s="1"/>
  <c r="L73" i="3"/>
  <c r="M73" i="3" s="1"/>
  <c r="L81" i="3"/>
  <c r="M81" i="3" s="1"/>
  <c r="G73" i="3"/>
  <c r="G39" i="3"/>
  <c r="G49" i="3"/>
  <c r="G59" i="3"/>
  <c r="G83" i="3"/>
  <c r="J51" i="3"/>
  <c r="N14" i="3"/>
  <c r="O14" i="3" s="1"/>
  <c r="N26" i="3"/>
  <c r="O26" i="3" s="1"/>
  <c r="N37" i="3"/>
  <c r="O37" i="3" s="1"/>
  <c r="N39" i="3"/>
  <c r="O39" i="3" s="1"/>
  <c r="N42" i="3"/>
  <c r="O42" i="3" s="1"/>
  <c r="N44" i="3"/>
  <c r="O44" i="3" s="1"/>
  <c r="N46" i="3"/>
  <c r="O46" i="3" s="1"/>
  <c r="N50" i="3"/>
  <c r="O50" i="3" s="1"/>
  <c r="L75" i="3"/>
  <c r="M75" i="3" s="1"/>
  <c r="L80" i="3"/>
  <c r="M80" i="3" s="1"/>
  <c r="L86" i="3"/>
  <c r="M86" i="3" s="1"/>
  <c r="G74" i="3"/>
  <c r="G19" i="3"/>
  <c r="N28" i="3"/>
  <c r="O28" i="3" s="1"/>
  <c r="G71" i="3"/>
  <c r="G18" i="3"/>
  <c r="G37" i="3"/>
  <c r="G43" i="3"/>
  <c r="G47" i="3"/>
  <c r="G53" i="3"/>
  <c r="G57" i="3"/>
  <c r="G61" i="3"/>
  <c r="G76" i="3"/>
  <c r="G85" i="3"/>
  <c r="G81" i="3"/>
  <c r="G26" i="3"/>
  <c r="G17" i="3"/>
  <c r="G72" i="3"/>
  <c r="N17" i="3"/>
  <c r="O17" i="3" s="1"/>
  <c r="N31" i="3"/>
  <c r="O31" i="3" s="1"/>
  <c r="N18" i="3"/>
  <c r="O18" i="3" s="1"/>
  <c r="N32" i="3"/>
  <c r="O32" i="3" s="1"/>
  <c r="N54" i="3"/>
  <c r="O54" i="3" s="1"/>
  <c r="N57" i="3"/>
  <c r="O57" i="3" s="1"/>
  <c r="N58" i="3"/>
  <c r="O58" i="3" s="1"/>
  <c r="N71" i="3"/>
  <c r="L40" i="3"/>
  <c r="M49" i="3"/>
  <c r="N49" i="3" s="1"/>
  <c r="O49" i="3" s="1"/>
  <c r="N30" i="3"/>
  <c r="O30" i="3" s="1"/>
  <c r="N36" i="3"/>
  <c r="O36" i="3" s="1"/>
  <c r="I15" i="3"/>
  <c r="L63" i="3"/>
  <c r="M56" i="3"/>
  <c r="N56" i="3" s="1"/>
  <c r="O56" i="3" s="1"/>
  <c r="M65" i="3"/>
  <c r="N65" i="3" s="1"/>
  <c r="O65" i="3" s="1"/>
  <c r="O66" i="3" s="1"/>
  <c r="N66" i="3" s="1"/>
  <c r="L66" i="3"/>
  <c r="I89" i="3"/>
  <c r="G75" i="3"/>
  <c r="G32" i="3"/>
  <c r="G38" i="3"/>
  <c r="G36" i="3"/>
  <c r="G42" i="3"/>
  <c r="G44" i="3"/>
  <c r="G46" i="3"/>
  <c r="G48" i="3"/>
  <c r="G50" i="3"/>
  <c r="G54" i="3"/>
  <c r="G56" i="3"/>
  <c r="G58" i="3"/>
  <c r="G60" i="3"/>
  <c r="G62" i="3"/>
  <c r="G77" i="3"/>
  <c r="G86" i="3"/>
  <c r="G84" i="3"/>
  <c r="G82" i="3"/>
  <c r="G80" i="3"/>
  <c r="G27" i="3"/>
  <c r="G29" i="3"/>
  <c r="G31" i="3"/>
  <c r="N73" i="3" l="1"/>
  <c r="N84" i="3"/>
  <c r="O84" i="3" s="1"/>
  <c r="K89" i="3"/>
  <c r="N76" i="3"/>
  <c r="O76" i="3" s="1"/>
  <c r="D14" i="2"/>
  <c r="L51" i="3"/>
  <c r="N85" i="3"/>
  <c r="O85" i="3" s="1"/>
  <c r="E17" i="2"/>
  <c r="N81" i="3"/>
  <c r="O81" i="3" s="1"/>
  <c r="F40" i="3"/>
  <c r="F78" i="3"/>
  <c r="J12" i="2" s="1"/>
  <c r="J89" i="3"/>
  <c r="N86" i="3"/>
  <c r="O86" i="3" s="1"/>
  <c r="J68" i="3"/>
  <c r="D10" i="2" s="1"/>
  <c r="F63" i="3"/>
  <c r="F87" i="3"/>
  <c r="J13" i="2" s="1"/>
  <c r="N80" i="3"/>
  <c r="O80" i="3" s="1"/>
  <c r="N72" i="3"/>
  <c r="O72" i="3" s="1"/>
  <c r="L78" i="3"/>
  <c r="F12" i="2" s="1"/>
  <c r="N75" i="3"/>
  <c r="O75" i="3" s="1"/>
  <c r="N74" i="3"/>
  <c r="O74" i="3" s="1"/>
  <c r="N82" i="3"/>
  <c r="O82" i="3" s="1"/>
  <c r="A13" i="2"/>
  <c r="L12" i="2"/>
  <c r="O73" i="3"/>
  <c r="G34" i="3"/>
  <c r="F34" i="3"/>
  <c r="L34" i="3"/>
  <c r="O51" i="3"/>
  <c r="N51" i="3" s="1"/>
  <c r="O15" i="3"/>
  <c r="N15" i="3" s="1"/>
  <c r="F51" i="3"/>
  <c r="K97" i="3"/>
  <c r="O63" i="3"/>
  <c r="N63" i="3" s="1"/>
  <c r="O71" i="3"/>
  <c r="O34" i="3"/>
  <c r="L87" i="3"/>
  <c r="F13" i="2" s="1"/>
  <c r="L15" i="3"/>
  <c r="B87" i="3"/>
  <c r="H13" i="2" s="1"/>
  <c r="G87" i="3"/>
  <c r="K13" i="2" s="1"/>
  <c r="I68" i="3"/>
  <c r="B15" i="3"/>
  <c r="G40" i="3"/>
  <c r="G51" i="3"/>
  <c r="O40" i="3"/>
  <c r="G78" i="3"/>
  <c r="G63" i="3"/>
  <c r="D17" i="2" l="1"/>
  <c r="F89" i="3"/>
  <c r="J97" i="3"/>
  <c r="J14" i="2"/>
  <c r="F14" i="2"/>
  <c r="L68" i="3"/>
  <c r="F10" i="2" s="1"/>
  <c r="O87" i="3"/>
  <c r="L89" i="3"/>
  <c r="A14" i="2"/>
  <c r="L13" i="2"/>
  <c r="N77" i="3"/>
  <c r="N34" i="3"/>
  <c r="F15" i="3"/>
  <c r="F68" i="3" s="1"/>
  <c r="J10" i="2" s="1"/>
  <c r="G15" i="3"/>
  <c r="G68" i="3" s="1"/>
  <c r="N40" i="3"/>
  <c r="O68" i="3"/>
  <c r="B68" i="3"/>
  <c r="C10" i="2"/>
  <c r="C17" i="2" s="1"/>
  <c r="I97" i="3"/>
  <c r="K12" i="2"/>
  <c r="K14" i="2" s="1"/>
  <c r="G89" i="3"/>
  <c r="F17" i="2" l="1"/>
  <c r="L97" i="3"/>
  <c r="N87" i="3"/>
  <c r="G13" i="2"/>
  <c r="I13" i="2" s="1"/>
  <c r="L14" i="2"/>
  <c r="O77" i="3"/>
  <c r="O78" i="3" s="1"/>
  <c r="N78" i="3" s="1"/>
  <c r="B78" i="3"/>
  <c r="F97" i="3"/>
  <c r="J17" i="2"/>
  <c r="G10" i="2"/>
  <c r="N68" i="3"/>
  <c r="H10" i="2"/>
  <c r="K10" i="2"/>
  <c r="G97" i="3"/>
  <c r="I10" i="2" l="1"/>
  <c r="A18" i="2"/>
  <c r="K17" i="2"/>
  <c r="H12" i="2"/>
  <c r="B89" i="3"/>
  <c r="B97" i="3" s="1"/>
  <c r="G12" i="2"/>
  <c r="O89" i="3"/>
  <c r="O97" i="3" s="1"/>
  <c r="H14" i="2" l="1"/>
  <c r="H17" i="2" s="1"/>
  <c r="I12" i="2"/>
  <c r="G14" i="2"/>
  <c r="L17" i="2"/>
  <c r="L18" i="2"/>
  <c r="N89" i="3"/>
  <c r="N97" i="3"/>
  <c r="P13" i="3"/>
  <c r="I14" i="2" l="1"/>
  <c r="G17" i="2"/>
  <c r="I17" i="2" s="1"/>
  <c r="P14" i="3"/>
  <c r="A15" i="3"/>
  <c r="A16" i="3" s="1"/>
  <c r="A17" i="3" s="1"/>
  <c r="A18" i="3" s="1"/>
  <c r="P15" i="3" l="1"/>
  <c r="P16" i="3" l="1"/>
  <c r="A19" i="3" l="1"/>
  <c r="A20" i="3" s="1"/>
  <c r="A21" i="3" s="1"/>
  <c r="A22" i="3" s="1"/>
  <c r="A23" i="3" s="1"/>
  <c r="A24" i="3" s="1"/>
  <c r="A25" i="3" l="1"/>
  <c r="A26" i="3" s="1"/>
  <c r="A27" i="3" s="1"/>
  <c r="P24" i="3"/>
  <c r="P23" i="3"/>
  <c r="P22" i="3"/>
  <c r="P17" i="3"/>
  <c r="P26" i="3" l="1"/>
  <c r="P25" i="3"/>
  <c r="P18" i="3"/>
  <c r="P19" i="3" l="1"/>
  <c r="P20" i="3" l="1"/>
  <c r="P21" i="3" l="1"/>
  <c r="P27" i="3" l="1"/>
  <c r="A28" i="3"/>
  <c r="P28" i="3" l="1"/>
  <c r="A29" i="3"/>
  <c r="A30" i="3" l="1"/>
  <c r="A31" i="3" s="1"/>
  <c r="P29" i="3"/>
  <c r="A32" i="3" l="1"/>
  <c r="P31" i="3"/>
  <c r="P30" i="3"/>
  <c r="A33" i="3" l="1"/>
  <c r="A34" i="3" s="1"/>
  <c r="A35" i="3" s="1"/>
  <c r="P32" i="3"/>
  <c r="A36" i="3" l="1"/>
  <c r="P33" i="3"/>
  <c r="A37" i="3" l="1"/>
  <c r="A38" i="3" s="1"/>
  <c r="A39" i="3" s="1"/>
  <c r="P34" i="3"/>
  <c r="P35" i="3" l="1"/>
  <c r="P36" i="3" l="1"/>
  <c r="P37" i="3" l="1"/>
  <c r="P38" i="3" l="1"/>
  <c r="A40" i="3" l="1"/>
  <c r="P39" i="3"/>
  <c r="A41" i="3" l="1"/>
  <c r="A42" i="3" s="1"/>
  <c r="A43" i="3" s="1"/>
  <c r="P40" i="3"/>
  <c r="P41" i="3" l="1"/>
  <c r="P42" i="3" l="1"/>
  <c r="P43" i="3" l="1"/>
  <c r="A44" i="3"/>
  <c r="A45" i="3" l="1"/>
  <c r="P44" i="3"/>
  <c r="P45" i="3" l="1"/>
  <c r="A46" i="3"/>
  <c r="A47" i="3" l="1"/>
  <c r="P46" i="3"/>
  <c r="P47" i="3" l="1"/>
  <c r="A48" i="3"/>
  <c r="A49" i="3" l="1"/>
  <c r="P48" i="3"/>
  <c r="A50" i="3" l="1"/>
  <c r="P49" i="3"/>
  <c r="P50" i="3" l="1"/>
  <c r="A51" i="3"/>
  <c r="P51" i="3" l="1"/>
  <c r="A52" i="3"/>
  <c r="P52" i="3" l="1"/>
  <c r="A53" i="3"/>
  <c r="A54" i="3" l="1"/>
  <c r="P53" i="3"/>
  <c r="P54" i="3" l="1"/>
  <c r="A55" i="3"/>
  <c r="P55" i="3" l="1"/>
  <c r="A56" i="3"/>
  <c r="A57" i="3" l="1"/>
  <c r="P56" i="3"/>
  <c r="A58" i="3" l="1"/>
  <c r="P57" i="3"/>
  <c r="A59" i="3" l="1"/>
  <c r="P58" i="3"/>
  <c r="A60" i="3" l="1"/>
  <c r="P59" i="3"/>
  <c r="A61" i="3" l="1"/>
  <c r="P60" i="3"/>
  <c r="P61" i="3" l="1"/>
  <c r="A62" i="3"/>
  <c r="P62" i="3" l="1"/>
  <c r="A63" i="3"/>
  <c r="A64" i="3" l="1"/>
  <c r="P63" i="3"/>
  <c r="P64" i="3" l="1"/>
  <c r="A65" i="3"/>
  <c r="A66" i="3" l="1"/>
  <c r="P65" i="3"/>
  <c r="P66" i="3" l="1"/>
  <c r="A67" i="3"/>
  <c r="A68" i="3" l="1"/>
  <c r="P67" i="3"/>
  <c r="A69" i="3" l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6" i="3" s="1"/>
  <c r="A97" i="3" s="1"/>
  <c r="A98" i="3" s="1"/>
  <c r="P68" i="3"/>
  <c r="P69" i="3" l="1"/>
  <c r="P70" i="3" l="1"/>
  <c r="P71" i="3" l="1"/>
  <c r="P72" i="3" l="1"/>
  <c r="P73" i="3" l="1"/>
  <c r="P74" i="3" l="1"/>
  <c r="P75" i="3" l="1"/>
  <c r="P76" i="3" l="1"/>
  <c r="P77" i="3" l="1"/>
  <c r="P78" i="3" l="1"/>
  <c r="P79" i="3" l="1"/>
  <c r="P80" i="3" l="1"/>
  <c r="P81" i="3" l="1"/>
  <c r="P82" i="3" l="1"/>
  <c r="P83" i="3" l="1"/>
  <c r="P84" i="3" l="1"/>
  <c r="P85" i="3" l="1"/>
  <c r="P86" i="3" l="1"/>
  <c r="P90" i="3" l="1"/>
  <c r="P87" i="3"/>
  <c r="P88" i="3"/>
  <c r="P91" i="3" l="1"/>
  <c r="P89" i="3"/>
  <c r="P92" i="3" l="1"/>
  <c r="P93" i="3" l="1"/>
  <c r="P94" i="3" l="1"/>
  <c r="P95" i="3" l="1"/>
  <c r="P96" i="3" l="1"/>
  <c r="P97" i="3" l="1"/>
  <c r="P98" i="3"/>
</calcChain>
</file>

<file path=xl/sharedStrings.xml><?xml version="1.0" encoding="utf-8"?>
<sst xmlns="http://schemas.openxmlformats.org/spreadsheetml/2006/main" count="160" uniqueCount="118">
  <si>
    <t>PACIFICORP</t>
  </si>
  <si>
    <t>Electric Operations</t>
  </si>
  <si>
    <t>AMOUNT</t>
  </si>
  <si>
    <t>LINE</t>
  </si>
  <si>
    <t>CURRENTLY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</si>
  <si>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</si>
  <si>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</si>
  <si>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</si>
  <si>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</si>
  <si>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</si>
  <si>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</si>
  <si>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</si>
  <si>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</si>
  <si>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</si>
  <si>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</si>
  <si>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</si>
  <si>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</si>
  <si>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</si>
  <si>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</si>
  <si>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</si>
  <si>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</si>
  <si>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</si>
  <si>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</si>
  <si>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</si>
  <si>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</si>
  <si>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</si>
  <si>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</si>
  <si>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</si>
  <si>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</si>
  <si>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</si>
  <si>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</si>
  <si>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</si>
  <si>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</si>
  <si>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</si>
  <si>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</si>
  <si>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</si>
  <si>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</si>
  <si>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</si>
  <si>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</si>
  <si>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</si>
  <si>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</si>
  <si>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</si>
  <si>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</si>
  <si>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</si>
  <si>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</si>
  <si>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</si>
  <si>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</si>
  <si>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</si>
  <si>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</si>
  <si>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</si>
  <si>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Aug 2034</t>
  </si>
  <si>
    <t xml:space="preserve">  Series due Jun 2035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</si>
  <si>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</si>
  <si>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</si>
  <si>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</si>
  <si>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</si>
  <si>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</si>
  <si>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</si>
  <si>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</si>
  <si>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</si>
  <si>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</si>
  <si>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</si>
  <si>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</si>
  <si>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</si>
  <si>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</si>
  <si>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</si>
  <si>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</si>
  <si>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</si>
  <si>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</si>
  <si>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</si>
  <si>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</si>
  <si>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Forsyth 88 due Jan 2018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</si>
  <si>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</si>
  <si>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</si>
  <si>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</si>
  <si>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</si>
  <si>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</si>
  <si>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Forsyth 86 due Dec 2016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</si>
  <si>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</si>
  <si>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</si>
  <si>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</si>
  <si>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</si>
  <si>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</si>
  <si>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</si>
  <si>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</si>
  <si>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</si>
  <si>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</si>
  <si>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</si>
  <si>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>YTM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</si>
  <si>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</si>
  <si>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</si>
  <si>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</si>
  <si>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</si>
  <si>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</si>
  <si>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</si>
  <si>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</si>
  <si>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</si>
  <si>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</si>
  <si>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</si>
  <si>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</si>
  <si>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</si>
  <si>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</si>
  <si>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</si>
  <si>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</si>
  <si>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</si>
  <si>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</si>
  <si>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</si>
  <si>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 xml:space="preserve">  Series due Jun 2023</t>
  </si>
  <si>
    <t>Loss on Long Term Debt Reacquistions, without Refunding</t>
  </si>
  <si>
    <t>REACQ</t>
  </si>
  <si>
    <t>ORG MAT</t>
  </si>
  <si>
    <t>8.375% Series A QUIDS</t>
  </si>
  <si>
    <t>8.55% Series B QUIDS</t>
  </si>
  <si>
    <t>Long-Term Debt Reacquisition, without refunding amortization</t>
  </si>
  <si>
    <t xml:space="preserve">  Series due Apr 2024</t>
  </si>
  <si>
    <t xml:space="preserve">  Series due Jul 2025</t>
  </si>
  <si>
    <t>Pro-Forma Cost of Long-Term Debt Detail</t>
  </si>
  <si>
    <t>Pro-Forma Cost of Long-Term Debt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</si>
</sst>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_(* #,##0.0_);_(* \(#,##0.0\);_(* &quot;-&quot;??_);_(@_)"/>
    <numFmt numFmtId="170" formatCode="&quot;$&quot;#,##0.000_);[Red]\(&quot;$&quot;#,##0.000\)"/>
    <numFmt numFmtId="171" formatCode="[$-409]mmmm\ d\,\ yyyy;@"/>
    <numFmt numFmtId="172" formatCode="&quot;$&quot;#,##0.000_);\(&quot;$&quot;#,##0.000\)"/>
    <numFmt numFmtId="173" formatCode="0.0000000%"/>
  </numFmts>
  <fonts count="19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2" fillId="0" borderId="0" xfId="0" applyFont="1" applyBorder="1"/>
    <xf numFmtId="6" fontId="0" fillId="0" borderId="0" xfId="0" applyBorder="1"/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6" fontId="13" fillId="0" borderId="0" xfId="0" applyFont="1" applyFill="1" applyBorder="1" applyAlignment="1">
      <alignment horizontal="center"/>
    </xf>
    <xf numFmtId="6" fontId="14" fillId="0" borderId="0" xfId="0" applyFont="1" applyFill="1" applyBorder="1"/>
    <xf numFmtId="5" fontId="10" fillId="0" borderId="0" xfId="0" applyNumberFormat="1" applyFont="1" applyFill="1" applyBorder="1" applyProtection="1"/>
    <xf numFmtId="5" fontId="12" fillId="0" borderId="0" xfId="0" applyNumberFormat="1" applyFont="1" applyFill="1" applyBorder="1" applyAlignment="1" applyProtection="1">
      <alignment horizontal="right"/>
    </xf>
    <xf numFmtId="6" fontId="10" fillId="0" borderId="0" xfId="0" applyFont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3" fillId="0" borderId="0" xfId="0" applyNumberFormat="1" applyFont="1" applyFill="1" applyBorder="1" applyProtection="1"/>
    <xf numFmtId="6" fontId="14" fillId="0" borderId="1" xfId="0" applyFont="1" applyFill="1" applyBorder="1"/>
    <xf numFmtId="5" fontId="10" fillId="0" borderId="1" xfId="0" applyNumberFormat="1" applyFont="1" applyFill="1" applyBorder="1" applyProtection="1"/>
    <xf numFmtId="6" fontId="15" fillId="0" borderId="0" xfId="0" applyFont="1" applyBorder="1" applyAlignment="1">
      <alignment horizontal="center"/>
    </xf>
    <xf numFmtId="6" fontId="16" fillId="0" borderId="0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4" xfId="0" applyNumberFormat="1" applyFont="1" applyBorder="1" applyAlignment="1" applyProtection="1">
      <alignment horizontal="center"/>
      <protection locked="0"/>
    </xf>
    <xf numFmtId="167" fontId="14" fillId="0" borderId="5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6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7" xfId="0" applyNumberFormat="1" applyFont="1" applyBorder="1" applyAlignment="1" applyProtection="1">
      <alignment horizontal="center"/>
      <protection locked="0"/>
    </xf>
    <xf numFmtId="43" fontId="0" fillId="0" borderId="0" xfId="1" applyNumberFormat="1" applyFont="1"/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69" fontId="7" fillId="0" borderId="0" xfId="1" applyNumberFormat="1" applyFont="1" applyBorder="1"/>
    <xf numFmtId="169" fontId="0" fillId="0" borderId="0" xfId="0" applyNumberFormat="1" applyBorder="1"/>
    <xf numFmtId="169" fontId="0" fillId="0" borderId="0" xfId="1" applyNumberFormat="1" applyFont="1" applyBorder="1" applyAlignment="1">
      <alignment horizontal="center"/>
    </xf>
    <xf numFmtId="169" fontId="0" fillId="0" borderId="2" xfId="1" applyNumberFormat="1" applyFont="1" applyBorder="1" applyAlignment="1" applyProtection="1">
      <alignment horizontal="center"/>
    </xf>
    <xf numFmtId="6" fontId="11" fillId="0" borderId="0" xfId="0" applyFont="1" applyFill="1" applyBorder="1" applyAlignment="1"/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4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5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43" fontId="15" fillId="0" borderId="0" xfId="1" applyFont="1" applyBorder="1" applyAlignment="1">
      <alignment horizontal="center"/>
    </xf>
    <xf numFmtId="6" fontId="15" fillId="0" borderId="4" xfId="0" applyFont="1" applyBorder="1" applyAlignment="1" applyProtection="1">
      <alignment horizontal="center"/>
    </xf>
    <xf numFmtId="6" fontId="15" fillId="0" borderId="5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9" xfId="0" applyFont="1" applyBorder="1" applyAlignment="1">
      <alignment horizontal="center"/>
    </xf>
    <xf numFmtId="169" fontId="7" fillId="0" borderId="0" xfId="1" applyNumberFormat="1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6" fontId="0" fillId="0" borderId="1" xfId="0" applyBorder="1" applyAlignment="1">
      <alignment horizontal="center"/>
    </xf>
    <xf numFmtId="6" fontId="15" fillId="0" borderId="6" xfId="0" applyFont="1" applyBorder="1" applyAlignment="1" applyProtection="1">
      <alignment horizontal="center"/>
    </xf>
    <xf numFmtId="6" fontId="10" fillId="0" borderId="0" xfId="0" applyNumberFormat="1" applyFont="1" applyFill="1" applyBorder="1"/>
    <xf numFmtId="6" fontId="16" fillId="0" borderId="4" xfId="0" applyNumberFormat="1" applyFont="1" applyBorder="1"/>
    <xf numFmtId="6" fontId="15" fillId="0" borderId="0" xfId="0" applyFont="1" applyFill="1" applyBorder="1" applyAlignment="1">
      <alignment horizontal="center"/>
    </xf>
    <xf numFmtId="6" fontId="3" fillId="0" borderId="0" xfId="0" quotePrefix="1" applyFont="1" applyFill="1" applyBorder="1"/>
    <xf numFmtId="43" fontId="7" fillId="0" borderId="0" xfId="1" applyFont="1" applyBorder="1"/>
    <xf numFmtId="6" fontId="15" fillId="0" borderId="4" xfId="0" applyFont="1" applyFill="1" applyBorder="1" applyAlignment="1">
      <alignment horizontal="center"/>
    </xf>
    <xf numFmtId="6" fontId="15" fillId="0" borderId="5" xfId="0" applyFont="1" applyFill="1" applyBorder="1"/>
    <xf numFmtId="6" fontId="16" fillId="0" borderId="0" xfId="0" applyFont="1" applyFill="1"/>
    <xf numFmtId="6" fontId="15" fillId="0" borderId="0" xfId="0" applyFont="1" applyFill="1" applyBorder="1"/>
    <xf numFmtId="6" fontId="15" fillId="0" borderId="1" xfId="0" applyFont="1" applyFill="1" applyBorder="1"/>
    <xf numFmtId="6" fontId="16" fillId="0" borderId="0" xfId="0" applyFont="1" applyFill="1" applyBorder="1"/>
    <xf numFmtId="6" fontId="10" fillId="0" borderId="3" xfId="0" quotePrefix="1" applyFont="1" applyFill="1" applyBorder="1" applyAlignment="1">
      <alignment horizontal="center"/>
    </xf>
    <xf numFmtId="168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 applyBorder="1" applyProtection="1">
      <protection locked="0"/>
    </xf>
    <xf numFmtId="167" fontId="10" fillId="0" borderId="0" xfId="0" applyNumberFormat="1" applyFont="1" applyFill="1" applyBorder="1" applyAlignment="1" applyProtection="1">
      <alignment horizontal="center"/>
    </xf>
    <xf numFmtId="5" fontId="10" fillId="0" borderId="0" xfId="0" applyNumberFormat="1" applyFont="1" applyFill="1" applyBorder="1" applyAlignment="1" applyProtection="1">
      <alignment horizontal="right"/>
      <protection locked="0"/>
    </xf>
    <xf numFmtId="170" fontId="10" fillId="0" borderId="0" xfId="0" applyNumberFormat="1" applyFont="1" applyFill="1" applyBorder="1"/>
    <xf numFmtId="168" fontId="10" fillId="0" borderId="0" xfId="0" applyNumberFormat="1" applyFont="1" applyFill="1" applyBorder="1" applyProtection="1"/>
    <xf numFmtId="6" fontId="10" fillId="0" borderId="0" xfId="0" applyNumberFormat="1" applyFont="1" applyFill="1" applyBorder="1" applyProtection="1"/>
    <xf numFmtId="168" fontId="11" fillId="0" borderId="0" xfId="2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 applyProtection="1">
      <alignment horizontal="center"/>
    </xf>
    <xf numFmtId="5" fontId="11" fillId="0" borderId="0" xfId="0" applyNumberFormat="1" applyFont="1" applyFill="1" applyBorder="1" applyAlignment="1" applyProtection="1">
      <alignment horizontal="right"/>
    </xf>
    <xf numFmtId="5" fontId="11" fillId="0" borderId="0" xfId="0" applyNumberFormat="1" applyFont="1" applyFill="1" applyBorder="1" applyProtection="1"/>
    <xf numFmtId="168" fontId="11" fillId="0" borderId="0" xfId="2" applyNumberFormat="1" applyFont="1" applyFill="1" applyBorder="1"/>
    <xf numFmtId="6" fontId="11" fillId="0" borderId="0" xfId="0" applyNumberFormat="1" applyFont="1" applyFill="1" applyBorder="1" applyProtection="1"/>
    <xf numFmtId="5" fontId="14" fillId="0" borderId="0" xfId="0" applyNumberFormat="1" applyFont="1" applyFill="1" applyBorder="1" applyProtection="1">
      <protection locked="0"/>
    </xf>
    <xf numFmtId="6" fontId="4" fillId="0" borderId="0" xfId="0" applyNumberFormat="1" applyFont="1" applyFill="1" applyBorder="1" applyProtection="1">
      <protection locked="0"/>
    </xf>
    <xf numFmtId="5" fontId="10" fillId="0" borderId="0" xfId="0" applyNumberFormat="1" applyFont="1" applyFill="1" applyBorder="1"/>
    <xf numFmtId="165" fontId="6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Font="1" applyFill="1" applyBorder="1"/>
    <xf numFmtId="172" fontId="10" fillId="0" borderId="0" xfId="0" applyNumberFormat="1" applyFont="1" applyFill="1" applyBorder="1" applyProtection="1"/>
    <xf numFmtId="6" fontId="8" fillId="0" borderId="0" xfId="0" applyNumberFormat="1" applyFont="1" applyFill="1" applyBorder="1" applyProtection="1">
      <protection locked="0"/>
    </xf>
    <xf numFmtId="168" fontId="11" fillId="0" borderId="0" xfId="2" applyNumberFormat="1" applyFont="1" applyFill="1" applyBorder="1" applyAlignment="1" applyProtection="1">
      <alignment horizontal="center"/>
    </xf>
    <xf numFmtId="6" fontId="10" fillId="0" borderId="1" xfId="0" applyFont="1" applyFill="1" applyBorder="1" applyAlignment="1">
      <alignment horizontal="center"/>
    </xf>
    <xf numFmtId="6" fontId="10" fillId="0" borderId="1" xfId="0" applyFont="1" applyFill="1" applyBorder="1"/>
    <xf numFmtId="166" fontId="10" fillId="0" borderId="1" xfId="0" applyNumberFormat="1" applyFont="1" applyFill="1" applyBorder="1" applyAlignment="1" applyProtection="1">
      <alignment horizontal="center"/>
    </xf>
    <xf numFmtId="167" fontId="10" fillId="0" borderId="1" xfId="0" applyNumberFormat="1" applyFont="1" applyFill="1" applyBorder="1" applyAlignment="1" applyProtection="1">
      <alignment horizontal="center"/>
    </xf>
    <xf numFmtId="5" fontId="10" fillId="0" borderId="1" xfId="0" applyNumberFormat="1" applyFont="1" applyFill="1" applyBorder="1"/>
    <xf numFmtId="168" fontId="10" fillId="0" borderId="1" xfId="0" applyNumberFormat="1" applyFont="1" applyFill="1" applyBorder="1" applyProtection="1"/>
    <xf numFmtId="6" fontId="10" fillId="0" borderId="0" xfId="0" applyFont="1" applyFill="1" applyAlignment="1">
      <alignment horizontal="center"/>
    </xf>
    <xf numFmtId="6" fontId="10" fillId="0" borderId="13" xfId="0" applyFont="1" applyFill="1" applyBorder="1" applyAlignment="1">
      <alignment horizontal="center"/>
    </xf>
    <xf numFmtId="6" fontId="10" fillId="0" borderId="14" xfId="0" applyFont="1" applyFill="1" applyBorder="1"/>
    <xf numFmtId="167" fontId="14" fillId="0" borderId="4" xfId="0" applyNumberFormat="1" applyFont="1" applyFill="1" applyBorder="1" applyAlignment="1" applyProtection="1">
      <alignment horizontal="center"/>
      <protection locked="0"/>
    </xf>
    <xf numFmtId="167" fontId="14" fillId="0" borderId="5" xfId="0" applyNumberFormat="1" applyFont="1" applyFill="1" applyBorder="1" applyProtection="1">
      <protection locked="0"/>
    </xf>
    <xf numFmtId="167" fontId="14" fillId="0" borderId="6" xfId="0" applyNumberFormat="1" applyFont="1" applyFill="1" applyBorder="1" applyAlignment="1" applyProtection="1">
      <alignment horizontal="center"/>
      <protection locked="0"/>
    </xf>
    <xf numFmtId="167" fontId="14" fillId="0" borderId="7" xfId="0" applyNumberFormat="1" applyFont="1" applyFill="1" applyBorder="1" applyProtection="1">
      <protection locked="0"/>
    </xf>
    <xf numFmtId="173" fontId="7" fillId="0" borderId="0" xfId="0" applyNumberFormat="1" applyFont="1"/>
    <xf numFmtId="6" fontId="9" fillId="2" borderId="8" xfId="0" applyFont="1" applyFill="1" applyBorder="1" applyAlignment="1">
      <alignment horizontal="center"/>
    </xf>
    <xf numFmtId="6" fontId="9" fillId="2" borderId="10" xfId="0" applyFont="1" applyFill="1" applyBorder="1" applyAlignment="1">
      <alignment horizontal="center"/>
    </xf>
    <xf numFmtId="6" fontId="9" fillId="2" borderId="11" xfId="0" applyFont="1" applyFill="1" applyBorder="1" applyAlignment="1">
      <alignment horizontal="center"/>
    </xf>
    <xf numFmtId="6" fontId="9" fillId="2" borderId="4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5" xfId="0" applyFont="1" applyFill="1" applyBorder="1" applyAlignment="1">
      <alignment horizontal="center"/>
    </xf>
    <xf numFmtId="171" fontId="9" fillId="2" borderId="4" xfId="0" applyNumberFormat="1" applyFont="1" applyFill="1" applyBorder="1" applyAlignment="1" applyProtection="1">
      <alignment horizontal="center"/>
      <protection locked="0"/>
    </xf>
    <xf numFmtId="171" fontId="9" fillId="2" borderId="0" xfId="0" applyNumberFormat="1" applyFont="1" applyFill="1" applyBorder="1" applyAlignment="1" applyProtection="1">
      <alignment horizontal="center"/>
      <protection locked="0"/>
    </xf>
    <xf numFmtId="171" fontId="9" fillId="2" borderId="5" xfId="0" applyNumberFormat="1" applyFont="1" applyFill="1" applyBorder="1" applyAlignment="1" applyProtection="1">
      <alignment horizontal="center"/>
      <protection locked="0"/>
    </xf>
    <xf numFmtId="6" fontId="15" fillId="0" borderId="1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R28"/>
  <sheetViews>
    <sheetView tabSelected="1" defaultGridColor="0" topLeftCell="A2" colorId="22" zoomScale="85" workbookViewId="0">
      <selection activeCell="M27" sqref="M24:M27"/>
    </sheetView>
  </sheetViews>
  <sheetFormatPr defaultColWidth="16.7109375" defaultRowHeight="12.75"/>
  <cols>
    <col min="1" max="1" width="5.5703125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.140625" bestFit="1" customWidth="1"/>
    <col min="8" max="8" width="10.5703125" style="8" bestFit="1" customWidth="1"/>
    <col min="9" max="9" width="8.140625" customWidth="1"/>
    <col min="10" max="10" width="6" bestFit="1" customWidth="1"/>
    <col min="11" max="11" width="6" style="8" bestFit="1" customWidth="1"/>
    <col min="12" max="12" width="5.5703125" style="6" bestFit="1" customWidth="1"/>
    <col min="164" max="164" width="30.7109375" customWidth="1"/>
  </cols>
  <sheetData>
    <row r="1" spans="1:16" s="23" customFormat="1" ht="15.75" customHeight="1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6" s="23" customFormat="1" ht="15.75" customHeight="1">
      <c r="A2" s="125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</row>
    <row r="3" spans="1:16" s="23" customFormat="1" ht="15.75" customHeight="1">
      <c r="A3" s="125" t="s">
        <v>117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</row>
    <row r="4" spans="1:16" s="23" customFormat="1" ht="15.75">
      <c r="A4" s="128">
        <f>DATE(2016,6,30)</f>
        <v>42551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30"/>
    </row>
    <row r="5" spans="1:16" s="57" customFormat="1" ht="11.25">
      <c r="A5" s="76"/>
      <c r="B5" s="59"/>
      <c r="C5" s="60"/>
      <c r="D5" s="29"/>
      <c r="E5" s="29"/>
      <c r="F5" s="29"/>
      <c r="G5" s="29"/>
      <c r="H5" s="61"/>
      <c r="I5" s="29"/>
      <c r="J5" s="29"/>
      <c r="K5" s="61"/>
      <c r="L5" s="62"/>
    </row>
    <row r="6" spans="1:16" s="57" customFormat="1" ht="11.25">
      <c r="A6" s="58"/>
      <c r="B6" s="29"/>
      <c r="C6" s="28" t="s">
        <v>2</v>
      </c>
      <c r="D6" s="28"/>
      <c r="E6" s="28"/>
      <c r="F6" s="28"/>
      <c r="G6" s="28"/>
      <c r="H6" s="63"/>
      <c r="I6" s="64"/>
      <c r="J6" s="65"/>
      <c r="K6" s="66"/>
      <c r="L6" s="62"/>
    </row>
    <row r="7" spans="1:16" s="57" customFormat="1" ht="11.25">
      <c r="A7" s="67" t="s">
        <v>3</v>
      </c>
      <c r="B7" s="29"/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8" t="s">
        <v>20</v>
      </c>
      <c r="I7" s="28" t="s">
        <v>85</v>
      </c>
      <c r="J7" s="28" t="s">
        <v>87</v>
      </c>
      <c r="K7" s="66"/>
      <c r="L7" s="68" t="s">
        <v>3</v>
      </c>
    </row>
    <row r="8" spans="1:16" s="57" customFormat="1" ht="11.25">
      <c r="A8" s="74" t="s">
        <v>9</v>
      </c>
      <c r="B8" s="69" t="s">
        <v>10</v>
      </c>
      <c r="C8" s="69" t="s">
        <v>11</v>
      </c>
      <c r="D8" s="69" t="s">
        <v>12</v>
      </c>
      <c r="E8" s="69" t="s">
        <v>12</v>
      </c>
      <c r="F8" s="69" t="s">
        <v>13</v>
      </c>
      <c r="G8" s="69" t="s">
        <v>14</v>
      </c>
      <c r="H8" s="69" t="s">
        <v>24</v>
      </c>
      <c r="I8" s="69" t="s">
        <v>86</v>
      </c>
      <c r="J8" s="69" t="s">
        <v>30</v>
      </c>
      <c r="K8" s="69" t="s">
        <v>88</v>
      </c>
      <c r="L8" s="70" t="s">
        <v>9</v>
      </c>
    </row>
    <row r="9" spans="1:16">
      <c r="A9" s="33">
        <v>1</v>
      </c>
      <c r="B9" s="6"/>
      <c r="C9" s="6"/>
      <c r="D9" s="6"/>
      <c r="E9" s="6"/>
      <c r="F9" s="6"/>
      <c r="G9" s="6"/>
      <c r="H9" s="24"/>
      <c r="I9" s="6"/>
      <c r="J9" s="6"/>
      <c r="K9" s="24"/>
      <c r="L9" s="34">
        <f>A9</f>
        <v>1</v>
      </c>
    </row>
    <row r="10" spans="1:16" s="30" customFormat="1">
      <c r="A10" s="33">
        <f>A9+1</f>
        <v>2</v>
      </c>
      <c r="B10" s="35" t="s">
        <v>47</v>
      </c>
      <c r="C10" s="31">
        <f>Detail!I68</f>
        <v>6703999000</v>
      </c>
      <c r="D10" s="42">
        <f>Detail!J68</f>
        <v>-68624372.120000005</v>
      </c>
      <c r="E10" s="42">
        <f>Detail!K68</f>
        <v>-31219785.520000003</v>
      </c>
      <c r="F10" s="42">
        <f>Detail!L68</f>
        <v>6604154842.3600006</v>
      </c>
      <c r="G10" s="42">
        <f>Detail!O68</f>
        <v>364525507.20999998</v>
      </c>
      <c r="H10" s="44">
        <f>Detail!B68</f>
        <v>5.295991947492832E-2</v>
      </c>
      <c r="I10" s="32">
        <f>G10/C10</f>
        <v>5.4374337945157808E-2</v>
      </c>
      <c r="J10" s="50">
        <f>Detail!F68</f>
        <v>22.037338424589727</v>
      </c>
      <c r="K10" s="71">
        <f>Detail!G68</f>
        <v>13.75902478712913</v>
      </c>
      <c r="L10" s="34">
        <f t="shared" ref="L10:L18" si="0">A10</f>
        <v>2</v>
      </c>
      <c r="O10" s="44"/>
      <c r="P10" s="32"/>
    </row>
    <row r="11" spans="1:16">
      <c r="A11" s="33">
        <f t="shared" ref="A11:A17" si="1">A10+1</f>
        <v>3</v>
      </c>
      <c r="B11" s="4"/>
      <c r="C11" s="6"/>
      <c r="D11" s="6"/>
      <c r="E11" s="6"/>
      <c r="F11" s="6"/>
      <c r="G11" s="6"/>
      <c r="H11" s="45"/>
      <c r="I11" s="36"/>
      <c r="J11" s="51"/>
      <c r="K11" s="72"/>
      <c r="L11" s="34">
        <f t="shared" si="0"/>
        <v>3</v>
      </c>
      <c r="O11" s="45"/>
      <c r="P11" s="36"/>
    </row>
    <row r="12" spans="1:16">
      <c r="A12" s="33">
        <f t="shared" si="1"/>
        <v>4</v>
      </c>
      <c r="B12" s="3" t="s">
        <v>95</v>
      </c>
      <c r="C12" s="6">
        <f>Detail!I78</f>
        <v>202250000</v>
      </c>
      <c r="D12" s="6">
        <f>Detail!J78</f>
        <v>-5258489.33</v>
      </c>
      <c r="E12" s="6">
        <f>Detail!K78</f>
        <v>-2181869</v>
      </c>
      <c r="F12" s="48">
        <f>Detail!L78</f>
        <v>194809641.67000002</v>
      </c>
      <c r="G12" s="6">
        <f>Detail!O78</f>
        <v>2955788.8</v>
      </c>
      <c r="H12" s="45">
        <f>Detail!B78</f>
        <v>1.3090114272042036E-2</v>
      </c>
      <c r="I12" s="37">
        <f>G12/C12</f>
        <v>1.4614530531520394E-2</v>
      </c>
      <c r="J12" s="52">
        <f>Detail!F78</f>
        <v>29.954154649086664</v>
      </c>
      <c r="K12" s="52">
        <f>Detail!G78</f>
        <v>8.1383772833401977</v>
      </c>
      <c r="L12" s="34">
        <f t="shared" si="0"/>
        <v>4</v>
      </c>
      <c r="O12" s="45"/>
      <c r="P12" s="37"/>
    </row>
    <row r="13" spans="1:16">
      <c r="A13" s="33">
        <f t="shared" si="1"/>
        <v>5</v>
      </c>
      <c r="B13" s="3" t="s">
        <v>16</v>
      </c>
      <c r="C13" s="9">
        <f>Detail!I87</f>
        <v>198725000</v>
      </c>
      <c r="D13" s="9">
        <f>Detail!J87</f>
        <v>-1941141.52</v>
      </c>
      <c r="E13" s="9">
        <f>Detail!K87</f>
        <v>-3864998.14</v>
      </c>
      <c r="F13" s="49">
        <f>Detail!L87</f>
        <v>192918860.34</v>
      </c>
      <c r="G13" s="9">
        <f>Detail!O87</f>
        <v>2580815.85</v>
      </c>
      <c r="H13" s="46">
        <f>Detail!B87</f>
        <v>1.1787403009674936E-2</v>
      </c>
      <c r="I13" s="10">
        <f>G13/C13</f>
        <v>1.2986870549754687E-2</v>
      </c>
      <c r="J13" s="53">
        <f>Detail!F87</f>
        <v>29.358325295984123</v>
      </c>
      <c r="K13" s="53">
        <f>Detail!G87</f>
        <v>2.7725286898421881</v>
      </c>
      <c r="L13" s="34">
        <f t="shared" si="0"/>
        <v>5</v>
      </c>
      <c r="O13" s="45"/>
      <c r="P13" s="37"/>
    </row>
    <row r="14" spans="1:16" s="30" customFormat="1">
      <c r="A14" s="33">
        <f t="shared" si="1"/>
        <v>6</v>
      </c>
      <c r="B14" s="5" t="s">
        <v>84</v>
      </c>
      <c r="C14" s="31">
        <f>SUM(C12:C13)</f>
        <v>400975000</v>
      </c>
      <c r="D14" s="31">
        <f>SUM(D12:D13)</f>
        <v>-7199630.8499999996</v>
      </c>
      <c r="E14" s="31">
        <f>SUM(E12:E13)</f>
        <v>-6046867.1400000006</v>
      </c>
      <c r="F14" s="42">
        <f>SUM(F12:F13)</f>
        <v>387728502.00999999</v>
      </c>
      <c r="G14" s="42">
        <f>SUM(G12:G13)</f>
        <v>5536604.6500000004</v>
      </c>
      <c r="H14" s="44">
        <f>SUMPRODUCT(H12:H13,$C12:$C13)/$C14</f>
        <v>1.244448475495518E-2</v>
      </c>
      <c r="I14" s="32">
        <f>G14/C14</f>
        <v>1.3807854978489931E-2</v>
      </c>
      <c r="J14" s="50">
        <f>SUMPRODUCT(J12:J13,$C12:$C13)/$C14</f>
        <v>29.658858961836078</v>
      </c>
      <c r="K14" s="71">
        <f>SUMPRODUCT(K12:K13,$C12:$C13)/$C14</f>
        <v>5.4790387666174789</v>
      </c>
      <c r="L14" s="34">
        <f t="shared" si="0"/>
        <v>6</v>
      </c>
      <c r="O14" s="44"/>
      <c r="P14" s="32"/>
    </row>
    <row r="15" spans="1:16" s="30" customFormat="1">
      <c r="A15" s="33">
        <f t="shared" si="1"/>
        <v>7</v>
      </c>
      <c r="B15" s="5"/>
      <c r="C15" s="31"/>
      <c r="D15" s="31"/>
      <c r="E15" s="31"/>
      <c r="F15" s="42"/>
      <c r="G15" s="42"/>
      <c r="H15" s="44"/>
      <c r="I15" s="32"/>
      <c r="J15" s="50"/>
      <c r="K15" s="71"/>
      <c r="L15" s="34">
        <f t="shared" si="0"/>
        <v>7</v>
      </c>
      <c r="O15" s="44"/>
      <c r="P15" s="32"/>
    </row>
    <row r="16" spans="1:16" s="30" customFormat="1">
      <c r="A16" s="33">
        <f t="shared" si="1"/>
        <v>8</v>
      </c>
      <c r="B16" s="3" t="s">
        <v>108</v>
      </c>
      <c r="C16" s="9"/>
      <c r="D16" s="9"/>
      <c r="E16" s="9"/>
      <c r="F16" s="49"/>
      <c r="G16" s="9">
        <f>Detail!O95</f>
        <v>191970.90000000002</v>
      </c>
      <c r="H16" s="46"/>
      <c r="I16" s="10"/>
      <c r="J16" s="53"/>
      <c r="K16" s="53"/>
      <c r="L16" s="34">
        <f t="shared" si="0"/>
        <v>8</v>
      </c>
      <c r="O16" s="45"/>
      <c r="P16" s="37"/>
    </row>
    <row r="17" spans="1:18" s="30" customFormat="1">
      <c r="A17" s="33">
        <f t="shared" si="1"/>
        <v>9</v>
      </c>
      <c r="B17" s="5" t="s">
        <v>48</v>
      </c>
      <c r="C17" s="31">
        <f>C10+C14</f>
        <v>7104974000</v>
      </c>
      <c r="D17" s="31">
        <f t="shared" ref="D17:F17" si="2">D10+D14</f>
        <v>-75824002.969999999</v>
      </c>
      <c r="E17" s="31">
        <f t="shared" si="2"/>
        <v>-37266652.660000004</v>
      </c>
      <c r="F17" s="42">
        <f t="shared" si="2"/>
        <v>6991883344.3700008</v>
      </c>
      <c r="G17" s="42">
        <f>G10+G14+G16</f>
        <v>370254082.75999993</v>
      </c>
      <c r="H17" s="44">
        <f>(H10*C10+H14*C14)/C17</f>
        <v>5.0673397886412834E-2</v>
      </c>
      <c r="I17" s="32">
        <f>G17/C17</f>
        <v>5.2111954633472256E-2</v>
      </c>
      <c r="J17" s="50">
        <f>(J10*C10+J14*C14)/C17</f>
        <v>22.467465149532334</v>
      </c>
      <c r="K17" s="71">
        <f>(K10*C10+K14*C14)/C17</f>
        <v>13.291737025826322</v>
      </c>
      <c r="L17" s="34">
        <f t="shared" si="0"/>
        <v>9</v>
      </c>
      <c r="O17" s="44"/>
      <c r="P17" s="32"/>
      <c r="R17" s="121"/>
    </row>
    <row r="18" spans="1:18">
      <c r="A18" s="38">
        <f>A17+1</f>
        <v>10</v>
      </c>
      <c r="B18" s="2"/>
      <c r="C18" s="7"/>
      <c r="D18" s="7"/>
      <c r="E18" s="7"/>
      <c r="F18" s="7"/>
      <c r="G18" s="7"/>
      <c r="H18" s="47"/>
      <c r="I18" s="7"/>
      <c r="J18" s="39"/>
      <c r="K18" s="73"/>
      <c r="L18" s="40">
        <f t="shared" si="0"/>
        <v>10</v>
      </c>
    </row>
    <row r="19" spans="1:18">
      <c r="B19" s="1"/>
    </row>
    <row r="22" spans="1:18">
      <c r="C22" s="31"/>
      <c r="D22" s="31"/>
      <c r="E22" s="31"/>
      <c r="F22" s="42"/>
      <c r="G22" s="31"/>
      <c r="H22" s="44"/>
      <c r="I22" s="32"/>
      <c r="J22" s="50"/>
      <c r="K22" s="71"/>
    </row>
    <row r="23" spans="1:18">
      <c r="C23" s="31"/>
      <c r="D23" s="31"/>
      <c r="E23" s="31"/>
      <c r="F23" s="42"/>
      <c r="G23" s="31"/>
      <c r="H23" s="44"/>
      <c r="I23" s="79"/>
      <c r="J23" s="50"/>
      <c r="K23" s="71"/>
    </row>
    <row r="24" spans="1:18">
      <c r="C24" s="31"/>
      <c r="D24" s="31"/>
      <c r="E24" s="31"/>
      <c r="F24" s="42"/>
      <c r="G24" s="31"/>
      <c r="H24" s="44"/>
      <c r="I24" s="32"/>
      <c r="J24" s="50"/>
      <c r="K24" s="71"/>
    </row>
    <row r="25" spans="1:18">
      <c r="C25" s="31"/>
      <c r="D25" s="31"/>
      <c r="E25" s="31"/>
      <c r="F25" s="42"/>
      <c r="G25" s="31"/>
      <c r="H25" s="44"/>
      <c r="I25" s="32"/>
      <c r="J25" s="50"/>
      <c r="K25" s="71"/>
    </row>
    <row r="28" spans="1:18">
      <c r="C28" s="41"/>
      <c r="D28" s="41"/>
      <c r="E28" s="41"/>
      <c r="F28" s="41"/>
    </row>
  </sheetData>
  <mergeCells count="4">
    <mergeCell ref="A1:L1"/>
    <mergeCell ref="A2:L2"/>
    <mergeCell ref="A3:L3"/>
    <mergeCell ref="A4:L4"/>
  </mergeCells>
  <phoneticPr fontId="5" type="noConversion"/>
  <printOptions horizontalCentered="1"/>
  <pageMargins left="0.5" right="0.5" top="0.7" bottom="0.55000000000000004" header="0.5" footer="0.5"/>
  <pageSetup scale="76" orientation="landscape" r:id="rId1"/>
  <headerFooter alignWithMargins="0"/>
  <ignoredErrors>
    <ignoredError sqref="I14" formula="1"/>
    <ignoredError sqref="A10:A18 L9:L19 A4:XFD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P458"/>
  <sheetViews>
    <sheetView tabSelected="1" defaultGridColor="0" colorId="22" zoomScale="87" zoomScaleNormal="87" workbookViewId="0">
      <pane ySplit="10" topLeftCell="A11" activePane="bottomLeft" state="frozen"/>
      <selection activeCell="M27" sqref="M24:M27"/>
      <selection pane="bottomLeft" activeCell="M27" sqref="M24:M27"/>
    </sheetView>
  </sheetViews>
  <sheetFormatPr defaultColWidth="9.7109375" defaultRowHeight="12.75"/>
  <cols>
    <col min="1" max="1" width="5.5703125" style="16" customWidth="1"/>
    <col min="2" max="2" width="10.28515625" style="16" bestFit="1" customWidth="1"/>
    <col min="3" max="3" width="32.42578125" style="11" bestFit="1" customWidth="1"/>
    <col min="4" max="4" width="10.5703125" style="16" bestFit="1" customWidth="1"/>
    <col min="5" max="5" width="10.85546875" style="16" bestFit="1" customWidth="1"/>
    <col min="6" max="7" width="6.42578125" style="16" bestFit="1" customWidth="1"/>
    <col min="8" max="8" width="13.42578125" style="11" customWidth="1"/>
    <col min="9" max="9" width="14.85546875" style="11" customWidth="1"/>
    <col min="10" max="10" width="12.28515625" style="11" bestFit="1" customWidth="1"/>
    <col min="11" max="11" width="14.7109375" style="11" bestFit="1" customWidth="1"/>
    <col min="12" max="12" width="16.5703125" style="11" customWidth="1"/>
    <col min="13" max="13" width="11.28515625" style="11" customWidth="1"/>
    <col min="14" max="14" width="11" style="11" bestFit="1" customWidth="1"/>
    <col min="15" max="15" width="14.5703125" style="11" bestFit="1" customWidth="1"/>
    <col min="16" max="16" width="5.42578125" style="11" bestFit="1" customWidth="1"/>
    <col min="17" max="17" width="12" style="11" bestFit="1" customWidth="1"/>
    <col min="18" max="16384" width="9.7109375" style="11"/>
  </cols>
  <sheetData>
    <row r="1" spans="1:16" s="23" customFormat="1" ht="15.75" customHeight="1">
      <c r="A1" s="122" t="str">
        <f>Summary!A1</f>
        <v>PACIFICORP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</row>
    <row r="2" spans="1:16" s="23" customFormat="1" ht="15.75" customHeight="1">
      <c r="A2" s="125" t="str">
        <f>Summary!A2</f>
        <v>Electric Operations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s="23" customFormat="1" ht="15.75" customHeight="1">
      <c r="A3" s="125" t="s">
        <v>116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</row>
    <row r="4" spans="1:16" s="23" customFormat="1" ht="15.75">
      <c r="A4" s="128">
        <f>Summary!A4</f>
        <v>42551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</row>
    <row r="5" spans="1:16" s="82" customFormat="1" ht="11.25">
      <c r="A5" s="80"/>
      <c r="B5" s="55"/>
      <c r="C5" s="56"/>
      <c r="D5" s="55"/>
      <c r="E5" s="55"/>
      <c r="F5" s="55"/>
      <c r="G5" s="55"/>
      <c r="H5" s="56"/>
      <c r="I5" s="56"/>
      <c r="J5" s="56"/>
      <c r="K5" s="56"/>
      <c r="L5" s="56"/>
      <c r="M5" s="56"/>
      <c r="N5" s="56"/>
      <c r="O5" s="56"/>
      <c r="P5" s="81"/>
    </row>
    <row r="6" spans="1:16" s="23" customFormat="1">
      <c r="A6" s="80"/>
      <c r="B6" s="77"/>
      <c r="C6" s="83"/>
      <c r="D6" s="77"/>
      <c r="E6" s="77"/>
      <c r="F6" s="77"/>
      <c r="G6" s="77"/>
      <c r="H6" s="84"/>
      <c r="I6" s="84"/>
      <c r="J6" s="83"/>
      <c r="K6" s="83"/>
      <c r="L6" s="131" t="s">
        <v>18</v>
      </c>
      <c r="M6" s="131"/>
      <c r="N6" s="18"/>
      <c r="O6" s="85"/>
      <c r="P6" s="81"/>
    </row>
    <row r="7" spans="1:16" s="23" customFormat="1">
      <c r="A7" s="80"/>
      <c r="B7" s="77"/>
      <c r="C7" s="83"/>
      <c r="D7" s="77"/>
      <c r="E7" s="77"/>
      <c r="F7" s="77"/>
      <c r="G7" s="77"/>
      <c r="H7" s="131" t="s">
        <v>92</v>
      </c>
      <c r="I7" s="131"/>
      <c r="J7" s="83"/>
      <c r="K7" s="83"/>
      <c r="L7" s="77" t="s">
        <v>21</v>
      </c>
      <c r="M7" s="77" t="s">
        <v>22</v>
      </c>
      <c r="N7" s="18"/>
      <c r="O7" s="85"/>
      <c r="P7" s="81"/>
    </row>
    <row r="8" spans="1:16" s="23" customFormat="1">
      <c r="A8" s="80" t="s">
        <v>3</v>
      </c>
      <c r="B8" s="77" t="s">
        <v>20</v>
      </c>
      <c r="C8" s="83" t="s">
        <v>17</v>
      </c>
      <c r="D8" s="77" t="s">
        <v>5</v>
      </c>
      <c r="E8" s="77" t="s">
        <v>25</v>
      </c>
      <c r="F8" s="77" t="s">
        <v>87</v>
      </c>
      <c r="G8" s="77"/>
      <c r="H8" s="77" t="s">
        <v>26</v>
      </c>
      <c r="I8" s="77" t="s">
        <v>4</v>
      </c>
      <c r="J8" s="77" t="s">
        <v>5</v>
      </c>
      <c r="K8" s="77" t="s">
        <v>6</v>
      </c>
      <c r="L8" s="77" t="s">
        <v>27</v>
      </c>
      <c r="M8" s="77" t="s">
        <v>28</v>
      </c>
      <c r="N8" s="77" t="s">
        <v>19</v>
      </c>
      <c r="O8" s="77" t="s">
        <v>8</v>
      </c>
      <c r="P8" s="81" t="s">
        <v>3</v>
      </c>
    </row>
    <row r="9" spans="1:16" s="23" customFormat="1">
      <c r="A9" s="80" t="s">
        <v>9</v>
      </c>
      <c r="B9" s="77" t="s">
        <v>24</v>
      </c>
      <c r="C9" s="77" t="s">
        <v>10</v>
      </c>
      <c r="D9" s="77" t="s">
        <v>29</v>
      </c>
      <c r="E9" s="77" t="s">
        <v>29</v>
      </c>
      <c r="F9" s="77" t="s">
        <v>30</v>
      </c>
      <c r="G9" s="77" t="s">
        <v>88</v>
      </c>
      <c r="H9" s="77" t="s">
        <v>31</v>
      </c>
      <c r="I9" s="77" t="s">
        <v>11</v>
      </c>
      <c r="J9" s="77" t="s">
        <v>12</v>
      </c>
      <c r="K9" s="77" t="s">
        <v>12</v>
      </c>
      <c r="L9" s="77" t="s">
        <v>2</v>
      </c>
      <c r="M9" s="77" t="s">
        <v>2</v>
      </c>
      <c r="N9" s="77" t="s">
        <v>23</v>
      </c>
      <c r="O9" s="77" t="s">
        <v>14</v>
      </c>
      <c r="P9" s="81" t="s">
        <v>9</v>
      </c>
    </row>
    <row r="10" spans="1:16" s="23" customFormat="1">
      <c r="A10" s="115"/>
      <c r="B10" s="86" t="s">
        <v>45</v>
      </c>
      <c r="C10" s="86" t="s">
        <v>46</v>
      </c>
      <c r="D10" s="86" t="s">
        <v>52</v>
      </c>
      <c r="E10" s="86" t="s">
        <v>53</v>
      </c>
      <c r="F10" s="86" t="s">
        <v>54</v>
      </c>
      <c r="G10" s="86" t="s">
        <v>55</v>
      </c>
      <c r="H10" s="86" t="s">
        <v>56</v>
      </c>
      <c r="I10" s="86" t="s">
        <v>57</v>
      </c>
      <c r="J10" s="86" t="s">
        <v>58</v>
      </c>
      <c r="K10" s="86" t="s">
        <v>59</v>
      </c>
      <c r="L10" s="86" t="s">
        <v>60</v>
      </c>
      <c r="M10" s="86" t="s">
        <v>61</v>
      </c>
      <c r="N10" s="86" t="s">
        <v>62</v>
      </c>
      <c r="O10" s="86" t="s">
        <v>63</v>
      </c>
      <c r="P10" s="116" t="s">
        <v>15</v>
      </c>
    </row>
    <row r="11" spans="1:16" s="23" customFormat="1">
      <c r="A11" s="117">
        <v>1</v>
      </c>
      <c r="B11" s="21"/>
      <c r="C11" s="18"/>
      <c r="D11" s="21"/>
      <c r="E11" s="21"/>
      <c r="F11" s="21"/>
      <c r="G11" s="21"/>
      <c r="H11" s="18"/>
      <c r="I11" s="18"/>
      <c r="J11" s="18"/>
      <c r="K11" s="18"/>
      <c r="L11" s="18"/>
      <c r="M11" s="18"/>
      <c r="N11" s="18"/>
      <c r="O11" s="18"/>
      <c r="P11" s="118">
        <f>A11</f>
        <v>1</v>
      </c>
    </row>
    <row r="12" spans="1:16" s="23" customFormat="1">
      <c r="A12" s="117">
        <f>A11+1</f>
        <v>2</v>
      </c>
      <c r="B12" s="21"/>
      <c r="C12" s="20" t="s">
        <v>32</v>
      </c>
      <c r="D12" s="12"/>
      <c r="E12" s="22"/>
      <c r="F12" s="21"/>
      <c r="G12" s="21"/>
      <c r="H12" s="18"/>
      <c r="I12" s="18"/>
      <c r="J12" s="18"/>
      <c r="K12" s="18"/>
      <c r="L12" s="18"/>
      <c r="M12" s="18"/>
      <c r="N12" s="18"/>
      <c r="O12" s="18"/>
      <c r="P12" s="118">
        <f>A12</f>
        <v>2</v>
      </c>
    </row>
    <row r="13" spans="1:16" s="23" customFormat="1">
      <c r="A13" s="117">
        <f t="shared" ref="A13:A14" si="0">A12+1</f>
        <v>3</v>
      </c>
      <c r="B13" s="87">
        <v>8.635000000000001E-2</v>
      </c>
      <c r="C13" s="88" t="s">
        <v>64</v>
      </c>
      <c r="D13" s="22">
        <f t="shared" ref="D13:D14" si="1">DATE(1992,4,15)</f>
        <v>33709</v>
      </c>
      <c r="E13" s="22">
        <f>DATE(2016,10,1)</f>
        <v>42644</v>
      </c>
      <c r="F13" s="89">
        <v>24.461111111111112</v>
      </c>
      <c r="G13" s="89">
        <v>0.25277777777777777</v>
      </c>
      <c r="H13" s="14">
        <v>18750000</v>
      </c>
      <c r="I13" s="90">
        <v>1686000</v>
      </c>
      <c r="J13" s="14">
        <v>0</v>
      </c>
      <c r="K13" s="14">
        <v>0</v>
      </c>
      <c r="L13" s="14">
        <f t="shared" ref="L13:L14" si="2">SUM(I13:K13)</f>
        <v>1686000</v>
      </c>
      <c r="M13" s="91">
        <f t="shared" ref="M13:M14" si="3">L13/I13*100</f>
        <v>100</v>
      </c>
      <c r="N13" s="92">
        <f t="shared" ref="N13:N14" si="4">ROUND(YIELD(D13,E13,B13,M13,100,2,0),5)</f>
        <v>8.634E-2</v>
      </c>
      <c r="O13" s="93">
        <f t="shared" ref="O13:O14" si="5">ROUND(N13,5)*I13</f>
        <v>145569.24</v>
      </c>
      <c r="P13" s="118">
        <f t="shared" ref="P13:P64" si="6">A13</f>
        <v>3</v>
      </c>
    </row>
    <row r="14" spans="1:16" s="23" customFormat="1">
      <c r="A14" s="117">
        <f t="shared" si="0"/>
        <v>4</v>
      </c>
      <c r="B14" s="87">
        <v>8.4699999999999998E-2</v>
      </c>
      <c r="C14" s="88" t="s">
        <v>65</v>
      </c>
      <c r="D14" s="22">
        <f t="shared" si="1"/>
        <v>33709</v>
      </c>
      <c r="E14" s="22">
        <f>DATE(2017,10,1)</f>
        <v>43009</v>
      </c>
      <c r="F14" s="89">
        <v>24.980881711775162</v>
      </c>
      <c r="G14" s="89">
        <v>0.77254837844182855</v>
      </c>
      <c r="H14" s="14">
        <v>19609000</v>
      </c>
      <c r="I14" s="90">
        <v>3313000</v>
      </c>
      <c r="J14" s="14">
        <v>0</v>
      </c>
      <c r="K14" s="14">
        <v>0</v>
      </c>
      <c r="L14" s="14">
        <f t="shared" si="2"/>
        <v>3313000</v>
      </c>
      <c r="M14" s="91">
        <f t="shared" si="3"/>
        <v>100</v>
      </c>
      <c r="N14" s="92">
        <f t="shared" si="4"/>
        <v>8.4690000000000001E-2</v>
      </c>
      <c r="O14" s="93">
        <f t="shared" si="5"/>
        <v>280577.97000000003</v>
      </c>
      <c r="P14" s="118">
        <f t="shared" si="6"/>
        <v>4</v>
      </c>
    </row>
    <row r="15" spans="1:16" s="23" customFormat="1">
      <c r="A15" s="117">
        <f t="shared" ref="A15:A65" si="7">A14+1</f>
        <v>5</v>
      </c>
      <c r="B15" s="94">
        <f>SUMPRODUCT(B13:B14,I13:I14)/I15</f>
        <v>8.5256491298259643E-2</v>
      </c>
      <c r="C15" s="19" t="s">
        <v>82</v>
      </c>
      <c r="D15" s="22"/>
      <c r="E15" s="22"/>
      <c r="F15" s="95">
        <f>SUMPRODUCT(F13:F14,I13:I14)/I15</f>
        <v>24.805580004889869</v>
      </c>
      <c r="G15" s="95">
        <f>SUMPRODUCT(G13:G14,I13:I14)/I15</f>
        <v>0.59724667155653355</v>
      </c>
      <c r="H15" s="18"/>
      <c r="I15" s="96">
        <f>SUM(I13:I14)</f>
        <v>4999000</v>
      </c>
      <c r="J15" s="97">
        <f>SUM(J13:J14)</f>
        <v>0</v>
      </c>
      <c r="K15" s="97">
        <f>SUM(K13:K14)</f>
        <v>0</v>
      </c>
      <c r="L15" s="97">
        <f>SUM(L13:L14)</f>
        <v>4999000</v>
      </c>
      <c r="M15" s="18"/>
      <c r="N15" s="98">
        <f>O15/I15</f>
        <v>8.5246491298259661E-2</v>
      </c>
      <c r="O15" s="99">
        <f>SUM(O13:O14)</f>
        <v>426147.21</v>
      </c>
      <c r="P15" s="118">
        <f t="shared" si="6"/>
        <v>5</v>
      </c>
    </row>
    <row r="16" spans="1:16" s="23" customFormat="1">
      <c r="A16" s="117">
        <f t="shared" si="7"/>
        <v>6</v>
      </c>
      <c r="B16" s="21"/>
      <c r="C16" s="20"/>
      <c r="D16" s="22"/>
      <c r="E16" s="22"/>
      <c r="F16" s="21"/>
      <c r="G16" s="21"/>
      <c r="H16" s="18"/>
      <c r="I16" s="18"/>
      <c r="J16" s="18"/>
      <c r="K16" s="18"/>
      <c r="L16" s="18"/>
      <c r="M16" s="18"/>
      <c r="N16" s="18"/>
      <c r="O16" s="75"/>
      <c r="P16" s="118">
        <f t="shared" si="6"/>
        <v>6</v>
      </c>
    </row>
    <row r="17" spans="1:16" s="23" customFormat="1">
      <c r="A17" s="117">
        <f t="shared" si="7"/>
        <v>7</v>
      </c>
      <c r="B17" s="87">
        <v>5.6500000000000002E-2</v>
      </c>
      <c r="C17" s="18" t="s">
        <v>99</v>
      </c>
      <c r="D17" s="22">
        <f>DATE(2008,7,17)</f>
        <v>39646</v>
      </c>
      <c r="E17" s="22">
        <f>DATE(2018,7,15)</f>
        <v>43296</v>
      </c>
      <c r="F17" s="89">
        <f t="shared" ref="F17:F33" si="8">YEARFRAC(D17,E17)</f>
        <v>9.9944444444444436</v>
      </c>
      <c r="G17" s="89">
        <f t="shared" ref="G17:G33" si="9">YEARFRAC($A$4,E17)</f>
        <v>2.0416666666666665</v>
      </c>
      <c r="H17" s="15">
        <v>500000000</v>
      </c>
      <c r="I17" s="100">
        <v>500000000</v>
      </c>
      <c r="J17" s="25">
        <f>-905000-2750000-316595.91-625</f>
        <v>-3972220.91</v>
      </c>
      <c r="K17" s="25">
        <v>0</v>
      </c>
      <c r="L17" s="14">
        <f t="shared" ref="L17:L33" si="10">SUM(I17:K17)</f>
        <v>496027779.08999997</v>
      </c>
      <c r="M17" s="91">
        <f t="shared" ref="M17:M33" si="11">L17/I17*100</f>
        <v>99.205555817999993</v>
      </c>
      <c r="N17" s="92">
        <f t="shared" ref="N17:N32" si="12">ROUND(YIELD(D17,E17,B17,M17,100,2,0),5)</f>
        <v>5.756E-2</v>
      </c>
      <c r="O17" s="93">
        <f t="shared" ref="O17:O33" si="13">ROUND(N17,5)*I17</f>
        <v>28780000</v>
      </c>
      <c r="P17" s="118">
        <f t="shared" si="6"/>
        <v>7</v>
      </c>
    </row>
    <row r="18" spans="1:16" s="23" customFormat="1">
      <c r="A18" s="117">
        <f t="shared" si="7"/>
        <v>8</v>
      </c>
      <c r="B18" s="87">
        <v>5.5E-2</v>
      </c>
      <c r="C18" s="18" t="s">
        <v>101</v>
      </c>
      <c r="D18" s="22">
        <f>DATE(2009,1,8)</f>
        <v>39821</v>
      </c>
      <c r="E18" s="22">
        <f>DATE(2019,1,15)</f>
        <v>43480</v>
      </c>
      <c r="F18" s="89">
        <f t="shared" si="8"/>
        <v>10.019444444444444</v>
      </c>
      <c r="G18" s="89">
        <f t="shared" si="9"/>
        <v>2.5416666666666665</v>
      </c>
      <c r="H18" s="15">
        <v>350000000</v>
      </c>
      <c r="I18" s="100">
        <v>350000000</v>
      </c>
      <c r="J18" s="25">
        <f>-2292500-2275000-234868.7-5924.2</f>
        <v>-4808292.9000000004</v>
      </c>
      <c r="K18" s="25">
        <v>0</v>
      </c>
      <c r="L18" s="14">
        <f t="shared" si="10"/>
        <v>345191707.10000002</v>
      </c>
      <c r="M18" s="91">
        <f t="shared" si="11"/>
        <v>98.626202028571427</v>
      </c>
      <c r="N18" s="92">
        <f t="shared" si="12"/>
        <v>5.6820000000000002E-2</v>
      </c>
      <c r="O18" s="93">
        <f t="shared" si="13"/>
        <v>19887000</v>
      </c>
      <c r="P18" s="118">
        <f t="shared" si="6"/>
        <v>8</v>
      </c>
    </row>
    <row r="19" spans="1:16" s="23" customFormat="1">
      <c r="A19" s="117">
        <f t="shared" si="7"/>
        <v>9</v>
      </c>
      <c r="B19" s="87">
        <v>3.85E-2</v>
      </c>
      <c r="C19" s="18" t="s">
        <v>103</v>
      </c>
      <c r="D19" s="22">
        <f>DATE(2011,5,12)</f>
        <v>40675</v>
      </c>
      <c r="E19" s="22">
        <f>DATE(2021,6,15)</f>
        <v>44362</v>
      </c>
      <c r="F19" s="89">
        <f t="shared" si="8"/>
        <v>10.091666666666667</v>
      </c>
      <c r="G19" s="89">
        <f t="shared" si="9"/>
        <v>4.958333333333333</v>
      </c>
      <c r="H19" s="15">
        <v>400000000</v>
      </c>
      <c r="I19" s="100">
        <v>400000000</v>
      </c>
      <c r="J19" s="25">
        <f>-2600000-744000-405611.72-1000-526.5</f>
        <v>-3751138.2199999997</v>
      </c>
      <c r="K19" s="25">
        <v>0</v>
      </c>
      <c r="L19" s="14">
        <f t="shared" si="10"/>
        <v>396248861.77999997</v>
      </c>
      <c r="M19" s="91">
        <f t="shared" si="11"/>
        <v>99.062215444999993</v>
      </c>
      <c r="N19" s="92">
        <f t="shared" si="12"/>
        <v>3.9629999999999999E-2</v>
      </c>
      <c r="O19" s="93">
        <f t="shared" si="13"/>
        <v>15852000</v>
      </c>
      <c r="P19" s="118">
        <f t="shared" si="6"/>
        <v>9</v>
      </c>
    </row>
    <row r="20" spans="1:16" s="23" customFormat="1">
      <c r="A20" s="117">
        <f t="shared" si="7"/>
        <v>10</v>
      </c>
      <c r="B20" s="87">
        <v>2.9499999999999998E-2</v>
      </c>
      <c r="C20" s="18" t="s">
        <v>104</v>
      </c>
      <c r="D20" s="22">
        <f>DATE(2012,1,6)</f>
        <v>40914</v>
      </c>
      <c r="E20" s="22">
        <f>DATE(2022,2,1)</f>
        <v>44593</v>
      </c>
      <c r="F20" s="89">
        <f t="shared" si="8"/>
        <v>10.069444444444445</v>
      </c>
      <c r="G20" s="89">
        <f t="shared" si="9"/>
        <v>5.5861111111111112</v>
      </c>
      <c r="H20" s="15">
        <v>350000000</v>
      </c>
      <c r="I20" s="100">
        <v>350000000</v>
      </c>
      <c r="J20" s="25">
        <f>-2030000-308000-393807.67-421.77-120.5</f>
        <v>-2732349.94</v>
      </c>
      <c r="K20" s="25">
        <v>0</v>
      </c>
      <c r="L20" s="14">
        <f t="shared" si="10"/>
        <v>347267650.06</v>
      </c>
      <c r="M20" s="91">
        <f t="shared" si="11"/>
        <v>99.219328588571429</v>
      </c>
      <c r="N20" s="92">
        <f t="shared" si="12"/>
        <v>3.04E-2</v>
      </c>
      <c r="O20" s="93">
        <f t="shared" si="13"/>
        <v>10640000</v>
      </c>
      <c r="P20" s="118">
        <f t="shared" ref="P20:P35" si="14">A20</f>
        <v>10</v>
      </c>
    </row>
    <row r="21" spans="1:16" s="23" customFormat="1">
      <c r="A21" s="117">
        <f t="shared" si="7"/>
        <v>11</v>
      </c>
      <c r="B21" s="87">
        <v>2.9499999999999998E-2</v>
      </c>
      <c r="C21" s="18" t="s">
        <v>106</v>
      </c>
      <c r="D21" s="22">
        <f>DATE(2012,3,6)</f>
        <v>40974</v>
      </c>
      <c r="E21" s="22">
        <f>DATE(2022,2,1)</f>
        <v>44593</v>
      </c>
      <c r="F21" s="89">
        <f t="shared" si="8"/>
        <v>9.9027777777777786</v>
      </c>
      <c r="G21" s="89">
        <f t="shared" si="9"/>
        <v>5.5861111111111112</v>
      </c>
      <c r="H21" s="15">
        <v>100000000</v>
      </c>
      <c r="I21" s="100">
        <v>100000000</v>
      </c>
      <c r="J21" s="25">
        <f>81000-254128.51-120.5+120.5</f>
        <v>-173128.51</v>
      </c>
      <c r="K21" s="25">
        <f>-4917357.79-49840-3595</f>
        <v>-4970792.79</v>
      </c>
      <c r="L21" s="14">
        <f t="shared" si="10"/>
        <v>94856078.699999988</v>
      </c>
      <c r="M21" s="91">
        <f t="shared" si="11"/>
        <v>94.856078699999983</v>
      </c>
      <c r="N21" s="92">
        <f t="shared" si="12"/>
        <v>3.5709999999999999E-2</v>
      </c>
      <c r="O21" s="93">
        <f t="shared" si="13"/>
        <v>3571000</v>
      </c>
      <c r="P21" s="118">
        <f t="shared" si="14"/>
        <v>11</v>
      </c>
    </row>
    <row r="22" spans="1:16" s="23" customFormat="1">
      <c r="A22" s="117">
        <f t="shared" si="7"/>
        <v>12</v>
      </c>
      <c r="B22" s="87">
        <v>2.9499999999999998E-2</v>
      </c>
      <c r="C22" s="18" t="s">
        <v>107</v>
      </c>
      <c r="D22" s="22">
        <f>DATE(2013,6,6)</f>
        <v>41431</v>
      </c>
      <c r="E22" s="22">
        <f>DATE(2023,6,1)</f>
        <v>45078</v>
      </c>
      <c r="F22" s="89">
        <f t="shared" si="8"/>
        <v>9.9861111111111107</v>
      </c>
      <c r="G22" s="89">
        <f t="shared" si="9"/>
        <v>6.9194444444444443</v>
      </c>
      <c r="H22" s="15">
        <v>300000000</v>
      </c>
      <c r="I22" s="100">
        <v>300000000</v>
      </c>
      <c r="J22" s="25">
        <f>-1350000-900000-494850.25-14501.29</f>
        <v>-2759351.54</v>
      </c>
      <c r="K22" s="25">
        <v>0</v>
      </c>
      <c r="L22" s="14">
        <f t="shared" ref="L22" si="15">SUM(I22:K22)</f>
        <v>297240648.45999998</v>
      </c>
      <c r="M22" s="91">
        <f t="shared" si="11"/>
        <v>99.080216153333325</v>
      </c>
      <c r="N22" s="92">
        <f t="shared" si="12"/>
        <v>3.058E-2</v>
      </c>
      <c r="O22" s="93">
        <f t="shared" si="13"/>
        <v>9174000</v>
      </c>
      <c r="P22" s="118">
        <f t="shared" si="14"/>
        <v>12</v>
      </c>
    </row>
    <row r="23" spans="1:16" s="23" customFormat="1">
      <c r="A23" s="117">
        <f t="shared" si="7"/>
        <v>13</v>
      </c>
      <c r="B23" s="87">
        <v>3.5999999999999997E-2</v>
      </c>
      <c r="C23" s="18" t="s">
        <v>114</v>
      </c>
      <c r="D23" s="22">
        <f>DATE(2014,3,13)</f>
        <v>41711</v>
      </c>
      <c r="E23" s="22">
        <f>DATE(2024,4,1)</f>
        <v>45383</v>
      </c>
      <c r="F23" s="89">
        <f t="shared" ref="F23" si="16">YEARFRAC(D23,E23)</f>
        <v>10.050000000000001</v>
      </c>
      <c r="G23" s="89">
        <f t="shared" ref="G23" si="17">YEARFRAC($A$4,E23)</f>
        <v>7.7527777777777782</v>
      </c>
      <c r="H23" s="15">
        <v>425000000</v>
      </c>
      <c r="I23" s="100">
        <v>425000000</v>
      </c>
      <c r="J23" s="25">
        <f>-255000-2635000-710164.21</f>
        <v>-3600164.21</v>
      </c>
      <c r="K23" s="25">
        <f>-1756408.34-183498.35-3167.83</f>
        <v>-1943074.5200000003</v>
      </c>
      <c r="L23" s="14">
        <f t="shared" ref="L23" si="18">SUM(I23:K23)</f>
        <v>419456761.27000004</v>
      </c>
      <c r="M23" s="91">
        <f t="shared" ref="M23" si="19">L23/I23*100</f>
        <v>98.695708534117657</v>
      </c>
      <c r="N23" s="92">
        <f t="shared" ref="N23" si="20">ROUND(YIELD(D23,E23,B23,M23,100,2,0),5)</f>
        <v>3.7569999999999999E-2</v>
      </c>
      <c r="O23" s="93">
        <f t="shared" ref="O23" si="21">ROUND(N23,5)*I23</f>
        <v>15967250</v>
      </c>
      <c r="P23" s="118">
        <f t="shared" ref="P23:P24" si="22">A23</f>
        <v>13</v>
      </c>
    </row>
    <row r="24" spans="1:16" s="23" customFormat="1">
      <c r="A24" s="117">
        <f t="shared" si="7"/>
        <v>14</v>
      </c>
      <c r="B24" s="87">
        <v>3.3500000000000002E-2</v>
      </c>
      <c r="C24" s="18" t="s">
        <v>115</v>
      </c>
      <c r="D24" s="22">
        <f>DATE(2015,6,19)</f>
        <v>42174</v>
      </c>
      <c r="E24" s="22">
        <f>DATE(2025,7,1)</f>
        <v>45839</v>
      </c>
      <c r="F24" s="89">
        <f t="shared" ref="F24" si="23">YEARFRAC(D24,E24)</f>
        <v>10.033333333333333</v>
      </c>
      <c r="G24" s="89">
        <f t="shared" ref="G24" si="24">YEARFRAC($A$4,E24)</f>
        <v>9.0027777777777782</v>
      </c>
      <c r="H24" s="15">
        <v>250000000</v>
      </c>
      <c r="I24" s="100">
        <v>250000000</v>
      </c>
      <c r="J24" s="25">
        <f>-320000-1625000-496421.02</f>
        <v>-2441421.02</v>
      </c>
      <c r="K24" s="25">
        <v>0</v>
      </c>
      <c r="L24" s="14">
        <f t="shared" ref="L24" si="25">SUM(I24:K24)</f>
        <v>247558578.97999999</v>
      </c>
      <c r="M24" s="91">
        <f t="shared" ref="M24" si="26">L24/I24*100</f>
        <v>99.023431591999994</v>
      </c>
      <c r="N24" s="92">
        <f t="shared" ref="N24" si="27">ROUND(YIELD(D24,E24,B24,M24,100,2,0),5)</f>
        <v>3.4660000000000003E-2</v>
      </c>
      <c r="O24" s="93">
        <f t="shared" ref="O24" si="28">ROUND(N24,5)*I24</f>
        <v>8665000</v>
      </c>
      <c r="P24" s="118">
        <f t="shared" si="22"/>
        <v>14</v>
      </c>
    </row>
    <row r="25" spans="1:16" s="23" customFormat="1">
      <c r="A25" s="117">
        <f t="shared" si="7"/>
        <v>15</v>
      </c>
      <c r="B25" s="87">
        <v>7.6999999999999999E-2</v>
      </c>
      <c r="C25" s="18" t="s">
        <v>49</v>
      </c>
      <c r="D25" s="22">
        <f>DATE(2001,11,21)</f>
        <v>37216</v>
      </c>
      <c r="E25" s="22">
        <f>DATE(2031,11,15)</f>
        <v>48167</v>
      </c>
      <c r="F25" s="89">
        <f t="shared" si="8"/>
        <v>29.983333333333334</v>
      </c>
      <c r="G25" s="89">
        <f t="shared" si="9"/>
        <v>15.375</v>
      </c>
      <c r="H25" s="15">
        <v>300000000</v>
      </c>
      <c r="I25" s="100">
        <v>300000000</v>
      </c>
      <c r="J25" s="25">
        <f>-2625000-864000-212309.65</f>
        <v>-3701309.65</v>
      </c>
      <c r="K25" s="25">
        <v>0</v>
      </c>
      <c r="L25" s="14">
        <f t="shared" si="10"/>
        <v>296298690.35000002</v>
      </c>
      <c r="M25" s="91">
        <f t="shared" si="11"/>
        <v>98.766230116666677</v>
      </c>
      <c r="N25" s="92">
        <f t="shared" si="12"/>
        <v>7.8070000000000001E-2</v>
      </c>
      <c r="O25" s="93">
        <f t="shared" si="13"/>
        <v>23421000</v>
      </c>
      <c r="P25" s="118">
        <f t="shared" si="14"/>
        <v>15</v>
      </c>
    </row>
    <row r="26" spans="1:16" s="23" customFormat="1">
      <c r="A26" s="117">
        <f t="shared" si="7"/>
        <v>16</v>
      </c>
      <c r="B26" s="87">
        <v>5.8999999999999997E-2</v>
      </c>
      <c r="C26" s="18" t="s">
        <v>50</v>
      </c>
      <c r="D26" s="22">
        <f>DATE(2004,8,24)</f>
        <v>38223</v>
      </c>
      <c r="E26" s="22">
        <f>DATE(2034,8,15)</f>
        <v>49171</v>
      </c>
      <c r="F26" s="89">
        <f t="shared" si="8"/>
        <v>29.975000000000001</v>
      </c>
      <c r="G26" s="89">
        <f t="shared" si="9"/>
        <v>18.125</v>
      </c>
      <c r="H26" s="15">
        <v>200000000</v>
      </c>
      <c r="I26" s="100">
        <v>200000000</v>
      </c>
      <c r="J26" s="25">
        <f>-722000-1750000-142365.3</f>
        <v>-2614365.2999999998</v>
      </c>
      <c r="K26" s="25">
        <v>0</v>
      </c>
      <c r="L26" s="14">
        <f t="shared" si="10"/>
        <v>197385634.69999999</v>
      </c>
      <c r="M26" s="91">
        <f t="shared" si="11"/>
        <v>98.692817349999999</v>
      </c>
      <c r="N26" s="92">
        <f t="shared" si="12"/>
        <v>5.994E-2</v>
      </c>
      <c r="O26" s="93">
        <f t="shared" si="13"/>
        <v>11988000</v>
      </c>
      <c r="P26" s="118">
        <f t="shared" si="14"/>
        <v>16</v>
      </c>
    </row>
    <row r="27" spans="1:16" s="23" customFormat="1">
      <c r="A27" s="117">
        <f t="shared" si="7"/>
        <v>17</v>
      </c>
      <c r="B27" s="87">
        <v>5.2499999999999998E-2</v>
      </c>
      <c r="C27" s="18" t="s">
        <v>51</v>
      </c>
      <c r="D27" s="22">
        <f>DATE(2005,6,8)</f>
        <v>38511</v>
      </c>
      <c r="E27" s="22">
        <f>DATE(2035,6,15)</f>
        <v>49475</v>
      </c>
      <c r="F27" s="89">
        <f t="shared" si="8"/>
        <v>30.019444444444446</v>
      </c>
      <c r="G27" s="89">
        <f t="shared" si="9"/>
        <v>18.958333333333332</v>
      </c>
      <c r="H27" s="15">
        <v>300000000</v>
      </c>
      <c r="I27" s="100">
        <v>300000000</v>
      </c>
      <c r="J27" s="25">
        <f>-1080000-2625000-287020.96</f>
        <v>-3992020.96</v>
      </c>
      <c r="K27" s="25">
        <v>-1295995.2</v>
      </c>
      <c r="L27" s="14">
        <f t="shared" si="10"/>
        <v>294711983.84000003</v>
      </c>
      <c r="M27" s="91">
        <f t="shared" si="11"/>
        <v>98.237327946666682</v>
      </c>
      <c r="N27" s="92">
        <f t="shared" si="12"/>
        <v>5.3690000000000002E-2</v>
      </c>
      <c r="O27" s="93">
        <f t="shared" si="13"/>
        <v>16107000</v>
      </c>
      <c r="P27" s="118">
        <f t="shared" si="14"/>
        <v>17</v>
      </c>
    </row>
    <row r="28" spans="1:16" s="23" customFormat="1">
      <c r="A28" s="117">
        <f t="shared" si="7"/>
        <v>18</v>
      </c>
      <c r="B28" s="87">
        <v>6.0999999999999999E-2</v>
      </c>
      <c r="C28" s="18" t="s">
        <v>96</v>
      </c>
      <c r="D28" s="22">
        <f>DATE(2006,8,10)</f>
        <v>38939</v>
      </c>
      <c r="E28" s="22">
        <f>DATE(2036,8,1)</f>
        <v>49888</v>
      </c>
      <c r="F28" s="89">
        <f t="shared" si="8"/>
        <v>29.975000000000001</v>
      </c>
      <c r="G28" s="89">
        <f t="shared" si="9"/>
        <v>20.086111111111112</v>
      </c>
      <c r="H28" s="15">
        <v>350000000</v>
      </c>
      <c r="I28" s="100">
        <v>350000000</v>
      </c>
      <c r="J28" s="25">
        <f>-1141000-2450000-457880.81</f>
        <v>-4048880.81</v>
      </c>
      <c r="K28" s="25">
        <v>0</v>
      </c>
      <c r="L28" s="14">
        <f t="shared" si="10"/>
        <v>345951119.19</v>
      </c>
      <c r="M28" s="91">
        <f t="shared" si="11"/>
        <v>98.843176911428571</v>
      </c>
      <c r="N28" s="92">
        <f t="shared" si="12"/>
        <v>6.1850000000000002E-2</v>
      </c>
      <c r="O28" s="93">
        <f t="shared" si="13"/>
        <v>21647500</v>
      </c>
      <c r="P28" s="118">
        <f t="shared" si="14"/>
        <v>18</v>
      </c>
    </row>
    <row r="29" spans="1:16" s="23" customFormat="1">
      <c r="A29" s="117">
        <f t="shared" si="7"/>
        <v>19</v>
      </c>
      <c r="B29" s="87">
        <v>5.7500000000000002E-2</v>
      </c>
      <c r="C29" s="18" t="s">
        <v>97</v>
      </c>
      <c r="D29" s="22">
        <f>DATE(2007,3,14)</f>
        <v>39155</v>
      </c>
      <c r="E29" s="22">
        <f>DATE(2037,4,1)</f>
        <v>50131</v>
      </c>
      <c r="F29" s="89">
        <f t="shared" si="8"/>
        <v>30.047222222222221</v>
      </c>
      <c r="G29" s="89">
        <f t="shared" si="9"/>
        <v>20.752777777777776</v>
      </c>
      <c r="H29" s="15">
        <v>600000000</v>
      </c>
      <c r="I29" s="100">
        <v>600000000</v>
      </c>
      <c r="J29" s="25">
        <f>-24000-589216.14</f>
        <v>-613216.14</v>
      </c>
      <c r="K29" s="25">
        <v>0</v>
      </c>
      <c r="L29" s="14">
        <f t="shared" si="10"/>
        <v>599386783.86000001</v>
      </c>
      <c r="M29" s="91">
        <f t="shared" si="11"/>
        <v>99.897797310000001</v>
      </c>
      <c r="N29" s="92">
        <f t="shared" si="12"/>
        <v>5.7570000000000003E-2</v>
      </c>
      <c r="O29" s="93">
        <f t="shared" si="13"/>
        <v>34542000</v>
      </c>
      <c r="P29" s="118">
        <f t="shared" si="14"/>
        <v>19</v>
      </c>
    </row>
    <row r="30" spans="1:16" s="23" customFormat="1">
      <c r="A30" s="117">
        <f t="shared" si="7"/>
        <v>20</v>
      </c>
      <c r="B30" s="87">
        <v>6.25E-2</v>
      </c>
      <c r="C30" s="18" t="s">
        <v>98</v>
      </c>
      <c r="D30" s="22">
        <f>DATE(2007,10,3)</f>
        <v>39358</v>
      </c>
      <c r="E30" s="22">
        <f>DATE(2037,10,15)</f>
        <v>50328</v>
      </c>
      <c r="F30" s="89">
        <f t="shared" si="8"/>
        <v>30.033333333333335</v>
      </c>
      <c r="G30" s="89">
        <f t="shared" si="9"/>
        <v>21.291666666666668</v>
      </c>
      <c r="H30" s="15">
        <v>600000000</v>
      </c>
      <c r="I30" s="100">
        <v>600000000</v>
      </c>
      <c r="J30" s="25">
        <f>-750000-4650000-477281.03</f>
        <v>-5877281.0300000003</v>
      </c>
      <c r="K30" s="25">
        <v>0</v>
      </c>
      <c r="L30" s="14">
        <f t="shared" si="10"/>
        <v>594122718.97000003</v>
      </c>
      <c r="M30" s="91">
        <f t="shared" si="11"/>
        <v>99.020453161666666</v>
      </c>
      <c r="N30" s="92">
        <f t="shared" si="12"/>
        <v>6.3229999999999995E-2</v>
      </c>
      <c r="O30" s="93">
        <f t="shared" si="13"/>
        <v>37938000</v>
      </c>
      <c r="P30" s="118">
        <f t="shared" ref="P30:P34" si="29">A30</f>
        <v>20</v>
      </c>
    </row>
    <row r="31" spans="1:16" s="23" customFormat="1">
      <c r="A31" s="117">
        <f t="shared" si="7"/>
        <v>21</v>
      </c>
      <c r="B31" s="87">
        <v>6.3500000000000001E-2</v>
      </c>
      <c r="C31" s="18" t="s">
        <v>100</v>
      </c>
      <c r="D31" s="22">
        <f>DATE(2008,7,17)</f>
        <v>39646</v>
      </c>
      <c r="E31" s="22">
        <f>DATE(2038,7,15)</f>
        <v>50601</v>
      </c>
      <c r="F31" s="89">
        <f t="shared" si="8"/>
        <v>29.994444444444444</v>
      </c>
      <c r="G31" s="89">
        <f t="shared" si="9"/>
        <v>22.041666666666668</v>
      </c>
      <c r="H31" s="15">
        <v>300000000</v>
      </c>
      <c r="I31" s="100">
        <v>300000000</v>
      </c>
      <c r="J31" s="25">
        <f>-1671000-2100000-189957.54-375</f>
        <v>-3961332.54</v>
      </c>
      <c r="K31" s="25">
        <v>0</v>
      </c>
      <c r="L31" s="14">
        <f t="shared" si="10"/>
        <v>296038667.45999998</v>
      </c>
      <c r="M31" s="91">
        <f t="shared" si="11"/>
        <v>98.679555820000004</v>
      </c>
      <c r="N31" s="92">
        <f t="shared" si="12"/>
        <v>6.4500000000000002E-2</v>
      </c>
      <c r="O31" s="93">
        <f t="shared" si="13"/>
        <v>19350000</v>
      </c>
      <c r="P31" s="118">
        <f t="shared" ref="P31:P33" si="30">A31</f>
        <v>21</v>
      </c>
    </row>
    <row r="32" spans="1:16" s="23" customFormat="1">
      <c r="A32" s="117">
        <f t="shared" si="7"/>
        <v>22</v>
      </c>
      <c r="B32" s="87">
        <v>0.06</v>
      </c>
      <c r="C32" s="18" t="s">
        <v>102</v>
      </c>
      <c r="D32" s="22">
        <f>DATE(2009,1,8)</f>
        <v>39821</v>
      </c>
      <c r="E32" s="22">
        <f>DATE(2039,1,15)</f>
        <v>50785</v>
      </c>
      <c r="F32" s="89">
        <f t="shared" si="8"/>
        <v>30.019444444444446</v>
      </c>
      <c r="G32" s="89">
        <f t="shared" si="9"/>
        <v>22.541666666666668</v>
      </c>
      <c r="H32" s="15">
        <v>650000000</v>
      </c>
      <c r="I32" s="100">
        <v>650000000</v>
      </c>
      <c r="J32" s="25">
        <f>-6175000-5687500-436184.72-11002.1</f>
        <v>-12309686.82</v>
      </c>
      <c r="K32" s="25">
        <v>0</v>
      </c>
      <c r="L32" s="14">
        <f t="shared" si="10"/>
        <v>637690313.17999995</v>
      </c>
      <c r="M32" s="91">
        <f t="shared" si="11"/>
        <v>98.106202027692305</v>
      </c>
      <c r="N32" s="92">
        <f t="shared" si="12"/>
        <v>6.139E-2</v>
      </c>
      <c r="O32" s="93">
        <f t="shared" si="13"/>
        <v>39903500</v>
      </c>
      <c r="P32" s="118">
        <f t="shared" si="30"/>
        <v>22</v>
      </c>
    </row>
    <row r="33" spans="1:16" s="23" customFormat="1">
      <c r="A33" s="117">
        <f t="shared" si="7"/>
        <v>23</v>
      </c>
      <c r="B33" s="87">
        <v>4.1000000000000002E-2</v>
      </c>
      <c r="C33" s="18" t="s">
        <v>105</v>
      </c>
      <c r="D33" s="22">
        <f>DATE(2012,1,6)</f>
        <v>40914</v>
      </c>
      <c r="E33" s="22">
        <f>DATE(2042,2,1)</f>
        <v>51898</v>
      </c>
      <c r="F33" s="89">
        <f t="shared" si="8"/>
        <v>30.069444444444443</v>
      </c>
      <c r="G33" s="89">
        <f t="shared" si="9"/>
        <v>25.586111111111112</v>
      </c>
      <c r="H33" s="15">
        <v>300000000</v>
      </c>
      <c r="I33" s="100">
        <v>300000000</v>
      </c>
      <c r="J33" s="25">
        <f>-2400000-987000-337549.42-361.51</f>
        <v>-3724910.9299999997</v>
      </c>
      <c r="K33" s="25">
        <v>0</v>
      </c>
      <c r="L33" s="14">
        <f t="shared" si="10"/>
        <v>296275089.06999999</v>
      </c>
      <c r="M33" s="91">
        <f t="shared" si="11"/>
        <v>98.758363023333331</v>
      </c>
      <c r="N33" s="92">
        <f>ROUND(YIELD(D33,E33,B33,M33,100,2,0),5)</f>
        <v>4.1730000000000003E-2</v>
      </c>
      <c r="O33" s="93">
        <f t="shared" si="13"/>
        <v>12519000.000000002</v>
      </c>
      <c r="P33" s="118">
        <f t="shared" si="30"/>
        <v>23</v>
      </c>
    </row>
    <row r="34" spans="1:16" s="23" customFormat="1">
      <c r="A34" s="117">
        <f t="shared" si="7"/>
        <v>24</v>
      </c>
      <c r="B34" s="94">
        <f>SUMPRODUCT(B17:B33,I17:I33)/I34</f>
        <v>5.1482071713147413E-2</v>
      </c>
      <c r="C34" s="19" t="s">
        <v>83</v>
      </c>
      <c r="D34" s="22"/>
      <c r="E34" s="22"/>
      <c r="F34" s="95">
        <f>SUMPRODUCT(F17:F33,I17:I33)/I34</f>
        <v>21.497675962815403</v>
      </c>
      <c r="G34" s="95">
        <f>SUMPRODUCT(G17:G33,I17:I33)/I34</f>
        <v>14.207359451084551</v>
      </c>
      <c r="H34" s="18"/>
      <c r="I34" s="97">
        <f>SUM(I17:I33)</f>
        <v>6275000000</v>
      </c>
      <c r="J34" s="97">
        <f>SUM(J17:J33)</f>
        <v>-65081071.43</v>
      </c>
      <c r="K34" s="97">
        <f>SUM(K17:K33)</f>
        <v>-8209862.5100000007</v>
      </c>
      <c r="L34" s="97">
        <f>SUM(L17:L33)</f>
        <v>6201709066.0600004</v>
      </c>
      <c r="M34" s="18"/>
      <c r="N34" s="98">
        <f>O34/I34</f>
        <v>5.2582031872509961E-2</v>
      </c>
      <c r="O34" s="99">
        <f>SUM(O17:O33)</f>
        <v>329952250</v>
      </c>
      <c r="P34" s="118">
        <f t="shared" si="29"/>
        <v>24</v>
      </c>
    </row>
    <row r="35" spans="1:16" s="23" customFormat="1">
      <c r="A35" s="117">
        <f t="shared" si="7"/>
        <v>25</v>
      </c>
      <c r="B35" s="94"/>
      <c r="C35" s="19"/>
      <c r="D35" s="22"/>
      <c r="E35" s="22"/>
      <c r="F35" s="95"/>
      <c r="G35" s="95"/>
      <c r="H35" s="18"/>
      <c r="I35" s="97"/>
      <c r="J35" s="97"/>
      <c r="K35" s="97"/>
      <c r="L35" s="97"/>
      <c r="M35" s="18"/>
      <c r="N35" s="98"/>
      <c r="O35" s="99"/>
      <c r="P35" s="118">
        <f t="shared" si="14"/>
        <v>25</v>
      </c>
    </row>
    <row r="36" spans="1:16" s="23" customFormat="1">
      <c r="A36" s="117">
        <f t="shared" si="7"/>
        <v>26</v>
      </c>
      <c r="B36" s="17">
        <v>8.5300000000000001E-2</v>
      </c>
      <c r="C36" s="18" t="s">
        <v>33</v>
      </c>
      <c r="D36" s="22">
        <f>DATE(1991,12,16)</f>
        <v>33588</v>
      </c>
      <c r="E36" s="22">
        <f>DATE(2021,12,16)</f>
        <v>44546</v>
      </c>
      <c r="F36" s="89">
        <f t="shared" ref="F36:F39" si="31">YEARFRAC(D36,E36)</f>
        <v>30</v>
      </c>
      <c r="G36" s="89">
        <f t="shared" ref="G36:G39" si="32">YEARFRAC($A$4,E36)</f>
        <v>5.4611111111111112</v>
      </c>
      <c r="H36" s="25">
        <v>15000000</v>
      </c>
      <c r="I36" s="101">
        <v>15000000</v>
      </c>
      <c r="J36" s="25">
        <f>-(112500+473.37+240.62+93.76+1468.75+450-25)</f>
        <v>-115201.49999999999</v>
      </c>
      <c r="K36" s="25">
        <v>-2053921.5</v>
      </c>
      <c r="L36" s="25">
        <f t="shared" ref="L36:L39" si="33">SUM(I36:K36)</f>
        <v>12830877</v>
      </c>
      <c r="M36" s="91">
        <f t="shared" ref="M36:M39" si="34">L36/I36*100</f>
        <v>85.539180000000002</v>
      </c>
      <c r="N36" s="92">
        <f t="shared" ref="N36:N39" si="35">ROUND(YIELD(D36,E36,B36,M36,100,2,0),5)</f>
        <v>0.10066</v>
      </c>
      <c r="O36" s="93">
        <f t="shared" ref="O36:O39" si="36">ROUND(N36,5)*I36</f>
        <v>1509900</v>
      </c>
      <c r="P36" s="118">
        <f t="shared" si="6"/>
        <v>26</v>
      </c>
    </row>
    <row r="37" spans="1:16" s="23" customFormat="1">
      <c r="A37" s="117">
        <f t="shared" si="7"/>
        <v>27</v>
      </c>
      <c r="B37" s="17">
        <v>8.3750000000000005E-2</v>
      </c>
      <c r="C37" s="18" t="s">
        <v>33</v>
      </c>
      <c r="D37" s="22">
        <f>DATE(1991,12,31)</f>
        <v>33603</v>
      </c>
      <c r="E37" s="22">
        <f>DATE(2021,12,31)</f>
        <v>44561</v>
      </c>
      <c r="F37" s="89">
        <f t="shared" si="31"/>
        <v>30</v>
      </c>
      <c r="G37" s="89">
        <f t="shared" si="32"/>
        <v>5.5</v>
      </c>
      <c r="H37" s="25">
        <v>5000000</v>
      </c>
      <c r="I37" s="101">
        <v>5000000</v>
      </c>
      <c r="J37" s="25">
        <f>-(37500+157.79+80.2+31.25+489.58+150-8.33)</f>
        <v>-38400.49</v>
      </c>
      <c r="K37" s="25">
        <v>-684640.5</v>
      </c>
      <c r="L37" s="25">
        <f t="shared" si="33"/>
        <v>4276959.01</v>
      </c>
      <c r="M37" s="91">
        <f t="shared" si="34"/>
        <v>85.539180200000004</v>
      </c>
      <c r="N37" s="92">
        <f t="shared" si="35"/>
        <v>9.8890000000000006E-2</v>
      </c>
      <c r="O37" s="93">
        <f t="shared" si="36"/>
        <v>494450</v>
      </c>
      <c r="P37" s="118">
        <f t="shared" si="6"/>
        <v>27</v>
      </c>
    </row>
    <row r="38" spans="1:16" s="23" customFormat="1">
      <c r="A38" s="117">
        <f t="shared" si="7"/>
        <v>28</v>
      </c>
      <c r="B38" s="17">
        <v>8.2600000000000007E-2</v>
      </c>
      <c r="C38" s="18" t="s">
        <v>34</v>
      </c>
      <c r="D38" s="22">
        <f>DATE(1992,1,8)</f>
        <v>33611</v>
      </c>
      <c r="E38" s="22">
        <f>DATE(2022,1,7)</f>
        <v>44568</v>
      </c>
      <c r="F38" s="89">
        <f t="shared" si="31"/>
        <v>29.997222222222224</v>
      </c>
      <c r="G38" s="89">
        <f t="shared" si="32"/>
        <v>5.5194444444444448</v>
      </c>
      <c r="H38" s="25">
        <v>5000000</v>
      </c>
      <c r="I38" s="101">
        <v>5000000</v>
      </c>
      <c r="J38" s="25">
        <f>-(32500+80.21+31.25+489.58+150-8.33)</f>
        <v>-33242.71</v>
      </c>
      <c r="K38" s="25">
        <v>-684640.5</v>
      </c>
      <c r="L38" s="25">
        <f t="shared" si="33"/>
        <v>4282116.79</v>
      </c>
      <c r="M38" s="91">
        <f t="shared" si="34"/>
        <v>85.642335799999998</v>
      </c>
      <c r="N38" s="92">
        <f t="shared" si="35"/>
        <v>9.7449999999999995E-2</v>
      </c>
      <c r="O38" s="93">
        <f t="shared" si="36"/>
        <v>487250</v>
      </c>
      <c r="P38" s="118">
        <f t="shared" si="6"/>
        <v>28</v>
      </c>
    </row>
    <row r="39" spans="1:16" s="23" customFormat="1">
      <c r="A39" s="117">
        <f t="shared" si="7"/>
        <v>29</v>
      </c>
      <c r="B39" s="17">
        <v>8.270000000000001E-2</v>
      </c>
      <c r="C39" s="18" t="s">
        <v>34</v>
      </c>
      <c r="D39" s="22">
        <f>DATE(1992,1,9)</f>
        <v>33612</v>
      </c>
      <c r="E39" s="22">
        <f>DATE(2022,1,10)</f>
        <v>44571</v>
      </c>
      <c r="F39" s="89">
        <f t="shared" si="31"/>
        <v>30.002777777777776</v>
      </c>
      <c r="G39" s="89">
        <f t="shared" si="32"/>
        <v>5.5277777777777777</v>
      </c>
      <c r="H39" s="25">
        <v>4000000</v>
      </c>
      <c r="I39" s="101">
        <v>4000000</v>
      </c>
      <c r="J39" s="25">
        <f>-(30000+64.17+25+391.67+120-6.67)</f>
        <v>-30594.17</v>
      </c>
      <c r="K39" s="25">
        <v>-547712.4</v>
      </c>
      <c r="L39" s="25">
        <f t="shared" si="33"/>
        <v>3421693.43</v>
      </c>
      <c r="M39" s="91">
        <f t="shared" si="34"/>
        <v>85.542335750000007</v>
      </c>
      <c r="N39" s="92">
        <f t="shared" si="35"/>
        <v>9.7680000000000003E-2</v>
      </c>
      <c r="O39" s="93">
        <f t="shared" si="36"/>
        <v>390720</v>
      </c>
      <c r="P39" s="118">
        <f t="shared" si="6"/>
        <v>29</v>
      </c>
    </row>
    <row r="40" spans="1:16" s="23" customFormat="1">
      <c r="A40" s="117">
        <f t="shared" si="7"/>
        <v>30</v>
      </c>
      <c r="B40" s="94">
        <f>SUMPRODUCT(B36:B39,I36:I39)/I40</f>
        <v>8.4208620689655178E-2</v>
      </c>
      <c r="C40" s="19" t="s">
        <v>66</v>
      </c>
      <c r="D40" s="22"/>
      <c r="E40" s="22"/>
      <c r="F40" s="95">
        <f>SUMPRODUCT(F36:F39,I36:I39)/I40</f>
        <v>29.99990421455939</v>
      </c>
      <c r="G40" s="95">
        <f>SUMPRODUCT(G36:G39,I36:I39)/I40</f>
        <v>5.4870689655172411</v>
      </c>
      <c r="H40" s="18"/>
      <c r="I40" s="97">
        <f>SUM(I36:I39)</f>
        <v>29000000</v>
      </c>
      <c r="J40" s="97">
        <f>SUM(J36:J39)</f>
        <v>-217438.87</v>
      </c>
      <c r="K40" s="97">
        <f>SUM(K36:K39)</f>
        <v>-3970914.9</v>
      </c>
      <c r="L40" s="97">
        <f>SUM(L36:L39)</f>
        <v>24811646.229999997</v>
      </c>
      <c r="M40" s="18"/>
      <c r="N40" s="98">
        <f>O40/I40</f>
        <v>9.9390344827586213E-2</v>
      </c>
      <c r="O40" s="99">
        <f>SUM(O36:O39)</f>
        <v>2882320</v>
      </c>
      <c r="P40" s="118">
        <f t="shared" si="6"/>
        <v>30</v>
      </c>
    </row>
    <row r="41" spans="1:16" s="23" customFormat="1">
      <c r="A41" s="117">
        <f t="shared" si="7"/>
        <v>31</v>
      </c>
      <c r="B41" s="21"/>
      <c r="C41" s="18"/>
      <c r="D41" s="22"/>
      <c r="E41" s="22"/>
      <c r="F41" s="89"/>
      <c r="G41" s="89"/>
      <c r="H41" s="18"/>
      <c r="I41" s="13"/>
      <c r="J41" s="102"/>
      <c r="K41" s="18"/>
      <c r="L41" s="14"/>
      <c r="M41" s="92"/>
      <c r="N41" s="92"/>
      <c r="O41" s="93"/>
      <c r="P41" s="118">
        <f t="shared" si="6"/>
        <v>31</v>
      </c>
    </row>
    <row r="42" spans="1:16" s="23" customFormat="1">
      <c r="A42" s="117">
        <f t="shared" si="7"/>
        <v>32</v>
      </c>
      <c r="B42" s="17">
        <v>8.0500000000000002E-2</v>
      </c>
      <c r="C42" s="18" t="s">
        <v>35</v>
      </c>
      <c r="D42" s="22">
        <f>DATE(1992,9,18)</f>
        <v>33865</v>
      </c>
      <c r="E42" s="22">
        <f>DATE(2022,9,1)</f>
        <v>44805</v>
      </c>
      <c r="F42" s="89">
        <f t="shared" ref="F42:F50" si="37">YEARFRAC(D42,E42)</f>
        <v>29.952777777777779</v>
      </c>
      <c r="G42" s="89">
        <f t="shared" ref="G42:G50" si="38">YEARFRAC($A$4,E42)</f>
        <v>6.1694444444444443</v>
      </c>
      <c r="H42" s="25">
        <v>15000000</v>
      </c>
      <c r="I42" s="101">
        <v>15000000</v>
      </c>
      <c r="J42" s="25">
        <f>-(112500+11357.11+3127.91+233.41+3012.2+490.27+379.71+824.03+1068.66+1044.13+175.82+116.14+31.69+23.55+135.95+11.85+169.91+149.66-3380.62)</f>
        <v>-131471.38000000006</v>
      </c>
      <c r="K42" s="25">
        <v>-1695566.05</v>
      </c>
      <c r="L42" s="25">
        <f t="shared" ref="L42:L50" si="39">SUM(I42:K42)</f>
        <v>13172962.569999998</v>
      </c>
      <c r="M42" s="91">
        <f t="shared" ref="M42:M50" si="40">L42/I42*100</f>
        <v>87.819750466666662</v>
      </c>
      <c r="N42" s="92">
        <f t="shared" ref="N42:N50" si="41">ROUND(YIELD(D42,E42,B42,M42,100,2,0),5)</f>
        <v>9.257E-2</v>
      </c>
      <c r="O42" s="93">
        <f t="shared" ref="O42:O50" si="42">ROUND(N42,5)*I42</f>
        <v>1388550</v>
      </c>
      <c r="P42" s="118">
        <f t="shared" si="6"/>
        <v>32</v>
      </c>
    </row>
    <row r="43" spans="1:16" s="23" customFormat="1">
      <c r="A43" s="117">
        <f t="shared" si="7"/>
        <v>33</v>
      </c>
      <c r="B43" s="17">
        <v>8.0700000000000008E-2</v>
      </c>
      <c r="C43" s="18" t="s">
        <v>35</v>
      </c>
      <c r="D43" s="22">
        <f>DATE(1992,9,9)</f>
        <v>33856</v>
      </c>
      <c r="E43" s="22">
        <f>DATE(2022,9,9)</f>
        <v>44813</v>
      </c>
      <c r="F43" s="89">
        <f t="shared" si="37"/>
        <v>30</v>
      </c>
      <c r="G43" s="89">
        <f t="shared" si="38"/>
        <v>6.1916666666666664</v>
      </c>
      <c r="H43" s="25">
        <v>8000000</v>
      </c>
      <c r="I43" s="101">
        <v>8000000</v>
      </c>
      <c r="J43" s="25">
        <f>-(60000+6057.13+1668.22+124.49+1606.51+261.48+202.51+439.48+569.95+556.87+93.77+61.94+16.9+12.56+72.51+6.32+90.62+79.82-1803)</f>
        <v>-70118.079999999987</v>
      </c>
      <c r="K43" s="25">
        <v>-904301.89</v>
      </c>
      <c r="L43" s="25">
        <f t="shared" si="39"/>
        <v>7025580.0300000003</v>
      </c>
      <c r="M43" s="91">
        <f t="shared" si="40"/>
        <v>87.819750375000012</v>
      </c>
      <c r="N43" s="92">
        <f t="shared" si="41"/>
        <v>9.2799999999999994E-2</v>
      </c>
      <c r="O43" s="93">
        <f t="shared" si="42"/>
        <v>742400</v>
      </c>
      <c r="P43" s="118">
        <f t="shared" si="6"/>
        <v>33</v>
      </c>
    </row>
    <row r="44" spans="1:16" s="23" customFormat="1">
      <c r="A44" s="117">
        <f t="shared" si="7"/>
        <v>34</v>
      </c>
      <c r="B44" s="17">
        <v>8.1100000000000005E-2</v>
      </c>
      <c r="C44" s="18" t="s">
        <v>35</v>
      </c>
      <c r="D44" s="22">
        <f>DATE(1992,9,11)</f>
        <v>33858</v>
      </c>
      <c r="E44" s="22">
        <f>DATE(2022,9,9)</f>
        <v>44813</v>
      </c>
      <c r="F44" s="89">
        <f t="shared" si="37"/>
        <v>29.994444444444444</v>
      </c>
      <c r="G44" s="89">
        <f t="shared" si="38"/>
        <v>6.1916666666666664</v>
      </c>
      <c r="H44" s="25">
        <v>12000000</v>
      </c>
      <c r="I44" s="101">
        <v>12000000</v>
      </c>
      <c r="J44" s="25">
        <f>-(90000+9085.69+2502.33+186.73+2409.76+392.22+303.77+659.22+854.93+835.31+140.66+92.92+25.35+18.84+108.76+9.48+135.93+119.73-2704.5)</f>
        <v>-105177.12999999998</v>
      </c>
      <c r="K44" s="25">
        <v>-1356452.84</v>
      </c>
      <c r="L44" s="25">
        <f t="shared" si="39"/>
        <v>10538370.029999999</v>
      </c>
      <c r="M44" s="91">
        <f t="shared" si="40"/>
        <v>87.819750249999998</v>
      </c>
      <c r="N44" s="92">
        <f t="shared" si="41"/>
        <v>9.325E-2</v>
      </c>
      <c r="O44" s="93">
        <f t="shared" si="42"/>
        <v>1119000</v>
      </c>
      <c r="P44" s="118">
        <f t="shared" si="6"/>
        <v>34</v>
      </c>
    </row>
    <row r="45" spans="1:16" s="23" customFormat="1">
      <c r="A45" s="117">
        <f t="shared" si="7"/>
        <v>35</v>
      </c>
      <c r="B45" s="17">
        <v>8.1200000000000008E-2</v>
      </c>
      <c r="C45" s="18" t="s">
        <v>35</v>
      </c>
      <c r="D45" s="22">
        <f>DATE(1992,9,11)</f>
        <v>33858</v>
      </c>
      <c r="E45" s="22">
        <f>DATE(2022,9,9)</f>
        <v>44813</v>
      </c>
      <c r="F45" s="89">
        <f t="shared" si="37"/>
        <v>29.994444444444444</v>
      </c>
      <c r="G45" s="89">
        <f t="shared" si="38"/>
        <v>6.1916666666666664</v>
      </c>
      <c r="H45" s="25">
        <v>50000000</v>
      </c>
      <c r="I45" s="101">
        <v>50000000</v>
      </c>
      <c r="J45" s="25">
        <f>-(375000+37857.05+10426.39+778.02+10040.66+1634.24+1265.7+2746.76+3562.22+3480.45+586.07+387.15+105.64+78.5+453.17+39.5+566.38+498.86-11268.74)</f>
        <v>-438238.02</v>
      </c>
      <c r="K45" s="25">
        <v>-5651886.8399999999</v>
      </c>
      <c r="L45" s="25">
        <f t="shared" si="39"/>
        <v>43909875.140000001</v>
      </c>
      <c r="M45" s="91">
        <f t="shared" si="40"/>
        <v>87.819750279999994</v>
      </c>
      <c r="N45" s="92">
        <f t="shared" si="41"/>
        <v>9.3359999999999999E-2</v>
      </c>
      <c r="O45" s="93">
        <f t="shared" si="42"/>
        <v>4668000</v>
      </c>
      <c r="P45" s="118">
        <f t="shared" si="6"/>
        <v>35</v>
      </c>
    </row>
    <row r="46" spans="1:16" s="23" customFormat="1">
      <c r="A46" s="117">
        <f t="shared" si="7"/>
        <v>36</v>
      </c>
      <c r="B46" s="17">
        <v>8.0500000000000002E-2</v>
      </c>
      <c r="C46" s="18" t="s">
        <v>35</v>
      </c>
      <c r="D46" s="22">
        <f>DATE(1992,9,14)</f>
        <v>33861</v>
      </c>
      <c r="E46" s="22">
        <f>DATE(2022,9,14)</f>
        <v>44818</v>
      </c>
      <c r="F46" s="89">
        <f t="shared" si="37"/>
        <v>30</v>
      </c>
      <c r="G46" s="89">
        <f t="shared" si="38"/>
        <v>6.2055555555555557</v>
      </c>
      <c r="H46" s="25">
        <v>10000000</v>
      </c>
      <c r="I46" s="101">
        <v>10000000</v>
      </c>
      <c r="J46" s="25">
        <f>-(75000+7571.41+2085.28+155.6+2008.13+326.85+253.14+549.35+712.44+696.09+117.21+77.43+21.13+15.7+90.63+7.9+113.27+99.77-2253.75)</f>
        <v>-87647.580000000031</v>
      </c>
      <c r="K46" s="25">
        <v>-1130377.3700000001</v>
      </c>
      <c r="L46" s="25">
        <f t="shared" si="39"/>
        <v>8781975.0500000007</v>
      </c>
      <c r="M46" s="91">
        <f t="shared" si="40"/>
        <v>87.819750499999998</v>
      </c>
      <c r="N46" s="92">
        <f t="shared" si="41"/>
        <v>9.2579999999999996E-2</v>
      </c>
      <c r="O46" s="93">
        <f t="shared" si="42"/>
        <v>925800</v>
      </c>
      <c r="P46" s="118">
        <f t="shared" si="6"/>
        <v>36</v>
      </c>
    </row>
    <row r="47" spans="1:16" s="23" customFormat="1">
      <c r="A47" s="117">
        <f t="shared" si="7"/>
        <v>37</v>
      </c>
      <c r="B47" s="17">
        <v>8.0800000000000011E-2</v>
      </c>
      <c r="C47" s="18" t="s">
        <v>36</v>
      </c>
      <c r="D47" s="22">
        <f>DATE(1992,10,15)</f>
        <v>33892</v>
      </c>
      <c r="E47" s="22">
        <f>DATE(2022,10,14)</f>
        <v>44848</v>
      </c>
      <c r="F47" s="89">
        <f t="shared" si="37"/>
        <v>29.997222222222224</v>
      </c>
      <c r="G47" s="89">
        <f t="shared" si="38"/>
        <v>6.2888888888888888</v>
      </c>
      <c r="H47" s="25">
        <v>25000000</v>
      </c>
      <c r="I47" s="101">
        <v>25000000</v>
      </c>
      <c r="J47" s="25">
        <f>-(187500+5213.19+389.01+5020.33+817.12+632.85+1373.38+1781.11+1740.22+293.04+193.58+52.82+39.25+226.58+19.75+283.19+249.43-5634.37)</f>
        <v>-200190.47999999998</v>
      </c>
      <c r="K47" s="25">
        <f>-(942395.61+1119231.5)</f>
        <v>-2061627.1099999999</v>
      </c>
      <c r="L47" s="25">
        <f t="shared" si="39"/>
        <v>22738182.41</v>
      </c>
      <c r="M47" s="91">
        <f t="shared" si="40"/>
        <v>90.952729640000001</v>
      </c>
      <c r="N47" s="92">
        <f t="shared" si="41"/>
        <v>8.9529999999999998E-2</v>
      </c>
      <c r="O47" s="93">
        <f t="shared" si="42"/>
        <v>2238250</v>
      </c>
      <c r="P47" s="118">
        <f t="shared" si="6"/>
        <v>37</v>
      </c>
    </row>
    <row r="48" spans="1:16" s="23" customFormat="1">
      <c r="A48" s="117">
        <f t="shared" si="7"/>
        <v>38</v>
      </c>
      <c r="B48" s="17">
        <v>8.0800000000000011E-2</v>
      </c>
      <c r="C48" s="18" t="s">
        <v>36</v>
      </c>
      <c r="D48" s="22">
        <f>DATE(1992,10,15)</f>
        <v>33892</v>
      </c>
      <c r="E48" s="22">
        <f>DATE(2022,10,14)</f>
        <v>44848</v>
      </c>
      <c r="F48" s="89">
        <f t="shared" si="37"/>
        <v>29.997222222222224</v>
      </c>
      <c r="G48" s="89">
        <f t="shared" si="38"/>
        <v>6.2888888888888888</v>
      </c>
      <c r="H48" s="25">
        <v>26000000</v>
      </c>
      <c r="I48" s="101">
        <v>26000000</v>
      </c>
      <c r="J48" s="25">
        <f>-(195000+5421.72+404.57+5221.14+849.8+658.16+1428.31+1852.35+1809.83+304.76+201.32+54.93+40.82+235.65+20.54+294.52+259.41-5859.74)</f>
        <v>-208198.09000000003</v>
      </c>
      <c r="K48" s="25">
        <v>-2938981.15</v>
      </c>
      <c r="L48" s="25">
        <f t="shared" si="39"/>
        <v>22852820.760000002</v>
      </c>
      <c r="M48" s="91">
        <f t="shared" si="40"/>
        <v>87.895464461538467</v>
      </c>
      <c r="N48" s="92">
        <f t="shared" si="41"/>
        <v>9.2829999999999996E-2</v>
      </c>
      <c r="O48" s="93">
        <f t="shared" si="42"/>
        <v>2413580</v>
      </c>
      <c r="P48" s="118">
        <f t="shared" si="6"/>
        <v>38</v>
      </c>
    </row>
    <row r="49" spans="1:16" s="23" customFormat="1">
      <c r="A49" s="117">
        <f t="shared" si="7"/>
        <v>39</v>
      </c>
      <c r="B49" s="17">
        <v>8.2299999999999998E-2</v>
      </c>
      <c r="C49" s="18" t="s">
        <v>37</v>
      </c>
      <c r="D49" s="22">
        <f>DATE(1993,1,29)</f>
        <v>33998</v>
      </c>
      <c r="E49" s="22">
        <f>DATE(2023,1,20)</f>
        <v>44946</v>
      </c>
      <c r="F49" s="89">
        <f t="shared" si="37"/>
        <v>29.975000000000001</v>
      </c>
      <c r="G49" s="89">
        <f t="shared" si="38"/>
        <v>6.5555555555555554</v>
      </c>
      <c r="H49" s="25">
        <v>4000000</v>
      </c>
      <c r="I49" s="101">
        <v>4000000</v>
      </c>
      <c r="J49" s="25">
        <f>-(30000+130.74+101.26+219.74+284.98+278.44+46.89+30.97+8.45+6.28+36.25+3.16+45.31+39.91-901.5)+81560</f>
        <v>51229.119999999995</v>
      </c>
      <c r="K49" s="25">
        <v>-88988.58</v>
      </c>
      <c r="L49" s="25">
        <f t="shared" si="39"/>
        <v>3962240.54</v>
      </c>
      <c r="M49" s="91">
        <f t="shared" si="40"/>
        <v>99.056013500000006</v>
      </c>
      <c r="N49" s="92">
        <f t="shared" si="41"/>
        <v>8.3159999999999998E-2</v>
      </c>
      <c r="O49" s="93">
        <f t="shared" si="42"/>
        <v>332640</v>
      </c>
      <c r="P49" s="118">
        <f t="shared" si="6"/>
        <v>39</v>
      </c>
    </row>
    <row r="50" spans="1:16" s="23" customFormat="1">
      <c r="A50" s="117">
        <f t="shared" si="7"/>
        <v>40</v>
      </c>
      <c r="B50" s="17">
        <v>8.2299999999999998E-2</v>
      </c>
      <c r="C50" s="18" t="s">
        <v>37</v>
      </c>
      <c r="D50" s="22">
        <f>DATE(1993,1,20)</f>
        <v>33989</v>
      </c>
      <c r="E50" s="22">
        <f>DATE(2023,1,20)</f>
        <v>44946</v>
      </c>
      <c r="F50" s="89">
        <f t="shared" si="37"/>
        <v>30</v>
      </c>
      <c r="G50" s="89">
        <f t="shared" si="38"/>
        <v>6.5555555555555554</v>
      </c>
      <c r="H50" s="25">
        <v>5000000</v>
      </c>
      <c r="I50" s="101">
        <v>5000000</v>
      </c>
      <c r="J50" s="25">
        <f>-(37500+163.42+126.57+274.68+356.22+348.04+58.61+38.71+10.56+7.85+45.32+3.95+56.64+49.89-1126.87)</f>
        <v>-37913.589999999989</v>
      </c>
      <c r="K50" s="25">
        <v>-335843.38</v>
      </c>
      <c r="L50" s="25">
        <f t="shared" si="39"/>
        <v>4626243.03</v>
      </c>
      <c r="M50" s="91">
        <f t="shared" si="40"/>
        <v>92.524860599999997</v>
      </c>
      <c r="N50" s="92">
        <f t="shared" si="41"/>
        <v>8.9510000000000006E-2</v>
      </c>
      <c r="O50" s="93">
        <f t="shared" si="42"/>
        <v>447550.00000000006</v>
      </c>
      <c r="P50" s="118">
        <f t="shared" si="6"/>
        <v>40</v>
      </c>
    </row>
    <row r="51" spans="1:16" s="23" customFormat="1">
      <c r="A51" s="117">
        <f t="shared" si="7"/>
        <v>41</v>
      </c>
      <c r="B51" s="94">
        <f>SUMPRODUCT(B42:B50,I42:I50)/I51</f>
        <v>8.0985806451612907E-2</v>
      </c>
      <c r="C51" s="19" t="s">
        <v>67</v>
      </c>
      <c r="D51" s="22"/>
      <c r="E51" s="22"/>
      <c r="F51" s="95">
        <f>SUMPRODUCT(F42:F50,I42:I50)/I51</f>
        <v>29.991648745519711</v>
      </c>
      <c r="G51" s="95">
        <f>SUMPRODUCT(G42:G50,I42:I50)/I51</f>
        <v>6.2435304659498199</v>
      </c>
      <c r="H51" s="18"/>
      <c r="I51" s="97">
        <f>SUM(I42:I50)</f>
        <v>155000000</v>
      </c>
      <c r="J51" s="97">
        <f>SUM(J42:J50)</f>
        <v>-1227725.2300000002</v>
      </c>
      <c r="K51" s="97">
        <f>SUM(K42:K50)</f>
        <v>-16164025.210000003</v>
      </c>
      <c r="L51" s="97">
        <f>SUM(L42:L50)</f>
        <v>137608249.56</v>
      </c>
      <c r="M51" s="18"/>
      <c r="N51" s="98">
        <f>O51/I51</f>
        <v>9.2101741935483872E-2</v>
      </c>
      <c r="O51" s="99">
        <f>SUM(O42:O50)</f>
        <v>14275770</v>
      </c>
      <c r="P51" s="118">
        <f t="shared" si="6"/>
        <v>41</v>
      </c>
    </row>
    <row r="52" spans="1:16" s="23" customFormat="1">
      <c r="A52" s="117">
        <f t="shared" si="7"/>
        <v>42</v>
      </c>
      <c r="B52" s="21"/>
      <c r="C52" s="18"/>
      <c r="D52" s="22"/>
      <c r="E52" s="22"/>
      <c r="F52" s="89"/>
      <c r="G52" s="89"/>
      <c r="H52" s="18"/>
      <c r="I52" s="13"/>
      <c r="J52" s="102"/>
      <c r="K52" s="18"/>
      <c r="L52" s="14"/>
      <c r="M52" s="92"/>
      <c r="N52" s="92"/>
      <c r="O52" s="93"/>
      <c r="P52" s="118">
        <f t="shared" si="6"/>
        <v>42</v>
      </c>
    </row>
    <row r="53" spans="1:16" s="23" customFormat="1">
      <c r="A53" s="117">
        <f t="shared" si="7"/>
        <v>43</v>
      </c>
      <c r="B53" s="17">
        <v>7.2599999999999998E-2</v>
      </c>
      <c r="C53" s="18" t="s">
        <v>38</v>
      </c>
      <c r="D53" s="22">
        <f>DATE(1993,7,22)</f>
        <v>34172</v>
      </c>
      <c r="E53" s="22">
        <f>DATE(2023,7,21)</f>
        <v>45128</v>
      </c>
      <c r="F53" s="89">
        <f t="shared" ref="F53:F62" si="43">YEARFRAC(D53,E53)</f>
        <v>29.997222222222224</v>
      </c>
      <c r="G53" s="89">
        <f t="shared" ref="G53:G62" si="44">YEARFRAC($A$4,E53)</f>
        <v>7.0583333333333336</v>
      </c>
      <c r="H53" s="25">
        <v>11000000</v>
      </c>
      <c r="I53" s="101">
        <v>11000000</v>
      </c>
      <c r="J53" s="25">
        <v>-100622</v>
      </c>
      <c r="K53" s="25">
        <v>-589062</v>
      </c>
      <c r="L53" s="25">
        <f t="shared" ref="L53:L62" si="45">SUM(I53:K53)</f>
        <v>10310316</v>
      </c>
      <c r="M53" s="91">
        <f t="shared" ref="M53:M62" si="46">L53/I53*100</f>
        <v>93.73014545454545</v>
      </c>
      <c r="N53" s="92">
        <f t="shared" ref="N53:N62" si="47">ROUND(YIELD(D53,E53,B53,M53,100,2,0),5)</f>
        <v>7.8039999999999998E-2</v>
      </c>
      <c r="O53" s="93">
        <f t="shared" ref="O53:O62" si="48">ROUND(N53,5)*I53</f>
        <v>858440</v>
      </c>
      <c r="P53" s="118">
        <f t="shared" si="6"/>
        <v>43</v>
      </c>
    </row>
    <row r="54" spans="1:16" s="23" customFormat="1">
      <c r="A54" s="117">
        <f t="shared" si="7"/>
        <v>44</v>
      </c>
      <c r="B54" s="17">
        <v>7.2599999999999998E-2</v>
      </c>
      <c r="C54" s="18" t="s">
        <v>38</v>
      </c>
      <c r="D54" s="22">
        <f>DATE(1993,7,22)</f>
        <v>34172</v>
      </c>
      <c r="E54" s="22">
        <f>DATE(2023,7,21)</f>
        <v>45128</v>
      </c>
      <c r="F54" s="89">
        <f t="shared" si="43"/>
        <v>29.997222222222224</v>
      </c>
      <c r="G54" s="89">
        <f t="shared" si="44"/>
        <v>7.0583333333333336</v>
      </c>
      <c r="H54" s="25">
        <v>27000000</v>
      </c>
      <c r="I54" s="101">
        <v>27000000</v>
      </c>
      <c r="J54" s="25">
        <v>-246981</v>
      </c>
      <c r="K54" s="25">
        <v>-1445879.9</v>
      </c>
      <c r="L54" s="25">
        <f t="shared" si="45"/>
        <v>25307139.100000001</v>
      </c>
      <c r="M54" s="91">
        <f t="shared" si="46"/>
        <v>93.730144814814821</v>
      </c>
      <c r="N54" s="92">
        <f t="shared" si="47"/>
        <v>7.8039999999999998E-2</v>
      </c>
      <c r="O54" s="93">
        <f t="shared" si="48"/>
        <v>2107080</v>
      </c>
      <c r="P54" s="118">
        <f t="shared" si="6"/>
        <v>44</v>
      </c>
    </row>
    <row r="55" spans="1:16" s="23" customFormat="1">
      <c r="A55" s="117">
        <f t="shared" si="7"/>
        <v>45</v>
      </c>
      <c r="B55" s="17">
        <v>7.2300000000000003E-2</v>
      </c>
      <c r="C55" s="18" t="s">
        <v>39</v>
      </c>
      <c r="D55" s="22">
        <f>DATE(1993,8,16)</f>
        <v>34197</v>
      </c>
      <c r="E55" s="22">
        <f>DATE(2023,8,16)</f>
        <v>45154</v>
      </c>
      <c r="F55" s="89">
        <f t="shared" si="43"/>
        <v>30</v>
      </c>
      <c r="G55" s="89">
        <f t="shared" si="44"/>
        <v>7.1277777777777782</v>
      </c>
      <c r="H55" s="25">
        <v>15000000</v>
      </c>
      <c r="I55" s="101">
        <v>15000000</v>
      </c>
      <c r="J55" s="25">
        <v>-137211</v>
      </c>
      <c r="K55" s="25">
        <f>-504373+235749</f>
        <v>-268624</v>
      </c>
      <c r="L55" s="25">
        <f t="shared" si="45"/>
        <v>14594165</v>
      </c>
      <c r="M55" s="91">
        <f t="shared" si="46"/>
        <v>97.29443333333333</v>
      </c>
      <c r="N55" s="92">
        <f t="shared" si="47"/>
        <v>7.4569999999999997E-2</v>
      </c>
      <c r="O55" s="93">
        <f t="shared" si="48"/>
        <v>1118550</v>
      </c>
      <c r="P55" s="118">
        <f t="shared" si="6"/>
        <v>45</v>
      </c>
    </row>
    <row r="56" spans="1:16" s="23" customFormat="1">
      <c r="A56" s="117">
        <f t="shared" si="7"/>
        <v>46</v>
      </c>
      <c r="B56" s="17">
        <v>7.2400000000000006E-2</v>
      </c>
      <c r="C56" s="18" t="s">
        <v>39</v>
      </c>
      <c r="D56" s="22">
        <f>DATE(1993,8,16)</f>
        <v>34197</v>
      </c>
      <c r="E56" s="22">
        <f>DATE(2023,8,16)</f>
        <v>45154</v>
      </c>
      <c r="F56" s="89">
        <f t="shared" si="43"/>
        <v>30</v>
      </c>
      <c r="G56" s="89">
        <f t="shared" si="44"/>
        <v>7.1277777777777782</v>
      </c>
      <c r="H56" s="25">
        <v>30000000</v>
      </c>
      <c r="I56" s="101">
        <v>30000000</v>
      </c>
      <c r="J56" s="25">
        <v>-274423</v>
      </c>
      <c r="K56" s="25">
        <f>-1008746+471498</f>
        <v>-537248</v>
      </c>
      <c r="L56" s="25">
        <f t="shared" si="45"/>
        <v>29188329</v>
      </c>
      <c r="M56" s="91">
        <f t="shared" si="46"/>
        <v>97.294430000000006</v>
      </c>
      <c r="N56" s="92">
        <f t="shared" si="47"/>
        <v>7.467E-2</v>
      </c>
      <c r="O56" s="93">
        <f t="shared" si="48"/>
        <v>2240100</v>
      </c>
      <c r="P56" s="118">
        <f t="shared" si="6"/>
        <v>46</v>
      </c>
    </row>
    <row r="57" spans="1:16" s="23" customFormat="1">
      <c r="A57" s="117">
        <f t="shared" si="7"/>
        <v>47</v>
      </c>
      <c r="B57" s="17">
        <v>6.7500000000000004E-2</v>
      </c>
      <c r="C57" s="18" t="s">
        <v>40</v>
      </c>
      <c r="D57" s="22">
        <f>DATE(1993,9,14)</f>
        <v>34226</v>
      </c>
      <c r="E57" s="22">
        <f>DATE(2023,9,14)</f>
        <v>45183</v>
      </c>
      <c r="F57" s="89">
        <f t="shared" si="43"/>
        <v>30</v>
      </c>
      <c r="G57" s="89">
        <f t="shared" si="44"/>
        <v>7.2055555555555557</v>
      </c>
      <c r="H57" s="25">
        <v>2000000</v>
      </c>
      <c r="I57" s="101">
        <v>2000000</v>
      </c>
      <c r="J57" s="25">
        <v>-15300</v>
      </c>
      <c r="K57" s="25">
        <v>0</v>
      </c>
      <c r="L57" s="25">
        <f t="shared" si="45"/>
        <v>1984700</v>
      </c>
      <c r="M57" s="91">
        <f t="shared" si="46"/>
        <v>99.234999999999999</v>
      </c>
      <c r="N57" s="92">
        <f t="shared" si="47"/>
        <v>6.8099999999999994E-2</v>
      </c>
      <c r="O57" s="93">
        <f t="shared" si="48"/>
        <v>136200</v>
      </c>
      <c r="P57" s="118">
        <f t="shared" si="6"/>
        <v>47</v>
      </c>
    </row>
    <row r="58" spans="1:16" s="23" customFormat="1">
      <c r="A58" s="117">
        <f t="shared" si="7"/>
        <v>48</v>
      </c>
      <c r="B58" s="17">
        <v>6.720000000000001E-2</v>
      </c>
      <c r="C58" s="18" t="s">
        <v>40</v>
      </c>
      <c r="D58" s="22">
        <f>DATE(1993,9,14)</f>
        <v>34226</v>
      </c>
      <c r="E58" s="22">
        <f>DATE(2023,9,14)</f>
        <v>45183</v>
      </c>
      <c r="F58" s="89">
        <f t="shared" si="43"/>
        <v>30</v>
      </c>
      <c r="G58" s="89">
        <f t="shared" si="44"/>
        <v>7.2055555555555557</v>
      </c>
      <c r="H58" s="25">
        <v>2000000</v>
      </c>
      <c r="I58" s="101">
        <v>2000000</v>
      </c>
      <c r="J58" s="25">
        <v>-15300</v>
      </c>
      <c r="K58" s="25">
        <v>0</v>
      </c>
      <c r="L58" s="25">
        <f t="shared" si="45"/>
        <v>1984700</v>
      </c>
      <c r="M58" s="91">
        <f t="shared" si="46"/>
        <v>99.234999999999999</v>
      </c>
      <c r="N58" s="92">
        <f t="shared" si="47"/>
        <v>6.7799999999999999E-2</v>
      </c>
      <c r="O58" s="93">
        <f t="shared" si="48"/>
        <v>135600</v>
      </c>
      <c r="P58" s="118">
        <f t="shared" si="6"/>
        <v>48</v>
      </c>
    </row>
    <row r="59" spans="1:16" s="23" customFormat="1">
      <c r="A59" s="117">
        <f t="shared" si="7"/>
        <v>49</v>
      </c>
      <c r="B59" s="17">
        <v>6.7500000000000004E-2</v>
      </c>
      <c r="C59" s="18" t="s">
        <v>40</v>
      </c>
      <c r="D59" s="22">
        <f>DATE(1993,9,14)</f>
        <v>34226</v>
      </c>
      <c r="E59" s="22">
        <f>DATE(2023,9,14)</f>
        <v>45183</v>
      </c>
      <c r="F59" s="89">
        <f t="shared" si="43"/>
        <v>30</v>
      </c>
      <c r="G59" s="89">
        <f t="shared" si="44"/>
        <v>7.2055555555555557</v>
      </c>
      <c r="H59" s="25">
        <v>5000000</v>
      </c>
      <c r="I59" s="101">
        <v>5000000</v>
      </c>
      <c r="J59" s="25">
        <v>-38250</v>
      </c>
      <c r="K59" s="25">
        <f>-64156+29987</f>
        <v>-34169</v>
      </c>
      <c r="L59" s="25">
        <f t="shared" si="45"/>
        <v>4927581</v>
      </c>
      <c r="M59" s="91">
        <f t="shared" si="46"/>
        <v>98.55162</v>
      </c>
      <c r="N59" s="92">
        <f t="shared" si="47"/>
        <v>6.8650000000000003E-2</v>
      </c>
      <c r="O59" s="93">
        <f t="shared" si="48"/>
        <v>343250</v>
      </c>
      <c r="P59" s="118">
        <f t="shared" si="6"/>
        <v>49</v>
      </c>
    </row>
    <row r="60" spans="1:16" s="23" customFormat="1">
      <c r="A60" s="117">
        <f t="shared" si="7"/>
        <v>50</v>
      </c>
      <c r="B60" s="17">
        <v>6.7500000000000004E-2</v>
      </c>
      <c r="C60" s="18" t="s">
        <v>41</v>
      </c>
      <c r="D60" s="22">
        <f>DATE(1993,10,26)</f>
        <v>34268</v>
      </c>
      <c r="E60" s="22">
        <f>DATE(2023,10,26)</f>
        <v>45225</v>
      </c>
      <c r="F60" s="89">
        <f t="shared" si="43"/>
        <v>30</v>
      </c>
      <c r="G60" s="89">
        <f t="shared" si="44"/>
        <v>7.322222222222222</v>
      </c>
      <c r="H60" s="25">
        <v>12000000</v>
      </c>
      <c r="I60" s="101">
        <v>12000000</v>
      </c>
      <c r="J60" s="25">
        <v>-91396</v>
      </c>
      <c r="K60" s="25">
        <v>0</v>
      </c>
      <c r="L60" s="25">
        <f t="shared" si="45"/>
        <v>11908604</v>
      </c>
      <c r="M60" s="91">
        <f t="shared" si="46"/>
        <v>99.238366666666664</v>
      </c>
      <c r="N60" s="92">
        <f t="shared" si="47"/>
        <v>6.8099999999999994E-2</v>
      </c>
      <c r="O60" s="93">
        <f t="shared" si="48"/>
        <v>817199.99999999988</v>
      </c>
      <c r="P60" s="118">
        <f t="shared" si="6"/>
        <v>50</v>
      </c>
    </row>
    <row r="61" spans="1:16" s="23" customFormat="1">
      <c r="A61" s="117">
        <f t="shared" si="7"/>
        <v>51</v>
      </c>
      <c r="B61" s="17">
        <v>6.7500000000000004E-2</v>
      </c>
      <c r="C61" s="18" t="s">
        <v>41</v>
      </c>
      <c r="D61" s="22">
        <f t="shared" ref="D61:D62" si="49">DATE(1993,10,26)</f>
        <v>34268</v>
      </c>
      <c r="E61" s="22">
        <f>DATE(2023,10,26)</f>
        <v>45225</v>
      </c>
      <c r="F61" s="89">
        <f t="shared" si="43"/>
        <v>30</v>
      </c>
      <c r="G61" s="89">
        <f t="shared" si="44"/>
        <v>7.322222222222222</v>
      </c>
      <c r="H61" s="25">
        <v>16000000</v>
      </c>
      <c r="I61" s="101">
        <v>16000000</v>
      </c>
      <c r="J61" s="25">
        <v>-121861</v>
      </c>
      <c r="K61" s="25">
        <v>0</v>
      </c>
      <c r="L61" s="25">
        <f t="shared" si="45"/>
        <v>15878139</v>
      </c>
      <c r="M61" s="91">
        <f t="shared" si="46"/>
        <v>99.238368749999992</v>
      </c>
      <c r="N61" s="92">
        <f t="shared" si="47"/>
        <v>6.8099999999999994E-2</v>
      </c>
      <c r="O61" s="93">
        <f t="shared" si="48"/>
        <v>1089600</v>
      </c>
      <c r="P61" s="118">
        <f t="shared" si="6"/>
        <v>51</v>
      </c>
    </row>
    <row r="62" spans="1:16" s="23" customFormat="1">
      <c r="A62" s="117">
        <f t="shared" si="7"/>
        <v>52</v>
      </c>
      <c r="B62" s="17">
        <v>6.7500000000000004E-2</v>
      </c>
      <c r="C62" s="18" t="s">
        <v>41</v>
      </c>
      <c r="D62" s="22">
        <f t="shared" si="49"/>
        <v>34268</v>
      </c>
      <c r="E62" s="22">
        <f>DATE(2023,10,26)</f>
        <v>45225</v>
      </c>
      <c r="F62" s="89">
        <f t="shared" si="43"/>
        <v>30</v>
      </c>
      <c r="G62" s="89">
        <f t="shared" si="44"/>
        <v>7.322222222222222</v>
      </c>
      <c r="H62" s="25">
        <v>20000000</v>
      </c>
      <c r="I62" s="101">
        <v>20000000</v>
      </c>
      <c r="J62" s="25">
        <v>-152326</v>
      </c>
      <c r="K62" s="25">
        <v>0</v>
      </c>
      <c r="L62" s="25">
        <f t="shared" si="45"/>
        <v>19847674</v>
      </c>
      <c r="M62" s="91">
        <f t="shared" si="46"/>
        <v>99.238370000000003</v>
      </c>
      <c r="N62" s="92">
        <f t="shared" si="47"/>
        <v>6.8099999999999994E-2</v>
      </c>
      <c r="O62" s="93">
        <f t="shared" si="48"/>
        <v>1361999.9999999998</v>
      </c>
      <c r="P62" s="118">
        <f t="shared" si="6"/>
        <v>52</v>
      </c>
    </row>
    <row r="63" spans="1:16" s="23" customFormat="1">
      <c r="A63" s="117">
        <f t="shared" si="7"/>
        <v>53</v>
      </c>
      <c r="B63" s="94">
        <f>SUMPRODUCT(B53:B62,I53:I62)/I63</f>
        <v>7.0444285714285709E-2</v>
      </c>
      <c r="C63" s="19" t="s">
        <v>68</v>
      </c>
      <c r="D63" s="22"/>
      <c r="E63" s="22"/>
      <c r="F63" s="95">
        <f>SUMPRODUCT(F53:F62,I53:I62)/I63</f>
        <v>29.999246031746033</v>
      </c>
      <c r="G63" s="95">
        <f>SUMPRODUCT(G53:G62,I53:I62)/I63</f>
        <v>7.1805952380952389</v>
      </c>
      <c r="H63" s="18"/>
      <c r="I63" s="97">
        <f>SUM(I53:I62)</f>
        <v>140000000</v>
      </c>
      <c r="J63" s="97">
        <f>SUM(J53:J62)</f>
        <v>-1193670</v>
      </c>
      <c r="K63" s="97">
        <f>SUM(K53:K62)</f>
        <v>-2874982.9</v>
      </c>
      <c r="L63" s="97">
        <f>SUM(L53:L62)</f>
        <v>135931347.09999999</v>
      </c>
      <c r="M63" s="18"/>
      <c r="N63" s="98">
        <f>O63/I63</f>
        <v>7.2914428571428574E-2</v>
      </c>
      <c r="O63" s="99">
        <f>SUM(O53:O62)</f>
        <v>10208020</v>
      </c>
      <c r="P63" s="118">
        <f t="shared" si="6"/>
        <v>53</v>
      </c>
    </row>
    <row r="64" spans="1:16" s="23" customFormat="1">
      <c r="A64" s="117">
        <f t="shared" si="7"/>
        <v>54</v>
      </c>
      <c r="B64" s="21"/>
      <c r="C64" s="18"/>
      <c r="D64" s="22"/>
      <c r="E64" s="22"/>
      <c r="F64" s="89"/>
      <c r="G64" s="89"/>
      <c r="H64" s="18"/>
      <c r="I64" s="13"/>
      <c r="J64" s="102"/>
      <c r="K64" s="18"/>
      <c r="L64" s="14"/>
      <c r="M64" s="92"/>
      <c r="N64" s="92"/>
      <c r="O64" s="93"/>
      <c r="P64" s="118">
        <f t="shared" si="6"/>
        <v>54</v>
      </c>
    </row>
    <row r="65" spans="1:16" s="23" customFormat="1">
      <c r="A65" s="117">
        <f t="shared" si="7"/>
        <v>55</v>
      </c>
      <c r="B65" s="17">
        <v>6.7100000000000007E-2</v>
      </c>
      <c r="C65" s="18" t="s">
        <v>42</v>
      </c>
      <c r="D65" s="22">
        <f>DATE(1996,1,23)</f>
        <v>35087</v>
      </c>
      <c r="E65" s="22">
        <f>DATE(2026,1,15)</f>
        <v>46037</v>
      </c>
      <c r="F65" s="89">
        <f>YEARFRAC(D65,E65)</f>
        <v>29.977777777777778</v>
      </c>
      <c r="G65" s="89">
        <f>YEARFRAC($A$4,E65)</f>
        <v>9.5416666666666661</v>
      </c>
      <c r="H65" s="25">
        <v>100000000</v>
      </c>
      <c r="I65" s="101">
        <v>100000000</v>
      </c>
      <c r="J65" s="25">
        <f>(I65*-0.00875)-1238.49-2843.43-5000-1895.25-10252.38-2112.63-6124.41</f>
        <v>-904466.5900000002</v>
      </c>
      <c r="K65" s="25">
        <v>0</v>
      </c>
      <c r="L65" s="25">
        <f>SUM(I65:K65)</f>
        <v>99095533.409999996</v>
      </c>
      <c r="M65" s="91">
        <f>L65/I65*100</f>
        <v>99.095533409999987</v>
      </c>
      <c r="N65" s="92">
        <f>ROUND(YIELD(D65,E65,B65,M65,100,2,0),5)</f>
        <v>6.7809999999999995E-2</v>
      </c>
      <c r="O65" s="25">
        <f>ROUND(N65,5)*I65</f>
        <v>6780999.9999999991</v>
      </c>
      <c r="P65" s="118">
        <f t="shared" ref="P65:P98" si="50">A65</f>
        <v>55</v>
      </c>
    </row>
    <row r="66" spans="1:16" s="23" customFormat="1">
      <c r="A66" s="117">
        <f t="shared" ref="A66:A98" si="51">A65+1</f>
        <v>56</v>
      </c>
      <c r="B66" s="94">
        <f>SUMPRODUCT(B65:B65,I65:I65)/I66</f>
        <v>6.7100000000000007E-2</v>
      </c>
      <c r="C66" s="19" t="s">
        <v>69</v>
      </c>
      <c r="D66" s="22"/>
      <c r="E66" s="22"/>
      <c r="F66" s="95">
        <f>SUMPRODUCT(F65:F65,I65:I65)/I66</f>
        <v>29.977777777777778</v>
      </c>
      <c r="G66" s="95">
        <f>SUMPRODUCT(G65:G65,I65:I65)/I66</f>
        <v>9.5416666666666661</v>
      </c>
      <c r="H66" s="18"/>
      <c r="I66" s="19">
        <f>SUM(I65:I65)</f>
        <v>100000000</v>
      </c>
      <c r="J66" s="19">
        <f>SUM(J65:J65)</f>
        <v>-904466.5900000002</v>
      </c>
      <c r="K66" s="19">
        <f>SUM(K65:K65)</f>
        <v>0</v>
      </c>
      <c r="L66" s="19">
        <f>SUM(L65:L65)</f>
        <v>99095533.409999996</v>
      </c>
      <c r="M66" s="92"/>
      <c r="N66" s="98">
        <f>O66/I66</f>
        <v>6.7809999999999995E-2</v>
      </c>
      <c r="O66" s="99">
        <f>SUM(O65:O65)</f>
        <v>6780999.9999999991</v>
      </c>
      <c r="P66" s="118">
        <f t="shared" si="50"/>
        <v>56</v>
      </c>
    </row>
    <row r="67" spans="1:16" s="23" customFormat="1">
      <c r="A67" s="117">
        <f t="shared" si="51"/>
        <v>57</v>
      </c>
      <c r="B67" s="21"/>
      <c r="C67" s="18"/>
      <c r="D67" s="22"/>
      <c r="E67" s="22"/>
      <c r="F67" s="89"/>
      <c r="G67" s="89"/>
      <c r="H67" s="18"/>
      <c r="I67" s="13"/>
      <c r="J67" s="102"/>
      <c r="K67" s="18"/>
      <c r="L67" s="14"/>
      <c r="M67" s="92"/>
      <c r="N67" s="92"/>
      <c r="O67" s="93"/>
      <c r="P67" s="118">
        <f t="shared" si="50"/>
        <v>57</v>
      </c>
    </row>
    <row r="68" spans="1:16" s="23" customFormat="1">
      <c r="A68" s="117">
        <f t="shared" si="51"/>
        <v>58</v>
      </c>
      <c r="B68" s="94">
        <f>(B15*I15+B34*I34+B40*I40+B51*I51+B63*I63+B66*I66)/I68</f>
        <v>5.295991947492832E-2</v>
      </c>
      <c r="C68" s="19" t="s">
        <v>47</v>
      </c>
      <c r="D68" s="22"/>
      <c r="E68" s="22"/>
      <c r="F68" s="95">
        <f>(F34*I34+F15*I15+F40*I40+F51*I51+F63*I63+F66*I66)/I68</f>
        <v>22.037338424589727</v>
      </c>
      <c r="G68" s="95">
        <f>(G34*I34+G15*I15+G40*I40+G51*I51+G63*I63+G66*I66)/I68</f>
        <v>13.75902478712913</v>
      </c>
      <c r="H68" s="18"/>
      <c r="I68" s="19">
        <f>I15+I34+I40+I51+I63+I66</f>
        <v>6703999000</v>
      </c>
      <c r="J68" s="19">
        <f>J15+J34+J40+J51+J63+J66</f>
        <v>-68624372.120000005</v>
      </c>
      <c r="K68" s="19">
        <f>K15+K34+K40+K51+K63+K66</f>
        <v>-31219785.520000003</v>
      </c>
      <c r="L68" s="19">
        <f>L15+L34+L40+L51+L63+L66</f>
        <v>6604154842.3600006</v>
      </c>
      <c r="M68" s="92"/>
      <c r="N68" s="98">
        <f>O68/I68</f>
        <v>5.4374337945157808E-2</v>
      </c>
      <c r="O68" s="43">
        <f>O15+O34+O40+O51+O63+O66</f>
        <v>364525507.20999998</v>
      </c>
      <c r="P68" s="118">
        <f t="shared" si="50"/>
        <v>58</v>
      </c>
    </row>
    <row r="69" spans="1:16" s="23" customFormat="1">
      <c r="A69" s="117">
        <f t="shared" si="51"/>
        <v>59</v>
      </c>
      <c r="B69" s="21"/>
      <c r="C69" s="18"/>
      <c r="D69" s="22"/>
      <c r="E69" s="22"/>
      <c r="F69" s="89"/>
      <c r="G69" s="89"/>
      <c r="H69" s="18"/>
      <c r="I69" s="13"/>
      <c r="J69" s="102"/>
      <c r="K69" s="18"/>
      <c r="L69" s="14"/>
      <c r="M69" s="92"/>
      <c r="N69" s="92"/>
      <c r="O69" s="14"/>
      <c r="P69" s="118">
        <f t="shared" si="50"/>
        <v>59</v>
      </c>
    </row>
    <row r="70" spans="1:16" s="23" customFormat="1">
      <c r="A70" s="117">
        <f t="shared" si="51"/>
        <v>60</v>
      </c>
      <c r="B70" s="21"/>
      <c r="C70" s="20" t="s">
        <v>70</v>
      </c>
      <c r="D70" s="22"/>
      <c r="E70" s="22"/>
      <c r="F70" s="89"/>
      <c r="G70" s="89"/>
      <c r="H70" s="18"/>
      <c r="I70" s="13"/>
      <c r="J70" s="102"/>
      <c r="K70" s="18"/>
      <c r="L70" s="14"/>
      <c r="M70" s="92"/>
      <c r="N70" s="92"/>
      <c r="O70" s="14"/>
      <c r="P70" s="118">
        <f t="shared" si="50"/>
        <v>60</v>
      </c>
    </row>
    <row r="71" spans="1:16" s="23" customFormat="1">
      <c r="A71" s="117">
        <f t="shared" si="51"/>
        <v>61</v>
      </c>
      <c r="B71" s="103">
        <v>1.0009959792156863E-2</v>
      </c>
      <c r="C71" s="18" t="s">
        <v>77</v>
      </c>
      <c r="D71" s="22">
        <f>DATE(1986,12,29)</f>
        <v>31775</v>
      </c>
      <c r="E71" s="22">
        <f>DATE(2016,12,1)</f>
        <v>42705</v>
      </c>
      <c r="F71" s="89">
        <f t="shared" ref="F71:F77" si="52">YEARFRAC(D71,E71)</f>
        <v>29.922222222222221</v>
      </c>
      <c r="G71" s="89">
        <f t="shared" ref="G71:G77" si="53">YEARFRAC($A$4,E71)</f>
        <v>0.41944444444444445</v>
      </c>
      <c r="H71" s="25">
        <v>8500000</v>
      </c>
      <c r="I71" s="101">
        <v>8500000</v>
      </c>
      <c r="J71" s="25">
        <f>(-304824)</f>
        <v>-304824</v>
      </c>
      <c r="K71" s="25">
        <v>0</v>
      </c>
      <c r="L71" s="25">
        <f t="shared" ref="L71:L77" si="54">SUM(I71:K71)</f>
        <v>8195176</v>
      </c>
      <c r="M71" s="91">
        <f t="shared" ref="M71:M77" si="55">L71/I71*100</f>
        <v>96.413835294117646</v>
      </c>
      <c r="N71" s="92">
        <f t="shared" ref="N71:N77" si="56">ROUND(YIELD(D71,E71,B71,M71,100,4,1),5)</f>
        <v>1.1429999999999999E-2</v>
      </c>
      <c r="O71" s="14">
        <f t="shared" ref="O71:O77" si="57">ROUND(N71,5)*I71</f>
        <v>97155</v>
      </c>
      <c r="P71" s="118">
        <f t="shared" si="50"/>
        <v>61</v>
      </c>
    </row>
    <row r="72" spans="1:16" s="23" customFormat="1">
      <c r="A72" s="117">
        <f t="shared" si="51"/>
        <v>62</v>
      </c>
      <c r="B72" s="103">
        <v>9.5454591069597059E-3</v>
      </c>
      <c r="C72" s="18" t="s">
        <v>72</v>
      </c>
      <c r="D72" s="22">
        <f>DATE(1994,11,17)</f>
        <v>34655</v>
      </c>
      <c r="E72" s="22">
        <f>DATE(2024,11,1)</f>
        <v>45597</v>
      </c>
      <c r="F72" s="89">
        <f t="shared" si="52"/>
        <v>29.955555555555556</v>
      </c>
      <c r="G72" s="89">
        <f t="shared" si="53"/>
        <v>8.3361111111111104</v>
      </c>
      <c r="H72" s="25">
        <v>8190000</v>
      </c>
      <c r="I72" s="101">
        <v>8190000</v>
      </c>
      <c r="J72" s="25">
        <f>-183929-93.65-9.49-32.4-20274.2-5147.2+527.73-555.55-263.72-0.15</f>
        <v>-209777.62999999998</v>
      </c>
      <c r="K72" s="25">
        <f>(-86323)</f>
        <v>-86323</v>
      </c>
      <c r="L72" s="25">
        <f t="shared" si="54"/>
        <v>7893899.3700000001</v>
      </c>
      <c r="M72" s="91">
        <f t="shared" si="55"/>
        <v>96.384607692307682</v>
      </c>
      <c r="N72" s="92">
        <f t="shared" si="56"/>
        <v>1.0959999999999999E-2</v>
      </c>
      <c r="O72" s="14">
        <f t="shared" si="57"/>
        <v>89762.4</v>
      </c>
      <c r="P72" s="118">
        <f t="shared" si="50"/>
        <v>62</v>
      </c>
    </row>
    <row r="73" spans="1:16" s="23" customFormat="1">
      <c r="A73" s="117">
        <f t="shared" si="51"/>
        <v>63</v>
      </c>
      <c r="B73" s="103">
        <v>1.4178519279973758E-2</v>
      </c>
      <c r="C73" s="18" t="s">
        <v>73</v>
      </c>
      <c r="D73" s="22">
        <f>DATE(1994,11,17)</f>
        <v>34655</v>
      </c>
      <c r="E73" s="22">
        <f>DATE(2024,11,1)</f>
        <v>45597</v>
      </c>
      <c r="F73" s="89">
        <f t="shared" si="52"/>
        <v>29.955555555555556</v>
      </c>
      <c r="G73" s="89">
        <f t="shared" si="53"/>
        <v>8.3361111111111104</v>
      </c>
      <c r="H73" s="25">
        <v>121940000</v>
      </c>
      <c r="I73" s="101">
        <v>121940000</v>
      </c>
      <c r="J73" s="25">
        <f>-2969452-1956.29-141.25-481.71-301860.26-92.38+3920.28-2222.23-1959.09-1.04</f>
        <v>-3274245.9699999997</v>
      </c>
      <c r="K73" s="25">
        <f>(-1935450)+9683</f>
        <v>-1925767</v>
      </c>
      <c r="L73" s="25">
        <f t="shared" si="54"/>
        <v>116739987.03</v>
      </c>
      <c r="M73" s="91">
        <f t="shared" si="55"/>
        <v>95.735597039527647</v>
      </c>
      <c r="N73" s="92">
        <f t="shared" si="56"/>
        <v>1.5970000000000002E-2</v>
      </c>
      <c r="O73" s="14">
        <f t="shared" si="57"/>
        <v>1947381.8000000003</v>
      </c>
      <c r="P73" s="118">
        <f t="shared" si="50"/>
        <v>63</v>
      </c>
    </row>
    <row r="74" spans="1:16" s="23" customFormat="1">
      <c r="A74" s="117">
        <f t="shared" si="51"/>
        <v>64</v>
      </c>
      <c r="B74" s="103">
        <v>1.0602582401328022E-2</v>
      </c>
      <c r="C74" s="18" t="s">
        <v>74</v>
      </c>
      <c r="D74" s="22">
        <f>DATE(1994,11,17)</f>
        <v>34655</v>
      </c>
      <c r="E74" s="22">
        <f>DATE(2024,11,1)</f>
        <v>45597</v>
      </c>
      <c r="F74" s="89">
        <f t="shared" si="52"/>
        <v>29.955555555555556</v>
      </c>
      <c r="G74" s="89">
        <f t="shared" si="53"/>
        <v>8.3361111111111104</v>
      </c>
      <c r="H74" s="25">
        <v>15060000</v>
      </c>
      <c r="I74" s="101">
        <v>15060000</v>
      </c>
      <c r="J74" s="25">
        <f>-375570-172.07-17.44-59.52-37280.76-9466.37+527.73-555.56-263.72-0.15</f>
        <v>-422857.86000000004</v>
      </c>
      <c r="K74" s="25">
        <f>(-92641)+11214</f>
        <v>-81427</v>
      </c>
      <c r="L74" s="25">
        <f t="shared" si="54"/>
        <v>14555715.140000001</v>
      </c>
      <c r="M74" s="91">
        <f t="shared" si="55"/>
        <v>96.651494953519261</v>
      </c>
      <c r="N74" s="92">
        <f t="shared" si="56"/>
        <v>1.193E-2</v>
      </c>
      <c r="O74" s="14">
        <f t="shared" si="57"/>
        <v>179665.8</v>
      </c>
      <c r="P74" s="118">
        <f t="shared" si="50"/>
        <v>64</v>
      </c>
    </row>
    <row r="75" spans="1:16" s="23" customFormat="1">
      <c r="A75" s="117">
        <f t="shared" si="51"/>
        <v>65</v>
      </c>
      <c r="B75" s="103">
        <v>1.5385186623573289E-2</v>
      </c>
      <c r="C75" s="18" t="s">
        <v>75</v>
      </c>
      <c r="D75" s="22">
        <f>DATE(1994,11,17)</f>
        <v>34655</v>
      </c>
      <c r="E75" s="22">
        <f>DATE(2024,11,1)</f>
        <v>45597</v>
      </c>
      <c r="F75" s="89">
        <f t="shared" si="52"/>
        <v>29.955555555555556</v>
      </c>
      <c r="G75" s="89">
        <f t="shared" si="53"/>
        <v>8.3361111111111104</v>
      </c>
      <c r="H75" s="25">
        <v>21260000</v>
      </c>
      <c r="I75" s="101">
        <v>21260000</v>
      </c>
      <c r="J75" s="25">
        <f>-412545-242.74-24.63-31480.09-52628.74-13360.33+18.88+678.51-555.55-339.07-0.18</f>
        <v>-510478.94</v>
      </c>
      <c r="K75" s="25">
        <f>(-88352)</f>
        <v>-88352</v>
      </c>
      <c r="L75" s="25">
        <f t="shared" si="54"/>
        <v>20661169.059999999</v>
      </c>
      <c r="M75" s="91">
        <f t="shared" si="55"/>
        <v>97.183297554092178</v>
      </c>
      <c r="N75" s="92">
        <f t="shared" si="56"/>
        <v>1.6580000000000001E-2</v>
      </c>
      <c r="O75" s="14">
        <f t="shared" si="57"/>
        <v>352490.80000000005</v>
      </c>
      <c r="P75" s="118">
        <f t="shared" si="50"/>
        <v>65</v>
      </c>
    </row>
    <row r="76" spans="1:16" s="23" customFormat="1">
      <c r="A76" s="117">
        <f t="shared" si="51"/>
        <v>66</v>
      </c>
      <c r="B76" s="103">
        <v>9.0451912238993723E-3</v>
      </c>
      <c r="C76" s="18" t="s">
        <v>78</v>
      </c>
      <c r="D76" s="22">
        <f>DATE(1995,11,17)</f>
        <v>35020</v>
      </c>
      <c r="E76" s="22">
        <f>DATE(2025,11,1)</f>
        <v>45962</v>
      </c>
      <c r="F76" s="89">
        <f t="shared" si="52"/>
        <v>29.955555555555556</v>
      </c>
      <c r="G76" s="89">
        <f t="shared" si="53"/>
        <v>9.3361111111111104</v>
      </c>
      <c r="H76" s="25">
        <v>5300000</v>
      </c>
      <c r="I76" s="101">
        <f>5300000</f>
        <v>5300000</v>
      </c>
      <c r="J76" s="25">
        <f>-4020.01-32463.14-26670.88-14633.18-53933.24-322.71</f>
        <v>-132043.15999999997</v>
      </c>
      <c r="K76" s="25">
        <v>0</v>
      </c>
      <c r="L76" s="25">
        <f t="shared" si="54"/>
        <v>5167956.84</v>
      </c>
      <c r="M76" s="91">
        <f t="shared" si="55"/>
        <v>97.508619622641504</v>
      </c>
      <c r="N76" s="92">
        <f t="shared" si="56"/>
        <v>1.001E-2</v>
      </c>
      <c r="O76" s="14">
        <f t="shared" si="57"/>
        <v>53053</v>
      </c>
      <c r="P76" s="118">
        <f t="shared" si="50"/>
        <v>66</v>
      </c>
    </row>
    <row r="77" spans="1:16" s="23" customFormat="1">
      <c r="A77" s="117">
        <f t="shared" si="51"/>
        <v>67</v>
      </c>
      <c r="B77" s="103">
        <v>1.0026433187878788E-2</v>
      </c>
      <c r="C77" s="18" t="s">
        <v>79</v>
      </c>
      <c r="D77" s="22">
        <f>DATE(1995,11,17)</f>
        <v>35020</v>
      </c>
      <c r="E77" s="22">
        <f>DATE(2025,11,1)</f>
        <v>45962</v>
      </c>
      <c r="F77" s="89">
        <f t="shared" si="52"/>
        <v>29.955555555555556</v>
      </c>
      <c r="G77" s="89">
        <f t="shared" si="53"/>
        <v>9.3361111111111104</v>
      </c>
      <c r="H77" s="25">
        <v>22000000</v>
      </c>
      <c r="I77" s="101">
        <f>22000000</f>
        <v>22000000</v>
      </c>
      <c r="J77" s="25">
        <f>-9071.1-129640.11-189217.86-14682.77-4950-56377.22-322.71</f>
        <v>-404261.76999999996</v>
      </c>
      <c r="K77" s="25">
        <v>0</v>
      </c>
      <c r="L77" s="25">
        <f t="shared" si="54"/>
        <v>21595738.23</v>
      </c>
      <c r="M77" s="91">
        <f t="shared" si="55"/>
        <v>98.162446500000001</v>
      </c>
      <c r="N77" s="92">
        <f t="shared" si="56"/>
        <v>1.074E-2</v>
      </c>
      <c r="O77" s="14">
        <f t="shared" si="57"/>
        <v>236280</v>
      </c>
      <c r="P77" s="118">
        <f t="shared" si="50"/>
        <v>67</v>
      </c>
    </row>
    <row r="78" spans="1:16" s="23" customFormat="1">
      <c r="A78" s="117">
        <f t="shared" si="51"/>
        <v>68</v>
      </c>
      <c r="B78" s="94">
        <f>SUMPRODUCT(B71:B77,I71:I77)/I78</f>
        <v>1.3090114272042036E-2</v>
      </c>
      <c r="C78" s="19" t="s">
        <v>93</v>
      </c>
      <c r="D78" s="22"/>
      <c r="E78" s="22"/>
      <c r="F78" s="95">
        <f>SUMPRODUCT(F71:F77,I71:I77)/I78</f>
        <v>29.954154649086664</v>
      </c>
      <c r="G78" s="95">
        <f>SUMPRODUCT(G71:G77,I71:I77)/I78</f>
        <v>8.1383772833401977</v>
      </c>
      <c r="H78" s="18"/>
      <c r="I78" s="19">
        <f>SUM(I71:I77)</f>
        <v>202250000</v>
      </c>
      <c r="J78" s="19">
        <f>SUM(J71:J77)</f>
        <v>-5258489.33</v>
      </c>
      <c r="K78" s="19">
        <f>SUM(K71:K77)</f>
        <v>-2181869</v>
      </c>
      <c r="L78" s="19">
        <f>SUM(L71:L77)</f>
        <v>194809641.67000002</v>
      </c>
      <c r="M78" s="92"/>
      <c r="N78" s="98">
        <f>O78/I78</f>
        <v>1.4614530531520394E-2</v>
      </c>
      <c r="O78" s="19">
        <f>SUM(O71:O77)</f>
        <v>2955788.8</v>
      </c>
      <c r="P78" s="118">
        <f t="shared" si="50"/>
        <v>68</v>
      </c>
    </row>
    <row r="79" spans="1:16" s="23" customFormat="1">
      <c r="A79" s="117">
        <f t="shared" si="51"/>
        <v>69</v>
      </c>
      <c r="B79" s="21"/>
      <c r="C79" s="18"/>
      <c r="D79" s="22"/>
      <c r="E79" s="22"/>
      <c r="F79" s="89"/>
      <c r="G79" s="89"/>
      <c r="H79" s="18"/>
      <c r="I79" s="13"/>
      <c r="J79" s="102"/>
      <c r="K79" s="18"/>
      <c r="L79" s="14"/>
      <c r="M79" s="92"/>
      <c r="N79" s="92"/>
      <c r="O79" s="14"/>
      <c r="P79" s="118">
        <f t="shared" si="50"/>
        <v>69</v>
      </c>
    </row>
    <row r="80" spans="1:16" s="23" customFormat="1">
      <c r="A80" s="117">
        <f t="shared" si="51"/>
        <v>70</v>
      </c>
      <c r="B80" s="103">
        <v>8.9907591333333332E-3</v>
      </c>
      <c r="C80" s="104" t="s">
        <v>43</v>
      </c>
      <c r="D80" s="22">
        <f>DATE(1988,1,14)</f>
        <v>32156</v>
      </c>
      <c r="E80" s="22">
        <f>DATE(2017,1,1)</f>
        <v>42736</v>
      </c>
      <c r="F80" s="89">
        <f t="shared" ref="F80:F86" si="58">YEARFRAC(D80,E80)</f>
        <v>28.963888888888889</v>
      </c>
      <c r="G80" s="89">
        <f t="shared" ref="G80:G86" si="59">YEARFRAC($A$4,E80)</f>
        <v>0.50277777777777777</v>
      </c>
      <c r="H80" s="25">
        <v>50000000</v>
      </c>
      <c r="I80" s="101">
        <v>50000000</v>
      </c>
      <c r="J80" s="25">
        <f>(-422443)</f>
        <v>-422443</v>
      </c>
      <c r="K80" s="25">
        <f>(-882101)</f>
        <v>-882101</v>
      </c>
      <c r="L80" s="25">
        <f t="shared" ref="L80:L86" si="60">SUM(I80:K80)</f>
        <v>48695456</v>
      </c>
      <c r="M80" s="91">
        <f t="shared" ref="M80:M86" si="61">L80/I80*100</f>
        <v>97.390912</v>
      </c>
      <c r="N80" s="92">
        <f t="shared" ref="N80:N86" si="62">ROUND(YIELD(D80,E80,B80,M80,100,4,1),5)</f>
        <v>1.0030000000000001E-2</v>
      </c>
      <c r="O80" s="105">
        <f t="shared" ref="O80:O86" si="63">ROUND(N80,5)*I80</f>
        <v>501500.00000000006</v>
      </c>
      <c r="P80" s="118">
        <f t="shared" si="50"/>
        <v>70</v>
      </c>
    </row>
    <row r="81" spans="1:16" s="23" customFormat="1">
      <c r="A81" s="117">
        <f t="shared" si="51"/>
        <v>71</v>
      </c>
      <c r="B81" s="103">
        <v>1.4769133052951817E-2</v>
      </c>
      <c r="C81" s="104" t="s">
        <v>71</v>
      </c>
      <c r="D81" s="22">
        <f>DATE(1988,1,14)</f>
        <v>32156</v>
      </c>
      <c r="E81" s="22">
        <f>DATE(2018,1,1)</f>
        <v>43101</v>
      </c>
      <c r="F81" s="89">
        <f t="shared" si="58"/>
        <v>29.963888888888889</v>
      </c>
      <c r="G81" s="89">
        <f t="shared" si="59"/>
        <v>1.5027777777777778</v>
      </c>
      <c r="H81" s="25">
        <v>45000000</v>
      </c>
      <c r="I81" s="101">
        <v>45000000</v>
      </c>
      <c r="J81" s="25">
        <f>(-380198)</f>
        <v>-380198</v>
      </c>
      <c r="K81" s="25">
        <f>(-1013283)</f>
        <v>-1013283</v>
      </c>
      <c r="L81" s="25">
        <f t="shared" si="60"/>
        <v>43606519</v>
      </c>
      <c r="M81" s="91">
        <f t="shared" si="61"/>
        <v>96.903375555555556</v>
      </c>
      <c r="N81" s="92">
        <f t="shared" si="62"/>
        <v>1.6070000000000001E-2</v>
      </c>
      <c r="O81" s="105">
        <f t="shared" si="63"/>
        <v>723150</v>
      </c>
      <c r="P81" s="118">
        <f t="shared" si="50"/>
        <v>71</v>
      </c>
    </row>
    <row r="82" spans="1:16" s="23" customFormat="1">
      <c r="A82" s="117">
        <f t="shared" si="51"/>
        <v>72</v>
      </c>
      <c r="B82" s="103">
        <v>8.8682686556634301E-3</v>
      </c>
      <c r="C82" s="104" t="s">
        <v>44</v>
      </c>
      <c r="D82" s="22">
        <f>DATE(1988,1,14)</f>
        <v>32156</v>
      </c>
      <c r="E82" s="22">
        <f>DATE(2018,1,1)</f>
        <v>43101</v>
      </c>
      <c r="F82" s="89">
        <f t="shared" si="58"/>
        <v>29.963888888888889</v>
      </c>
      <c r="G82" s="89">
        <f t="shared" si="59"/>
        <v>1.5027777777777778</v>
      </c>
      <c r="H82" s="25">
        <v>63000000</v>
      </c>
      <c r="I82" s="101">
        <v>41200000</v>
      </c>
      <c r="J82" s="25">
        <v>-351905</v>
      </c>
      <c r="K82" s="25">
        <v>-1006013</v>
      </c>
      <c r="L82" s="25">
        <f t="shared" si="60"/>
        <v>39842082</v>
      </c>
      <c r="M82" s="91">
        <f t="shared" si="61"/>
        <v>96.70408252427184</v>
      </c>
      <c r="N82" s="92">
        <f t="shared" si="62"/>
        <v>1.0149999999999999E-2</v>
      </c>
      <c r="O82" s="105">
        <f t="shared" si="63"/>
        <v>418180</v>
      </c>
      <c r="P82" s="118">
        <f t="shared" si="50"/>
        <v>72</v>
      </c>
    </row>
    <row r="83" spans="1:16" s="23" customFormat="1">
      <c r="A83" s="117">
        <f t="shared" si="51"/>
        <v>73</v>
      </c>
      <c r="B83" s="103">
        <v>1.3490572559484101E-2</v>
      </c>
      <c r="C83" s="104" t="s">
        <v>91</v>
      </c>
      <c r="D83" s="22">
        <f>DATE(1992,9,29)</f>
        <v>33876</v>
      </c>
      <c r="E83" s="22">
        <f>DATE(2020,12,1)</f>
        <v>44166</v>
      </c>
      <c r="F83" s="89">
        <f t="shared" si="58"/>
        <v>28.172222222222221</v>
      </c>
      <c r="G83" s="89">
        <f t="shared" si="59"/>
        <v>4.4194444444444443</v>
      </c>
      <c r="H83" s="25">
        <v>22485000</v>
      </c>
      <c r="I83" s="101">
        <v>22485000</v>
      </c>
      <c r="J83" s="25">
        <f>-194271-10794.65-37097.95</f>
        <v>-242163.59999999998</v>
      </c>
      <c r="K83" s="25">
        <f>(-303303)</f>
        <v>-303303</v>
      </c>
      <c r="L83" s="25">
        <f t="shared" si="60"/>
        <v>21939533.399999999</v>
      </c>
      <c r="M83" s="91">
        <f t="shared" si="61"/>
        <v>97.574086724482981</v>
      </c>
      <c r="N83" s="92">
        <f t="shared" si="62"/>
        <v>1.4540000000000001E-2</v>
      </c>
      <c r="O83" s="105">
        <f t="shared" si="63"/>
        <v>326931.90000000002</v>
      </c>
      <c r="P83" s="118">
        <f t="shared" si="50"/>
        <v>73</v>
      </c>
    </row>
    <row r="84" spans="1:16" s="23" customFormat="1">
      <c r="A84" s="117">
        <f t="shared" si="51"/>
        <v>74</v>
      </c>
      <c r="B84" s="103">
        <v>1.3845190229545614E-2</v>
      </c>
      <c r="C84" s="104" t="s">
        <v>89</v>
      </c>
      <c r="D84" s="22">
        <f>DATE(1992,9,29)</f>
        <v>33876</v>
      </c>
      <c r="E84" s="22">
        <f>DATE(2020,12,1)</f>
        <v>44166</v>
      </c>
      <c r="F84" s="89">
        <f t="shared" si="58"/>
        <v>28.172222222222221</v>
      </c>
      <c r="G84" s="89">
        <f t="shared" si="59"/>
        <v>4.4194444444444443</v>
      </c>
      <c r="H84" s="25">
        <v>9335000</v>
      </c>
      <c r="I84" s="101">
        <v>9335000</v>
      </c>
      <c r="J84" s="25">
        <f>-147642-4480.37-15401.8</f>
        <v>-167524.16999999998</v>
      </c>
      <c r="K84" s="25">
        <f>(-134094)</f>
        <v>-134094</v>
      </c>
      <c r="L84" s="25">
        <f t="shared" si="60"/>
        <v>9033381.8300000001</v>
      </c>
      <c r="M84" s="91">
        <f t="shared" si="61"/>
        <v>96.76895372254954</v>
      </c>
      <c r="N84" s="92">
        <f t="shared" si="62"/>
        <v>1.5259999999999999E-2</v>
      </c>
      <c r="O84" s="105">
        <f t="shared" si="63"/>
        <v>142452.1</v>
      </c>
      <c r="P84" s="118">
        <f t="shared" si="50"/>
        <v>74</v>
      </c>
    </row>
    <row r="85" spans="1:16" s="23" customFormat="1">
      <c r="A85" s="117">
        <f t="shared" si="51"/>
        <v>75</v>
      </c>
      <c r="B85" s="103">
        <v>1.40305212419801E-2</v>
      </c>
      <c r="C85" s="104" t="s">
        <v>90</v>
      </c>
      <c r="D85" s="22">
        <f>DATE(1992,9,29)</f>
        <v>33876</v>
      </c>
      <c r="E85" s="22">
        <f>DATE(2020,12,1)</f>
        <v>44166</v>
      </c>
      <c r="F85" s="89">
        <f t="shared" si="58"/>
        <v>28.172222222222221</v>
      </c>
      <c r="G85" s="89">
        <f t="shared" si="59"/>
        <v>4.4194444444444443</v>
      </c>
      <c r="H85" s="25">
        <v>6305000</v>
      </c>
      <c r="I85" s="101">
        <v>6305000</v>
      </c>
      <c r="J85" s="25">
        <f>-138478-3027.19-10402.61</f>
        <v>-151907.79999999999</v>
      </c>
      <c r="K85" s="25">
        <f>(-97735)</f>
        <v>-97735</v>
      </c>
      <c r="L85" s="25">
        <f t="shared" si="60"/>
        <v>6055357.2000000002</v>
      </c>
      <c r="M85" s="91">
        <f t="shared" si="61"/>
        <v>96.04055828707375</v>
      </c>
      <c r="N85" s="92">
        <f t="shared" si="62"/>
        <v>1.5769999999999999E-2</v>
      </c>
      <c r="O85" s="105">
        <f t="shared" si="63"/>
        <v>99429.849999999991</v>
      </c>
      <c r="P85" s="118">
        <f t="shared" si="50"/>
        <v>75</v>
      </c>
    </row>
    <row r="86" spans="1:16" s="23" customFormat="1">
      <c r="A86" s="117">
        <f t="shared" si="51"/>
        <v>76</v>
      </c>
      <c r="B86" s="103">
        <v>1.4011772098824874E-2</v>
      </c>
      <c r="C86" s="104" t="s">
        <v>80</v>
      </c>
      <c r="D86" s="22">
        <f>DATE(1995,12,14)</f>
        <v>35047</v>
      </c>
      <c r="E86" s="22">
        <f>DATE(2025,11,1)</f>
        <v>45962</v>
      </c>
      <c r="F86" s="89">
        <f t="shared" si="58"/>
        <v>29.880555555555556</v>
      </c>
      <c r="G86" s="89">
        <f t="shared" si="59"/>
        <v>9.3361111111111104</v>
      </c>
      <c r="H86" s="25">
        <v>24400000</v>
      </c>
      <c r="I86" s="106">
        <f>24400000</f>
        <v>24400000</v>
      </c>
      <c r="J86" s="25">
        <f>-19002.27-120150.79-10722.63-6607.3-58895.72-9621.24</f>
        <v>-224999.94999999998</v>
      </c>
      <c r="K86" s="25">
        <v>-428469.14</v>
      </c>
      <c r="L86" s="25">
        <f t="shared" si="60"/>
        <v>23746530.91</v>
      </c>
      <c r="M86" s="91">
        <f t="shared" si="61"/>
        <v>97.321847991803281</v>
      </c>
      <c r="N86" s="92">
        <f t="shared" si="62"/>
        <v>1.5129999999999999E-2</v>
      </c>
      <c r="O86" s="105">
        <f t="shared" si="63"/>
        <v>369172</v>
      </c>
      <c r="P86" s="118">
        <f t="shared" si="50"/>
        <v>76</v>
      </c>
    </row>
    <row r="87" spans="1:16" s="23" customFormat="1">
      <c r="A87" s="117">
        <f t="shared" si="51"/>
        <v>77</v>
      </c>
      <c r="B87" s="94">
        <f>SUMPRODUCT(B80:B86,I80:I86)/I87</f>
        <v>1.1787403009674936E-2</v>
      </c>
      <c r="C87" s="19" t="s">
        <v>94</v>
      </c>
      <c r="D87" s="22"/>
      <c r="E87" s="22"/>
      <c r="F87" s="95">
        <f>SUMPRODUCT(F80:F86,I80:I86)/I87</f>
        <v>29.358325295984123</v>
      </c>
      <c r="G87" s="95">
        <f>SUMPRODUCT(G80:G86,I80:I86)/I87</f>
        <v>2.7725286898421881</v>
      </c>
      <c r="H87" s="18"/>
      <c r="I87" s="19">
        <f>SUM(I80:I86)</f>
        <v>198725000</v>
      </c>
      <c r="J87" s="19">
        <f>SUM(J80:J86)</f>
        <v>-1941141.52</v>
      </c>
      <c r="K87" s="19">
        <f>SUM(K80:K86)</f>
        <v>-3864998.14</v>
      </c>
      <c r="L87" s="19">
        <f>SUM(L80:L86)</f>
        <v>192918860.34</v>
      </c>
      <c r="M87" s="92"/>
      <c r="N87" s="98">
        <f>O87/I87</f>
        <v>1.2986870549754687E-2</v>
      </c>
      <c r="O87" s="43">
        <f>SUM(O80:O86)</f>
        <v>2580815.85</v>
      </c>
      <c r="P87" s="118">
        <f t="shared" si="50"/>
        <v>77</v>
      </c>
    </row>
    <row r="88" spans="1:16" s="23" customFormat="1">
      <c r="A88" s="117">
        <f t="shared" si="51"/>
        <v>78</v>
      </c>
      <c r="B88" s="21"/>
      <c r="C88" s="18"/>
      <c r="D88" s="22"/>
      <c r="E88" s="22"/>
      <c r="F88" s="89"/>
      <c r="G88" s="89"/>
      <c r="H88" s="18"/>
      <c r="I88" s="13"/>
      <c r="J88" s="102"/>
      <c r="K88" s="18"/>
      <c r="L88" s="14"/>
      <c r="M88" s="92"/>
      <c r="N88" s="92"/>
      <c r="O88" s="14"/>
      <c r="P88" s="118">
        <f t="shared" si="50"/>
        <v>78</v>
      </c>
    </row>
    <row r="89" spans="1:16" s="23" customFormat="1">
      <c r="A89" s="117">
        <f t="shared" si="51"/>
        <v>79</v>
      </c>
      <c r="B89" s="94">
        <f>(B78*I78+B87*I87)/I89</f>
        <v>1.244448475495518E-2</v>
      </c>
      <c r="C89" s="19" t="s">
        <v>76</v>
      </c>
      <c r="D89" s="22"/>
      <c r="E89" s="22"/>
      <c r="F89" s="95">
        <f>(F78*I78+F87*I87)/I89</f>
        <v>29.658858961836078</v>
      </c>
      <c r="G89" s="95">
        <f>(G78*I78+G87*I87)/I89</f>
        <v>5.4790387666174789</v>
      </c>
      <c r="H89" s="18"/>
      <c r="I89" s="19">
        <f>I78+I87</f>
        <v>400975000</v>
      </c>
      <c r="J89" s="19">
        <f>J78+J87</f>
        <v>-7199630.8499999996</v>
      </c>
      <c r="K89" s="19">
        <f>K78+K87</f>
        <v>-6046867.1400000006</v>
      </c>
      <c r="L89" s="19">
        <f>L78+L87</f>
        <v>387728502.00999999</v>
      </c>
      <c r="M89" s="92"/>
      <c r="N89" s="98">
        <f>O89/I89</f>
        <v>1.3807854978489931E-2</v>
      </c>
      <c r="O89" s="19">
        <f>O78+O87</f>
        <v>5536604.6500000004</v>
      </c>
      <c r="P89" s="118">
        <f t="shared" si="50"/>
        <v>79</v>
      </c>
    </row>
    <row r="90" spans="1:16" s="23" customFormat="1">
      <c r="A90" s="117">
        <f t="shared" si="51"/>
        <v>80</v>
      </c>
      <c r="B90" s="94"/>
      <c r="C90" s="19"/>
      <c r="D90" s="22"/>
      <c r="E90" s="22"/>
      <c r="F90" s="95"/>
      <c r="G90" s="95"/>
      <c r="H90" s="18"/>
      <c r="I90" s="19"/>
      <c r="J90" s="19"/>
      <c r="K90" s="19"/>
      <c r="L90" s="19"/>
      <c r="M90" s="92"/>
      <c r="N90" s="98"/>
      <c r="O90" s="19"/>
      <c r="P90" s="118">
        <f t="shared" si="50"/>
        <v>80</v>
      </c>
    </row>
    <row r="91" spans="1:16" s="23" customFormat="1">
      <c r="A91" s="117">
        <f t="shared" si="51"/>
        <v>81</v>
      </c>
      <c r="B91" s="94"/>
      <c r="C91" s="19"/>
      <c r="D91" s="77" t="s">
        <v>109</v>
      </c>
      <c r="E91" s="77" t="s">
        <v>110</v>
      </c>
      <c r="F91" s="95"/>
      <c r="G91" s="95"/>
      <c r="H91" s="18"/>
      <c r="I91" s="19"/>
      <c r="J91" s="19"/>
      <c r="K91" s="19"/>
      <c r="L91" s="19"/>
      <c r="M91" s="92"/>
      <c r="N91" s="98"/>
      <c r="O91" s="19"/>
      <c r="P91" s="118">
        <f t="shared" si="50"/>
        <v>81</v>
      </c>
    </row>
    <row r="92" spans="1:16" s="23" customFormat="1">
      <c r="A92" s="117">
        <f t="shared" si="51"/>
        <v>82</v>
      </c>
      <c r="B92" s="94"/>
      <c r="C92" s="19"/>
      <c r="D92" s="77" t="s">
        <v>29</v>
      </c>
      <c r="E92" s="77" t="s">
        <v>29</v>
      </c>
      <c r="F92" s="95"/>
      <c r="G92" s="95"/>
      <c r="H92" s="18"/>
      <c r="I92" s="19"/>
      <c r="J92" s="19"/>
      <c r="K92" s="19"/>
      <c r="L92" s="19"/>
      <c r="M92" s="92"/>
      <c r="N92" s="98"/>
      <c r="O92" s="19"/>
      <c r="P92" s="118">
        <f t="shared" si="50"/>
        <v>82</v>
      </c>
    </row>
    <row r="93" spans="1:16" s="23" customFormat="1">
      <c r="A93" s="117">
        <f t="shared" si="51"/>
        <v>83</v>
      </c>
      <c r="B93" s="94"/>
      <c r="C93" s="78" t="s">
        <v>111</v>
      </c>
      <c r="D93" s="22">
        <f>DATE(2000,11,17)</f>
        <v>36847</v>
      </c>
      <c r="E93" s="22">
        <f>DATE(2035,6,30)</f>
        <v>49490</v>
      </c>
      <c r="F93" s="95"/>
      <c r="G93" s="95"/>
      <c r="H93" s="18"/>
      <c r="I93" s="19"/>
      <c r="J93" s="19"/>
      <c r="K93" s="19"/>
      <c r="L93" s="19"/>
      <c r="M93" s="92"/>
      <c r="N93" s="98"/>
      <c r="O93" s="14">
        <f>107887.08</f>
        <v>107887.08</v>
      </c>
      <c r="P93" s="118">
        <f t="shared" si="50"/>
        <v>83</v>
      </c>
    </row>
    <row r="94" spans="1:16" s="23" customFormat="1">
      <c r="A94" s="117">
        <f t="shared" si="51"/>
        <v>84</v>
      </c>
      <c r="B94" s="94"/>
      <c r="C94" s="78" t="s">
        <v>112</v>
      </c>
      <c r="D94" s="22">
        <f>DATE(2000,11,17)</f>
        <v>36847</v>
      </c>
      <c r="E94" s="22">
        <f>DATE(2025,12,31)</f>
        <v>46022</v>
      </c>
      <c r="F94" s="95"/>
      <c r="G94" s="95"/>
      <c r="H94" s="18"/>
      <c r="I94" s="19"/>
      <c r="J94" s="19"/>
      <c r="K94" s="19"/>
      <c r="L94" s="19"/>
      <c r="M94" s="92"/>
      <c r="N94" s="98"/>
      <c r="O94" s="14">
        <v>84083.82</v>
      </c>
      <c r="P94" s="118">
        <f t="shared" si="50"/>
        <v>84</v>
      </c>
    </row>
    <row r="95" spans="1:16" s="23" customFormat="1">
      <c r="A95" s="117">
        <f t="shared" si="51"/>
        <v>85</v>
      </c>
      <c r="B95" s="94"/>
      <c r="C95" s="54" t="s">
        <v>113</v>
      </c>
      <c r="D95" s="22"/>
      <c r="E95" s="22"/>
      <c r="F95" s="95"/>
      <c r="G95" s="95"/>
      <c r="H95" s="18"/>
      <c r="I95" s="19"/>
      <c r="J95" s="19"/>
      <c r="K95" s="19"/>
      <c r="L95" s="19"/>
      <c r="M95" s="92"/>
      <c r="N95" s="98"/>
      <c r="O95" s="19">
        <f>SUM(O93:O94)</f>
        <v>191970.90000000002</v>
      </c>
      <c r="P95" s="118">
        <f t="shared" si="50"/>
        <v>85</v>
      </c>
    </row>
    <row r="96" spans="1:16" s="23" customFormat="1">
      <c r="A96" s="117">
        <f t="shared" si="51"/>
        <v>86</v>
      </c>
      <c r="B96" s="21"/>
      <c r="C96" s="18"/>
      <c r="D96" s="22"/>
      <c r="E96" s="22"/>
      <c r="F96" s="89"/>
      <c r="G96" s="89"/>
      <c r="H96" s="18"/>
      <c r="I96" s="13"/>
      <c r="J96" s="102"/>
      <c r="K96" s="18"/>
      <c r="L96" s="14"/>
      <c r="M96" s="92"/>
      <c r="N96" s="92"/>
      <c r="O96" s="14"/>
      <c r="P96" s="118">
        <f t="shared" si="50"/>
        <v>86</v>
      </c>
    </row>
    <row r="97" spans="1:16" s="23" customFormat="1">
      <c r="A97" s="117">
        <f t="shared" si="51"/>
        <v>87</v>
      </c>
      <c r="B97" s="107">
        <f>(B68*I68+B89*I89)/I97</f>
        <v>5.0673397886412834E-2</v>
      </c>
      <c r="C97" s="19" t="s">
        <v>81</v>
      </c>
      <c r="D97" s="22"/>
      <c r="E97" s="22"/>
      <c r="F97" s="95">
        <f>(F68*I68+F89*I89)/I97</f>
        <v>22.467465149532334</v>
      </c>
      <c r="G97" s="95">
        <f>(G68*I68+G89*I89)/I97</f>
        <v>13.291737025826322</v>
      </c>
      <c r="H97" s="18"/>
      <c r="I97" s="19">
        <f>I68+I89</f>
        <v>7104974000</v>
      </c>
      <c r="J97" s="43">
        <f>J68+J89</f>
        <v>-75824002.969999999</v>
      </c>
      <c r="K97" s="43">
        <f>K68+K89</f>
        <v>-37266652.660000004</v>
      </c>
      <c r="L97" s="19">
        <f>L68+L89</f>
        <v>6991883344.3700008</v>
      </c>
      <c r="M97" s="92"/>
      <c r="N97" s="98">
        <f>O97/I97</f>
        <v>5.2111954633472256E-2</v>
      </c>
      <c r="O97" s="97">
        <f>O68+O89+O95</f>
        <v>370254082.75999993</v>
      </c>
      <c r="P97" s="118">
        <f t="shared" si="50"/>
        <v>87</v>
      </c>
    </row>
    <row r="98" spans="1:16" s="23" customFormat="1">
      <c r="A98" s="119">
        <f t="shared" si="51"/>
        <v>88</v>
      </c>
      <c r="B98" s="108"/>
      <c r="C98" s="109"/>
      <c r="D98" s="110"/>
      <c r="E98" s="110"/>
      <c r="F98" s="111"/>
      <c r="G98" s="111"/>
      <c r="H98" s="109"/>
      <c r="I98" s="26"/>
      <c r="J98" s="112"/>
      <c r="K98" s="109"/>
      <c r="L98" s="27"/>
      <c r="M98" s="113"/>
      <c r="N98" s="113"/>
      <c r="O98" s="27"/>
      <c r="P98" s="120">
        <f t="shared" si="50"/>
        <v>88</v>
      </c>
    </row>
    <row r="99" spans="1:16" s="23" customFormat="1">
      <c r="A99" s="114"/>
      <c r="B99" s="114"/>
      <c r="D99" s="22"/>
      <c r="E99" s="22"/>
      <c r="F99" s="89"/>
      <c r="G99" s="89"/>
      <c r="H99" s="18"/>
      <c r="I99" s="13"/>
      <c r="J99" s="102"/>
      <c r="K99" s="18"/>
      <c r="L99" s="14"/>
      <c r="M99" s="92"/>
      <c r="N99" s="92"/>
      <c r="O99" s="14"/>
    </row>
    <row r="100" spans="1:16" s="23" customFormat="1">
      <c r="A100" s="114"/>
      <c r="B100" s="114"/>
      <c r="D100" s="22"/>
      <c r="E100" s="22"/>
      <c r="F100" s="89"/>
      <c r="G100" s="89"/>
      <c r="H100" s="18"/>
      <c r="I100" s="13"/>
      <c r="J100" s="102"/>
      <c r="K100" s="18"/>
      <c r="L100" s="14"/>
      <c r="M100" s="92"/>
      <c r="N100" s="92"/>
      <c r="O100" s="14"/>
    </row>
    <row r="101" spans="1:16" s="23" customFormat="1">
      <c r="A101" s="114"/>
      <c r="B101" s="114"/>
      <c r="D101" s="22"/>
      <c r="E101" s="22"/>
      <c r="F101" s="89"/>
      <c r="G101" s="89"/>
      <c r="H101" s="18"/>
      <c r="I101" s="13"/>
      <c r="J101" s="102"/>
      <c r="K101" s="18"/>
      <c r="L101" s="14"/>
      <c r="M101" s="92"/>
      <c r="N101" s="92"/>
      <c r="O101" s="14"/>
    </row>
    <row r="102" spans="1:16" s="23" customFormat="1">
      <c r="A102" s="114"/>
      <c r="B102" s="114"/>
      <c r="D102" s="22"/>
      <c r="E102" s="22"/>
      <c r="F102" s="89"/>
      <c r="G102" s="89"/>
      <c r="H102" s="18"/>
      <c r="I102" s="13"/>
      <c r="J102" s="102"/>
      <c r="K102" s="18"/>
      <c r="L102" s="14"/>
      <c r="M102" s="92"/>
      <c r="N102" s="92"/>
      <c r="O102" s="14"/>
    </row>
    <row r="103" spans="1:16" s="23" customFormat="1">
      <c r="A103" s="114"/>
      <c r="B103" s="114"/>
      <c r="D103" s="22"/>
      <c r="E103" s="22"/>
      <c r="F103" s="89"/>
      <c r="G103" s="89"/>
      <c r="H103" s="18"/>
      <c r="I103" s="13"/>
      <c r="J103" s="102"/>
      <c r="K103" s="18"/>
      <c r="L103" s="14"/>
      <c r="M103" s="92"/>
      <c r="N103" s="92"/>
      <c r="O103" s="14"/>
    </row>
    <row r="104" spans="1:16" s="23" customFormat="1">
      <c r="A104" s="114"/>
      <c r="B104" s="114"/>
      <c r="D104" s="22"/>
      <c r="E104" s="22"/>
      <c r="F104" s="89"/>
      <c r="G104" s="89"/>
      <c r="H104" s="18"/>
      <c r="I104" s="13"/>
      <c r="J104" s="102"/>
      <c r="K104" s="18"/>
      <c r="L104" s="14"/>
      <c r="M104" s="92"/>
      <c r="N104" s="92"/>
      <c r="O104" s="14"/>
    </row>
    <row r="105" spans="1:16" s="23" customFormat="1">
      <c r="D105" s="22"/>
      <c r="E105" s="22"/>
      <c r="F105" s="89"/>
      <c r="G105" s="89"/>
      <c r="H105" s="18"/>
      <c r="I105" s="13"/>
      <c r="J105" s="102"/>
      <c r="K105" s="18"/>
      <c r="L105" s="14"/>
      <c r="M105" s="92"/>
      <c r="N105" s="92"/>
      <c r="O105" s="14"/>
    </row>
    <row r="106" spans="1:16" s="23" customFormat="1">
      <c r="D106" s="22"/>
      <c r="E106" s="22"/>
      <c r="F106" s="89"/>
      <c r="G106" s="89"/>
      <c r="H106" s="18"/>
      <c r="I106" s="13"/>
      <c r="J106" s="102"/>
      <c r="K106" s="18"/>
      <c r="L106" s="14"/>
      <c r="M106" s="92"/>
      <c r="N106" s="92"/>
      <c r="O106" s="14"/>
    </row>
    <row r="107" spans="1:16" s="23" customFormat="1">
      <c r="D107" s="22"/>
      <c r="E107" s="22"/>
      <c r="F107" s="89"/>
      <c r="G107" s="89"/>
      <c r="H107" s="18"/>
      <c r="I107" s="13"/>
      <c r="J107" s="102"/>
      <c r="K107" s="18"/>
      <c r="L107" s="14"/>
      <c r="M107" s="92"/>
      <c r="N107" s="92"/>
      <c r="O107" s="14"/>
    </row>
    <row r="108" spans="1:16" s="23" customFormat="1">
      <c r="D108" s="22"/>
      <c r="E108" s="22"/>
      <c r="F108" s="89"/>
      <c r="G108" s="89"/>
      <c r="H108" s="18"/>
      <c r="I108" s="13"/>
      <c r="J108" s="102"/>
      <c r="K108" s="18"/>
      <c r="L108" s="14"/>
      <c r="M108" s="92"/>
      <c r="N108" s="92"/>
      <c r="O108" s="14"/>
    </row>
    <row r="109" spans="1:16" s="23" customFormat="1">
      <c r="D109" s="22"/>
      <c r="E109" s="22"/>
      <c r="F109" s="89"/>
      <c r="G109" s="89"/>
      <c r="H109" s="18"/>
      <c r="I109" s="13"/>
      <c r="J109" s="102"/>
      <c r="K109" s="18"/>
      <c r="L109" s="14"/>
      <c r="M109" s="92"/>
      <c r="N109" s="92"/>
      <c r="O109" s="14"/>
    </row>
    <row r="110" spans="1:16" s="23" customFormat="1">
      <c r="D110" s="22"/>
      <c r="E110" s="22"/>
      <c r="F110" s="89"/>
      <c r="G110" s="89"/>
      <c r="H110" s="18"/>
      <c r="I110" s="13"/>
      <c r="J110" s="102"/>
      <c r="K110" s="18"/>
      <c r="L110" s="14"/>
      <c r="M110" s="92"/>
      <c r="N110" s="92"/>
      <c r="O110" s="14"/>
    </row>
    <row r="111" spans="1:16" s="23" customFormat="1">
      <c r="D111" s="22"/>
      <c r="E111" s="22"/>
      <c r="F111" s="89"/>
      <c r="G111" s="89"/>
      <c r="H111" s="18"/>
      <c r="I111" s="13"/>
      <c r="J111" s="102"/>
      <c r="K111" s="18"/>
      <c r="L111" s="14"/>
      <c r="M111" s="92"/>
      <c r="N111" s="92"/>
      <c r="O111" s="14"/>
    </row>
    <row r="112" spans="1:16" s="23" customFormat="1">
      <c r="D112" s="22"/>
      <c r="E112" s="22"/>
      <c r="F112" s="89"/>
      <c r="G112" s="89"/>
      <c r="H112" s="18"/>
      <c r="I112" s="13"/>
      <c r="J112" s="102"/>
      <c r="K112" s="18"/>
      <c r="L112" s="14"/>
      <c r="M112" s="92"/>
      <c r="N112" s="92"/>
      <c r="O112" s="14"/>
    </row>
    <row r="113" spans="4:15" s="23" customFormat="1">
      <c r="D113" s="22"/>
      <c r="E113" s="22"/>
      <c r="F113" s="89"/>
      <c r="G113" s="89"/>
      <c r="H113" s="18"/>
      <c r="I113" s="13"/>
      <c r="J113" s="102"/>
      <c r="K113" s="18"/>
      <c r="L113" s="14"/>
      <c r="M113" s="92"/>
      <c r="N113" s="92"/>
      <c r="O113" s="14"/>
    </row>
    <row r="114" spans="4:15" s="23" customFormat="1">
      <c r="D114" s="22"/>
      <c r="E114" s="22"/>
      <c r="F114" s="89"/>
      <c r="G114" s="89"/>
      <c r="H114" s="18"/>
      <c r="I114" s="13"/>
      <c r="J114" s="102"/>
      <c r="K114" s="18"/>
      <c r="L114" s="14"/>
      <c r="M114" s="92"/>
      <c r="N114" s="92"/>
      <c r="O114" s="14"/>
    </row>
    <row r="115" spans="4:15" s="23" customFormat="1">
      <c r="D115" s="22"/>
      <c r="E115" s="22"/>
      <c r="F115" s="89"/>
      <c r="G115" s="89"/>
      <c r="H115" s="18"/>
      <c r="I115" s="13"/>
      <c r="J115" s="102"/>
      <c r="K115" s="18"/>
      <c r="L115" s="14"/>
      <c r="M115" s="92"/>
      <c r="N115" s="92"/>
      <c r="O115" s="14"/>
    </row>
    <row r="116" spans="4:15" s="23" customFormat="1">
      <c r="D116" s="22"/>
      <c r="E116" s="22"/>
      <c r="F116" s="89"/>
      <c r="G116" s="89"/>
      <c r="H116" s="18"/>
      <c r="I116" s="13"/>
      <c r="J116" s="102"/>
      <c r="K116" s="18"/>
      <c r="L116" s="14"/>
      <c r="M116" s="92"/>
      <c r="N116" s="92"/>
      <c r="O116" s="14"/>
    </row>
    <row r="117" spans="4:15" s="23" customFormat="1">
      <c r="D117" s="22"/>
      <c r="E117" s="22"/>
      <c r="F117" s="89"/>
      <c r="G117" s="89"/>
      <c r="H117" s="18"/>
      <c r="I117" s="13"/>
      <c r="J117" s="102"/>
      <c r="K117" s="18"/>
      <c r="L117" s="14"/>
      <c r="M117" s="92"/>
      <c r="N117" s="92"/>
      <c r="O117" s="14"/>
    </row>
    <row r="118" spans="4:15" s="23" customFormat="1">
      <c r="D118" s="22"/>
      <c r="E118" s="22"/>
      <c r="F118" s="89"/>
      <c r="G118" s="89"/>
      <c r="H118" s="18"/>
      <c r="I118" s="13"/>
      <c r="J118" s="102"/>
      <c r="K118" s="18"/>
      <c r="L118" s="14"/>
      <c r="M118" s="92"/>
      <c r="N118" s="92"/>
      <c r="O118" s="14"/>
    </row>
    <row r="119" spans="4:15" s="23" customFormat="1">
      <c r="D119" s="22"/>
      <c r="E119" s="22"/>
      <c r="F119" s="89"/>
      <c r="G119" s="89"/>
      <c r="H119" s="18"/>
      <c r="I119" s="13"/>
      <c r="J119" s="102"/>
      <c r="K119" s="18"/>
      <c r="L119" s="14"/>
      <c r="M119" s="92"/>
      <c r="N119" s="92"/>
      <c r="O119" s="14"/>
    </row>
    <row r="120" spans="4:15" s="23" customFormat="1">
      <c r="D120" s="22"/>
      <c r="E120" s="22"/>
      <c r="F120" s="89"/>
      <c r="G120" s="89"/>
      <c r="H120" s="18"/>
      <c r="I120" s="13"/>
      <c r="J120" s="102"/>
      <c r="K120" s="18"/>
      <c r="L120" s="14"/>
      <c r="M120" s="92"/>
      <c r="N120" s="92"/>
      <c r="O120" s="14"/>
    </row>
    <row r="121" spans="4:15" s="23" customFormat="1">
      <c r="D121" s="22"/>
      <c r="E121" s="22"/>
      <c r="F121" s="89"/>
      <c r="G121" s="89"/>
      <c r="H121" s="18"/>
      <c r="I121" s="13"/>
      <c r="J121" s="102"/>
      <c r="K121" s="18"/>
      <c r="L121" s="14"/>
      <c r="M121" s="92"/>
      <c r="N121" s="92"/>
      <c r="O121" s="14"/>
    </row>
    <row r="122" spans="4:15" s="23" customFormat="1">
      <c r="D122" s="22"/>
      <c r="E122" s="22"/>
      <c r="F122" s="89"/>
      <c r="G122" s="89"/>
      <c r="H122" s="18"/>
      <c r="I122" s="13"/>
      <c r="J122" s="102"/>
      <c r="K122" s="18"/>
      <c r="L122" s="14"/>
      <c r="M122" s="92"/>
      <c r="N122" s="92"/>
      <c r="O122" s="14"/>
    </row>
    <row r="123" spans="4:15" s="23" customFormat="1">
      <c r="D123" s="22"/>
      <c r="E123" s="22"/>
      <c r="F123" s="89"/>
      <c r="G123" s="89"/>
      <c r="H123" s="18"/>
      <c r="I123" s="13"/>
      <c r="J123" s="102"/>
      <c r="K123" s="18"/>
      <c r="L123" s="14"/>
      <c r="M123" s="92"/>
      <c r="N123" s="92"/>
      <c r="O123" s="14"/>
    </row>
    <row r="124" spans="4:15" s="23" customFormat="1">
      <c r="D124" s="22"/>
      <c r="E124" s="22"/>
      <c r="F124" s="89"/>
      <c r="G124" s="89"/>
      <c r="H124" s="18"/>
      <c r="I124" s="13"/>
      <c r="J124" s="102"/>
      <c r="K124" s="18"/>
      <c r="L124" s="14"/>
      <c r="M124" s="92"/>
      <c r="N124" s="92"/>
      <c r="O124" s="14"/>
    </row>
    <row r="125" spans="4:15" s="23" customFormat="1">
      <c r="D125" s="22"/>
      <c r="E125" s="22"/>
      <c r="F125" s="89"/>
      <c r="G125" s="89"/>
      <c r="H125" s="18"/>
      <c r="I125" s="13"/>
      <c r="J125" s="102"/>
      <c r="K125" s="18"/>
      <c r="L125" s="14"/>
      <c r="M125" s="92"/>
      <c r="N125" s="92"/>
      <c r="O125" s="14"/>
    </row>
    <row r="126" spans="4:15" s="23" customFormat="1">
      <c r="D126" s="22"/>
      <c r="E126" s="22"/>
      <c r="F126" s="89"/>
      <c r="G126" s="89"/>
      <c r="H126" s="18"/>
      <c r="I126" s="13"/>
      <c r="J126" s="102"/>
      <c r="K126" s="18"/>
      <c r="L126" s="14"/>
      <c r="M126" s="92"/>
      <c r="N126" s="92"/>
      <c r="O126" s="14"/>
    </row>
    <row r="127" spans="4:15" s="23" customFormat="1">
      <c r="D127" s="22"/>
      <c r="E127" s="22"/>
      <c r="F127" s="89"/>
      <c r="G127" s="89"/>
      <c r="H127" s="18"/>
      <c r="I127" s="13"/>
      <c r="J127" s="102"/>
      <c r="K127" s="18"/>
      <c r="L127" s="14"/>
      <c r="M127" s="92"/>
      <c r="N127" s="92"/>
      <c r="O127" s="14"/>
    </row>
    <row r="128" spans="4:15" s="23" customFormat="1">
      <c r="D128" s="22"/>
      <c r="E128" s="22"/>
      <c r="F128" s="89"/>
      <c r="G128" s="89"/>
      <c r="H128" s="18"/>
      <c r="I128" s="13"/>
      <c r="J128" s="102"/>
      <c r="K128" s="18"/>
      <c r="L128" s="14"/>
      <c r="M128" s="92"/>
      <c r="N128" s="92"/>
      <c r="O128" s="14"/>
    </row>
    <row r="129" spans="4:15" s="23" customFormat="1">
      <c r="D129" s="22"/>
      <c r="E129" s="22"/>
      <c r="F129" s="89"/>
      <c r="G129" s="89"/>
      <c r="H129" s="18"/>
      <c r="I129" s="13"/>
      <c r="J129" s="102"/>
      <c r="K129" s="18"/>
      <c r="L129" s="14"/>
      <c r="M129" s="92"/>
      <c r="N129" s="92"/>
      <c r="O129" s="14"/>
    </row>
    <row r="130" spans="4:15" s="23" customFormat="1">
      <c r="D130" s="22"/>
      <c r="E130" s="22"/>
      <c r="F130" s="89"/>
      <c r="G130" s="89"/>
      <c r="H130" s="18"/>
      <c r="I130" s="13"/>
      <c r="J130" s="102"/>
      <c r="K130" s="18"/>
      <c r="L130" s="14"/>
      <c r="M130" s="92"/>
      <c r="N130" s="92"/>
      <c r="O130" s="14"/>
    </row>
    <row r="131" spans="4:15" s="23" customFormat="1">
      <c r="D131" s="22"/>
      <c r="E131" s="22"/>
      <c r="F131" s="89"/>
      <c r="G131" s="89"/>
      <c r="H131" s="18"/>
      <c r="I131" s="13"/>
      <c r="J131" s="102"/>
      <c r="K131" s="18"/>
      <c r="L131" s="14"/>
      <c r="M131" s="92"/>
      <c r="N131" s="92"/>
      <c r="O131" s="14"/>
    </row>
    <row r="132" spans="4:15" s="23" customFormat="1">
      <c r="D132" s="22"/>
      <c r="E132" s="22"/>
      <c r="F132" s="89"/>
      <c r="G132" s="89"/>
      <c r="H132" s="18"/>
      <c r="I132" s="13"/>
      <c r="J132" s="102"/>
      <c r="K132" s="18"/>
      <c r="L132" s="14"/>
      <c r="M132" s="92"/>
      <c r="N132" s="92"/>
      <c r="O132" s="14"/>
    </row>
    <row r="133" spans="4:15" s="23" customFormat="1">
      <c r="D133" s="22"/>
      <c r="E133" s="22"/>
      <c r="F133" s="89"/>
      <c r="G133" s="89"/>
      <c r="H133" s="18"/>
      <c r="I133" s="13"/>
      <c r="J133" s="102"/>
      <c r="K133" s="18"/>
      <c r="L133" s="14"/>
      <c r="M133" s="92"/>
      <c r="N133" s="92"/>
      <c r="O133" s="14"/>
    </row>
    <row r="134" spans="4:15" s="23" customFormat="1">
      <c r="D134" s="22"/>
      <c r="E134" s="22"/>
      <c r="F134" s="89"/>
      <c r="G134" s="89"/>
      <c r="H134" s="18"/>
      <c r="I134" s="13"/>
      <c r="J134" s="102"/>
      <c r="K134" s="18"/>
      <c r="L134" s="14"/>
      <c r="M134" s="92"/>
      <c r="N134" s="92"/>
      <c r="O134" s="14"/>
    </row>
    <row r="135" spans="4:15" s="23" customFormat="1">
      <c r="D135" s="22"/>
      <c r="E135" s="22"/>
      <c r="F135" s="89"/>
      <c r="G135" s="89"/>
      <c r="H135" s="18"/>
      <c r="I135" s="13"/>
      <c r="J135" s="102"/>
      <c r="K135" s="18"/>
      <c r="L135" s="14"/>
      <c r="M135" s="92"/>
      <c r="N135" s="92"/>
      <c r="O135" s="14"/>
    </row>
    <row r="136" spans="4:15" s="23" customFormat="1">
      <c r="D136" s="22"/>
      <c r="E136" s="22"/>
      <c r="F136" s="89"/>
      <c r="G136" s="89"/>
      <c r="H136" s="18"/>
      <c r="I136" s="13"/>
      <c r="J136" s="102"/>
      <c r="K136" s="18"/>
      <c r="L136" s="14"/>
      <c r="M136" s="92"/>
      <c r="N136" s="92"/>
      <c r="O136" s="14"/>
    </row>
    <row r="137" spans="4:15" s="23" customFormat="1">
      <c r="D137" s="22"/>
      <c r="E137" s="22"/>
      <c r="F137" s="89"/>
      <c r="G137" s="89"/>
      <c r="H137" s="18"/>
      <c r="I137" s="13"/>
      <c r="J137" s="102"/>
      <c r="K137" s="18"/>
      <c r="L137" s="14"/>
      <c r="M137" s="92"/>
      <c r="N137" s="92"/>
      <c r="O137" s="14"/>
    </row>
    <row r="138" spans="4:15" s="23" customFormat="1">
      <c r="D138" s="22"/>
      <c r="E138" s="22"/>
      <c r="F138" s="89"/>
      <c r="G138" s="89"/>
      <c r="H138" s="18"/>
      <c r="I138" s="13"/>
      <c r="J138" s="102"/>
      <c r="K138" s="18"/>
      <c r="L138" s="14"/>
      <c r="M138" s="92"/>
      <c r="N138" s="92"/>
      <c r="O138" s="14"/>
    </row>
    <row r="139" spans="4:15" s="23" customFormat="1">
      <c r="D139" s="22"/>
      <c r="E139" s="22"/>
      <c r="F139" s="89"/>
      <c r="G139" s="89"/>
      <c r="H139" s="18"/>
      <c r="I139" s="13"/>
      <c r="J139" s="102"/>
      <c r="K139" s="18"/>
      <c r="L139" s="14"/>
      <c r="M139" s="92"/>
      <c r="N139" s="92"/>
      <c r="O139" s="14"/>
    </row>
    <row r="140" spans="4:15" s="23" customFormat="1">
      <c r="D140" s="22"/>
      <c r="E140" s="22"/>
      <c r="F140" s="89"/>
      <c r="G140" s="89"/>
      <c r="H140" s="18"/>
      <c r="I140" s="13"/>
      <c r="J140" s="102"/>
      <c r="K140" s="18"/>
      <c r="L140" s="14"/>
      <c r="M140" s="92"/>
      <c r="N140" s="92"/>
      <c r="O140" s="14"/>
    </row>
    <row r="141" spans="4:15" s="23" customFormat="1">
      <c r="D141" s="22"/>
      <c r="E141" s="22"/>
      <c r="F141" s="89"/>
      <c r="G141" s="89"/>
      <c r="H141" s="18"/>
      <c r="I141" s="13"/>
      <c r="J141" s="102"/>
      <c r="K141" s="18"/>
      <c r="L141" s="14"/>
      <c r="M141" s="92"/>
      <c r="N141" s="92"/>
      <c r="O141" s="14"/>
    </row>
    <row r="142" spans="4:15" s="23" customFormat="1">
      <c r="D142" s="22"/>
      <c r="E142" s="22"/>
      <c r="F142" s="89"/>
      <c r="G142" s="89"/>
      <c r="H142" s="18"/>
      <c r="I142" s="13"/>
      <c r="J142" s="102"/>
      <c r="K142" s="18"/>
      <c r="L142" s="14"/>
      <c r="M142" s="92"/>
      <c r="N142" s="92"/>
      <c r="O142" s="14"/>
    </row>
    <row r="143" spans="4:15" s="23" customFormat="1">
      <c r="D143" s="22"/>
      <c r="E143" s="22"/>
      <c r="F143" s="89"/>
      <c r="G143" s="89"/>
      <c r="H143" s="18"/>
      <c r="I143" s="13"/>
      <c r="J143" s="102"/>
      <c r="K143" s="18"/>
      <c r="L143" s="14"/>
      <c r="M143" s="92"/>
      <c r="N143" s="92"/>
      <c r="O143" s="14"/>
    </row>
    <row r="144" spans="4:15" s="23" customFormat="1">
      <c r="D144" s="22"/>
      <c r="E144" s="22"/>
      <c r="F144" s="89"/>
      <c r="G144" s="89"/>
      <c r="H144" s="18"/>
      <c r="I144" s="13"/>
      <c r="J144" s="102"/>
      <c r="K144" s="18"/>
      <c r="L144" s="14"/>
      <c r="M144" s="92"/>
      <c r="N144" s="92"/>
      <c r="O144" s="14"/>
    </row>
    <row r="145" spans="4:15" s="23" customFormat="1">
      <c r="D145" s="22"/>
      <c r="E145" s="22"/>
      <c r="F145" s="89"/>
      <c r="G145" s="89"/>
      <c r="H145" s="18"/>
      <c r="I145" s="13"/>
      <c r="J145" s="102"/>
      <c r="K145" s="18"/>
      <c r="L145" s="14"/>
      <c r="M145" s="92"/>
      <c r="N145" s="92"/>
      <c r="O145" s="14"/>
    </row>
    <row r="146" spans="4:15" s="23" customFormat="1">
      <c r="D146" s="22"/>
      <c r="E146" s="22"/>
      <c r="F146" s="89"/>
      <c r="G146" s="89"/>
      <c r="H146" s="18"/>
      <c r="I146" s="13"/>
      <c r="J146" s="102"/>
      <c r="K146" s="18"/>
      <c r="L146" s="14"/>
      <c r="M146" s="92"/>
      <c r="N146" s="92"/>
      <c r="O146" s="14"/>
    </row>
    <row r="147" spans="4:15" s="23" customFormat="1">
      <c r="D147" s="22"/>
      <c r="E147" s="22"/>
      <c r="F147" s="89"/>
      <c r="G147" s="89"/>
      <c r="H147" s="18"/>
      <c r="I147" s="13"/>
      <c r="J147" s="102"/>
      <c r="K147" s="18"/>
      <c r="L147" s="14"/>
      <c r="M147" s="92"/>
      <c r="N147" s="92"/>
      <c r="O147" s="14"/>
    </row>
    <row r="148" spans="4:15" s="23" customFormat="1">
      <c r="D148" s="22"/>
      <c r="E148" s="22"/>
      <c r="F148" s="89"/>
      <c r="G148" s="89"/>
      <c r="H148" s="18"/>
      <c r="I148" s="13"/>
      <c r="J148" s="102"/>
      <c r="K148" s="18"/>
      <c r="L148" s="14"/>
      <c r="M148" s="92"/>
      <c r="N148" s="92"/>
      <c r="O148" s="14"/>
    </row>
    <row r="149" spans="4:15" s="23" customFormat="1">
      <c r="D149" s="22"/>
      <c r="E149" s="22"/>
      <c r="F149" s="89"/>
      <c r="G149" s="89"/>
      <c r="H149" s="18"/>
      <c r="I149" s="13"/>
      <c r="J149" s="102"/>
      <c r="K149" s="18"/>
      <c r="L149" s="14"/>
      <c r="M149" s="92"/>
      <c r="N149" s="92"/>
      <c r="O149" s="14"/>
    </row>
    <row r="150" spans="4:15" s="23" customFormat="1">
      <c r="D150" s="22"/>
      <c r="E150" s="22"/>
      <c r="F150" s="89"/>
      <c r="G150" s="89"/>
      <c r="H150" s="18"/>
      <c r="I150" s="13"/>
      <c r="J150" s="102"/>
      <c r="K150" s="18"/>
      <c r="L150" s="14"/>
      <c r="M150" s="92"/>
      <c r="N150" s="92"/>
      <c r="O150" s="14"/>
    </row>
    <row r="151" spans="4:15" s="23" customFormat="1">
      <c r="D151" s="22"/>
      <c r="E151" s="22"/>
      <c r="F151" s="89"/>
      <c r="G151" s="89"/>
      <c r="H151" s="18"/>
      <c r="I151" s="13"/>
      <c r="J151" s="102"/>
      <c r="K151" s="18"/>
      <c r="L151" s="14"/>
      <c r="M151" s="92"/>
      <c r="N151" s="92"/>
      <c r="O151" s="14"/>
    </row>
    <row r="152" spans="4:15" s="23" customFormat="1">
      <c r="D152" s="22"/>
      <c r="E152" s="22"/>
      <c r="F152" s="89"/>
      <c r="G152" s="89"/>
      <c r="H152" s="18"/>
      <c r="I152" s="13"/>
      <c r="J152" s="102"/>
      <c r="K152" s="18"/>
      <c r="L152" s="14"/>
      <c r="M152" s="92"/>
      <c r="N152" s="92"/>
      <c r="O152" s="14"/>
    </row>
    <row r="153" spans="4:15" s="23" customFormat="1">
      <c r="D153" s="22"/>
      <c r="E153" s="22"/>
      <c r="F153" s="89"/>
      <c r="G153" s="89"/>
      <c r="H153" s="18"/>
      <c r="I153" s="13"/>
      <c r="J153" s="102"/>
      <c r="K153" s="18"/>
      <c r="L153" s="14"/>
      <c r="M153" s="92"/>
      <c r="N153" s="92"/>
      <c r="O153" s="14"/>
    </row>
    <row r="154" spans="4:15" s="23" customFormat="1">
      <c r="D154" s="22"/>
      <c r="E154" s="22"/>
      <c r="F154" s="89"/>
      <c r="G154" s="89"/>
      <c r="H154" s="18"/>
      <c r="I154" s="13"/>
      <c r="J154" s="102"/>
      <c r="K154" s="18"/>
      <c r="L154" s="14"/>
      <c r="M154" s="92"/>
      <c r="N154" s="92"/>
      <c r="O154" s="14"/>
    </row>
    <row r="155" spans="4:15" s="23" customFormat="1">
      <c r="D155" s="22"/>
      <c r="E155" s="22"/>
      <c r="F155" s="89"/>
      <c r="G155" s="89"/>
      <c r="H155" s="18"/>
      <c r="I155" s="13"/>
      <c r="J155" s="102"/>
      <c r="K155" s="18"/>
      <c r="L155" s="14"/>
      <c r="M155" s="92"/>
      <c r="N155" s="92"/>
      <c r="O155" s="14"/>
    </row>
    <row r="156" spans="4:15" s="23" customFormat="1">
      <c r="D156" s="22"/>
      <c r="E156" s="22"/>
      <c r="F156" s="89"/>
      <c r="G156" s="89"/>
      <c r="H156" s="18"/>
      <c r="I156" s="13"/>
      <c r="J156" s="102"/>
      <c r="K156" s="18"/>
      <c r="L156" s="14"/>
      <c r="M156" s="92"/>
      <c r="N156" s="92"/>
      <c r="O156" s="14"/>
    </row>
    <row r="157" spans="4:15" s="23" customFormat="1">
      <c r="D157" s="22"/>
      <c r="E157" s="22"/>
      <c r="F157" s="89"/>
      <c r="G157" s="89"/>
      <c r="H157" s="18"/>
      <c r="I157" s="13"/>
      <c r="J157" s="102"/>
      <c r="K157" s="18"/>
      <c r="L157" s="14"/>
      <c r="M157" s="92"/>
      <c r="N157" s="92"/>
      <c r="O157" s="14"/>
    </row>
    <row r="158" spans="4:15" s="23" customFormat="1">
      <c r="D158" s="22"/>
      <c r="E158" s="22"/>
      <c r="F158" s="89"/>
      <c r="G158" s="89"/>
      <c r="H158" s="18"/>
      <c r="I158" s="13"/>
      <c r="J158" s="102"/>
      <c r="K158" s="18"/>
      <c r="L158" s="14"/>
      <c r="M158" s="92"/>
      <c r="N158" s="92"/>
      <c r="O158" s="14"/>
    </row>
    <row r="159" spans="4:15" s="23" customFormat="1">
      <c r="D159" s="22"/>
      <c r="E159" s="22"/>
      <c r="F159" s="89"/>
      <c r="G159" s="89"/>
      <c r="H159" s="18"/>
      <c r="I159" s="13"/>
      <c r="J159" s="102"/>
      <c r="K159" s="18"/>
      <c r="L159" s="14"/>
      <c r="M159" s="92"/>
      <c r="N159" s="92"/>
      <c r="O159" s="14"/>
    </row>
    <row r="160" spans="4:15" s="23" customFormat="1">
      <c r="D160" s="22"/>
      <c r="E160" s="22"/>
      <c r="F160" s="89"/>
      <c r="G160" s="89"/>
      <c r="H160" s="18"/>
      <c r="I160" s="13"/>
      <c r="J160" s="102"/>
      <c r="K160" s="18"/>
      <c r="L160" s="14"/>
      <c r="M160" s="92"/>
      <c r="N160" s="92"/>
      <c r="O160" s="14"/>
    </row>
    <row r="161" spans="4:15" s="23" customFormat="1">
      <c r="D161" s="22"/>
      <c r="E161" s="22"/>
      <c r="F161" s="89"/>
      <c r="G161" s="89"/>
      <c r="H161" s="18"/>
      <c r="I161" s="13"/>
      <c r="J161" s="102"/>
      <c r="K161" s="18"/>
      <c r="L161" s="14"/>
      <c r="M161" s="92"/>
      <c r="N161" s="92"/>
      <c r="O161" s="14"/>
    </row>
    <row r="162" spans="4:15" s="23" customFormat="1">
      <c r="D162" s="22"/>
      <c r="E162" s="22"/>
      <c r="F162" s="89"/>
      <c r="G162" s="89"/>
      <c r="H162" s="18"/>
      <c r="I162" s="13"/>
      <c r="J162" s="102"/>
      <c r="K162" s="18"/>
      <c r="L162" s="14"/>
      <c r="M162" s="92"/>
      <c r="N162" s="92"/>
      <c r="O162" s="14"/>
    </row>
    <row r="163" spans="4:15" s="23" customFormat="1">
      <c r="D163" s="22"/>
      <c r="E163" s="22"/>
      <c r="F163" s="89"/>
      <c r="G163" s="89"/>
      <c r="H163" s="18"/>
      <c r="I163" s="13"/>
      <c r="J163" s="102"/>
      <c r="K163" s="18"/>
      <c r="L163" s="14"/>
      <c r="M163" s="92"/>
      <c r="N163" s="92"/>
      <c r="O163" s="14"/>
    </row>
    <row r="164" spans="4:15" s="23" customFormat="1">
      <c r="D164" s="22"/>
      <c r="E164" s="22"/>
      <c r="F164" s="89"/>
      <c r="G164" s="89"/>
      <c r="H164" s="18"/>
      <c r="I164" s="13"/>
      <c r="J164" s="102"/>
      <c r="K164" s="18"/>
      <c r="L164" s="14"/>
      <c r="M164" s="92"/>
      <c r="N164" s="92"/>
      <c r="O164" s="14"/>
    </row>
    <row r="165" spans="4:15" s="23" customFormat="1">
      <c r="D165" s="22"/>
      <c r="E165" s="22"/>
      <c r="F165" s="89"/>
      <c r="G165" s="89"/>
      <c r="H165" s="18"/>
      <c r="I165" s="13"/>
      <c r="J165" s="102"/>
      <c r="K165" s="18"/>
      <c r="L165" s="14"/>
      <c r="M165" s="92"/>
      <c r="N165" s="92"/>
      <c r="O165" s="14"/>
    </row>
    <row r="166" spans="4:15" s="23" customFormat="1">
      <c r="D166" s="22"/>
      <c r="E166" s="22"/>
      <c r="F166" s="89"/>
      <c r="G166" s="89"/>
      <c r="H166" s="18"/>
      <c r="I166" s="13"/>
      <c r="J166" s="102"/>
      <c r="K166" s="18"/>
      <c r="L166" s="14"/>
      <c r="M166" s="92"/>
      <c r="N166" s="92"/>
      <c r="O166" s="14"/>
    </row>
    <row r="167" spans="4:15" s="23" customFormat="1">
      <c r="D167" s="22"/>
      <c r="E167" s="22"/>
      <c r="F167" s="89"/>
      <c r="G167" s="89"/>
      <c r="H167" s="18"/>
      <c r="I167" s="13"/>
      <c r="J167" s="102"/>
      <c r="K167" s="18"/>
      <c r="L167" s="14"/>
      <c r="M167" s="92"/>
      <c r="N167" s="92"/>
      <c r="O167" s="14"/>
    </row>
    <row r="168" spans="4:15" s="23" customFormat="1">
      <c r="D168" s="22"/>
      <c r="E168" s="22"/>
      <c r="F168" s="89"/>
      <c r="G168" s="89"/>
      <c r="H168" s="18"/>
      <c r="I168" s="13"/>
      <c r="J168" s="102"/>
      <c r="K168" s="18"/>
      <c r="L168" s="14"/>
      <c r="M168" s="92"/>
      <c r="N168" s="92"/>
      <c r="O168" s="14"/>
    </row>
    <row r="169" spans="4:15" s="23" customFormat="1">
      <c r="D169" s="22"/>
      <c r="E169" s="22"/>
      <c r="F169" s="89"/>
      <c r="G169" s="89"/>
      <c r="H169" s="18"/>
      <c r="I169" s="13"/>
      <c r="J169" s="102"/>
      <c r="K169" s="18"/>
      <c r="L169" s="14"/>
      <c r="M169" s="92"/>
      <c r="N169" s="92"/>
      <c r="O169" s="14"/>
    </row>
    <row r="170" spans="4:15" s="23" customFormat="1">
      <c r="D170" s="22"/>
      <c r="E170" s="22"/>
      <c r="F170" s="89"/>
      <c r="G170" s="89"/>
      <c r="H170" s="18"/>
      <c r="I170" s="13"/>
      <c r="J170" s="102"/>
      <c r="K170" s="18"/>
      <c r="L170" s="14"/>
      <c r="M170" s="92"/>
      <c r="N170" s="92"/>
      <c r="O170" s="14"/>
    </row>
    <row r="171" spans="4:15" s="23" customFormat="1">
      <c r="D171" s="22"/>
      <c r="E171" s="22"/>
      <c r="F171" s="89"/>
      <c r="G171" s="89"/>
      <c r="H171" s="18"/>
      <c r="I171" s="13"/>
      <c r="J171" s="102"/>
      <c r="K171" s="18"/>
      <c r="L171" s="14"/>
      <c r="M171" s="92"/>
      <c r="N171" s="92"/>
      <c r="O171" s="14"/>
    </row>
    <row r="172" spans="4:15" s="23" customFormat="1">
      <c r="D172" s="22"/>
      <c r="E172" s="22"/>
      <c r="F172" s="89"/>
      <c r="G172" s="89"/>
      <c r="H172" s="18"/>
      <c r="I172" s="13"/>
      <c r="J172" s="102"/>
      <c r="K172" s="18"/>
      <c r="L172" s="14"/>
      <c r="M172" s="92"/>
      <c r="N172" s="92"/>
      <c r="O172" s="14"/>
    </row>
    <row r="173" spans="4:15" s="23" customFormat="1">
      <c r="D173" s="22"/>
      <c r="E173" s="22"/>
      <c r="F173" s="89"/>
      <c r="G173" s="89"/>
      <c r="H173" s="18"/>
      <c r="I173" s="13"/>
      <c r="J173" s="102"/>
      <c r="K173" s="18"/>
      <c r="L173" s="14"/>
      <c r="M173" s="92"/>
      <c r="N173" s="92"/>
      <c r="O173" s="14"/>
    </row>
    <row r="174" spans="4:15" s="23" customFormat="1">
      <c r="D174" s="22"/>
      <c r="E174" s="22"/>
      <c r="F174" s="89"/>
      <c r="G174" s="89"/>
      <c r="H174" s="18"/>
      <c r="I174" s="13"/>
      <c r="J174" s="102"/>
      <c r="K174" s="18"/>
      <c r="L174" s="14"/>
      <c r="M174" s="92"/>
      <c r="N174" s="92"/>
      <c r="O174" s="14"/>
    </row>
    <row r="175" spans="4:15" s="23" customFormat="1">
      <c r="D175" s="22"/>
      <c r="E175" s="22"/>
      <c r="F175" s="89"/>
      <c r="G175" s="89"/>
      <c r="H175" s="18"/>
      <c r="I175" s="13"/>
      <c r="J175" s="102"/>
      <c r="K175" s="18"/>
      <c r="L175" s="14"/>
      <c r="M175" s="92"/>
      <c r="N175" s="92"/>
      <c r="O175" s="14"/>
    </row>
    <row r="176" spans="4:15" s="23" customFormat="1">
      <c r="D176" s="22"/>
      <c r="E176" s="22"/>
      <c r="F176" s="89"/>
      <c r="G176" s="89"/>
      <c r="H176" s="18"/>
      <c r="I176" s="13"/>
      <c r="J176" s="102"/>
      <c r="K176" s="18"/>
      <c r="L176" s="14"/>
      <c r="M176" s="92"/>
      <c r="N176" s="92"/>
      <c r="O176" s="14"/>
    </row>
    <row r="177" spans="4:15" s="23" customFormat="1">
      <c r="D177" s="22"/>
      <c r="E177" s="22"/>
      <c r="F177" s="89"/>
      <c r="G177" s="89"/>
      <c r="H177" s="18"/>
      <c r="I177" s="13"/>
      <c r="J177" s="102"/>
      <c r="K177" s="18"/>
      <c r="L177" s="14"/>
      <c r="M177" s="92"/>
      <c r="N177" s="92"/>
      <c r="O177" s="14"/>
    </row>
    <row r="178" spans="4:15" s="23" customFormat="1">
      <c r="D178" s="22"/>
      <c r="E178" s="22"/>
      <c r="F178" s="89"/>
      <c r="G178" s="89"/>
      <c r="H178" s="18"/>
      <c r="I178" s="13"/>
      <c r="J178" s="102"/>
      <c r="K178" s="18"/>
      <c r="L178" s="14"/>
      <c r="M178" s="92"/>
      <c r="N178" s="92"/>
      <c r="O178" s="14"/>
    </row>
    <row r="179" spans="4:15" s="23" customFormat="1">
      <c r="D179" s="22"/>
      <c r="E179" s="22"/>
      <c r="F179" s="89"/>
      <c r="G179" s="89"/>
      <c r="H179" s="18"/>
      <c r="I179" s="13"/>
      <c r="J179" s="102"/>
      <c r="K179" s="18"/>
      <c r="L179" s="14"/>
      <c r="M179" s="92"/>
      <c r="N179" s="92"/>
      <c r="O179" s="14"/>
    </row>
    <row r="180" spans="4:15" s="23" customFormat="1">
      <c r="D180" s="22"/>
      <c r="E180" s="22"/>
      <c r="F180" s="89"/>
      <c r="G180" s="89"/>
      <c r="H180" s="18"/>
      <c r="I180" s="13"/>
      <c r="J180" s="102"/>
      <c r="K180" s="18"/>
      <c r="L180" s="14"/>
      <c r="M180" s="92"/>
      <c r="N180" s="92"/>
      <c r="O180" s="14"/>
    </row>
    <row r="181" spans="4:15" s="23" customFormat="1">
      <c r="D181" s="22"/>
      <c r="E181" s="22"/>
      <c r="F181" s="89"/>
      <c r="G181" s="89"/>
      <c r="H181" s="18"/>
      <c r="I181" s="13"/>
      <c r="J181" s="102"/>
      <c r="K181" s="18"/>
      <c r="L181" s="14"/>
      <c r="M181" s="92"/>
      <c r="N181" s="92"/>
      <c r="O181" s="14"/>
    </row>
    <row r="182" spans="4:15" s="23" customFormat="1">
      <c r="D182" s="22"/>
      <c r="E182" s="22"/>
      <c r="F182" s="89"/>
      <c r="G182" s="89"/>
      <c r="H182" s="18"/>
      <c r="I182" s="13"/>
      <c r="J182" s="102"/>
      <c r="K182" s="18"/>
      <c r="L182" s="14"/>
      <c r="M182" s="92"/>
      <c r="N182" s="92"/>
      <c r="O182" s="14"/>
    </row>
    <row r="183" spans="4:15" s="23" customFormat="1">
      <c r="D183" s="22"/>
      <c r="E183" s="22"/>
      <c r="F183" s="89"/>
      <c r="G183" s="89"/>
      <c r="H183" s="18"/>
      <c r="I183" s="13"/>
      <c r="J183" s="102"/>
      <c r="K183" s="18"/>
      <c r="L183" s="14"/>
      <c r="M183" s="92"/>
      <c r="N183" s="92"/>
      <c r="O183" s="14"/>
    </row>
    <row r="184" spans="4:15" s="23" customFormat="1">
      <c r="D184" s="22"/>
      <c r="E184" s="22"/>
      <c r="F184" s="89"/>
      <c r="G184" s="89"/>
      <c r="H184" s="18"/>
      <c r="I184" s="13"/>
      <c r="J184" s="102"/>
      <c r="K184" s="18"/>
      <c r="L184" s="14"/>
      <c r="M184" s="92"/>
      <c r="N184" s="92"/>
      <c r="O184" s="14"/>
    </row>
    <row r="185" spans="4:15" s="23" customFormat="1">
      <c r="D185" s="22"/>
      <c r="E185" s="22"/>
      <c r="F185" s="89"/>
      <c r="G185" s="89"/>
      <c r="H185" s="18"/>
      <c r="I185" s="13"/>
      <c r="J185" s="102"/>
      <c r="K185" s="18"/>
      <c r="L185" s="14"/>
      <c r="M185" s="92"/>
      <c r="N185" s="92"/>
      <c r="O185" s="14"/>
    </row>
    <row r="186" spans="4:15" s="23" customFormat="1">
      <c r="D186" s="22"/>
      <c r="E186" s="22"/>
      <c r="F186" s="89"/>
      <c r="G186" s="89"/>
      <c r="H186" s="18"/>
      <c r="I186" s="13"/>
      <c r="J186" s="102"/>
      <c r="K186" s="18"/>
      <c r="L186" s="14"/>
      <c r="M186" s="92"/>
      <c r="N186" s="92"/>
      <c r="O186" s="14"/>
    </row>
    <row r="187" spans="4:15" s="23" customFormat="1">
      <c r="D187" s="22"/>
      <c r="E187" s="22"/>
      <c r="F187" s="89"/>
      <c r="G187" s="89"/>
      <c r="H187" s="18"/>
      <c r="I187" s="13"/>
      <c r="J187" s="102"/>
      <c r="K187" s="18"/>
      <c r="L187" s="14"/>
      <c r="M187" s="92"/>
      <c r="N187" s="92"/>
      <c r="O187" s="14"/>
    </row>
    <row r="188" spans="4:15" s="23" customFormat="1">
      <c r="D188" s="22"/>
      <c r="E188" s="22"/>
      <c r="F188" s="89"/>
      <c r="G188" s="89"/>
      <c r="H188" s="18"/>
      <c r="I188" s="13"/>
      <c r="J188" s="102"/>
      <c r="K188" s="18"/>
      <c r="L188" s="14"/>
      <c r="M188" s="92"/>
      <c r="N188" s="92"/>
      <c r="O188" s="14"/>
    </row>
    <row r="189" spans="4:15" s="23" customFormat="1">
      <c r="D189" s="22"/>
      <c r="E189" s="22"/>
      <c r="F189" s="89"/>
      <c r="G189" s="89"/>
      <c r="H189" s="18"/>
      <c r="I189" s="13"/>
      <c r="J189" s="102"/>
      <c r="K189" s="18"/>
      <c r="L189" s="14"/>
      <c r="M189" s="92"/>
      <c r="N189" s="92"/>
      <c r="O189" s="14"/>
    </row>
    <row r="190" spans="4:15" s="23" customFormat="1">
      <c r="D190" s="22"/>
      <c r="E190" s="22"/>
      <c r="F190" s="89"/>
      <c r="G190" s="89"/>
      <c r="H190" s="18"/>
      <c r="I190" s="13"/>
      <c r="J190" s="102"/>
      <c r="K190" s="18"/>
      <c r="L190" s="14"/>
      <c r="M190" s="92"/>
      <c r="N190" s="92"/>
      <c r="O190" s="14"/>
    </row>
    <row r="191" spans="4:15" s="23" customFormat="1">
      <c r="D191" s="22"/>
      <c r="E191" s="22"/>
      <c r="F191" s="89"/>
      <c r="G191" s="89"/>
      <c r="H191" s="18"/>
      <c r="I191" s="13"/>
      <c r="J191" s="102"/>
      <c r="K191" s="18"/>
      <c r="L191" s="14"/>
      <c r="M191" s="92"/>
      <c r="N191" s="92"/>
      <c r="O191" s="14"/>
    </row>
    <row r="192" spans="4:15" s="23" customFormat="1">
      <c r="D192" s="22"/>
      <c r="E192" s="22"/>
      <c r="F192" s="89"/>
      <c r="G192" s="89"/>
      <c r="H192" s="18"/>
      <c r="I192" s="13"/>
      <c r="J192" s="102"/>
      <c r="K192" s="18"/>
      <c r="L192" s="14"/>
      <c r="M192" s="92"/>
      <c r="N192" s="92"/>
      <c r="O192" s="14"/>
    </row>
    <row r="193" spans="4:15" s="23" customFormat="1">
      <c r="D193" s="22"/>
      <c r="E193" s="22"/>
      <c r="F193" s="89"/>
      <c r="G193" s="89"/>
      <c r="H193" s="18"/>
      <c r="I193" s="13"/>
      <c r="J193" s="102"/>
      <c r="K193" s="18"/>
      <c r="L193" s="14"/>
      <c r="M193" s="92"/>
      <c r="N193" s="92"/>
      <c r="O193" s="14"/>
    </row>
    <row r="194" spans="4:15" s="23" customFormat="1">
      <c r="D194" s="22"/>
      <c r="E194" s="22"/>
      <c r="F194" s="89"/>
      <c r="G194" s="89"/>
      <c r="H194" s="18"/>
      <c r="I194" s="13"/>
      <c r="J194" s="102"/>
      <c r="K194" s="18"/>
      <c r="L194" s="14"/>
      <c r="M194" s="92"/>
      <c r="N194" s="92"/>
      <c r="O194" s="14"/>
    </row>
    <row r="195" spans="4:15" s="23" customFormat="1">
      <c r="D195" s="22"/>
      <c r="E195" s="22"/>
      <c r="F195" s="89"/>
      <c r="G195" s="89"/>
      <c r="H195" s="18"/>
      <c r="I195" s="13"/>
      <c r="J195" s="102"/>
      <c r="K195" s="18"/>
      <c r="L195" s="14"/>
      <c r="M195" s="92"/>
      <c r="N195" s="92"/>
      <c r="O195" s="14"/>
    </row>
    <row r="196" spans="4:15" s="23" customFormat="1">
      <c r="D196" s="22"/>
      <c r="E196" s="22"/>
      <c r="F196" s="89"/>
      <c r="G196" s="89"/>
      <c r="H196" s="18"/>
      <c r="I196" s="13"/>
      <c r="J196" s="102"/>
      <c r="K196" s="18"/>
      <c r="L196" s="14"/>
      <c r="M196" s="92"/>
      <c r="N196" s="92"/>
      <c r="O196" s="14"/>
    </row>
    <row r="197" spans="4:15" s="23" customFormat="1">
      <c r="D197" s="22"/>
      <c r="E197" s="22"/>
      <c r="F197" s="89"/>
      <c r="G197" s="89"/>
      <c r="H197" s="18"/>
      <c r="I197" s="13"/>
      <c r="J197" s="102"/>
      <c r="K197" s="18"/>
      <c r="L197" s="14"/>
      <c r="M197" s="92"/>
      <c r="N197" s="92"/>
      <c r="O197" s="14"/>
    </row>
    <row r="198" spans="4:15" s="23" customFormat="1">
      <c r="D198" s="22"/>
      <c r="E198" s="22"/>
      <c r="F198" s="89"/>
      <c r="G198" s="89"/>
      <c r="H198" s="18"/>
      <c r="I198" s="13"/>
      <c r="J198" s="102"/>
      <c r="K198" s="18"/>
      <c r="L198" s="14"/>
      <c r="M198" s="92"/>
      <c r="N198" s="92"/>
      <c r="O198" s="14"/>
    </row>
    <row r="199" spans="4:15" s="23" customFormat="1">
      <c r="D199" s="22"/>
      <c r="E199" s="22"/>
      <c r="F199" s="89"/>
      <c r="G199" s="89"/>
      <c r="H199" s="18"/>
      <c r="I199" s="13"/>
      <c r="J199" s="102"/>
      <c r="K199" s="18"/>
      <c r="L199" s="14"/>
      <c r="M199" s="92"/>
      <c r="N199" s="92"/>
      <c r="O199" s="14"/>
    </row>
    <row r="200" spans="4:15" s="23" customFormat="1">
      <c r="D200" s="22"/>
      <c r="E200" s="22"/>
      <c r="F200" s="89"/>
      <c r="G200" s="89"/>
      <c r="H200" s="18"/>
      <c r="I200" s="13"/>
      <c r="J200" s="102"/>
      <c r="K200" s="18"/>
      <c r="L200" s="14"/>
      <c r="M200" s="92"/>
      <c r="N200" s="92"/>
      <c r="O200" s="14"/>
    </row>
    <row r="201" spans="4:15" s="23" customFormat="1">
      <c r="D201" s="22"/>
      <c r="E201" s="22"/>
      <c r="F201" s="89"/>
      <c r="G201" s="89"/>
      <c r="H201" s="18"/>
      <c r="I201" s="13"/>
      <c r="J201" s="102"/>
      <c r="K201" s="18"/>
      <c r="L201" s="14"/>
      <c r="M201" s="92"/>
      <c r="N201" s="92"/>
      <c r="O201" s="14"/>
    </row>
    <row r="202" spans="4:15" s="23" customFormat="1">
      <c r="D202" s="22"/>
      <c r="E202" s="22"/>
      <c r="F202" s="89"/>
      <c r="G202" s="89"/>
      <c r="H202" s="18"/>
      <c r="I202" s="13"/>
      <c r="J202" s="102"/>
      <c r="K202" s="18"/>
      <c r="L202" s="14"/>
      <c r="M202" s="92"/>
      <c r="N202" s="92"/>
      <c r="O202" s="14"/>
    </row>
    <row r="203" spans="4:15" s="23" customFormat="1">
      <c r="D203" s="22"/>
      <c r="E203" s="22"/>
      <c r="F203" s="89"/>
      <c r="G203" s="89"/>
      <c r="H203" s="18"/>
      <c r="I203" s="13"/>
      <c r="J203" s="102"/>
      <c r="K203" s="18"/>
      <c r="L203" s="14"/>
      <c r="M203" s="92"/>
      <c r="N203" s="92"/>
      <c r="O203" s="14"/>
    </row>
    <row r="204" spans="4:15" s="23" customFormat="1">
      <c r="D204" s="22"/>
      <c r="E204" s="22"/>
      <c r="F204" s="89"/>
      <c r="G204" s="89"/>
      <c r="H204" s="18"/>
      <c r="I204" s="13"/>
      <c r="J204" s="102"/>
      <c r="K204" s="18"/>
      <c r="L204" s="14"/>
      <c r="M204" s="92"/>
      <c r="N204" s="92"/>
      <c r="O204" s="14"/>
    </row>
    <row r="205" spans="4:15" s="23" customFormat="1">
      <c r="D205" s="22"/>
      <c r="E205" s="22"/>
      <c r="F205" s="89"/>
      <c r="G205" s="89"/>
      <c r="H205" s="18"/>
      <c r="I205" s="13"/>
      <c r="J205" s="102"/>
      <c r="K205" s="18"/>
      <c r="L205" s="14"/>
      <c r="M205" s="92"/>
      <c r="N205" s="92"/>
      <c r="O205" s="14"/>
    </row>
    <row r="206" spans="4:15" s="23" customFormat="1">
      <c r="D206" s="22"/>
      <c r="E206" s="22"/>
      <c r="F206" s="89"/>
      <c r="G206" s="89"/>
      <c r="H206" s="18"/>
      <c r="I206" s="13"/>
      <c r="J206" s="102"/>
      <c r="K206" s="18"/>
      <c r="L206" s="14"/>
      <c r="M206" s="92"/>
      <c r="N206" s="92"/>
      <c r="O206" s="14"/>
    </row>
    <row r="207" spans="4:15" s="23" customFormat="1">
      <c r="D207" s="22"/>
      <c r="E207" s="22"/>
      <c r="F207" s="89"/>
      <c r="G207" s="89"/>
      <c r="H207" s="18"/>
      <c r="I207" s="13"/>
      <c r="J207" s="102"/>
      <c r="K207" s="18"/>
      <c r="L207" s="14"/>
      <c r="M207" s="92"/>
      <c r="N207" s="92"/>
      <c r="O207" s="14"/>
    </row>
    <row r="208" spans="4:15" s="23" customFormat="1">
      <c r="D208" s="22"/>
      <c r="E208" s="22"/>
      <c r="F208" s="89"/>
      <c r="G208" s="89"/>
      <c r="H208" s="18"/>
      <c r="I208" s="13"/>
      <c r="J208" s="102"/>
      <c r="K208" s="18"/>
      <c r="L208" s="14"/>
      <c r="M208" s="92"/>
      <c r="N208" s="92"/>
      <c r="O208" s="14"/>
    </row>
    <row r="209" spans="4:15" s="23" customFormat="1">
      <c r="D209" s="22"/>
      <c r="E209" s="22"/>
      <c r="F209" s="89"/>
      <c r="G209" s="89"/>
      <c r="H209" s="18"/>
      <c r="I209" s="13"/>
      <c r="J209" s="102"/>
      <c r="K209" s="18"/>
      <c r="L209" s="14"/>
      <c r="M209" s="92"/>
      <c r="N209" s="92"/>
      <c r="O209" s="14"/>
    </row>
    <row r="210" spans="4:15" s="23" customFormat="1">
      <c r="D210" s="22"/>
      <c r="E210" s="22"/>
      <c r="F210" s="89"/>
      <c r="G210" s="89"/>
      <c r="H210" s="18"/>
      <c r="I210" s="13"/>
      <c r="J210" s="102"/>
      <c r="K210" s="18"/>
      <c r="L210" s="14"/>
      <c r="M210" s="92"/>
      <c r="N210" s="92"/>
      <c r="O210" s="14"/>
    </row>
    <row r="211" spans="4:15" s="23" customFormat="1">
      <c r="D211" s="22"/>
      <c r="E211" s="22"/>
      <c r="F211" s="89"/>
      <c r="G211" s="89"/>
      <c r="H211" s="18"/>
      <c r="I211" s="13"/>
      <c r="J211" s="102"/>
      <c r="K211" s="18"/>
      <c r="L211" s="14"/>
      <c r="M211" s="92"/>
      <c r="N211" s="92"/>
      <c r="O211" s="14"/>
    </row>
    <row r="212" spans="4:15" s="23" customFormat="1">
      <c r="D212" s="22"/>
      <c r="E212" s="22"/>
      <c r="F212" s="89"/>
      <c r="G212" s="89"/>
      <c r="H212" s="18"/>
      <c r="I212" s="13"/>
      <c r="J212" s="102"/>
      <c r="K212" s="18"/>
      <c r="L212" s="14"/>
      <c r="M212" s="92"/>
      <c r="N212" s="92"/>
      <c r="O212" s="14"/>
    </row>
    <row r="213" spans="4:15" s="23" customFormat="1">
      <c r="D213" s="22"/>
      <c r="E213" s="22"/>
      <c r="F213" s="89"/>
      <c r="G213" s="89"/>
      <c r="H213" s="18"/>
      <c r="I213" s="13"/>
      <c r="J213" s="102"/>
      <c r="K213" s="18"/>
      <c r="L213" s="14"/>
      <c r="M213" s="92"/>
      <c r="N213" s="92"/>
      <c r="O213" s="14"/>
    </row>
    <row r="214" spans="4:15" s="23" customFormat="1">
      <c r="D214" s="22"/>
      <c r="E214" s="22"/>
      <c r="F214" s="89"/>
      <c r="G214" s="89"/>
      <c r="H214" s="18"/>
      <c r="I214" s="13"/>
      <c r="J214" s="102"/>
      <c r="K214" s="18"/>
      <c r="L214" s="14"/>
      <c r="M214" s="92"/>
      <c r="N214" s="92"/>
      <c r="O214" s="14"/>
    </row>
    <row r="215" spans="4:15" s="23" customFormat="1">
      <c r="D215" s="22"/>
      <c r="E215" s="22"/>
      <c r="F215" s="89"/>
      <c r="G215" s="89"/>
      <c r="H215" s="18"/>
      <c r="I215" s="13"/>
      <c r="J215" s="102"/>
      <c r="K215" s="18"/>
      <c r="L215" s="14"/>
      <c r="M215" s="92"/>
      <c r="N215" s="92"/>
      <c r="O215" s="14"/>
    </row>
    <row r="216" spans="4:15" s="23" customFormat="1">
      <c r="D216" s="22"/>
      <c r="E216" s="22"/>
      <c r="F216" s="89"/>
      <c r="G216" s="89"/>
      <c r="H216" s="18"/>
      <c r="I216" s="13"/>
      <c r="J216" s="102"/>
      <c r="K216" s="18"/>
      <c r="L216" s="14"/>
      <c r="M216" s="92"/>
      <c r="N216" s="92"/>
      <c r="O216" s="14"/>
    </row>
    <row r="217" spans="4:15" s="23" customFormat="1">
      <c r="D217" s="22"/>
      <c r="E217" s="22"/>
      <c r="F217" s="89"/>
      <c r="G217" s="89"/>
      <c r="H217" s="18"/>
      <c r="I217" s="13"/>
      <c r="J217" s="102"/>
      <c r="K217" s="18"/>
      <c r="L217" s="14"/>
      <c r="M217" s="92"/>
      <c r="N217" s="92"/>
      <c r="O217" s="14"/>
    </row>
    <row r="218" spans="4:15" s="23" customFormat="1">
      <c r="D218" s="22"/>
      <c r="E218" s="22"/>
      <c r="F218" s="89"/>
      <c r="G218" s="89"/>
      <c r="H218" s="18"/>
      <c r="I218" s="13"/>
      <c r="J218" s="102"/>
      <c r="K218" s="18"/>
      <c r="L218" s="14"/>
      <c r="M218" s="92"/>
      <c r="N218" s="92"/>
      <c r="O218" s="14"/>
    </row>
    <row r="219" spans="4:15" s="23" customFormat="1">
      <c r="D219" s="22"/>
      <c r="E219" s="22"/>
      <c r="F219" s="89"/>
      <c r="G219" s="89"/>
      <c r="H219" s="18"/>
      <c r="I219" s="13"/>
      <c r="J219" s="102"/>
      <c r="K219" s="18"/>
      <c r="L219" s="14"/>
      <c r="M219" s="92"/>
      <c r="N219" s="92"/>
      <c r="O219" s="14"/>
    </row>
    <row r="220" spans="4:15" s="23" customFormat="1">
      <c r="D220" s="22"/>
      <c r="E220" s="22"/>
      <c r="F220" s="89"/>
      <c r="G220" s="89"/>
      <c r="H220" s="18"/>
      <c r="I220" s="13"/>
      <c r="J220" s="102"/>
      <c r="K220" s="18"/>
      <c r="L220" s="14"/>
      <c r="M220" s="92"/>
      <c r="N220" s="92"/>
      <c r="O220" s="14"/>
    </row>
    <row r="221" spans="4:15" s="23" customFormat="1">
      <c r="D221" s="22"/>
      <c r="E221" s="22"/>
      <c r="F221" s="89"/>
      <c r="G221" s="89"/>
      <c r="H221" s="18"/>
      <c r="I221" s="13"/>
      <c r="J221" s="102"/>
      <c r="K221" s="18"/>
      <c r="L221" s="14"/>
      <c r="M221" s="92"/>
      <c r="N221" s="92"/>
      <c r="O221" s="14"/>
    </row>
    <row r="222" spans="4:15" s="23" customFormat="1">
      <c r="D222" s="22"/>
      <c r="E222" s="22"/>
      <c r="F222" s="89"/>
      <c r="G222" s="89"/>
      <c r="H222" s="18"/>
      <c r="I222" s="13"/>
      <c r="J222" s="102"/>
      <c r="K222" s="18"/>
      <c r="L222" s="14"/>
      <c r="M222" s="92"/>
      <c r="N222" s="92"/>
      <c r="O222" s="14"/>
    </row>
    <row r="223" spans="4:15" s="23" customFormat="1">
      <c r="D223" s="22"/>
      <c r="E223" s="22"/>
      <c r="F223" s="89"/>
      <c r="G223" s="89"/>
      <c r="H223" s="18"/>
      <c r="I223" s="13"/>
      <c r="J223" s="102"/>
      <c r="K223" s="18"/>
      <c r="L223" s="14"/>
      <c r="M223" s="92"/>
      <c r="N223" s="92"/>
      <c r="O223" s="14"/>
    </row>
    <row r="224" spans="4:15" s="23" customFormat="1">
      <c r="D224" s="22"/>
      <c r="E224" s="22"/>
      <c r="F224" s="89"/>
      <c r="G224" s="89"/>
      <c r="H224" s="18"/>
      <c r="I224" s="13"/>
      <c r="J224" s="102"/>
      <c r="K224" s="18"/>
      <c r="L224" s="14"/>
      <c r="M224" s="92"/>
      <c r="N224" s="92"/>
      <c r="O224" s="14"/>
    </row>
    <row r="225" spans="4:15" s="23" customFormat="1">
      <c r="D225" s="22"/>
      <c r="E225" s="22"/>
      <c r="F225" s="89"/>
      <c r="G225" s="89"/>
      <c r="H225" s="18"/>
      <c r="I225" s="13"/>
      <c r="J225" s="102"/>
      <c r="K225" s="18"/>
      <c r="L225" s="14"/>
      <c r="M225" s="92"/>
      <c r="N225" s="92"/>
      <c r="O225" s="14"/>
    </row>
    <row r="226" spans="4:15" s="23" customFormat="1">
      <c r="D226" s="22"/>
      <c r="E226" s="22"/>
      <c r="F226" s="89"/>
      <c r="G226" s="89"/>
      <c r="H226" s="18"/>
      <c r="I226" s="13"/>
      <c r="J226" s="102"/>
      <c r="K226" s="18"/>
      <c r="L226" s="14"/>
      <c r="M226" s="92"/>
      <c r="N226" s="92"/>
      <c r="O226" s="14"/>
    </row>
    <row r="227" spans="4:15" s="23" customFormat="1">
      <c r="D227" s="22"/>
      <c r="E227" s="22"/>
      <c r="F227" s="89"/>
      <c r="G227" s="89"/>
      <c r="H227" s="18"/>
      <c r="I227" s="13"/>
      <c r="J227" s="102"/>
      <c r="K227" s="18"/>
      <c r="L227" s="14"/>
      <c r="M227" s="92"/>
      <c r="N227" s="92"/>
      <c r="O227" s="14"/>
    </row>
    <row r="228" spans="4:15" s="23" customFormat="1">
      <c r="D228" s="22"/>
      <c r="E228" s="22"/>
      <c r="F228" s="89"/>
      <c r="G228" s="89"/>
      <c r="H228" s="18"/>
      <c r="I228" s="13"/>
      <c r="J228" s="102"/>
      <c r="K228" s="18"/>
      <c r="L228" s="14"/>
      <c r="M228" s="92"/>
      <c r="N228" s="92"/>
      <c r="O228" s="14"/>
    </row>
    <row r="229" spans="4:15" s="23" customFormat="1">
      <c r="D229" s="22"/>
      <c r="E229" s="22"/>
      <c r="F229" s="89"/>
      <c r="G229" s="89"/>
      <c r="H229" s="18"/>
      <c r="I229" s="13"/>
      <c r="J229" s="102"/>
      <c r="K229" s="18"/>
      <c r="L229" s="14"/>
      <c r="M229" s="92"/>
      <c r="N229" s="92"/>
      <c r="O229" s="14"/>
    </row>
    <row r="230" spans="4:15" s="23" customFormat="1">
      <c r="D230" s="22"/>
      <c r="E230" s="22"/>
      <c r="F230" s="89"/>
      <c r="G230" s="89"/>
      <c r="H230" s="18"/>
      <c r="I230" s="13"/>
      <c r="J230" s="102"/>
      <c r="K230" s="18"/>
      <c r="L230" s="14"/>
      <c r="M230" s="92"/>
      <c r="N230" s="92"/>
      <c r="O230" s="14"/>
    </row>
    <row r="231" spans="4:15" s="23" customFormat="1">
      <c r="D231" s="22"/>
      <c r="E231" s="22"/>
      <c r="F231" s="89"/>
      <c r="G231" s="89"/>
      <c r="H231" s="18"/>
      <c r="I231" s="13"/>
      <c r="J231" s="102"/>
      <c r="K231" s="18"/>
      <c r="L231" s="14"/>
      <c r="M231" s="92"/>
      <c r="N231" s="92"/>
      <c r="O231" s="14"/>
    </row>
    <row r="232" spans="4:15" s="23" customFormat="1">
      <c r="D232" s="22"/>
      <c r="E232" s="22"/>
      <c r="F232" s="89"/>
      <c r="G232" s="89"/>
      <c r="H232" s="18"/>
      <c r="I232" s="13"/>
      <c r="J232" s="102"/>
      <c r="K232" s="18"/>
      <c r="L232" s="14"/>
      <c r="M232" s="92"/>
      <c r="N232" s="92"/>
      <c r="O232" s="14"/>
    </row>
    <row r="233" spans="4:15" s="23" customFormat="1">
      <c r="D233" s="22"/>
      <c r="E233" s="22"/>
      <c r="F233" s="89"/>
      <c r="G233" s="89"/>
      <c r="H233" s="18"/>
      <c r="I233" s="13"/>
      <c r="J233" s="102"/>
      <c r="K233" s="18"/>
      <c r="L233" s="14"/>
      <c r="M233" s="92"/>
      <c r="N233" s="92"/>
      <c r="O233" s="14"/>
    </row>
    <row r="234" spans="4:15" s="23" customFormat="1">
      <c r="D234" s="22"/>
      <c r="E234" s="22"/>
      <c r="F234" s="89"/>
      <c r="G234" s="89"/>
      <c r="H234" s="18"/>
      <c r="I234" s="13"/>
      <c r="J234" s="102"/>
      <c r="K234" s="18"/>
      <c r="L234" s="14"/>
      <c r="M234" s="92"/>
      <c r="N234" s="92"/>
      <c r="O234" s="14"/>
    </row>
    <row r="235" spans="4:15" s="23" customFormat="1">
      <c r="D235" s="22"/>
      <c r="E235" s="22"/>
      <c r="F235" s="89"/>
      <c r="G235" s="89"/>
      <c r="H235" s="18"/>
      <c r="I235" s="13"/>
      <c r="J235" s="102"/>
      <c r="K235" s="18"/>
      <c r="L235" s="14"/>
      <c r="M235" s="92"/>
      <c r="N235" s="92"/>
      <c r="O235" s="14"/>
    </row>
    <row r="236" spans="4:15" s="23" customFormat="1">
      <c r="D236" s="22"/>
      <c r="E236" s="22"/>
      <c r="F236" s="89"/>
      <c r="G236" s="89"/>
      <c r="H236" s="18"/>
      <c r="I236" s="13"/>
      <c r="J236" s="102"/>
      <c r="K236" s="18"/>
      <c r="L236" s="14"/>
      <c r="M236" s="92"/>
      <c r="N236" s="92"/>
      <c r="O236" s="14"/>
    </row>
    <row r="237" spans="4:15" s="23" customFormat="1">
      <c r="D237" s="22"/>
      <c r="E237" s="22"/>
      <c r="F237" s="89"/>
      <c r="G237" s="89"/>
      <c r="H237" s="18"/>
      <c r="I237" s="13"/>
      <c r="J237" s="102"/>
      <c r="K237" s="18"/>
      <c r="L237" s="14"/>
      <c r="M237" s="92"/>
      <c r="N237" s="92"/>
      <c r="O237" s="14"/>
    </row>
    <row r="238" spans="4:15" s="23" customFormat="1">
      <c r="D238" s="22"/>
      <c r="E238" s="22"/>
      <c r="F238" s="89"/>
      <c r="G238" s="89"/>
      <c r="H238" s="18"/>
      <c r="I238" s="13"/>
      <c r="J238" s="102"/>
      <c r="K238" s="18"/>
      <c r="L238" s="14"/>
      <c r="M238" s="92"/>
      <c r="N238" s="92"/>
      <c r="O238" s="14"/>
    </row>
    <row r="239" spans="4:15" s="23" customFormat="1">
      <c r="D239" s="22"/>
      <c r="E239" s="22"/>
      <c r="F239" s="89"/>
      <c r="G239" s="89"/>
      <c r="H239" s="18"/>
      <c r="I239" s="13"/>
      <c r="J239" s="102"/>
      <c r="K239" s="18"/>
      <c r="L239" s="14"/>
      <c r="M239" s="92"/>
      <c r="N239" s="92"/>
      <c r="O239" s="14"/>
    </row>
    <row r="240" spans="4:15" s="23" customFormat="1">
      <c r="D240" s="22"/>
      <c r="E240" s="22"/>
      <c r="F240" s="89"/>
      <c r="G240" s="89"/>
      <c r="H240" s="18"/>
      <c r="I240" s="13"/>
      <c r="J240" s="102"/>
      <c r="K240" s="18"/>
      <c r="L240" s="14"/>
      <c r="M240" s="92"/>
      <c r="N240" s="92"/>
      <c r="O240" s="14"/>
    </row>
    <row r="241" spans="4:15" s="23" customFormat="1">
      <c r="D241" s="22"/>
      <c r="E241" s="22"/>
      <c r="F241" s="89"/>
      <c r="G241" s="89"/>
      <c r="H241" s="18"/>
      <c r="I241" s="13"/>
      <c r="J241" s="102"/>
      <c r="K241" s="18"/>
      <c r="L241" s="14"/>
      <c r="M241" s="92"/>
      <c r="N241" s="92"/>
      <c r="O241" s="14"/>
    </row>
    <row r="242" spans="4:15" s="23" customFormat="1">
      <c r="D242" s="22"/>
      <c r="E242" s="22"/>
      <c r="F242" s="89"/>
      <c r="G242" s="89"/>
      <c r="H242" s="18"/>
      <c r="I242" s="13"/>
      <c r="J242" s="102"/>
      <c r="K242" s="18"/>
      <c r="L242" s="14"/>
      <c r="M242" s="92"/>
      <c r="N242" s="92"/>
      <c r="O242" s="14"/>
    </row>
    <row r="243" spans="4:15" s="23" customFormat="1">
      <c r="D243" s="22"/>
      <c r="E243" s="22"/>
      <c r="F243" s="89"/>
      <c r="G243" s="89"/>
      <c r="H243" s="18"/>
      <c r="I243" s="13"/>
      <c r="J243" s="102"/>
      <c r="K243" s="18"/>
      <c r="L243" s="14"/>
      <c r="M243" s="92"/>
      <c r="N243" s="92"/>
      <c r="O243" s="14"/>
    </row>
    <row r="244" spans="4:15" s="23" customFormat="1">
      <c r="D244" s="22"/>
      <c r="E244" s="22"/>
      <c r="F244" s="89"/>
      <c r="G244" s="89"/>
      <c r="H244" s="18"/>
      <c r="I244" s="13"/>
      <c r="J244" s="102"/>
      <c r="K244" s="18"/>
      <c r="L244" s="14"/>
      <c r="M244" s="92"/>
      <c r="N244" s="92"/>
      <c r="O244" s="14"/>
    </row>
    <row r="245" spans="4:15" s="23" customFormat="1">
      <c r="D245" s="22"/>
      <c r="E245" s="22"/>
      <c r="F245" s="89"/>
      <c r="G245" s="89"/>
      <c r="H245" s="18"/>
      <c r="I245" s="13"/>
      <c r="J245" s="102"/>
      <c r="K245" s="18"/>
      <c r="L245" s="14"/>
      <c r="M245" s="92"/>
      <c r="N245" s="92"/>
      <c r="O245" s="14"/>
    </row>
    <row r="246" spans="4:15" s="23" customFormat="1">
      <c r="D246" s="22"/>
      <c r="E246" s="22"/>
      <c r="F246" s="89"/>
      <c r="G246" s="89"/>
      <c r="H246" s="18"/>
      <c r="I246" s="13"/>
      <c r="J246" s="102"/>
      <c r="K246" s="18"/>
      <c r="L246" s="14"/>
      <c r="M246" s="92"/>
      <c r="N246" s="92"/>
      <c r="O246" s="14"/>
    </row>
    <row r="247" spans="4:15" s="23" customFormat="1">
      <c r="D247" s="22"/>
      <c r="E247" s="22"/>
      <c r="F247" s="89"/>
      <c r="G247" s="89"/>
      <c r="H247" s="18"/>
      <c r="I247" s="13"/>
      <c r="J247" s="102"/>
      <c r="K247" s="18"/>
      <c r="L247" s="14"/>
      <c r="M247" s="92"/>
      <c r="N247" s="92"/>
      <c r="O247" s="14"/>
    </row>
    <row r="248" spans="4:15" s="23" customFormat="1">
      <c r="D248" s="22"/>
      <c r="E248" s="22"/>
      <c r="F248" s="89"/>
      <c r="G248" s="89"/>
      <c r="H248" s="18"/>
      <c r="I248" s="13"/>
      <c r="J248" s="102"/>
      <c r="K248" s="18"/>
      <c r="L248" s="14"/>
      <c r="M248" s="92"/>
      <c r="N248" s="92"/>
      <c r="O248" s="14"/>
    </row>
    <row r="249" spans="4:15" s="23" customFormat="1">
      <c r="D249" s="22"/>
      <c r="E249" s="22"/>
      <c r="F249" s="89"/>
      <c r="G249" s="89"/>
      <c r="H249" s="18"/>
      <c r="I249" s="13"/>
      <c r="J249" s="102"/>
      <c r="K249" s="18"/>
      <c r="L249" s="14"/>
      <c r="M249" s="92"/>
      <c r="N249" s="92"/>
      <c r="O249" s="14"/>
    </row>
    <row r="250" spans="4:15" s="23" customFormat="1">
      <c r="D250" s="22"/>
      <c r="E250" s="22"/>
      <c r="F250" s="89"/>
      <c r="G250" s="89"/>
      <c r="H250" s="18"/>
      <c r="I250" s="13"/>
      <c r="J250" s="102"/>
      <c r="K250" s="18"/>
      <c r="L250" s="14"/>
      <c r="M250" s="92"/>
      <c r="N250" s="92"/>
      <c r="O250" s="14"/>
    </row>
    <row r="251" spans="4:15" s="23" customFormat="1">
      <c r="D251" s="22"/>
      <c r="E251" s="22"/>
      <c r="F251" s="89"/>
      <c r="G251" s="89"/>
      <c r="H251" s="18"/>
      <c r="I251" s="13"/>
      <c r="J251" s="102"/>
      <c r="K251" s="18"/>
      <c r="L251" s="14"/>
      <c r="M251" s="92"/>
      <c r="N251" s="92"/>
      <c r="O251" s="14"/>
    </row>
    <row r="252" spans="4:15" s="23" customFormat="1">
      <c r="D252" s="22"/>
      <c r="E252" s="22"/>
      <c r="F252" s="89"/>
      <c r="G252" s="89"/>
      <c r="H252" s="18"/>
      <c r="I252" s="13"/>
      <c r="J252" s="102"/>
      <c r="K252" s="18"/>
      <c r="L252" s="14"/>
      <c r="M252" s="92"/>
      <c r="N252" s="92"/>
      <c r="O252" s="14"/>
    </row>
    <row r="253" spans="4:15" s="23" customFormat="1">
      <c r="D253" s="22"/>
      <c r="E253" s="22"/>
      <c r="F253" s="89"/>
      <c r="G253" s="89"/>
      <c r="H253" s="18"/>
      <c r="I253" s="13"/>
      <c r="J253" s="102"/>
      <c r="K253" s="18"/>
      <c r="L253" s="14"/>
      <c r="M253" s="92"/>
      <c r="N253" s="92"/>
      <c r="O253" s="14"/>
    </row>
    <row r="254" spans="4:15" s="23" customFormat="1">
      <c r="D254" s="22"/>
      <c r="E254" s="22"/>
      <c r="F254" s="89"/>
      <c r="G254" s="89"/>
      <c r="H254" s="18"/>
      <c r="I254" s="13"/>
      <c r="J254" s="102"/>
      <c r="K254" s="18"/>
      <c r="L254" s="14"/>
      <c r="M254" s="92"/>
      <c r="N254" s="92"/>
      <c r="O254" s="14"/>
    </row>
    <row r="255" spans="4:15" s="23" customFormat="1">
      <c r="D255" s="22"/>
      <c r="E255" s="22"/>
      <c r="F255" s="89"/>
      <c r="G255" s="89"/>
      <c r="H255" s="18"/>
      <c r="I255" s="13"/>
      <c r="J255" s="102"/>
      <c r="K255" s="18"/>
      <c r="L255" s="14"/>
      <c r="M255" s="92"/>
      <c r="N255" s="92"/>
      <c r="O255" s="14"/>
    </row>
    <row r="256" spans="4:15" s="23" customFormat="1">
      <c r="D256" s="22"/>
      <c r="E256" s="22"/>
      <c r="F256" s="89"/>
      <c r="G256" s="89"/>
      <c r="H256" s="18"/>
      <c r="I256" s="13"/>
      <c r="J256" s="102"/>
      <c r="K256" s="18"/>
      <c r="L256" s="14"/>
      <c r="M256" s="92"/>
      <c r="N256" s="92"/>
      <c r="O256" s="14"/>
    </row>
    <row r="257" spans="4:15" s="23" customFormat="1">
      <c r="D257" s="22"/>
      <c r="E257" s="22"/>
      <c r="F257" s="89"/>
      <c r="G257" s="89"/>
      <c r="H257" s="18"/>
      <c r="I257" s="13"/>
      <c r="J257" s="102"/>
      <c r="K257" s="18"/>
      <c r="L257" s="14"/>
      <c r="M257" s="92"/>
      <c r="N257" s="92"/>
      <c r="O257" s="14"/>
    </row>
    <row r="258" spans="4:15" s="23" customFormat="1">
      <c r="D258" s="22"/>
      <c r="E258" s="22"/>
      <c r="F258" s="89"/>
      <c r="G258" s="89"/>
      <c r="H258" s="18"/>
      <c r="I258" s="13"/>
      <c r="J258" s="102"/>
      <c r="K258" s="18"/>
      <c r="L258" s="14"/>
      <c r="M258" s="92"/>
      <c r="N258" s="92"/>
      <c r="O258" s="14"/>
    </row>
    <row r="259" spans="4:15" s="23" customFormat="1">
      <c r="D259" s="22"/>
      <c r="E259" s="22"/>
      <c r="F259" s="89"/>
      <c r="G259" s="89"/>
      <c r="H259" s="18"/>
      <c r="I259" s="13"/>
      <c r="J259" s="102"/>
      <c r="K259" s="18"/>
      <c r="L259" s="14"/>
      <c r="M259" s="92"/>
      <c r="N259" s="92"/>
      <c r="O259" s="14"/>
    </row>
    <row r="260" spans="4:15" s="23" customFormat="1">
      <c r="D260" s="22"/>
      <c r="E260" s="22"/>
      <c r="F260" s="89"/>
      <c r="G260" s="89"/>
      <c r="H260" s="18"/>
      <c r="I260" s="13"/>
      <c r="J260" s="102"/>
      <c r="K260" s="18"/>
      <c r="L260" s="14"/>
      <c r="M260" s="92"/>
      <c r="N260" s="92"/>
      <c r="O260" s="14"/>
    </row>
    <row r="261" spans="4:15" s="23" customFormat="1">
      <c r="D261" s="22"/>
      <c r="E261" s="22"/>
      <c r="F261" s="89"/>
      <c r="G261" s="89"/>
      <c r="H261" s="18"/>
      <c r="I261" s="13"/>
      <c r="J261" s="102"/>
      <c r="K261" s="18"/>
      <c r="L261" s="14"/>
      <c r="M261" s="92"/>
      <c r="N261" s="92"/>
      <c r="O261" s="14"/>
    </row>
    <row r="262" spans="4:15" s="23" customFormat="1">
      <c r="D262" s="22"/>
      <c r="E262" s="22"/>
      <c r="F262" s="89"/>
      <c r="G262" s="89"/>
      <c r="H262" s="18"/>
      <c r="I262" s="13"/>
      <c r="J262" s="102"/>
      <c r="K262" s="18"/>
      <c r="L262" s="14"/>
      <c r="M262" s="92"/>
      <c r="N262" s="92"/>
      <c r="O262" s="14"/>
    </row>
    <row r="263" spans="4:15" s="23" customFormat="1">
      <c r="D263" s="22"/>
      <c r="E263" s="22"/>
      <c r="F263" s="89"/>
      <c r="G263" s="89"/>
      <c r="H263" s="18"/>
      <c r="I263" s="13"/>
      <c r="J263" s="102"/>
      <c r="K263" s="18"/>
      <c r="L263" s="14"/>
      <c r="M263" s="92"/>
      <c r="N263" s="92"/>
      <c r="O263" s="14"/>
    </row>
    <row r="264" spans="4:15" s="23" customFormat="1">
      <c r="D264" s="22"/>
      <c r="E264" s="22"/>
      <c r="F264" s="89"/>
      <c r="G264" s="89"/>
      <c r="H264" s="18"/>
      <c r="I264" s="13"/>
      <c r="J264" s="102"/>
      <c r="K264" s="18"/>
      <c r="L264" s="14"/>
      <c r="M264" s="92"/>
      <c r="N264" s="92"/>
      <c r="O264" s="14"/>
    </row>
    <row r="265" spans="4:15" s="23" customFormat="1">
      <c r="D265" s="22"/>
      <c r="E265" s="22"/>
      <c r="F265" s="89"/>
      <c r="G265" s="89"/>
      <c r="H265" s="18"/>
      <c r="I265" s="13"/>
      <c r="J265" s="102"/>
      <c r="K265" s="18"/>
      <c r="L265" s="14"/>
      <c r="M265" s="92"/>
      <c r="N265" s="92"/>
      <c r="O265" s="14"/>
    </row>
    <row r="266" spans="4:15" s="23" customFormat="1">
      <c r="D266" s="22"/>
      <c r="E266" s="22"/>
      <c r="F266" s="89"/>
      <c r="G266" s="89"/>
      <c r="H266" s="18"/>
      <c r="I266" s="13"/>
      <c r="J266" s="102"/>
      <c r="K266" s="18"/>
      <c r="L266" s="14"/>
      <c r="M266" s="92"/>
      <c r="N266" s="92"/>
      <c r="O266" s="14"/>
    </row>
    <row r="267" spans="4:15" s="23" customFormat="1">
      <c r="D267" s="22"/>
      <c r="E267" s="22"/>
      <c r="F267" s="89"/>
      <c r="G267" s="89"/>
      <c r="H267" s="18"/>
      <c r="I267" s="13"/>
      <c r="J267" s="102"/>
      <c r="K267" s="18"/>
      <c r="L267" s="14"/>
      <c r="M267" s="92"/>
      <c r="N267" s="92"/>
      <c r="O267" s="14"/>
    </row>
    <row r="268" spans="4:15" s="23" customFormat="1">
      <c r="D268" s="22"/>
      <c r="E268" s="22"/>
      <c r="F268" s="89"/>
      <c r="G268" s="89"/>
      <c r="H268" s="18"/>
      <c r="I268" s="13"/>
      <c r="J268" s="102"/>
      <c r="K268" s="18"/>
      <c r="L268" s="14"/>
      <c r="M268" s="92"/>
      <c r="N268" s="92"/>
      <c r="O268" s="14"/>
    </row>
    <row r="269" spans="4:15" s="23" customFormat="1">
      <c r="D269" s="22"/>
      <c r="E269" s="22"/>
      <c r="F269" s="89"/>
      <c r="G269" s="89"/>
      <c r="H269" s="18"/>
      <c r="I269" s="13"/>
      <c r="J269" s="102"/>
      <c r="K269" s="18"/>
      <c r="L269" s="14"/>
      <c r="M269" s="92"/>
      <c r="N269" s="92"/>
      <c r="O269" s="14"/>
    </row>
    <row r="270" spans="4:15" s="23" customFormat="1">
      <c r="D270" s="22"/>
      <c r="E270" s="22"/>
      <c r="F270" s="89"/>
      <c r="G270" s="89"/>
      <c r="H270" s="18"/>
      <c r="I270" s="13"/>
      <c r="J270" s="102"/>
      <c r="K270" s="18"/>
      <c r="L270" s="14"/>
      <c r="M270" s="92"/>
      <c r="N270" s="92"/>
      <c r="O270" s="14"/>
    </row>
    <row r="271" spans="4:15" s="23" customFormat="1">
      <c r="D271" s="22"/>
      <c r="E271" s="22"/>
      <c r="F271" s="89"/>
      <c r="G271" s="89"/>
      <c r="H271" s="18"/>
      <c r="I271" s="13"/>
      <c r="J271" s="102"/>
      <c r="K271" s="18"/>
      <c r="L271" s="14"/>
      <c r="M271" s="92"/>
      <c r="N271" s="92"/>
      <c r="O271" s="14"/>
    </row>
    <row r="272" spans="4:15" s="23" customFormat="1">
      <c r="D272" s="22"/>
      <c r="E272" s="22"/>
      <c r="F272" s="89"/>
      <c r="G272" s="89"/>
      <c r="H272" s="18"/>
      <c r="I272" s="13"/>
      <c r="J272" s="102"/>
      <c r="K272" s="18"/>
      <c r="L272" s="14"/>
      <c r="M272" s="92"/>
      <c r="N272" s="92"/>
      <c r="O272" s="14"/>
    </row>
    <row r="273" spans="4:15" s="23" customFormat="1">
      <c r="D273" s="22"/>
      <c r="E273" s="22"/>
      <c r="F273" s="89"/>
      <c r="G273" s="89"/>
      <c r="H273" s="18"/>
      <c r="I273" s="13"/>
      <c r="J273" s="102"/>
      <c r="K273" s="18"/>
      <c r="L273" s="14"/>
      <c r="M273" s="92"/>
      <c r="N273" s="92"/>
      <c r="O273" s="14"/>
    </row>
    <row r="274" spans="4:15" s="23" customFormat="1">
      <c r="D274" s="22"/>
      <c r="E274" s="22"/>
      <c r="F274" s="89"/>
      <c r="G274" s="89"/>
      <c r="H274" s="18"/>
      <c r="I274" s="13"/>
      <c r="J274" s="102"/>
      <c r="K274" s="18"/>
      <c r="L274" s="14"/>
      <c r="M274" s="92"/>
      <c r="N274" s="92"/>
      <c r="O274" s="14"/>
    </row>
    <row r="275" spans="4:15" s="23" customFormat="1">
      <c r="D275" s="22"/>
      <c r="E275" s="22"/>
      <c r="F275" s="89"/>
      <c r="G275" s="89"/>
      <c r="H275" s="18"/>
      <c r="I275" s="13"/>
      <c r="J275" s="102"/>
      <c r="K275" s="18"/>
      <c r="L275" s="14"/>
      <c r="M275" s="92"/>
      <c r="N275" s="92"/>
      <c r="O275" s="14"/>
    </row>
    <row r="276" spans="4:15" s="23" customFormat="1">
      <c r="D276" s="22"/>
      <c r="E276" s="22"/>
      <c r="F276" s="89"/>
      <c r="G276" s="89"/>
      <c r="H276" s="18"/>
      <c r="I276" s="13"/>
      <c r="J276" s="102"/>
      <c r="K276" s="18"/>
      <c r="L276" s="14"/>
      <c r="M276" s="92"/>
      <c r="N276" s="92"/>
      <c r="O276" s="14"/>
    </row>
    <row r="277" spans="4:15" s="23" customFormat="1">
      <c r="D277" s="22"/>
      <c r="E277" s="22"/>
      <c r="F277" s="89"/>
      <c r="G277" s="89"/>
      <c r="H277" s="18"/>
      <c r="I277" s="13"/>
      <c r="J277" s="102"/>
      <c r="K277" s="18"/>
      <c r="L277" s="14"/>
      <c r="M277" s="92"/>
      <c r="N277" s="92"/>
      <c r="O277" s="14"/>
    </row>
    <row r="278" spans="4:15" s="23" customFormat="1">
      <c r="D278" s="22"/>
      <c r="E278" s="22"/>
      <c r="F278" s="89"/>
      <c r="G278" s="89"/>
      <c r="H278" s="18"/>
      <c r="I278" s="13"/>
      <c r="J278" s="102"/>
      <c r="K278" s="18"/>
      <c r="L278" s="14"/>
      <c r="M278" s="92"/>
      <c r="N278" s="92"/>
      <c r="O278" s="14"/>
    </row>
    <row r="279" spans="4:15" s="23" customFormat="1">
      <c r="D279" s="22"/>
      <c r="E279" s="22"/>
      <c r="F279" s="89"/>
      <c r="G279" s="89"/>
      <c r="H279" s="18"/>
      <c r="I279" s="13"/>
      <c r="J279" s="102"/>
      <c r="K279" s="18"/>
      <c r="L279" s="14"/>
      <c r="M279" s="92"/>
      <c r="N279" s="92"/>
      <c r="O279" s="14"/>
    </row>
    <row r="280" spans="4:15" s="23" customFormat="1">
      <c r="D280" s="22"/>
      <c r="E280" s="22"/>
      <c r="F280" s="89"/>
      <c r="G280" s="89"/>
      <c r="H280" s="18"/>
      <c r="I280" s="13"/>
      <c r="J280" s="102"/>
      <c r="K280" s="18"/>
      <c r="L280" s="14"/>
      <c r="M280" s="92"/>
      <c r="N280" s="92"/>
      <c r="O280" s="14"/>
    </row>
    <row r="281" spans="4:15" s="23" customFormat="1">
      <c r="D281" s="22"/>
      <c r="E281" s="22"/>
      <c r="F281" s="89"/>
      <c r="G281" s="89"/>
      <c r="H281" s="18"/>
      <c r="I281" s="13"/>
      <c r="J281" s="102"/>
      <c r="K281" s="18"/>
      <c r="L281" s="14"/>
      <c r="M281" s="92"/>
      <c r="N281" s="92"/>
      <c r="O281" s="14"/>
    </row>
    <row r="282" spans="4:15" s="23" customFormat="1">
      <c r="D282" s="22"/>
      <c r="E282" s="22"/>
      <c r="F282" s="89"/>
      <c r="G282" s="89"/>
      <c r="H282" s="18"/>
      <c r="I282" s="13"/>
      <c r="J282" s="102"/>
      <c r="K282" s="18"/>
      <c r="L282" s="14"/>
      <c r="M282" s="92"/>
      <c r="N282" s="92"/>
      <c r="O282" s="14"/>
    </row>
    <row r="283" spans="4:15" s="23" customFormat="1">
      <c r="D283" s="22"/>
      <c r="E283" s="22"/>
      <c r="F283" s="89"/>
      <c r="G283" s="89"/>
      <c r="H283" s="18"/>
      <c r="I283" s="13"/>
      <c r="J283" s="102"/>
      <c r="K283" s="18"/>
      <c r="L283" s="14"/>
      <c r="M283" s="92"/>
      <c r="N283" s="92"/>
      <c r="O283" s="14"/>
    </row>
    <row r="284" spans="4:15" s="23" customFormat="1">
      <c r="D284" s="22"/>
      <c r="E284" s="22"/>
      <c r="F284" s="89"/>
      <c r="G284" s="89"/>
      <c r="H284" s="18"/>
      <c r="I284" s="13"/>
      <c r="J284" s="102"/>
      <c r="K284" s="18"/>
      <c r="L284" s="14"/>
      <c r="M284" s="92"/>
      <c r="N284" s="92"/>
      <c r="O284" s="14"/>
    </row>
    <row r="285" spans="4:15" s="23" customFormat="1">
      <c r="D285" s="22"/>
      <c r="E285" s="22"/>
      <c r="F285" s="89"/>
      <c r="G285" s="89"/>
      <c r="H285" s="18"/>
      <c r="I285" s="13"/>
      <c r="J285" s="102"/>
      <c r="K285" s="18"/>
      <c r="L285" s="14"/>
      <c r="M285" s="92"/>
      <c r="N285" s="92"/>
      <c r="O285" s="14"/>
    </row>
    <row r="286" spans="4:15" s="23" customFormat="1">
      <c r="D286" s="22"/>
      <c r="E286" s="22"/>
      <c r="F286" s="89"/>
      <c r="G286" s="89"/>
      <c r="H286" s="18"/>
      <c r="I286" s="13"/>
      <c r="J286" s="102"/>
      <c r="K286" s="18"/>
      <c r="L286" s="14"/>
      <c r="M286" s="92"/>
      <c r="N286" s="92"/>
      <c r="O286" s="14"/>
    </row>
    <row r="287" spans="4:15" s="23" customFormat="1">
      <c r="D287" s="22"/>
      <c r="E287" s="22"/>
      <c r="F287" s="89"/>
      <c r="G287" s="89"/>
      <c r="H287" s="18"/>
      <c r="I287" s="13"/>
      <c r="J287" s="102"/>
      <c r="K287" s="18"/>
      <c r="L287" s="14"/>
      <c r="M287" s="92"/>
      <c r="N287" s="92"/>
      <c r="O287" s="14"/>
    </row>
    <row r="288" spans="4:15" s="23" customFormat="1">
      <c r="D288" s="22"/>
      <c r="E288" s="22"/>
      <c r="F288" s="89"/>
      <c r="G288" s="89"/>
      <c r="H288" s="18"/>
      <c r="I288" s="13"/>
      <c r="J288" s="102"/>
      <c r="K288" s="18"/>
      <c r="L288" s="14"/>
      <c r="M288" s="92"/>
      <c r="N288" s="92"/>
      <c r="O288" s="14"/>
    </row>
    <row r="289" spans="4:15" s="23" customFormat="1">
      <c r="D289" s="22"/>
      <c r="E289" s="22"/>
      <c r="F289" s="89"/>
      <c r="G289" s="89"/>
      <c r="H289" s="18"/>
      <c r="I289" s="13"/>
      <c r="J289" s="102"/>
      <c r="K289" s="18"/>
      <c r="L289" s="14"/>
      <c r="M289" s="92"/>
      <c r="N289" s="92"/>
      <c r="O289" s="14"/>
    </row>
    <row r="290" spans="4:15" s="23" customFormat="1">
      <c r="D290" s="22"/>
      <c r="E290" s="22"/>
      <c r="F290" s="89"/>
      <c r="G290" s="89"/>
      <c r="H290" s="18"/>
      <c r="I290" s="13"/>
      <c r="J290" s="102"/>
      <c r="K290" s="18"/>
      <c r="L290" s="14"/>
      <c r="M290" s="92"/>
      <c r="N290" s="92"/>
      <c r="O290" s="14"/>
    </row>
    <row r="291" spans="4:15" s="23" customFormat="1">
      <c r="D291" s="22"/>
      <c r="E291" s="22"/>
      <c r="F291" s="89"/>
      <c r="G291" s="89"/>
      <c r="H291" s="18"/>
      <c r="I291" s="13"/>
      <c r="J291" s="102"/>
      <c r="K291" s="18"/>
      <c r="L291" s="14"/>
      <c r="M291" s="92"/>
      <c r="N291" s="92"/>
      <c r="O291" s="14"/>
    </row>
    <row r="292" spans="4:15" s="23" customFormat="1">
      <c r="D292" s="22"/>
      <c r="E292" s="22"/>
      <c r="F292" s="89"/>
      <c r="G292" s="89"/>
      <c r="H292" s="18"/>
      <c r="I292" s="13"/>
      <c r="J292" s="102"/>
      <c r="K292" s="18"/>
      <c r="L292" s="14"/>
      <c r="M292" s="92"/>
      <c r="N292" s="92"/>
      <c r="O292" s="14"/>
    </row>
    <row r="293" spans="4:15" s="23" customFormat="1">
      <c r="D293" s="22"/>
      <c r="E293" s="22"/>
      <c r="F293" s="89"/>
      <c r="G293" s="89"/>
      <c r="H293" s="18"/>
      <c r="I293" s="13"/>
      <c r="J293" s="102"/>
      <c r="K293" s="18"/>
      <c r="L293" s="14"/>
      <c r="M293" s="92"/>
      <c r="N293" s="92"/>
      <c r="O293" s="14"/>
    </row>
    <row r="294" spans="4:15" s="23" customFormat="1">
      <c r="D294" s="22"/>
      <c r="E294" s="22"/>
      <c r="F294" s="89"/>
      <c r="G294" s="89"/>
      <c r="H294" s="18"/>
      <c r="I294" s="13"/>
      <c r="J294" s="102"/>
      <c r="K294" s="18"/>
      <c r="L294" s="14"/>
      <c r="M294" s="92"/>
      <c r="N294" s="92"/>
      <c r="O294" s="14"/>
    </row>
    <row r="295" spans="4:15" s="23" customFormat="1">
      <c r="D295" s="22"/>
      <c r="E295" s="22"/>
      <c r="F295" s="89"/>
      <c r="G295" s="89"/>
      <c r="H295" s="18"/>
      <c r="I295" s="13"/>
      <c r="J295" s="102"/>
      <c r="K295" s="18"/>
      <c r="L295" s="14"/>
      <c r="M295" s="92"/>
      <c r="N295" s="92"/>
      <c r="O295" s="14"/>
    </row>
    <row r="296" spans="4:15" s="23" customFormat="1">
      <c r="D296" s="22"/>
      <c r="E296" s="22"/>
      <c r="F296" s="89"/>
      <c r="G296" s="89"/>
      <c r="H296" s="18"/>
      <c r="I296" s="13"/>
      <c r="J296" s="102"/>
      <c r="K296" s="18"/>
      <c r="L296" s="14"/>
      <c r="M296" s="92"/>
      <c r="N296" s="92"/>
      <c r="O296" s="14"/>
    </row>
    <row r="297" spans="4:15" s="23" customFormat="1">
      <c r="D297" s="22"/>
      <c r="E297" s="22"/>
      <c r="F297" s="89"/>
      <c r="G297" s="89"/>
      <c r="H297" s="18"/>
      <c r="I297" s="13"/>
      <c r="J297" s="102"/>
      <c r="K297" s="18"/>
      <c r="L297" s="14"/>
      <c r="M297" s="92"/>
      <c r="N297" s="92"/>
      <c r="O297" s="14"/>
    </row>
    <row r="298" spans="4:15" s="23" customFormat="1">
      <c r="D298" s="22"/>
      <c r="E298" s="22"/>
      <c r="F298" s="89"/>
      <c r="G298" s="89"/>
      <c r="H298" s="18"/>
      <c r="I298" s="13"/>
      <c r="J298" s="102"/>
      <c r="K298" s="18"/>
      <c r="L298" s="14"/>
      <c r="M298" s="92"/>
      <c r="N298" s="92"/>
      <c r="O298" s="14"/>
    </row>
    <row r="299" spans="4:15" s="23" customFormat="1">
      <c r="D299" s="22"/>
      <c r="E299" s="22"/>
      <c r="F299" s="89"/>
      <c r="G299" s="89"/>
      <c r="H299" s="18"/>
      <c r="I299" s="13"/>
      <c r="J299" s="102"/>
      <c r="K299" s="18"/>
      <c r="L299" s="14"/>
      <c r="M299" s="92"/>
      <c r="N299" s="92"/>
      <c r="O299" s="14"/>
    </row>
    <row r="300" spans="4:15" s="23" customFormat="1">
      <c r="D300" s="22"/>
      <c r="E300" s="22"/>
      <c r="F300" s="89"/>
      <c r="G300" s="89"/>
      <c r="H300" s="18"/>
      <c r="I300" s="13"/>
      <c r="J300" s="102"/>
      <c r="K300" s="18"/>
      <c r="L300" s="14"/>
      <c r="M300" s="92"/>
      <c r="N300" s="92"/>
      <c r="O300" s="14"/>
    </row>
    <row r="301" spans="4:15" s="23" customFormat="1">
      <c r="D301" s="22"/>
      <c r="E301" s="22"/>
      <c r="F301" s="89"/>
      <c r="G301" s="89"/>
      <c r="H301" s="18"/>
      <c r="I301" s="13"/>
      <c r="J301" s="102"/>
      <c r="K301" s="18"/>
      <c r="L301" s="14"/>
      <c r="M301" s="92"/>
      <c r="N301" s="92"/>
      <c r="O301" s="14"/>
    </row>
    <row r="302" spans="4:15" s="23" customFormat="1">
      <c r="D302" s="22"/>
      <c r="E302" s="22"/>
      <c r="F302" s="89"/>
      <c r="G302" s="89"/>
      <c r="H302" s="18"/>
      <c r="I302" s="13"/>
      <c r="J302" s="102"/>
      <c r="K302" s="18"/>
      <c r="L302" s="14"/>
      <c r="M302" s="92"/>
      <c r="N302" s="92"/>
      <c r="O302" s="14"/>
    </row>
    <row r="303" spans="4:15" s="23" customFormat="1">
      <c r="D303" s="22"/>
      <c r="E303" s="22"/>
      <c r="F303" s="89"/>
      <c r="G303" s="89"/>
      <c r="H303" s="18"/>
      <c r="I303" s="13"/>
      <c r="J303" s="102"/>
      <c r="K303" s="18"/>
      <c r="L303" s="14"/>
      <c r="M303" s="92"/>
      <c r="N303" s="92"/>
      <c r="O303" s="14"/>
    </row>
    <row r="304" spans="4:15" s="23" customFormat="1">
      <c r="D304" s="22"/>
      <c r="E304" s="22"/>
      <c r="F304" s="89"/>
      <c r="G304" s="89"/>
      <c r="H304" s="18"/>
      <c r="I304" s="13"/>
      <c r="J304" s="102"/>
      <c r="K304" s="18"/>
      <c r="L304" s="14"/>
      <c r="M304" s="92"/>
      <c r="N304" s="92"/>
      <c r="O304" s="14"/>
    </row>
    <row r="305" spans="4:15" s="23" customFormat="1">
      <c r="D305" s="22"/>
      <c r="E305" s="22"/>
      <c r="F305" s="89"/>
      <c r="G305" s="89"/>
      <c r="H305" s="18"/>
      <c r="I305" s="13"/>
      <c r="J305" s="102"/>
      <c r="K305" s="18"/>
      <c r="L305" s="14"/>
      <c r="M305" s="92"/>
      <c r="N305" s="92"/>
      <c r="O305" s="14"/>
    </row>
    <row r="306" spans="4:15" s="23" customFormat="1">
      <c r="D306" s="22"/>
      <c r="E306" s="22"/>
      <c r="F306" s="89"/>
      <c r="G306" s="89"/>
      <c r="H306" s="18"/>
      <c r="I306" s="13"/>
      <c r="J306" s="102"/>
      <c r="K306" s="18"/>
      <c r="L306" s="14"/>
      <c r="M306" s="92"/>
      <c r="N306" s="92"/>
      <c r="O306" s="14"/>
    </row>
    <row r="307" spans="4:15" s="23" customFormat="1">
      <c r="D307" s="22"/>
      <c r="E307" s="22"/>
      <c r="F307" s="89"/>
      <c r="G307" s="89"/>
      <c r="H307" s="18"/>
      <c r="I307" s="13"/>
      <c r="J307" s="102"/>
      <c r="K307" s="18"/>
      <c r="L307" s="14"/>
      <c r="M307" s="92"/>
      <c r="N307" s="92"/>
      <c r="O307" s="14"/>
    </row>
    <row r="308" spans="4:15" s="23" customFormat="1">
      <c r="D308" s="22"/>
      <c r="E308" s="22"/>
      <c r="F308" s="89"/>
      <c r="G308" s="89"/>
      <c r="H308" s="18"/>
      <c r="I308" s="13"/>
      <c r="J308" s="102"/>
      <c r="K308" s="18"/>
      <c r="L308" s="14"/>
      <c r="M308" s="92"/>
      <c r="N308" s="92"/>
      <c r="O308" s="14"/>
    </row>
    <row r="309" spans="4:15" s="23" customFormat="1">
      <c r="D309" s="22"/>
      <c r="E309" s="22"/>
      <c r="F309" s="89"/>
      <c r="G309" s="89"/>
      <c r="H309" s="18"/>
      <c r="I309" s="13"/>
      <c r="J309" s="102"/>
      <c r="K309" s="18"/>
      <c r="L309" s="14"/>
      <c r="M309" s="92"/>
      <c r="N309" s="92"/>
      <c r="O309" s="14"/>
    </row>
    <row r="310" spans="4:15" s="23" customFormat="1">
      <c r="D310" s="22"/>
      <c r="E310" s="22"/>
      <c r="F310" s="89"/>
      <c r="G310" s="89"/>
      <c r="H310" s="18"/>
      <c r="I310" s="13"/>
      <c r="J310" s="102"/>
      <c r="K310" s="18"/>
      <c r="L310" s="14"/>
      <c r="M310" s="92"/>
      <c r="N310" s="92"/>
      <c r="O310" s="14"/>
    </row>
    <row r="311" spans="4:15" s="23" customFormat="1">
      <c r="D311" s="22"/>
      <c r="E311" s="22"/>
      <c r="F311" s="89"/>
      <c r="G311" s="89"/>
      <c r="H311" s="18"/>
      <c r="I311" s="13"/>
      <c r="J311" s="102"/>
      <c r="K311" s="18"/>
      <c r="L311" s="14"/>
      <c r="M311" s="92"/>
      <c r="N311" s="92"/>
      <c r="O311" s="14"/>
    </row>
    <row r="312" spans="4:15" s="23" customFormat="1">
      <c r="D312" s="22"/>
      <c r="E312" s="22"/>
      <c r="F312" s="89"/>
      <c r="G312" s="89"/>
      <c r="H312" s="18"/>
      <c r="I312" s="13"/>
      <c r="J312" s="102"/>
      <c r="K312" s="18"/>
      <c r="L312" s="14"/>
      <c r="M312" s="92"/>
      <c r="N312" s="92"/>
      <c r="O312" s="14"/>
    </row>
    <row r="313" spans="4:15" s="23" customFormat="1">
      <c r="D313" s="22"/>
      <c r="E313" s="22"/>
      <c r="F313" s="89"/>
      <c r="G313" s="89"/>
      <c r="H313" s="18"/>
      <c r="I313" s="13"/>
      <c r="J313" s="102"/>
      <c r="K313" s="18"/>
      <c r="L313" s="14"/>
      <c r="M313" s="92"/>
      <c r="N313" s="92"/>
      <c r="O313" s="14"/>
    </row>
    <row r="314" spans="4:15" s="23" customFormat="1">
      <c r="D314" s="22"/>
      <c r="E314" s="22"/>
      <c r="F314" s="89"/>
      <c r="G314" s="89"/>
      <c r="H314" s="18"/>
      <c r="I314" s="13"/>
      <c r="J314" s="102"/>
      <c r="K314" s="18"/>
      <c r="L314" s="14"/>
      <c r="M314" s="92"/>
      <c r="N314" s="92"/>
      <c r="O314" s="14"/>
    </row>
    <row r="315" spans="4:15" s="23" customFormat="1">
      <c r="D315" s="22"/>
      <c r="E315" s="22"/>
      <c r="F315" s="89"/>
      <c r="G315" s="89"/>
      <c r="H315" s="18"/>
      <c r="I315" s="13"/>
      <c r="J315" s="102"/>
      <c r="K315" s="18"/>
      <c r="L315" s="14"/>
      <c r="M315" s="92"/>
      <c r="N315" s="92"/>
      <c r="O315" s="14"/>
    </row>
    <row r="316" spans="4:15" s="23" customFormat="1">
      <c r="D316" s="22"/>
      <c r="E316" s="22"/>
      <c r="F316" s="89"/>
      <c r="G316" s="89"/>
      <c r="H316" s="18"/>
      <c r="I316" s="13"/>
      <c r="J316" s="102"/>
      <c r="K316" s="18"/>
      <c r="L316" s="14"/>
      <c r="M316" s="92"/>
      <c r="N316" s="92"/>
      <c r="O316" s="14"/>
    </row>
    <row r="317" spans="4:15" s="23" customFormat="1">
      <c r="D317" s="22"/>
      <c r="E317" s="22"/>
      <c r="F317" s="89"/>
      <c r="G317" s="89"/>
      <c r="H317" s="18"/>
      <c r="I317" s="13"/>
      <c r="J317" s="102"/>
      <c r="K317" s="18"/>
      <c r="L317" s="14"/>
      <c r="M317" s="92"/>
      <c r="N317" s="92"/>
      <c r="O317" s="14"/>
    </row>
    <row r="318" spans="4:15" s="23" customFormat="1">
      <c r="D318" s="22"/>
      <c r="E318" s="22"/>
      <c r="F318" s="89"/>
      <c r="G318" s="89"/>
      <c r="H318" s="18"/>
      <c r="I318" s="13"/>
      <c r="J318" s="102"/>
      <c r="K318" s="18"/>
      <c r="L318" s="14"/>
      <c r="M318" s="92"/>
      <c r="N318" s="92"/>
      <c r="O318" s="14"/>
    </row>
    <row r="319" spans="4:15" s="23" customFormat="1">
      <c r="D319" s="22"/>
      <c r="E319" s="22"/>
      <c r="F319" s="89"/>
      <c r="G319" s="89"/>
      <c r="H319" s="18"/>
      <c r="I319" s="13"/>
      <c r="J319" s="102"/>
      <c r="K319" s="18"/>
      <c r="L319" s="14"/>
      <c r="M319" s="92"/>
      <c r="N319" s="92"/>
      <c r="O319" s="14"/>
    </row>
    <row r="320" spans="4:15" s="23" customFormat="1">
      <c r="D320" s="22"/>
      <c r="E320" s="22"/>
      <c r="F320" s="89"/>
      <c r="G320" s="89"/>
      <c r="H320" s="18"/>
      <c r="I320" s="13"/>
      <c r="J320" s="102"/>
      <c r="K320" s="18"/>
      <c r="L320" s="14"/>
      <c r="M320" s="92"/>
      <c r="N320" s="92"/>
      <c r="O320" s="14"/>
    </row>
    <row r="321" spans="4:15" s="23" customFormat="1">
      <c r="D321" s="22"/>
      <c r="E321" s="22"/>
      <c r="F321" s="89"/>
      <c r="G321" s="89"/>
      <c r="H321" s="18"/>
      <c r="I321" s="13"/>
      <c r="J321" s="102"/>
      <c r="K321" s="18"/>
      <c r="L321" s="14"/>
      <c r="M321" s="92"/>
      <c r="N321" s="92"/>
      <c r="O321" s="14"/>
    </row>
    <row r="322" spans="4:15" s="23" customFormat="1">
      <c r="D322" s="22"/>
      <c r="E322" s="22"/>
      <c r="F322" s="89"/>
      <c r="G322" s="89"/>
      <c r="H322" s="18"/>
      <c r="I322" s="13"/>
      <c r="J322" s="102"/>
      <c r="K322" s="18"/>
      <c r="L322" s="14"/>
      <c r="M322" s="92"/>
      <c r="N322" s="92"/>
      <c r="O322" s="14"/>
    </row>
    <row r="323" spans="4:15" s="23" customFormat="1">
      <c r="D323" s="22"/>
      <c r="E323" s="22"/>
      <c r="F323" s="89"/>
      <c r="G323" s="89"/>
      <c r="H323" s="18"/>
      <c r="I323" s="13"/>
      <c r="J323" s="102"/>
      <c r="K323" s="18"/>
      <c r="L323" s="14"/>
      <c r="M323" s="92"/>
      <c r="N323" s="92"/>
      <c r="O323" s="14"/>
    </row>
    <row r="324" spans="4:15" s="23" customFormat="1">
      <c r="D324" s="22"/>
      <c r="E324" s="22"/>
      <c r="F324" s="89"/>
      <c r="G324" s="89"/>
      <c r="H324" s="18"/>
      <c r="I324" s="13"/>
      <c r="J324" s="102"/>
      <c r="K324" s="18"/>
      <c r="L324" s="14"/>
      <c r="M324" s="92"/>
      <c r="N324" s="92"/>
      <c r="O324" s="14"/>
    </row>
    <row r="325" spans="4:15" s="23" customFormat="1">
      <c r="D325" s="22"/>
      <c r="E325" s="22"/>
      <c r="F325" s="89"/>
      <c r="G325" s="89"/>
      <c r="H325" s="18"/>
      <c r="I325" s="13"/>
      <c r="J325" s="102"/>
      <c r="K325" s="18"/>
      <c r="L325" s="14"/>
      <c r="M325" s="92"/>
      <c r="N325" s="92"/>
      <c r="O325" s="14"/>
    </row>
    <row r="326" spans="4:15" s="23" customFormat="1">
      <c r="D326" s="22"/>
      <c r="E326" s="22"/>
      <c r="F326" s="89"/>
      <c r="G326" s="89"/>
      <c r="H326" s="18"/>
      <c r="I326" s="13"/>
      <c r="J326" s="102"/>
      <c r="K326" s="18"/>
      <c r="L326" s="14"/>
      <c r="M326" s="92"/>
      <c r="N326" s="92"/>
      <c r="O326" s="14"/>
    </row>
    <row r="327" spans="4:15" s="23" customFormat="1">
      <c r="D327" s="22"/>
      <c r="E327" s="22"/>
      <c r="F327" s="89"/>
      <c r="G327" s="89"/>
      <c r="H327" s="18"/>
      <c r="I327" s="13"/>
      <c r="J327" s="102"/>
      <c r="K327" s="18"/>
      <c r="L327" s="14"/>
      <c r="M327" s="92"/>
      <c r="N327" s="92"/>
      <c r="O327" s="14"/>
    </row>
    <row r="328" spans="4:15" s="23" customFormat="1">
      <c r="D328" s="22"/>
      <c r="E328" s="22"/>
      <c r="F328" s="89"/>
      <c r="G328" s="89"/>
      <c r="H328" s="18"/>
      <c r="I328" s="13"/>
      <c r="J328" s="102"/>
      <c r="K328" s="18"/>
      <c r="L328" s="14"/>
      <c r="M328" s="92"/>
      <c r="N328" s="92"/>
      <c r="O328" s="14"/>
    </row>
    <row r="329" spans="4:15" s="23" customFormat="1">
      <c r="D329" s="22"/>
      <c r="E329" s="22"/>
      <c r="F329" s="89"/>
      <c r="G329" s="89"/>
      <c r="H329" s="18"/>
      <c r="I329" s="13"/>
      <c r="J329" s="102"/>
      <c r="K329" s="18"/>
      <c r="L329" s="14"/>
      <c r="M329" s="92"/>
      <c r="N329" s="92"/>
      <c r="O329" s="14"/>
    </row>
    <row r="330" spans="4:15" s="23" customFormat="1">
      <c r="D330" s="22"/>
      <c r="E330" s="22"/>
      <c r="F330" s="89"/>
      <c r="G330" s="89"/>
      <c r="H330" s="18"/>
      <c r="I330" s="13"/>
      <c r="J330" s="102"/>
      <c r="K330" s="18"/>
      <c r="L330" s="14"/>
      <c r="M330" s="92"/>
      <c r="N330" s="92"/>
      <c r="O330" s="14"/>
    </row>
    <row r="331" spans="4:15" s="23" customFormat="1">
      <c r="D331" s="22"/>
      <c r="E331" s="22"/>
      <c r="F331" s="89"/>
      <c r="G331" s="89"/>
      <c r="H331" s="18"/>
      <c r="I331" s="13"/>
      <c r="J331" s="102"/>
      <c r="K331" s="18"/>
      <c r="L331" s="14"/>
      <c r="M331" s="92"/>
      <c r="N331" s="92"/>
      <c r="O331" s="14"/>
    </row>
    <row r="332" spans="4:15" s="23" customFormat="1">
      <c r="D332" s="22"/>
      <c r="E332" s="22"/>
      <c r="F332" s="89"/>
      <c r="G332" s="89"/>
      <c r="H332" s="18"/>
      <c r="I332" s="13"/>
      <c r="J332" s="102"/>
      <c r="K332" s="18"/>
      <c r="L332" s="14"/>
      <c r="M332" s="92"/>
      <c r="N332" s="92"/>
      <c r="O332" s="14"/>
    </row>
    <row r="333" spans="4:15" s="23" customFormat="1">
      <c r="D333" s="22"/>
      <c r="E333" s="22"/>
      <c r="F333" s="89"/>
      <c r="G333" s="89"/>
      <c r="H333" s="18"/>
      <c r="I333" s="13"/>
      <c r="J333" s="102"/>
      <c r="K333" s="18"/>
      <c r="L333" s="14"/>
      <c r="M333" s="92"/>
      <c r="N333" s="92"/>
      <c r="O333" s="14"/>
    </row>
    <row r="334" spans="4:15" s="23" customFormat="1">
      <c r="D334" s="22"/>
      <c r="E334" s="22"/>
      <c r="F334" s="89"/>
      <c r="G334" s="89"/>
      <c r="H334" s="18"/>
      <c r="I334" s="13"/>
      <c r="J334" s="102"/>
      <c r="K334" s="18"/>
      <c r="L334" s="14"/>
      <c r="M334" s="92"/>
      <c r="N334" s="92"/>
      <c r="O334" s="14"/>
    </row>
    <row r="335" spans="4:15" s="23" customFormat="1">
      <c r="D335" s="22"/>
      <c r="E335" s="22"/>
      <c r="F335" s="89"/>
      <c r="G335" s="89"/>
      <c r="H335" s="18"/>
      <c r="I335" s="13"/>
      <c r="J335" s="102"/>
      <c r="K335" s="18"/>
      <c r="L335" s="14"/>
      <c r="M335" s="92"/>
      <c r="N335" s="92"/>
      <c r="O335" s="14"/>
    </row>
    <row r="336" spans="4:15" s="23" customFormat="1">
      <c r="D336" s="22"/>
      <c r="E336" s="22"/>
      <c r="F336" s="89"/>
      <c r="G336" s="89"/>
      <c r="H336" s="18"/>
      <c r="I336" s="13"/>
      <c r="J336" s="102"/>
      <c r="K336" s="18"/>
      <c r="L336" s="14"/>
      <c r="M336" s="92"/>
      <c r="N336" s="92"/>
      <c r="O336" s="14"/>
    </row>
    <row r="337" spans="4:15" s="23" customFormat="1">
      <c r="D337" s="22"/>
      <c r="E337" s="22"/>
      <c r="F337" s="89"/>
      <c r="G337" s="89"/>
      <c r="H337" s="18"/>
      <c r="I337" s="13"/>
      <c r="J337" s="102"/>
      <c r="K337" s="18"/>
      <c r="L337" s="14"/>
      <c r="M337" s="92"/>
      <c r="N337" s="92"/>
      <c r="O337" s="14"/>
    </row>
    <row r="338" spans="4:15" s="23" customFormat="1">
      <c r="D338" s="22"/>
      <c r="E338" s="22"/>
      <c r="F338" s="89"/>
      <c r="G338" s="89"/>
      <c r="H338" s="18"/>
      <c r="I338" s="13"/>
      <c r="J338" s="102"/>
      <c r="K338" s="18"/>
      <c r="L338" s="14"/>
      <c r="M338" s="92"/>
      <c r="N338" s="92"/>
      <c r="O338" s="14"/>
    </row>
    <row r="339" spans="4:15" s="23" customFormat="1">
      <c r="D339" s="22"/>
      <c r="E339" s="22"/>
      <c r="F339" s="89"/>
      <c r="G339" s="89"/>
      <c r="H339" s="18"/>
      <c r="I339" s="13"/>
      <c r="J339" s="102"/>
      <c r="K339" s="18"/>
      <c r="L339" s="14"/>
      <c r="M339" s="92"/>
      <c r="N339" s="92"/>
      <c r="O339" s="14"/>
    </row>
    <row r="340" spans="4:15" s="23" customFormat="1">
      <c r="D340" s="22"/>
      <c r="E340" s="22"/>
      <c r="F340" s="89"/>
      <c r="G340" s="89"/>
      <c r="H340" s="18"/>
      <c r="I340" s="13"/>
      <c r="J340" s="102"/>
      <c r="K340" s="18"/>
      <c r="L340" s="14"/>
      <c r="M340" s="92"/>
      <c r="N340" s="92"/>
      <c r="O340" s="14"/>
    </row>
    <row r="341" spans="4:15" s="23" customFormat="1">
      <c r="D341" s="22"/>
      <c r="E341" s="22"/>
      <c r="F341" s="89"/>
      <c r="G341" s="89"/>
      <c r="H341" s="18"/>
      <c r="I341" s="13"/>
      <c r="J341" s="102"/>
      <c r="K341" s="18"/>
      <c r="L341" s="14"/>
      <c r="M341" s="92"/>
      <c r="N341" s="92"/>
      <c r="O341" s="14"/>
    </row>
    <row r="342" spans="4:15" s="23" customFormat="1">
      <c r="D342" s="22"/>
      <c r="E342" s="22"/>
      <c r="F342" s="89"/>
      <c r="G342" s="89"/>
      <c r="H342" s="18"/>
      <c r="I342" s="13"/>
      <c r="J342" s="102"/>
      <c r="K342" s="18"/>
      <c r="L342" s="14"/>
      <c r="M342" s="92"/>
      <c r="N342" s="92"/>
      <c r="O342" s="14"/>
    </row>
    <row r="343" spans="4:15" s="23" customFormat="1">
      <c r="D343" s="22"/>
      <c r="E343" s="22"/>
      <c r="F343" s="89"/>
      <c r="G343" s="89"/>
      <c r="H343" s="18"/>
      <c r="I343" s="13"/>
      <c r="J343" s="102"/>
      <c r="K343" s="18"/>
      <c r="L343" s="14"/>
      <c r="M343" s="92"/>
      <c r="N343" s="92"/>
      <c r="O343" s="14"/>
    </row>
    <row r="344" spans="4:15" s="23" customFormat="1">
      <c r="D344" s="22"/>
      <c r="E344" s="22"/>
      <c r="F344" s="89"/>
      <c r="G344" s="89"/>
      <c r="H344" s="18"/>
      <c r="I344" s="13"/>
      <c r="J344" s="102"/>
      <c r="K344" s="18"/>
      <c r="L344" s="14"/>
      <c r="M344" s="92"/>
      <c r="N344" s="92"/>
      <c r="O344" s="14"/>
    </row>
    <row r="345" spans="4:15" s="23" customFormat="1">
      <c r="D345" s="22"/>
      <c r="E345" s="22"/>
      <c r="F345" s="89"/>
      <c r="G345" s="89"/>
      <c r="H345" s="18"/>
      <c r="I345" s="13"/>
      <c r="J345" s="102"/>
      <c r="K345" s="18"/>
      <c r="L345" s="14"/>
      <c r="M345" s="92"/>
      <c r="N345" s="92"/>
      <c r="O345" s="14"/>
    </row>
    <row r="346" spans="4:15" s="23" customFormat="1">
      <c r="D346" s="22"/>
      <c r="E346" s="22"/>
      <c r="F346" s="89"/>
      <c r="G346" s="89"/>
      <c r="H346" s="18"/>
      <c r="I346" s="13"/>
      <c r="J346" s="102"/>
      <c r="K346" s="18"/>
      <c r="L346" s="14"/>
      <c r="M346" s="92"/>
      <c r="N346" s="92"/>
      <c r="O346" s="14"/>
    </row>
    <row r="347" spans="4:15" s="23" customFormat="1">
      <c r="D347" s="22"/>
      <c r="E347" s="22"/>
      <c r="F347" s="89"/>
      <c r="G347" s="89"/>
      <c r="H347" s="18"/>
      <c r="I347" s="13"/>
      <c r="J347" s="102"/>
      <c r="K347" s="18"/>
      <c r="L347" s="14"/>
      <c r="M347" s="92"/>
      <c r="N347" s="92"/>
      <c r="O347" s="14"/>
    </row>
    <row r="348" spans="4:15" s="23" customFormat="1">
      <c r="D348" s="22"/>
      <c r="E348" s="22"/>
      <c r="F348" s="89"/>
      <c r="G348" s="89"/>
      <c r="H348" s="18"/>
      <c r="I348" s="13"/>
      <c r="J348" s="102"/>
      <c r="K348" s="18"/>
      <c r="L348" s="14"/>
      <c r="M348" s="92"/>
      <c r="N348" s="92"/>
      <c r="O348" s="14"/>
    </row>
    <row r="349" spans="4:15" s="23" customFormat="1">
      <c r="D349" s="22"/>
      <c r="E349" s="22"/>
      <c r="F349" s="89"/>
      <c r="G349" s="89"/>
      <c r="H349" s="18"/>
      <c r="I349" s="13"/>
      <c r="J349" s="102"/>
      <c r="K349" s="18"/>
      <c r="L349" s="14"/>
      <c r="M349" s="92"/>
      <c r="N349" s="92"/>
      <c r="O349" s="14"/>
    </row>
    <row r="350" spans="4:15" s="23" customFormat="1">
      <c r="D350" s="22"/>
      <c r="E350" s="22"/>
      <c r="F350" s="89"/>
      <c r="G350" s="89"/>
      <c r="H350" s="18"/>
      <c r="I350" s="13"/>
      <c r="J350" s="102"/>
      <c r="K350" s="18"/>
      <c r="L350" s="14"/>
      <c r="M350" s="92"/>
      <c r="N350" s="92"/>
      <c r="O350" s="14"/>
    </row>
    <row r="351" spans="4:15" s="23" customFormat="1">
      <c r="D351" s="22"/>
      <c r="E351" s="22"/>
      <c r="F351" s="89"/>
      <c r="G351" s="89"/>
      <c r="H351" s="18"/>
      <c r="I351" s="13"/>
      <c r="J351" s="102"/>
      <c r="K351" s="18"/>
      <c r="L351" s="14"/>
      <c r="M351" s="92"/>
      <c r="N351" s="92"/>
      <c r="O351" s="14"/>
    </row>
    <row r="352" spans="4:15" s="23" customFormat="1">
      <c r="D352" s="22"/>
      <c r="E352" s="22"/>
      <c r="F352" s="89"/>
      <c r="G352" s="89"/>
      <c r="H352" s="18"/>
      <c r="I352" s="13"/>
      <c r="J352" s="102"/>
      <c r="K352" s="18"/>
      <c r="L352" s="14"/>
      <c r="M352" s="92"/>
      <c r="N352" s="92"/>
      <c r="O352" s="14"/>
    </row>
    <row r="353" spans="4:15" s="23" customFormat="1">
      <c r="D353" s="22"/>
      <c r="E353" s="22"/>
      <c r="F353" s="89"/>
      <c r="G353" s="89"/>
      <c r="H353" s="18"/>
      <c r="I353" s="13"/>
      <c r="J353" s="102"/>
      <c r="K353" s="18"/>
      <c r="L353" s="14"/>
      <c r="M353" s="92"/>
      <c r="N353" s="92"/>
      <c r="O353" s="14"/>
    </row>
    <row r="354" spans="4:15" s="23" customFormat="1">
      <c r="D354" s="22"/>
      <c r="E354" s="22"/>
      <c r="F354" s="89"/>
      <c r="G354" s="89"/>
      <c r="H354" s="18"/>
      <c r="I354" s="13"/>
      <c r="J354" s="102"/>
      <c r="K354" s="18"/>
      <c r="L354" s="14"/>
      <c r="M354" s="92"/>
      <c r="N354" s="92"/>
      <c r="O354" s="14"/>
    </row>
    <row r="355" spans="4:15" s="23" customFormat="1">
      <c r="D355" s="22"/>
      <c r="E355" s="22"/>
      <c r="F355" s="89"/>
      <c r="G355" s="89"/>
      <c r="H355" s="18"/>
      <c r="I355" s="13"/>
      <c r="J355" s="102"/>
      <c r="K355" s="18"/>
      <c r="L355" s="14"/>
      <c r="M355" s="92"/>
      <c r="N355" s="92"/>
      <c r="O355" s="14"/>
    </row>
    <row r="356" spans="4:15" s="23" customFormat="1">
      <c r="D356" s="22"/>
      <c r="E356" s="22"/>
      <c r="F356" s="89"/>
      <c r="G356" s="89"/>
      <c r="H356" s="18"/>
      <c r="I356" s="13"/>
      <c r="J356" s="102"/>
      <c r="K356" s="18"/>
      <c r="L356" s="14"/>
      <c r="M356" s="92"/>
      <c r="N356" s="92"/>
      <c r="O356" s="14"/>
    </row>
    <row r="357" spans="4:15" s="23" customFormat="1">
      <c r="D357" s="22"/>
      <c r="E357" s="22"/>
      <c r="F357" s="89"/>
      <c r="G357" s="89"/>
      <c r="H357" s="18"/>
      <c r="I357" s="13"/>
      <c r="J357" s="102"/>
      <c r="K357" s="18"/>
      <c r="L357" s="14"/>
      <c r="M357" s="92"/>
      <c r="N357" s="92"/>
      <c r="O357" s="14"/>
    </row>
    <row r="358" spans="4:15" s="23" customFormat="1">
      <c r="D358" s="22"/>
      <c r="E358" s="22"/>
      <c r="F358" s="89"/>
      <c r="G358" s="89"/>
      <c r="H358" s="18"/>
      <c r="I358" s="13"/>
      <c r="J358" s="102"/>
      <c r="K358" s="18"/>
      <c r="L358" s="14"/>
      <c r="M358" s="92"/>
      <c r="N358" s="92"/>
      <c r="O358" s="14"/>
    </row>
    <row r="359" spans="4:15" s="23" customFormat="1">
      <c r="D359" s="22"/>
      <c r="E359" s="22"/>
      <c r="F359" s="89"/>
      <c r="G359" s="89"/>
      <c r="H359" s="18"/>
      <c r="I359" s="13"/>
      <c r="J359" s="102"/>
      <c r="K359" s="18"/>
      <c r="L359" s="14"/>
      <c r="M359" s="92"/>
      <c r="N359" s="92"/>
      <c r="O359" s="14"/>
    </row>
    <row r="360" spans="4:15" s="23" customFormat="1">
      <c r="D360" s="22"/>
      <c r="E360" s="22"/>
      <c r="F360" s="89"/>
      <c r="G360" s="89"/>
      <c r="H360" s="18"/>
      <c r="I360" s="13"/>
      <c r="J360" s="102"/>
      <c r="K360" s="18"/>
      <c r="L360" s="14"/>
      <c r="M360" s="92"/>
      <c r="N360" s="92"/>
      <c r="O360" s="14"/>
    </row>
    <row r="361" spans="4:15" s="23" customFormat="1">
      <c r="D361" s="22"/>
      <c r="E361" s="22"/>
      <c r="F361" s="89"/>
      <c r="G361" s="89"/>
      <c r="H361" s="18"/>
      <c r="I361" s="13"/>
      <c r="J361" s="102"/>
      <c r="K361" s="18"/>
      <c r="L361" s="14"/>
      <c r="M361" s="92"/>
      <c r="N361" s="92"/>
      <c r="O361" s="14"/>
    </row>
    <row r="362" spans="4:15" s="23" customFormat="1">
      <c r="D362" s="22"/>
      <c r="E362" s="22"/>
      <c r="F362" s="89"/>
      <c r="G362" s="89"/>
      <c r="H362" s="18"/>
      <c r="I362" s="13"/>
      <c r="J362" s="102"/>
      <c r="K362" s="18"/>
      <c r="L362" s="14"/>
      <c r="M362" s="92"/>
      <c r="N362" s="92"/>
      <c r="O362" s="14"/>
    </row>
    <row r="363" spans="4:15" s="23" customFormat="1">
      <c r="D363" s="22"/>
      <c r="E363" s="22"/>
      <c r="F363" s="89"/>
      <c r="G363" s="89"/>
      <c r="H363" s="18"/>
      <c r="I363" s="13"/>
      <c r="J363" s="102"/>
      <c r="K363" s="18"/>
      <c r="L363" s="14"/>
      <c r="M363" s="92"/>
      <c r="N363" s="92"/>
      <c r="O363" s="14"/>
    </row>
    <row r="364" spans="4:15" s="23" customFormat="1">
      <c r="D364" s="22"/>
      <c r="E364" s="22"/>
      <c r="F364" s="89"/>
      <c r="G364" s="89"/>
      <c r="H364" s="18"/>
      <c r="I364" s="13"/>
      <c r="J364" s="102"/>
      <c r="K364" s="18"/>
      <c r="L364" s="14"/>
      <c r="M364" s="92"/>
      <c r="N364" s="92"/>
      <c r="O364" s="14"/>
    </row>
    <row r="365" spans="4:15" s="23" customFormat="1">
      <c r="D365" s="22"/>
      <c r="E365" s="22"/>
      <c r="F365" s="89"/>
      <c r="G365" s="89"/>
      <c r="H365" s="18"/>
      <c r="I365" s="13"/>
      <c r="J365" s="102"/>
      <c r="K365" s="18"/>
      <c r="L365" s="14"/>
      <c r="M365" s="92"/>
      <c r="N365" s="92"/>
      <c r="O365" s="14"/>
    </row>
    <row r="366" spans="4:15" s="23" customFormat="1">
      <c r="D366" s="22"/>
      <c r="E366" s="22"/>
      <c r="F366" s="89"/>
      <c r="G366" s="89"/>
      <c r="H366" s="18"/>
      <c r="I366" s="13"/>
      <c r="J366" s="102"/>
      <c r="K366" s="18"/>
      <c r="L366" s="14"/>
      <c r="M366" s="92"/>
      <c r="N366" s="92"/>
      <c r="O366" s="14"/>
    </row>
    <row r="367" spans="4:15" s="23" customFormat="1">
      <c r="D367" s="22"/>
      <c r="E367" s="22"/>
      <c r="F367" s="89"/>
      <c r="G367" s="89"/>
      <c r="H367" s="18"/>
      <c r="I367" s="13"/>
      <c r="J367" s="102"/>
      <c r="K367" s="18"/>
      <c r="L367" s="14"/>
      <c r="M367" s="92"/>
      <c r="N367" s="92"/>
      <c r="O367" s="14"/>
    </row>
    <row r="368" spans="4:15" s="23" customFormat="1">
      <c r="D368" s="22"/>
      <c r="E368" s="22"/>
      <c r="F368" s="89"/>
      <c r="G368" s="89"/>
      <c r="H368" s="18"/>
      <c r="I368" s="13"/>
      <c r="J368" s="102"/>
      <c r="K368" s="18"/>
      <c r="L368" s="14"/>
      <c r="M368" s="92"/>
      <c r="N368" s="92"/>
      <c r="O368" s="14"/>
    </row>
    <row r="369" spans="4:15" s="23" customFormat="1">
      <c r="D369" s="22"/>
      <c r="E369" s="22"/>
      <c r="F369" s="89"/>
      <c r="G369" s="89"/>
      <c r="H369" s="18"/>
      <c r="I369" s="13"/>
      <c r="J369" s="102"/>
      <c r="K369" s="18"/>
      <c r="L369" s="14"/>
      <c r="M369" s="92"/>
      <c r="N369" s="92"/>
      <c r="O369" s="14"/>
    </row>
    <row r="370" spans="4:15" s="23" customFormat="1">
      <c r="D370" s="22"/>
      <c r="E370" s="22"/>
      <c r="F370" s="89"/>
      <c r="G370" s="89"/>
      <c r="H370" s="18"/>
      <c r="I370" s="13"/>
      <c r="J370" s="102"/>
      <c r="K370" s="18"/>
      <c r="L370" s="14"/>
      <c r="M370" s="92"/>
      <c r="N370" s="92"/>
      <c r="O370" s="14"/>
    </row>
    <row r="371" spans="4:15" s="23" customFormat="1">
      <c r="D371" s="22"/>
      <c r="E371" s="22"/>
      <c r="F371" s="89"/>
      <c r="G371" s="89"/>
      <c r="H371" s="18"/>
      <c r="I371" s="13"/>
      <c r="J371" s="102"/>
      <c r="K371" s="18"/>
      <c r="L371" s="14"/>
      <c r="M371" s="92"/>
      <c r="N371" s="92"/>
      <c r="O371" s="14"/>
    </row>
    <row r="372" spans="4:15" s="23" customFormat="1">
      <c r="D372" s="22"/>
      <c r="E372" s="22"/>
      <c r="F372" s="89"/>
      <c r="G372" s="89"/>
      <c r="H372" s="18"/>
      <c r="I372" s="13"/>
      <c r="J372" s="102"/>
      <c r="K372" s="18"/>
      <c r="L372" s="14"/>
      <c r="M372" s="92"/>
      <c r="N372" s="92"/>
      <c r="O372" s="14"/>
    </row>
    <row r="373" spans="4:15" s="23" customFormat="1">
      <c r="D373" s="22"/>
      <c r="E373" s="22"/>
      <c r="F373" s="89"/>
      <c r="G373" s="89"/>
      <c r="H373" s="18"/>
      <c r="I373" s="13"/>
      <c r="J373" s="102"/>
      <c r="K373" s="18"/>
      <c r="L373" s="14"/>
      <c r="M373" s="92"/>
      <c r="N373" s="92"/>
      <c r="O373" s="14"/>
    </row>
    <row r="374" spans="4:15" s="23" customFormat="1">
      <c r="D374" s="22"/>
      <c r="E374" s="22"/>
      <c r="F374" s="89"/>
      <c r="G374" s="89"/>
      <c r="H374" s="18"/>
      <c r="I374" s="13"/>
      <c r="J374" s="102"/>
      <c r="K374" s="18"/>
      <c r="L374" s="14"/>
      <c r="M374" s="92"/>
      <c r="N374" s="92"/>
      <c r="O374" s="14"/>
    </row>
    <row r="375" spans="4:15" s="23" customFormat="1">
      <c r="D375" s="22"/>
      <c r="E375" s="22"/>
      <c r="F375" s="89"/>
      <c r="G375" s="89"/>
      <c r="H375" s="18"/>
      <c r="I375" s="13"/>
      <c r="J375" s="102"/>
      <c r="K375" s="18"/>
      <c r="L375" s="14"/>
      <c r="M375" s="92"/>
      <c r="N375" s="92"/>
      <c r="O375" s="14"/>
    </row>
    <row r="376" spans="4:15" s="23" customFormat="1">
      <c r="D376" s="22"/>
      <c r="E376" s="22"/>
      <c r="F376" s="89"/>
      <c r="G376" s="89"/>
      <c r="H376" s="18"/>
      <c r="I376" s="13"/>
      <c r="J376" s="102"/>
      <c r="K376" s="18"/>
      <c r="L376" s="14"/>
      <c r="M376" s="92"/>
      <c r="N376" s="92"/>
      <c r="O376" s="14"/>
    </row>
    <row r="377" spans="4:15" s="23" customFormat="1">
      <c r="D377" s="22"/>
      <c r="E377" s="22"/>
      <c r="F377" s="89"/>
      <c r="G377" s="89"/>
      <c r="H377" s="18"/>
      <c r="I377" s="13"/>
      <c r="J377" s="102"/>
      <c r="K377" s="18"/>
      <c r="L377" s="14"/>
      <c r="M377" s="92"/>
      <c r="N377" s="92"/>
      <c r="O377" s="14"/>
    </row>
    <row r="378" spans="4:15" s="23" customFormat="1">
      <c r="D378" s="22"/>
      <c r="E378" s="22"/>
      <c r="F378" s="89"/>
      <c r="G378" s="89"/>
      <c r="H378" s="18"/>
      <c r="I378" s="13"/>
      <c r="J378" s="102"/>
      <c r="K378" s="18"/>
      <c r="L378" s="14"/>
      <c r="M378" s="92"/>
      <c r="N378" s="92"/>
      <c r="O378" s="14"/>
    </row>
    <row r="379" spans="4:15" s="23" customFormat="1">
      <c r="D379" s="22"/>
      <c r="E379" s="22"/>
      <c r="F379" s="89"/>
      <c r="G379" s="89"/>
      <c r="H379" s="18"/>
      <c r="I379" s="13"/>
      <c r="J379" s="102"/>
      <c r="K379" s="18"/>
      <c r="L379" s="14"/>
      <c r="M379" s="92"/>
      <c r="N379" s="92"/>
      <c r="O379" s="14"/>
    </row>
    <row r="380" spans="4:15" s="23" customFormat="1">
      <c r="D380" s="22"/>
      <c r="E380" s="22"/>
      <c r="F380" s="89"/>
      <c r="G380" s="89"/>
      <c r="H380" s="18"/>
      <c r="I380" s="13"/>
      <c r="J380" s="102"/>
      <c r="K380" s="18"/>
      <c r="L380" s="14"/>
      <c r="M380" s="92"/>
      <c r="N380" s="92"/>
      <c r="O380" s="14"/>
    </row>
    <row r="381" spans="4:15" s="23" customFormat="1">
      <c r="D381" s="22"/>
      <c r="E381" s="22"/>
      <c r="F381" s="89"/>
      <c r="G381" s="89"/>
      <c r="H381" s="18"/>
      <c r="I381" s="13"/>
      <c r="J381" s="102"/>
      <c r="K381" s="18"/>
      <c r="L381" s="14"/>
      <c r="M381" s="92"/>
      <c r="N381" s="92"/>
      <c r="O381" s="14"/>
    </row>
    <row r="382" spans="4:15" s="23" customFormat="1">
      <c r="D382" s="22"/>
      <c r="E382" s="22"/>
      <c r="F382" s="89"/>
      <c r="G382" s="89"/>
      <c r="H382" s="18"/>
      <c r="I382" s="13"/>
      <c r="J382" s="102"/>
      <c r="K382" s="18"/>
      <c r="L382" s="14"/>
      <c r="M382" s="92"/>
      <c r="N382" s="92"/>
      <c r="O382" s="14"/>
    </row>
    <row r="383" spans="4:15" s="23" customFormat="1">
      <c r="D383" s="22"/>
      <c r="E383" s="22"/>
      <c r="F383" s="89"/>
      <c r="G383" s="89"/>
      <c r="H383" s="18"/>
      <c r="I383" s="13"/>
      <c r="J383" s="102"/>
      <c r="K383" s="18"/>
      <c r="L383" s="14"/>
      <c r="M383" s="92"/>
      <c r="N383" s="92"/>
      <c r="O383" s="14"/>
    </row>
    <row r="384" spans="4:15" s="23" customFormat="1">
      <c r="D384" s="22"/>
      <c r="E384" s="22"/>
      <c r="F384" s="89"/>
      <c r="G384" s="89"/>
      <c r="H384" s="18"/>
      <c r="I384" s="13"/>
      <c r="J384" s="102"/>
      <c r="K384" s="18"/>
      <c r="L384" s="14"/>
      <c r="M384" s="92"/>
      <c r="N384" s="92"/>
      <c r="O384" s="14"/>
    </row>
    <row r="385" spans="4:15" s="23" customFormat="1">
      <c r="D385" s="22"/>
      <c r="E385" s="22"/>
      <c r="F385" s="89"/>
      <c r="G385" s="89"/>
      <c r="H385" s="18"/>
      <c r="I385" s="13"/>
      <c r="J385" s="102"/>
      <c r="K385" s="18"/>
      <c r="L385" s="14"/>
      <c r="M385" s="92"/>
      <c r="N385" s="92"/>
      <c r="O385" s="14"/>
    </row>
    <row r="386" spans="4:15" s="23" customFormat="1">
      <c r="D386" s="22"/>
      <c r="E386" s="22"/>
      <c r="F386" s="89"/>
      <c r="G386" s="89"/>
      <c r="H386" s="18"/>
      <c r="I386" s="13"/>
      <c r="J386" s="102"/>
      <c r="K386" s="18"/>
      <c r="L386" s="14"/>
      <c r="M386" s="92"/>
      <c r="N386" s="92"/>
      <c r="O386" s="14"/>
    </row>
    <row r="387" spans="4:15" s="23" customFormat="1">
      <c r="D387" s="22"/>
      <c r="E387" s="22"/>
      <c r="F387" s="89"/>
      <c r="G387" s="89"/>
      <c r="H387" s="18"/>
      <c r="I387" s="13"/>
      <c r="J387" s="102"/>
      <c r="K387" s="18"/>
      <c r="L387" s="14"/>
      <c r="M387" s="92"/>
      <c r="N387" s="92"/>
      <c r="O387" s="14"/>
    </row>
    <row r="388" spans="4:15" s="23" customFormat="1">
      <c r="D388" s="22"/>
      <c r="E388" s="22"/>
      <c r="F388" s="89"/>
      <c r="G388" s="89"/>
      <c r="H388" s="18"/>
      <c r="I388" s="13"/>
      <c r="J388" s="102"/>
      <c r="K388" s="18"/>
      <c r="L388" s="14"/>
      <c r="M388" s="92"/>
      <c r="N388" s="92"/>
      <c r="O388" s="14"/>
    </row>
    <row r="389" spans="4:15" s="23" customFormat="1">
      <c r="D389" s="22"/>
      <c r="E389" s="22"/>
      <c r="F389" s="89"/>
      <c r="G389" s="89"/>
      <c r="H389" s="18"/>
      <c r="I389" s="13"/>
      <c r="J389" s="102"/>
      <c r="K389" s="18"/>
      <c r="L389" s="14"/>
      <c r="M389" s="92"/>
      <c r="N389" s="92"/>
      <c r="O389" s="14"/>
    </row>
    <row r="390" spans="4:15" s="23" customFormat="1">
      <c r="D390" s="22"/>
      <c r="E390" s="22"/>
      <c r="F390" s="89"/>
      <c r="G390" s="89"/>
      <c r="H390" s="18"/>
      <c r="I390" s="13"/>
      <c r="J390" s="102"/>
      <c r="K390" s="18"/>
      <c r="L390" s="14"/>
      <c r="M390" s="92"/>
      <c r="N390" s="92"/>
      <c r="O390" s="14"/>
    </row>
    <row r="391" spans="4:15" s="23" customFormat="1">
      <c r="D391" s="22"/>
      <c r="E391" s="22"/>
      <c r="F391" s="89"/>
      <c r="G391" s="89"/>
      <c r="H391" s="18"/>
      <c r="I391" s="13"/>
      <c r="J391" s="102"/>
      <c r="K391" s="18"/>
      <c r="L391" s="14"/>
      <c r="M391" s="92"/>
      <c r="N391" s="92"/>
      <c r="O391" s="14"/>
    </row>
    <row r="392" spans="4:15" s="23" customFormat="1">
      <c r="D392" s="22"/>
      <c r="E392" s="22"/>
      <c r="F392" s="89"/>
      <c r="G392" s="89"/>
      <c r="H392" s="18"/>
      <c r="I392" s="13"/>
      <c r="J392" s="102"/>
      <c r="K392" s="18"/>
      <c r="L392" s="14"/>
      <c r="M392" s="92"/>
      <c r="N392" s="92"/>
      <c r="O392" s="14"/>
    </row>
    <row r="393" spans="4:15" s="23" customFormat="1">
      <c r="D393" s="22"/>
      <c r="E393" s="22"/>
      <c r="F393" s="89"/>
      <c r="G393" s="89"/>
      <c r="H393" s="18"/>
      <c r="I393" s="13"/>
      <c r="J393" s="102"/>
      <c r="K393" s="18"/>
      <c r="L393" s="14"/>
      <c r="M393" s="92"/>
      <c r="N393" s="92"/>
      <c r="O393" s="14"/>
    </row>
    <row r="394" spans="4:15" s="23" customFormat="1">
      <c r="D394" s="22"/>
      <c r="E394" s="22"/>
      <c r="F394" s="89"/>
      <c r="G394" s="89"/>
      <c r="H394" s="18"/>
      <c r="I394" s="13"/>
      <c r="J394" s="102"/>
      <c r="K394" s="18"/>
      <c r="L394" s="14"/>
      <c r="M394" s="92"/>
      <c r="N394" s="92"/>
      <c r="O394" s="14"/>
    </row>
    <row r="395" spans="4:15" s="23" customFormat="1">
      <c r="D395" s="22"/>
      <c r="E395" s="22"/>
      <c r="F395" s="89"/>
      <c r="G395" s="89"/>
      <c r="H395" s="18"/>
      <c r="I395" s="13"/>
      <c r="J395" s="102"/>
      <c r="K395" s="18"/>
      <c r="L395" s="14"/>
      <c r="M395" s="92"/>
      <c r="N395" s="92"/>
      <c r="O395" s="14"/>
    </row>
    <row r="396" spans="4:15" s="23" customFormat="1">
      <c r="D396" s="22"/>
      <c r="E396" s="22"/>
      <c r="F396" s="89"/>
      <c r="G396" s="89"/>
      <c r="H396" s="18"/>
      <c r="I396" s="13"/>
      <c r="J396" s="102"/>
      <c r="K396" s="18"/>
      <c r="L396" s="14"/>
      <c r="M396" s="92"/>
      <c r="N396" s="92"/>
      <c r="O396" s="14"/>
    </row>
    <row r="397" spans="4:15" s="23" customFormat="1">
      <c r="D397" s="22"/>
      <c r="E397" s="22"/>
      <c r="F397" s="89"/>
      <c r="G397" s="89"/>
      <c r="H397" s="18"/>
      <c r="I397" s="13"/>
      <c r="J397" s="102"/>
      <c r="K397" s="18"/>
      <c r="L397" s="14"/>
      <c r="M397" s="92"/>
      <c r="N397" s="92"/>
      <c r="O397" s="14"/>
    </row>
    <row r="398" spans="4:15" s="23" customFormat="1">
      <c r="D398" s="22"/>
      <c r="E398" s="22"/>
      <c r="F398" s="89"/>
      <c r="G398" s="89"/>
      <c r="H398" s="18"/>
      <c r="I398" s="13"/>
      <c r="J398" s="102"/>
      <c r="K398" s="18"/>
      <c r="L398" s="14"/>
      <c r="M398" s="92"/>
      <c r="N398" s="92"/>
      <c r="O398" s="14"/>
    </row>
    <row r="399" spans="4:15" s="23" customFormat="1">
      <c r="D399" s="22"/>
      <c r="E399" s="22"/>
      <c r="F399" s="89"/>
      <c r="G399" s="89"/>
      <c r="H399" s="18"/>
      <c r="I399" s="13"/>
      <c r="J399" s="102"/>
      <c r="K399" s="18"/>
      <c r="L399" s="14"/>
      <c r="M399" s="92"/>
      <c r="N399" s="92"/>
      <c r="O399" s="14"/>
    </row>
    <row r="400" spans="4:15" s="23" customFormat="1">
      <c r="D400" s="22"/>
      <c r="E400" s="22"/>
      <c r="F400" s="89"/>
      <c r="G400" s="89"/>
      <c r="H400" s="18"/>
      <c r="I400" s="13"/>
      <c r="J400" s="102"/>
      <c r="K400" s="18"/>
      <c r="L400" s="14"/>
      <c r="M400" s="92"/>
      <c r="N400" s="92"/>
      <c r="O400" s="14"/>
    </row>
    <row r="401" spans="4:15" s="23" customFormat="1">
      <c r="D401" s="22"/>
      <c r="E401" s="22"/>
      <c r="F401" s="89"/>
      <c r="G401" s="89"/>
      <c r="H401" s="18"/>
      <c r="I401" s="13"/>
      <c r="J401" s="102"/>
      <c r="K401" s="18"/>
      <c r="L401" s="14"/>
      <c r="M401" s="92"/>
      <c r="N401" s="92"/>
      <c r="O401" s="14"/>
    </row>
    <row r="402" spans="4:15" s="23" customFormat="1">
      <c r="D402" s="22"/>
      <c r="E402" s="22"/>
      <c r="F402" s="89"/>
      <c r="G402" s="89"/>
      <c r="H402" s="18"/>
      <c r="I402" s="13"/>
      <c r="J402" s="102"/>
      <c r="K402" s="18"/>
      <c r="L402" s="14"/>
      <c r="M402" s="92"/>
      <c r="N402" s="92"/>
      <c r="O402" s="14"/>
    </row>
    <row r="403" spans="4:15" s="23" customFormat="1">
      <c r="D403" s="22"/>
      <c r="E403" s="22"/>
      <c r="F403" s="89"/>
      <c r="G403" s="89"/>
      <c r="H403" s="18"/>
      <c r="I403" s="13"/>
      <c r="J403" s="102"/>
      <c r="K403" s="18"/>
      <c r="L403" s="14"/>
      <c r="M403" s="92"/>
      <c r="N403" s="92"/>
      <c r="O403" s="14"/>
    </row>
    <row r="404" spans="4:15" s="23" customFormat="1">
      <c r="D404" s="22"/>
      <c r="E404" s="22"/>
      <c r="F404" s="89"/>
      <c r="G404" s="89"/>
      <c r="H404" s="18"/>
      <c r="I404" s="13"/>
      <c r="J404" s="102"/>
      <c r="K404" s="18"/>
      <c r="L404" s="14"/>
      <c r="M404" s="92"/>
      <c r="N404" s="92"/>
      <c r="O404" s="14"/>
    </row>
    <row r="405" spans="4:15" s="23" customFormat="1">
      <c r="D405" s="22"/>
      <c r="E405" s="22"/>
      <c r="F405" s="89"/>
      <c r="G405" s="89"/>
      <c r="H405" s="18"/>
      <c r="I405" s="13"/>
      <c r="J405" s="102"/>
      <c r="K405" s="18"/>
      <c r="L405" s="14"/>
      <c r="M405" s="92"/>
      <c r="N405" s="92"/>
      <c r="O405" s="14"/>
    </row>
    <row r="406" spans="4:15" s="23" customFormat="1">
      <c r="D406" s="22"/>
      <c r="E406" s="22"/>
      <c r="F406" s="89"/>
      <c r="G406" s="89"/>
      <c r="H406" s="18"/>
      <c r="I406" s="13"/>
      <c r="J406" s="102"/>
      <c r="K406" s="18"/>
      <c r="L406" s="14"/>
      <c r="M406" s="92"/>
      <c r="N406" s="92"/>
      <c r="O406" s="14"/>
    </row>
    <row r="407" spans="4:15" s="23" customFormat="1">
      <c r="D407" s="22"/>
      <c r="E407" s="22"/>
      <c r="F407" s="89"/>
      <c r="G407" s="89"/>
      <c r="H407" s="18"/>
      <c r="I407" s="13"/>
      <c r="J407" s="102"/>
      <c r="K407" s="18"/>
      <c r="L407" s="14"/>
      <c r="M407" s="92"/>
      <c r="N407" s="92"/>
      <c r="O407" s="14"/>
    </row>
    <row r="408" spans="4:15" s="23" customFormat="1">
      <c r="D408" s="22"/>
      <c r="E408" s="22"/>
      <c r="F408" s="89"/>
      <c r="G408" s="89"/>
      <c r="H408" s="18"/>
      <c r="I408" s="13"/>
      <c r="J408" s="102"/>
      <c r="K408" s="18"/>
      <c r="L408" s="14"/>
      <c r="M408" s="92"/>
      <c r="N408" s="92"/>
      <c r="O408" s="14"/>
    </row>
    <row r="409" spans="4:15" s="23" customFormat="1">
      <c r="D409" s="22"/>
      <c r="E409" s="22"/>
      <c r="F409" s="89"/>
      <c r="G409" s="89"/>
      <c r="H409" s="18"/>
      <c r="I409" s="13"/>
      <c r="J409" s="102"/>
      <c r="K409" s="18"/>
      <c r="L409" s="14"/>
      <c r="M409" s="92"/>
      <c r="N409" s="92"/>
      <c r="O409" s="14"/>
    </row>
    <row r="410" spans="4:15" s="23" customFormat="1">
      <c r="D410" s="22"/>
      <c r="E410" s="22"/>
      <c r="F410" s="89"/>
      <c r="G410" s="89"/>
      <c r="H410" s="18"/>
      <c r="I410" s="13"/>
      <c r="J410" s="102"/>
      <c r="K410" s="18"/>
      <c r="L410" s="14"/>
      <c r="M410" s="92"/>
      <c r="N410" s="92"/>
      <c r="O410" s="14"/>
    </row>
    <row r="411" spans="4:15" s="23" customFormat="1">
      <c r="D411" s="22"/>
      <c r="E411" s="22"/>
      <c r="F411" s="89"/>
      <c r="G411" s="89"/>
      <c r="H411" s="18"/>
      <c r="I411" s="13"/>
      <c r="J411" s="102"/>
      <c r="K411" s="18"/>
      <c r="L411" s="14"/>
      <c r="M411" s="92"/>
      <c r="N411" s="92"/>
      <c r="O411" s="14"/>
    </row>
    <row r="412" spans="4:15" s="23" customFormat="1">
      <c r="D412" s="22"/>
      <c r="E412" s="22"/>
      <c r="F412" s="89"/>
      <c r="G412" s="89"/>
      <c r="H412" s="18"/>
      <c r="I412" s="13"/>
      <c r="J412" s="102"/>
      <c r="K412" s="18"/>
      <c r="L412" s="14"/>
      <c r="M412" s="92"/>
      <c r="N412" s="92"/>
      <c r="O412" s="14"/>
    </row>
    <row r="413" spans="4:15" s="23" customFormat="1">
      <c r="D413" s="22"/>
      <c r="E413" s="22"/>
      <c r="F413" s="89"/>
      <c r="G413" s="89"/>
      <c r="H413" s="18"/>
      <c r="I413" s="13"/>
      <c r="J413" s="102"/>
      <c r="K413" s="18"/>
      <c r="L413" s="14"/>
      <c r="M413" s="92"/>
      <c r="N413" s="92"/>
      <c r="O413" s="14"/>
    </row>
    <row r="414" spans="4:15" s="23" customFormat="1">
      <c r="D414" s="22"/>
      <c r="E414" s="22"/>
      <c r="F414" s="89"/>
      <c r="G414" s="89"/>
      <c r="H414" s="18"/>
      <c r="I414" s="13"/>
      <c r="J414" s="102"/>
      <c r="K414" s="18"/>
      <c r="L414" s="14"/>
      <c r="M414" s="92"/>
      <c r="N414" s="92"/>
      <c r="O414" s="14"/>
    </row>
    <row r="415" spans="4:15" s="23" customFormat="1">
      <c r="D415" s="22"/>
      <c r="E415" s="22"/>
      <c r="F415" s="89"/>
      <c r="G415" s="89"/>
      <c r="H415" s="18"/>
      <c r="I415" s="13"/>
      <c r="J415" s="102"/>
      <c r="K415" s="18"/>
      <c r="L415" s="14"/>
      <c r="M415" s="92"/>
      <c r="N415" s="92"/>
      <c r="O415" s="14"/>
    </row>
    <row r="416" spans="4:15" s="23" customFormat="1">
      <c r="D416" s="22"/>
      <c r="E416" s="22"/>
      <c r="F416" s="89"/>
      <c r="G416" s="89"/>
      <c r="H416" s="18"/>
      <c r="I416" s="13"/>
      <c r="J416" s="102"/>
      <c r="K416" s="18"/>
      <c r="L416" s="14"/>
      <c r="M416" s="92"/>
      <c r="N416" s="92"/>
      <c r="O416" s="14"/>
    </row>
    <row r="417" spans="4:15" s="23" customFormat="1">
      <c r="D417" s="22"/>
      <c r="E417" s="22"/>
      <c r="F417" s="89"/>
      <c r="G417" s="89"/>
      <c r="H417" s="18"/>
      <c r="I417" s="13"/>
      <c r="J417" s="102"/>
      <c r="K417" s="18"/>
      <c r="L417" s="14"/>
      <c r="M417" s="92"/>
      <c r="N417" s="92"/>
      <c r="O417" s="14"/>
    </row>
    <row r="418" spans="4:15" s="23" customFormat="1">
      <c r="D418" s="22"/>
      <c r="E418" s="22"/>
      <c r="F418" s="89"/>
      <c r="G418" s="89"/>
      <c r="H418" s="18"/>
      <c r="I418" s="13"/>
      <c r="J418" s="102"/>
      <c r="K418" s="18"/>
      <c r="L418" s="14"/>
      <c r="M418" s="92"/>
      <c r="N418" s="92"/>
      <c r="O418" s="14"/>
    </row>
    <row r="419" spans="4:15" s="23" customFormat="1">
      <c r="D419" s="22"/>
      <c r="E419" s="22"/>
      <c r="F419" s="89"/>
      <c r="G419" s="89"/>
      <c r="H419" s="18"/>
      <c r="I419" s="13"/>
      <c r="J419" s="102"/>
      <c r="K419" s="18"/>
      <c r="L419" s="14"/>
      <c r="M419" s="92"/>
      <c r="N419" s="92"/>
      <c r="O419" s="14"/>
    </row>
    <row r="420" spans="4:15" s="23" customFormat="1">
      <c r="D420" s="22"/>
      <c r="E420" s="22"/>
      <c r="F420" s="89"/>
      <c r="G420" s="89"/>
      <c r="H420" s="18"/>
      <c r="I420" s="13"/>
      <c r="J420" s="102"/>
      <c r="K420" s="18"/>
      <c r="L420" s="14"/>
      <c r="M420" s="92"/>
      <c r="N420" s="92"/>
      <c r="O420" s="14"/>
    </row>
    <row r="421" spans="4:15" s="23" customFormat="1">
      <c r="D421" s="22"/>
      <c r="E421" s="22"/>
      <c r="F421" s="89"/>
      <c r="G421" s="89"/>
      <c r="H421" s="18"/>
      <c r="I421" s="13"/>
      <c r="J421" s="102"/>
      <c r="K421" s="18"/>
      <c r="L421" s="14"/>
      <c r="M421" s="92"/>
      <c r="N421" s="92"/>
      <c r="O421" s="14"/>
    </row>
    <row r="422" spans="4:15" s="23" customFormat="1">
      <c r="D422" s="22"/>
      <c r="E422" s="22"/>
      <c r="F422" s="89"/>
      <c r="G422" s="89"/>
      <c r="H422" s="18"/>
      <c r="I422" s="13"/>
      <c r="J422" s="102"/>
      <c r="K422" s="18"/>
      <c r="L422" s="14"/>
      <c r="M422" s="92"/>
      <c r="N422" s="92"/>
      <c r="O422" s="14"/>
    </row>
    <row r="423" spans="4:15" s="23" customFormat="1">
      <c r="D423" s="22"/>
      <c r="E423" s="22"/>
      <c r="F423" s="89"/>
      <c r="G423" s="89"/>
      <c r="H423" s="18"/>
      <c r="I423" s="13"/>
      <c r="J423" s="102"/>
      <c r="K423" s="18"/>
      <c r="L423" s="14"/>
      <c r="M423" s="92"/>
      <c r="N423" s="92"/>
      <c r="O423" s="14"/>
    </row>
    <row r="424" spans="4:15" s="23" customFormat="1">
      <c r="D424" s="22"/>
      <c r="E424" s="22"/>
      <c r="F424" s="89"/>
      <c r="G424" s="89"/>
      <c r="H424" s="18"/>
      <c r="I424" s="13"/>
      <c r="J424" s="102"/>
      <c r="K424" s="18"/>
      <c r="L424" s="14"/>
      <c r="M424" s="92"/>
      <c r="N424" s="92"/>
      <c r="O424" s="14"/>
    </row>
    <row r="425" spans="4:15" s="23" customFormat="1">
      <c r="D425" s="22"/>
      <c r="E425" s="22"/>
      <c r="F425" s="89"/>
      <c r="G425" s="89"/>
      <c r="H425" s="18"/>
      <c r="I425" s="13"/>
      <c r="J425" s="102"/>
      <c r="K425" s="18"/>
      <c r="L425" s="14"/>
      <c r="M425" s="92"/>
      <c r="N425" s="92"/>
      <c r="O425" s="14"/>
    </row>
    <row r="426" spans="4:15" s="23" customFormat="1">
      <c r="D426" s="22"/>
      <c r="E426" s="22"/>
      <c r="F426" s="89"/>
      <c r="G426" s="89"/>
      <c r="H426" s="18"/>
      <c r="I426" s="13"/>
      <c r="J426" s="102"/>
      <c r="K426" s="18"/>
      <c r="L426" s="14"/>
      <c r="M426" s="92"/>
      <c r="N426" s="92"/>
      <c r="O426" s="14"/>
    </row>
    <row r="427" spans="4:15" s="23" customFormat="1">
      <c r="D427" s="22"/>
      <c r="E427" s="22"/>
      <c r="F427" s="89"/>
      <c r="G427" s="89"/>
      <c r="H427" s="18"/>
      <c r="I427" s="13"/>
      <c r="J427" s="102"/>
      <c r="K427" s="18"/>
      <c r="L427" s="14"/>
      <c r="M427" s="92"/>
      <c r="N427" s="92"/>
      <c r="O427" s="14"/>
    </row>
    <row r="428" spans="4:15" s="23" customFormat="1">
      <c r="D428" s="22"/>
      <c r="E428" s="22"/>
      <c r="F428" s="89"/>
      <c r="G428" s="89"/>
      <c r="H428" s="18"/>
      <c r="I428" s="13"/>
      <c r="J428" s="102"/>
      <c r="K428" s="18"/>
      <c r="L428" s="14"/>
      <c r="M428" s="92"/>
      <c r="N428" s="92"/>
      <c r="O428" s="14"/>
    </row>
    <row r="429" spans="4:15" s="23" customFormat="1">
      <c r="D429" s="22"/>
      <c r="E429" s="22"/>
      <c r="F429" s="89"/>
      <c r="G429" s="89"/>
      <c r="H429" s="18"/>
      <c r="I429" s="13"/>
      <c r="J429" s="102"/>
      <c r="K429" s="18"/>
      <c r="L429" s="14"/>
      <c r="M429" s="92"/>
      <c r="N429" s="92"/>
      <c r="O429" s="14"/>
    </row>
    <row r="430" spans="4:15" s="23" customFormat="1">
      <c r="D430" s="22"/>
      <c r="E430" s="22"/>
      <c r="F430" s="89"/>
      <c r="G430" s="89"/>
      <c r="H430" s="18"/>
      <c r="I430" s="13"/>
      <c r="J430" s="102"/>
      <c r="K430" s="18"/>
      <c r="L430" s="14"/>
      <c r="M430" s="92"/>
      <c r="N430" s="92"/>
      <c r="O430" s="14"/>
    </row>
    <row r="431" spans="4:15" s="23" customFormat="1">
      <c r="D431" s="22"/>
      <c r="E431" s="22"/>
      <c r="F431" s="89"/>
      <c r="G431" s="89"/>
      <c r="H431" s="18"/>
      <c r="I431" s="13"/>
      <c r="J431" s="102"/>
      <c r="K431" s="18"/>
      <c r="L431" s="14"/>
      <c r="M431" s="92"/>
      <c r="N431" s="92"/>
      <c r="O431" s="14"/>
    </row>
    <row r="432" spans="4:15" s="23" customFormat="1">
      <c r="D432" s="22"/>
      <c r="E432" s="22"/>
      <c r="F432" s="89"/>
      <c r="G432" s="89"/>
      <c r="H432" s="18"/>
      <c r="I432" s="13"/>
      <c r="J432" s="102"/>
      <c r="K432" s="18"/>
      <c r="L432" s="14"/>
      <c r="M432" s="92"/>
      <c r="N432" s="92"/>
      <c r="O432" s="14"/>
    </row>
    <row r="433" spans="4:15" s="23" customFormat="1">
      <c r="D433" s="22"/>
      <c r="E433" s="22"/>
      <c r="F433" s="89"/>
      <c r="G433" s="89"/>
      <c r="H433" s="18"/>
      <c r="I433" s="13"/>
      <c r="J433" s="102"/>
      <c r="K433" s="18"/>
      <c r="L433" s="14"/>
      <c r="M433" s="92"/>
      <c r="N433" s="92"/>
      <c r="O433" s="14"/>
    </row>
    <row r="434" spans="4:15" s="23" customFormat="1">
      <c r="D434" s="22"/>
      <c r="E434" s="22"/>
      <c r="F434" s="89"/>
      <c r="G434" s="89"/>
      <c r="H434" s="18"/>
      <c r="I434" s="13"/>
      <c r="J434" s="102"/>
      <c r="K434" s="18"/>
      <c r="L434" s="14"/>
      <c r="M434" s="92"/>
      <c r="N434" s="92"/>
      <c r="O434" s="14"/>
    </row>
    <row r="435" spans="4:15" s="23" customFormat="1">
      <c r="D435" s="22"/>
      <c r="E435" s="22"/>
      <c r="F435" s="89"/>
      <c r="G435" s="89"/>
      <c r="H435" s="18"/>
      <c r="I435" s="13"/>
      <c r="J435" s="102"/>
      <c r="K435" s="18"/>
      <c r="L435" s="14"/>
      <c r="M435" s="92"/>
      <c r="N435" s="92"/>
      <c r="O435" s="14"/>
    </row>
    <row r="436" spans="4:15" s="23" customFormat="1">
      <c r="D436" s="22"/>
      <c r="E436" s="22"/>
      <c r="F436" s="89"/>
      <c r="G436" s="89"/>
      <c r="H436" s="18"/>
      <c r="I436" s="13"/>
      <c r="J436" s="102"/>
      <c r="K436" s="18"/>
      <c r="L436" s="14"/>
      <c r="M436" s="92"/>
      <c r="N436" s="92"/>
      <c r="O436" s="14"/>
    </row>
    <row r="437" spans="4:15" s="23" customFormat="1">
      <c r="D437" s="22"/>
      <c r="E437" s="22"/>
      <c r="F437" s="89"/>
      <c r="G437" s="89"/>
      <c r="H437" s="18"/>
      <c r="I437" s="13"/>
      <c r="J437" s="102"/>
      <c r="K437" s="18"/>
      <c r="L437" s="14"/>
      <c r="M437" s="92"/>
      <c r="N437" s="92"/>
      <c r="O437" s="14"/>
    </row>
    <row r="438" spans="4:15" s="23" customFormat="1">
      <c r="D438" s="22"/>
      <c r="E438" s="22"/>
      <c r="F438" s="89"/>
      <c r="G438" s="89"/>
      <c r="H438" s="18"/>
      <c r="I438" s="13"/>
      <c r="J438" s="102"/>
      <c r="K438" s="18"/>
      <c r="L438" s="14"/>
      <c r="M438" s="92"/>
      <c r="N438" s="92"/>
      <c r="O438" s="14"/>
    </row>
    <row r="439" spans="4:15" s="23" customFormat="1">
      <c r="D439" s="22"/>
      <c r="E439" s="22"/>
      <c r="F439" s="89"/>
      <c r="G439" s="89"/>
      <c r="H439" s="18"/>
      <c r="I439" s="13"/>
      <c r="J439" s="102"/>
      <c r="K439" s="18"/>
      <c r="L439" s="14"/>
      <c r="M439" s="92"/>
      <c r="N439" s="92"/>
      <c r="O439" s="14"/>
    </row>
    <row r="440" spans="4:15" s="23" customFormat="1">
      <c r="D440" s="22"/>
      <c r="E440" s="22"/>
      <c r="F440" s="89"/>
      <c r="G440" s="89"/>
      <c r="H440" s="18"/>
      <c r="I440" s="13"/>
      <c r="J440" s="102"/>
      <c r="K440" s="18"/>
      <c r="L440" s="14"/>
      <c r="M440" s="92"/>
      <c r="N440" s="92"/>
      <c r="O440" s="14"/>
    </row>
    <row r="441" spans="4:15" s="23" customFormat="1">
      <c r="D441" s="22"/>
      <c r="E441" s="22"/>
      <c r="F441" s="89"/>
      <c r="G441" s="89"/>
      <c r="H441" s="18"/>
      <c r="I441" s="13"/>
      <c r="J441" s="102"/>
      <c r="K441" s="18"/>
      <c r="L441" s="14"/>
      <c r="M441" s="92"/>
      <c r="N441" s="92"/>
      <c r="O441" s="14"/>
    </row>
    <row r="442" spans="4:15" s="23" customFormat="1">
      <c r="D442" s="22"/>
      <c r="E442" s="22"/>
      <c r="F442" s="89"/>
      <c r="G442" s="89"/>
      <c r="H442" s="18"/>
      <c r="I442" s="13"/>
      <c r="J442" s="102"/>
      <c r="K442" s="18"/>
      <c r="L442" s="14"/>
      <c r="M442" s="92"/>
      <c r="N442" s="92"/>
      <c r="O442" s="14"/>
    </row>
    <row r="443" spans="4:15" s="23" customFormat="1">
      <c r="D443" s="22"/>
      <c r="E443" s="22"/>
      <c r="F443" s="89"/>
      <c r="G443" s="89"/>
      <c r="H443" s="18"/>
      <c r="I443" s="13"/>
      <c r="J443" s="102"/>
      <c r="K443" s="18"/>
      <c r="L443" s="14"/>
      <c r="M443" s="92"/>
      <c r="N443" s="92"/>
      <c r="O443" s="14"/>
    </row>
    <row r="444" spans="4:15" s="23" customFormat="1">
      <c r="D444" s="22"/>
      <c r="E444" s="22"/>
      <c r="F444" s="89"/>
      <c r="G444" s="89"/>
      <c r="H444" s="18"/>
      <c r="I444" s="13"/>
      <c r="J444" s="102"/>
      <c r="K444" s="18"/>
      <c r="L444" s="14"/>
      <c r="M444" s="92"/>
      <c r="N444" s="92"/>
      <c r="O444" s="14"/>
    </row>
    <row r="445" spans="4:15" s="23" customFormat="1">
      <c r="D445" s="22"/>
      <c r="E445" s="22"/>
      <c r="F445" s="89"/>
      <c r="G445" s="89"/>
      <c r="H445" s="18"/>
      <c r="I445" s="13"/>
      <c r="J445" s="102"/>
      <c r="K445" s="18"/>
      <c r="L445" s="14"/>
      <c r="M445" s="92"/>
      <c r="N445" s="92"/>
      <c r="O445" s="14"/>
    </row>
    <row r="446" spans="4:15" s="23" customFormat="1">
      <c r="D446" s="22"/>
      <c r="E446" s="22"/>
      <c r="F446" s="89"/>
      <c r="G446" s="89"/>
      <c r="H446" s="18"/>
      <c r="I446" s="13"/>
      <c r="J446" s="102"/>
      <c r="K446" s="18"/>
      <c r="L446" s="14"/>
      <c r="M446" s="92"/>
      <c r="N446" s="92"/>
      <c r="O446" s="14"/>
    </row>
    <row r="447" spans="4:15" s="23" customFormat="1">
      <c r="D447" s="22"/>
      <c r="E447" s="22"/>
      <c r="F447" s="89"/>
      <c r="G447" s="89"/>
      <c r="H447" s="18"/>
      <c r="I447" s="13"/>
      <c r="J447" s="102"/>
      <c r="K447" s="18"/>
      <c r="L447" s="14"/>
      <c r="M447" s="92"/>
      <c r="N447" s="92"/>
      <c r="O447" s="14"/>
    </row>
    <row r="448" spans="4:15" s="23" customFormat="1">
      <c r="D448" s="22"/>
      <c r="E448" s="22"/>
      <c r="F448" s="89"/>
      <c r="G448" s="89"/>
      <c r="H448" s="18"/>
      <c r="I448" s="13"/>
      <c r="J448" s="102"/>
      <c r="K448" s="18"/>
      <c r="L448" s="14"/>
      <c r="M448" s="92"/>
      <c r="N448" s="92"/>
      <c r="O448" s="14"/>
    </row>
    <row r="449" spans="1:7" s="23" customFormat="1">
      <c r="A449" s="114"/>
      <c r="B449" s="114"/>
      <c r="D449" s="114"/>
      <c r="E449" s="114"/>
      <c r="F449" s="114"/>
      <c r="G449" s="114"/>
    </row>
    <row r="450" spans="1:7" s="23" customFormat="1">
      <c r="A450" s="114"/>
      <c r="B450" s="114"/>
      <c r="D450" s="114"/>
      <c r="E450" s="114"/>
      <c r="F450" s="114"/>
      <c r="G450" s="114"/>
    </row>
    <row r="451" spans="1:7" s="23" customFormat="1">
      <c r="A451" s="114"/>
      <c r="B451" s="114"/>
      <c r="D451" s="114"/>
      <c r="E451" s="114"/>
      <c r="F451" s="114"/>
      <c r="G451" s="114"/>
    </row>
    <row r="452" spans="1:7" s="23" customFormat="1">
      <c r="A452" s="114"/>
      <c r="B452" s="114"/>
      <c r="D452" s="114"/>
      <c r="E452" s="114"/>
      <c r="F452" s="114"/>
      <c r="G452" s="114"/>
    </row>
    <row r="453" spans="1:7" s="23" customFormat="1">
      <c r="A453" s="114"/>
      <c r="B453" s="114"/>
      <c r="D453" s="114"/>
      <c r="E453" s="114"/>
      <c r="F453" s="114"/>
      <c r="G453" s="114"/>
    </row>
    <row r="454" spans="1:7" s="23" customFormat="1">
      <c r="A454" s="114"/>
      <c r="B454" s="114"/>
      <c r="D454" s="114"/>
      <c r="E454" s="114"/>
      <c r="F454" s="114"/>
      <c r="G454" s="114"/>
    </row>
    <row r="455" spans="1:7" s="23" customFormat="1">
      <c r="A455" s="114"/>
      <c r="B455" s="114"/>
      <c r="D455" s="114"/>
      <c r="E455" s="114"/>
      <c r="F455" s="114"/>
      <c r="G455" s="114"/>
    </row>
    <row r="456" spans="1:7" s="23" customFormat="1">
      <c r="A456" s="114"/>
      <c r="B456" s="114"/>
      <c r="D456" s="114"/>
      <c r="E456" s="114"/>
      <c r="F456" s="114"/>
      <c r="G456" s="114"/>
    </row>
    <row r="457" spans="1:7" s="23" customFormat="1">
      <c r="A457" s="114"/>
      <c r="B457" s="114"/>
      <c r="D457" s="114"/>
      <c r="E457" s="114"/>
      <c r="F457" s="114"/>
      <c r="G457" s="114"/>
    </row>
    <row r="458" spans="1:7" s="23" customFormat="1">
      <c r="A458" s="114"/>
      <c r="B458" s="114"/>
      <c r="D458" s="114"/>
      <c r="E458" s="114"/>
      <c r="F458" s="114"/>
      <c r="G458" s="114"/>
    </row>
  </sheetData>
  <sortState ref="B21:O36">
    <sortCondition ref="E21:E36"/>
  </sortState>
  <mergeCells count="6">
    <mergeCell ref="H7:I7"/>
    <mergeCell ref="L6:M6"/>
    <mergeCell ref="A1:P1"/>
    <mergeCell ref="A2:P2"/>
    <mergeCell ref="A3:P3"/>
    <mergeCell ref="A4:P4"/>
  </mergeCells>
  <phoneticPr fontId="5" type="noConversion"/>
  <printOptions horizontalCentered="1"/>
  <pageMargins left="0.5" right="0.5" top="0.7" bottom="0.55000000000000004" header="0.5" footer="0.5"/>
  <pageSetup scale="65" fitToHeight="3" orientation="landscape" r:id="rId1"/>
  <headerFooter alignWithMargins="0"/>
  <ignoredErrors>
    <ignoredError sqref="A12 P97:P98 D71:E71 I76:I79 P27:P33 A28:A33 D93:E94 P95:P96 A15 P11:P12 P34:P70 A36:A69 A34:A35 P24:P26 P22 A22 D80:E86 I80:I86 P80:P89 A18:A21 P17:P21 A16:A17 P13:P16 P71 A4 A23 P23 A24:A27 A13:A14 D72:E79 B78:B79 P72:P79 A95:A98 A70:A94 P90:P94" unlockedFormula="1"/>
    <ignoredError sqref="L82 L53:L63 L13:L14" formulaRange="1"/>
    <ignoredError sqref="L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2016-01-07T08:00:00+00:00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EEB378D-56BB-468C-84BB-560EBA067D6F}"/>
</file>

<file path=customXml/itemProps2.xml><?xml version="1.0" encoding="utf-8"?>
<ds:datastoreItem xmlns:ds="http://schemas.openxmlformats.org/officeDocument/2006/customXml" ds:itemID="{EC7CB122-CCD7-4261-89DB-4796657828A9}"/>
</file>

<file path=customXml/itemProps3.xml><?xml version="1.0" encoding="utf-8"?>
<ds:datastoreItem xmlns:ds="http://schemas.openxmlformats.org/officeDocument/2006/customXml" ds:itemID="{E8213698-958E-433A-AB9A-EB16702E002E}"/>
</file>

<file path=customXml/itemProps4.xml><?xml version="1.0" encoding="utf-8"?>
<ds:datastoreItem xmlns:ds="http://schemas.openxmlformats.org/officeDocument/2006/customXml" ds:itemID="{B9FE01B2-F5DD-4474-8BE8-7D9587900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Detail</vt:lpstr>
      <vt:lpstr>Sheet1</vt:lpstr>
      <vt:lpstr>PAGE2</vt:lpstr>
      <vt:lpstr>Detail!Print_Area</vt:lpstr>
      <vt:lpstr>Summary!Print_Area</vt:lpstr>
      <vt:lpstr>Detail!Print_Titles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AEissler</cp:lastModifiedBy>
  <cp:lastPrinted>2016-01-06T21:21:10Z</cp:lastPrinted>
  <dcterms:created xsi:type="dcterms:W3CDTF">1997-02-11T16:29:17Z</dcterms:created>
  <dcterms:modified xsi:type="dcterms:W3CDTF">2016-01-06T21:21:40Z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